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2-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0" i="1" l="1"/>
  <c r="D152" i="1"/>
  <c r="G142" i="1"/>
  <c r="E142" i="1"/>
  <c r="D142" i="1"/>
  <c r="I142" i="1"/>
  <c r="I53" i="1"/>
  <c r="E43" i="1"/>
  <c r="E166" i="1" l="1"/>
  <c r="D166" i="1"/>
  <c r="F166" i="1" s="1"/>
  <c r="H166" i="1" s="1"/>
  <c r="E165" i="1"/>
  <c r="D165" i="1"/>
  <c r="F165" i="1" s="1"/>
  <c r="H165" i="1" s="1"/>
  <c r="E164" i="1"/>
  <c r="D164" i="1"/>
  <c r="E163" i="1"/>
  <c r="D163" i="1"/>
  <c r="E162" i="1"/>
  <c r="D162" i="1"/>
  <c r="E161" i="1"/>
  <c r="D161" i="1"/>
  <c r="D160" i="1"/>
  <c r="E158" i="1"/>
  <c r="D158" i="1"/>
  <c r="E157" i="1"/>
  <c r="D157" i="1"/>
  <c r="E156" i="1"/>
  <c r="D156" i="1"/>
  <c r="E155" i="1"/>
  <c r="D155" i="1"/>
  <c r="E154" i="1"/>
  <c r="D154" i="1"/>
  <c r="F154" i="1" s="1"/>
  <c r="H154" i="1" s="1"/>
  <c r="E153" i="1"/>
  <c r="F153" i="1" s="1"/>
  <c r="H153" i="1" s="1"/>
  <c r="D153" i="1"/>
  <c r="E152" i="1"/>
  <c r="F152" i="1" s="1"/>
  <c r="H152" i="1" s="1"/>
  <c r="E150" i="1"/>
  <c r="D150" i="1"/>
  <c r="F150" i="1" s="1"/>
  <c r="J150" i="1" s="1"/>
  <c r="E149" i="1"/>
  <c r="D149" i="1"/>
  <c r="F149" i="1" s="1"/>
  <c r="E148" i="1"/>
  <c r="D148" i="1"/>
  <c r="E147" i="1"/>
  <c r="D147" i="1"/>
  <c r="F147" i="1" s="1"/>
  <c r="E146" i="1"/>
  <c r="D146" i="1"/>
  <c r="F146" i="1" s="1"/>
  <c r="J146" i="1" s="1"/>
  <c r="E145" i="1"/>
  <c r="E144" i="1"/>
  <c r="D144" i="1"/>
  <c r="E141" i="1"/>
  <c r="D141" i="1"/>
  <c r="E140" i="1"/>
  <c r="D140" i="1"/>
  <c r="E139" i="1"/>
  <c r="D139" i="1"/>
  <c r="I138" i="1"/>
  <c r="E138" i="1"/>
  <c r="D138" i="1"/>
  <c r="E137" i="1"/>
  <c r="E136" i="1"/>
  <c r="D136" i="1"/>
  <c r="L136" i="1"/>
  <c r="J136" i="1"/>
  <c r="I136" i="1"/>
  <c r="A161" i="1"/>
  <c r="A162" i="1" s="1"/>
  <c r="A163" i="1" s="1"/>
  <c r="A164" i="1" s="1"/>
  <c r="A165" i="1" s="1"/>
  <c r="A166" i="1" s="1"/>
  <c r="A153" i="1"/>
  <c r="A154" i="1" s="1"/>
  <c r="A155" i="1" s="1"/>
  <c r="A156" i="1" s="1"/>
  <c r="A157" i="1" s="1"/>
  <c r="A158" i="1" s="1"/>
  <c r="D145" i="1"/>
  <c r="F145" i="1" s="1"/>
  <c r="J145" i="1" s="1"/>
  <c r="K150" i="1"/>
  <c r="K149" i="1"/>
  <c r="K148" i="1"/>
  <c r="K147" i="1"/>
  <c r="K146" i="1"/>
  <c r="K145" i="1"/>
  <c r="K144" i="1"/>
  <c r="K143" i="1"/>
  <c r="J143" i="1"/>
  <c r="A144" i="1"/>
  <c r="F155" i="1" l="1"/>
  <c r="H155" i="1" s="1"/>
  <c r="F164" i="1"/>
  <c r="H164" i="1" s="1"/>
  <c r="F161" i="1"/>
  <c r="H161" i="1" s="1"/>
  <c r="F148" i="1"/>
  <c r="H148" i="1" s="1"/>
  <c r="F162" i="1"/>
  <c r="H162" i="1" s="1"/>
  <c r="F160" i="1"/>
  <c r="H160" i="1" s="1"/>
  <c r="F158" i="1"/>
  <c r="F157" i="1"/>
  <c r="H157" i="1" s="1"/>
  <c r="F156" i="1"/>
  <c r="H156" i="1" s="1"/>
  <c r="F144" i="1"/>
  <c r="J144" i="1" s="1"/>
  <c r="H149" i="1"/>
  <c r="J149" i="1"/>
  <c r="H158" i="1"/>
  <c r="F163" i="1"/>
  <c r="H163" i="1" s="1"/>
  <c r="J147" i="1"/>
  <c r="H147" i="1"/>
  <c r="H145" i="1"/>
  <c r="H150" i="1"/>
  <c r="H144" i="1"/>
  <c r="H146" i="1"/>
  <c r="K167" i="1"/>
  <c r="K168" i="1"/>
  <c r="K169" i="1"/>
  <c r="K170" i="1"/>
  <c r="K171" i="1"/>
  <c r="K172" i="1"/>
  <c r="K173" i="1"/>
  <c r="K174" i="1"/>
  <c r="K175" i="1"/>
  <c r="K176" i="1"/>
  <c r="K177" i="1"/>
  <c r="K178" i="1"/>
  <c r="K179" i="1"/>
  <c r="K180" i="1"/>
  <c r="K181" i="1"/>
  <c r="K182" i="1"/>
  <c r="K183" i="1"/>
  <c r="K184" i="1"/>
  <c r="K185" i="1"/>
  <c r="K186" i="1"/>
  <c r="K187" i="1"/>
  <c r="K188" i="1"/>
  <c r="K189" i="1"/>
  <c r="K190" i="1"/>
  <c r="J167" i="1"/>
  <c r="J173" i="1"/>
  <c r="J179" i="1"/>
  <c r="J185" i="1"/>
  <c r="B88" i="1"/>
  <c r="H88" i="1"/>
  <c r="A145" i="1"/>
  <c r="J148" i="1" l="1"/>
  <c r="J87" i="1"/>
  <c r="J89" i="1" s="1"/>
  <c r="J90" i="1"/>
  <c r="J91" i="1"/>
  <c r="J92" i="1"/>
  <c r="C91" i="1" s="1"/>
  <c r="D91" i="1" s="1"/>
  <c r="D93" i="1"/>
  <c r="J93" i="1"/>
  <c r="J94" i="1" s="1"/>
  <c r="J99" i="1" s="1"/>
  <c r="J100" i="1" s="1"/>
  <c r="D94" i="1"/>
  <c r="D95" i="1"/>
  <c r="J95" i="1"/>
  <c r="D96" i="1"/>
  <c r="J96" i="1"/>
  <c r="D97" i="1"/>
  <c r="J97" i="1"/>
  <c r="D98" i="1"/>
  <c r="J98" i="1"/>
  <c r="D99" i="1"/>
  <c r="D100" i="1"/>
  <c r="I101" i="1"/>
  <c r="J101" i="1"/>
  <c r="A146" i="1"/>
  <c r="C92" i="1" l="1"/>
  <c r="G91" i="1" s="1"/>
  <c r="F142" i="1"/>
  <c r="D137" i="1"/>
  <c r="D131" i="1"/>
  <c r="D130" i="1"/>
  <c r="D129" i="1"/>
  <c r="I131" i="1"/>
  <c r="I43" i="1"/>
  <c r="A147" i="1"/>
  <c r="J88" i="1" l="1"/>
  <c r="E91" i="1"/>
  <c r="D92" i="1"/>
  <c r="I88" i="1" s="1"/>
  <c r="H142" i="1"/>
  <c r="F141" i="1"/>
  <c r="H141" i="1" s="1"/>
  <c r="K141" i="1" s="1"/>
  <c r="F140" i="1"/>
  <c r="H140" i="1" s="1"/>
  <c r="K140" i="1" s="1"/>
  <c r="F130" i="1"/>
  <c r="H130" i="1" s="1"/>
  <c r="F131" i="1"/>
  <c r="H131" i="1" s="1"/>
  <c r="F129" i="1"/>
  <c r="A148" i="1"/>
  <c r="E117" i="1" l="1"/>
  <c r="E118" i="1" s="1"/>
  <c r="K142" i="1"/>
  <c r="I89" i="1"/>
  <c r="I87" i="1" s="1"/>
  <c r="C89" i="1" s="1"/>
  <c r="H129" i="1"/>
  <c r="G117" i="1" s="1"/>
  <c r="G118" i="1" s="1"/>
  <c r="C117" i="1"/>
  <c r="C118" i="1" s="1"/>
  <c r="J141" i="1"/>
  <c r="B193" i="1"/>
  <c r="A149" i="1"/>
  <c r="G56" i="1" l="1"/>
  <c r="C56" i="1"/>
  <c r="A150" i="1"/>
  <c r="S33" i="1" l="1"/>
  <c r="F11" i="5" l="1"/>
  <c r="G11" i="5" s="1"/>
  <c r="F10" i="5"/>
  <c r="G10" i="5" s="1"/>
  <c r="F9" i="5"/>
  <c r="G9" i="5" s="1"/>
  <c r="F8" i="5"/>
  <c r="G8" i="5" s="1"/>
  <c r="F7" i="5"/>
  <c r="G7" i="5" s="1"/>
  <c r="F6" i="5"/>
  <c r="G6" i="5" s="1"/>
  <c r="F5" i="5"/>
  <c r="G5" i="5" s="1"/>
  <c r="G12" i="5" s="1"/>
  <c r="D215" i="1"/>
  <c r="B194" i="1"/>
  <c r="F190" i="1"/>
  <c r="F189" i="1"/>
  <c r="F188" i="1"/>
  <c r="F187" i="1"/>
  <c r="F186" i="1"/>
  <c r="F184" i="1"/>
  <c r="F183" i="1"/>
  <c r="F182" i="1"/>
  <c r="F181" i="1"/>
  <c r="F180" i="1"/>
  <c r="F178" i="1"/>
  <c r="F177" i="1"/>
  <c r="F176" i="1"/>
  <c r="F175" i="1"/>
  <c r="F174" i="1"/>
  <c r="F172" i="1"/>
  <c r="F171" i="1"/>
  <c r="F170" i="1"/>
  <c r="F169" i="1"/>
  <c r="F168" i="1"/>
  <c r="A168" i="1"/>
  <c r="A169" i="1" s="1"/>
  <c r="A170" i="1" s="1"/>
  <c r="A171" i="1" s="1"/>
  <c r="A172" i="1" s="1"/>
  <c r="F139" i="1"/>
  <c r="H139" i="1" s="1"/>
  <c r="K139" i="1" s="1"/>
  <c r="F138" i="1"/>
  <c r="H138" i="1" s="1"/>
  <c r="F137" i="1"/>
  <c r="H137" i="1" s="1"/>
  <c r="A137" i="1"/>
  <c r="A138" i="1" s="1"/>
  <c r="A139" i="1" s="1"/>
  <c r="A140" i="1" s="1"/>
  <c r="A141" i="1" s="1"/>
  <c r="A142" i="1" s="1"/>
  <c r="F136" i="1"/>
  <c r="A130" i="1"/>
  <c r="A131" i="1" s="1"/>
  <c r="F114" i="1"/>
  <c r="D67" i="1"/>
  <c r="D62" i="1"/>
  <c r="G51" i="1"/>
  <c r="G52" i="1" s="1"/>
  <c r="C51" i="1"/>
  <c r="C52" i="1" s="1"/>
  <c r="E44" i="1"/>
  <c r="E45" i="1" s="1"/>
  <c r="E31" i="1"/>
  <c r="E28" i="1"/>
  <c r="E26" i="1"/>
  <c r="C16" i="1"/>
  <c r="I15" i="1"/>
  <c r="Z13" i="1"/>
  <c r="E8" i="1"/>
  <c r="E3" i="1"/>
  <c r="H74" i="1"/>
  <c r="A174" i="1"/>
  <c r="A186" i="1"/>
  <c r="A180" i="1"/>
  <c r="C121" i="1" l="1"/>
  <c r="E121" i="1"/>
  <c r="H175" i="1"/>
  <c r="J175" i="1"/>
  <c r="H184" i="1"/>
  <c r="J184" i="1"/>
  <c r="H176" i="1"/>
  <c r="J176" i="1"/>
  <c r="H186" i="1"/>
  <c r="J186" i="1"/>
  <c r="H168" i="1"/>
  <c r="J168" i="1"/>
  <c r="H177" i="1"/>
  <c r="J177" i="1"/>
  <c r="H187" i="1"/>
  <c r="J187" i="1"/>
  <c r="H169" i="1"/>
  <c r="J169" i="1"/>
  <c r="H178" i="1"/>
  <c r="J178" i="1"/>
  <c r="H188" i="1"/>
  <c r="J188" i="1"/>
  <c r="H170" i="1"/>
  <c r="J170" i="1"/>
  <c r="H180" i="1"/>
  <c r="J180" i="1"/>
  <c r="H189" i="1"/>
  <c r="J189" i="1"/>
  <c r="H171" i="1"/>
  <c r="J171" i="1"/>
  <c r="H181" i="1"/>
  <c r="J181" i="1"/>
  <c r="H190" i="1"/>
  <c r="J190" i="1"/>
  <c r="J137" i="1"/>
  <c r="K137" i="1"/>
  <c r="H172" i="1"/>
  <c r="J172" i="1"/>
  <c r="H182" i="1"/>
  <c r="J182" i="1"/>
  <c r="J138" i="1"/>
  <c r="K138" i="1"/>
  <c r="H174" i="1"/>
  <c r="J174" i="1"/>
  <c r="H183" i="1"/>
  <c r="J183" i="1"/>
  <c r="H136" i="1"/>
  <c r="G121" i="1" s="1"/>
  <c r="E122" i="1"/>
  <c r="E123" i="1" s="1"/>
  <c r="C122" i="1"/>
  <c r="C123" i="1" s="1"/>
  <c r="J73" i="1"/>
  <c r="J75" i="1" s="1"/>
  <c r="J76" i="1"/>
  <c r="J77" i="1"/>
  <c r="J78" i="1"/>
  <c r="C77" i="1" s="1"/>
  <c r="D81" i="1"/>
  <c r="D83" i="1"/>
  <c r="D82" i="1"/>
  <c r="D86" i="1"/>
  <c r="D80" i="1"/>
  <c r="D85" i="1"/>
  <c r="D79" i="1"/>
  <c r="D84" i="1"/>
  <c r="B74" i="1"/>
  <c r="J79" i="1" s="1"/>
  <c r="A175" i="1"/>
  <c r="A187" i="1"/>
  <c r="A181" i="1"/>
  <c r="J103" i="1" l="1"/>
  <c r="I103" i="1" s="1"/>
  <c r="G122" i="1"/>
  <c r="G123" i="1" s="1"/>
  <c r="K136" i="1"/>
  <c r="D77" i="1"/>
  <c r="J83" i="1"/>
  <c r="J81" i="1"/>
  <c r="J82" i="1"/>
  <c r="J80" i="1"/>
  <c r="J85" i="1" s="1"/>
  <c r="J84" i="1"/>
  <c r="A182" i="1"/>
  <c r="A188" i="1"/>
  <c r="A176" i="1"/>
  <c r="J86" i="1" l="1"/>
  <c r="E77" i="1"/>
  <c r="C101" i="1" s="1"/>
  <c r="A177" i="1"/>
  <c r="A189" i="1"/>
  <c r="A183" i="1"/>
  <c r="J74" i="1" l="1"/>
  <c r="G77" i="1"/>
  <c r="G101" i="1" s="1"/>
  <c r="D78" i="1"/>
  <c r="I74" i="1" s="1"/>
  <c r="I75" i="1" s="1"/>
  <c r="A178" i="1"/>
  <c r="A184" i="1"/>
  <c r="A190" i="1"/>
  <c r="D71" i="1" l="1"/>
  <c r="D72" i="1" s="1"/>
  <c r="I73" i="1"/>
  <c r="C75" i="1" s="1"/>
  <c r="F72" i="1" l="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<sst xmlns="http://schemas.openxmlformats.org/spreadsheetml/2006/main" count="596" uniqueCount="352">
  <si>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</si>
  <si>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</si>
  <si>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</si>
  <si>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</si>
  <si>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</si>
  <si>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</si>
  <si>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</si>
  <si>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</si>
  <si>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</si>
  <si>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</si>
  <si>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</si>
  <si>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</si>
  <si>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</si>
  <si>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</si>
  <si>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</si>
  <si>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</si>
  <si>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</si>
  <si>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</si>
  <si>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</si>
  <si>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</si>
  <si>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</si>
  <si>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</si>
  <si>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</si>
  <si>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</si>
  <si>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</si>
  <si>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</si>
  <si>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</si>
  <si>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</si>
  <si>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</si>
  <si>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</si>
  <si>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</si>
  <si>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</si>
  <si>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</si>
  <si>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</si>
  <si>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</si>
  <si>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</si>
  <si>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</si>
  <si>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</si>
  <si>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</si>
  <si>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</si>
  <si>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</si>
  <si>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</si>
  <si>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</si>
  <si>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</si>
  <si>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</si>
  <si>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</si>
  <si>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</si>
  <si>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</si>
  <si>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</si>
  <si>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</si>
  <si>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</si>
  <si>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</si>
  <si>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</si>
  <si>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</si>
  <si>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</si>
  <si>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</si>
  <si>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</si>
  <si>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</si>
  <si>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</si>
  <si>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</si>
  <si>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</si>
  <si>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</si>
  <si>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</si>
  <si>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</si>
  <si>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</si>
  <si>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</si>
  <si>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</si>
  <si>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</si>
  <si>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</si>
  <si>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</si>
  <si>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</si>
  <si>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</si>
  <si>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</si>
  <si>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</si>
  <si>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</si>
  <si>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</si>
  <si>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</si>
  <si>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</si>
  <si>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</si>
  <si>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</si>
  <si>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</si>
  <si>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</si>
  <si>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</si>
  <si>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</si>
  <si>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</si>
  <si>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</si>
  <si>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</si>
  <si>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</si>
  <si>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</si>
  <si>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</si>
  <si>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</si>
  <si>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</si>
  <si>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</si>
  <si>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</si>
  <si>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</si>
  <si>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</si>
  <si>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</si>
  <si>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</si>
  <si>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</si>
  <si>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</si>
  <si>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</si>
  <si>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</si>
  <si>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</si>
  <si>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</si>
  <si>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</si>
  <si>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</si>
  <si>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</si>
  <si>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</si>
  <si>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</si>
  <si>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</si>
  <si>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</si>
  <si>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</si>
  <si>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</si>
  <si>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</si>
  <si>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</si>
  <si>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</si>
  <si>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</si>
  <si>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</si>
  <si>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</si>
  <si>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</si>
  <si>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</si>
  <si>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</si>
  <si>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</si>
  <si>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</si>
  <si>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</si>
  <si>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</si>
  <si>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</si>
  <si>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</si>
  <si>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</si>
  <si>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</si>
  <si>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</si>
  <si>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</si>
  <si>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</si>
  <si>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</si>
  <si>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</si>
  <si>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</si>
  <si>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</si>
  <si>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</si>
  <si>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</si>
  <si>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</si>
  <si>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</si>
  <si>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</si>
  <si>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</si>
  <si>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</si>
  <si>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</si>
  <si>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</si>
  <si>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</si>
  <si>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</si>
  <si>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</si>
  <si>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</si>
  <si>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</si>
  <si>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</si>
  <si>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</si>
  <si>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</si>
  <si>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</si>
  <si>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</si>
  <si>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</si>
  <si>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</si>
  <si>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</si>
  <si>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</si>
  <si>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</si>
  <si>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</si>
  <si>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</si>
  <si>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</si>
  <si>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</si>
  <si>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</si>
  <si>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</si>
  <si>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</si>
  <si>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</si>
  <si>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</si>
  <si>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</si>
  <si>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</si>
  <si>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</si>
  <si>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</si>
  <si>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</si>
  <si>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</si>
  <si>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</si>
  <si>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</si>
  <si>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</si>
  <si>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</si>
  <si>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</si>
  <si>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</si>
  <si>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</si>
  <si>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</si>
  <si>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</si>
  <si>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</si>
  <si>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</si>
  <si>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</si>
  <si>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</si>
  <si>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</si>
  <si>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</si>
  <si>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</si>
  <si>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</si>
  <si>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</si>
  <si>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</si>
  <si>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</si>
  <si>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</si>
  <si>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</si>
  <si>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</si>
  <si>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</si>
  <si>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</si>
  <si>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</si>
  <si>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</si>
  <si>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</si>
  <si>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</si>
  <si>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</si>
  <si>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</si>
  <si>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</si>
  <si>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</si>
  <si>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</si>
  <si>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</si>
  <si>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</si>
  <si>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</si>
  <si>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</si>
  <si>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</si>
  <si>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</si>
  <si>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</si>
  <si>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</si>
  <si>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</si>
  <si>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</si>
  <si>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</si>
  <si>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</si>
  <si>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</si>
  <si>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</si>
  <si>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</si>
  <si>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</si>
  <si>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</si>
  <si>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</si>
  <si>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</si>
  <si>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</si>
  <si>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</si>
  <si>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</si>
  <si>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</si>
  <si>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</si>
  <si>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</si>
  <si>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</si>
  <si>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</si>
  <si>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</si>
  <si>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</si>
  <si>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</si>
  <si>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</si>
  <si>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</si>
  <si>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</si>
  <si>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</si>
  <si>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</si>
  <si>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</si>
  <si>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</si>
  <si>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</si>
  <si>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</si>
  <si>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</si>
  <si>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</si>
  <si>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</si>
  <si>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</si>
  <si>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</si>
  <si>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</si>
  <si>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</si>
  <si>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</si>
  <si>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</si>
  <si>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</si>
  <si>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</si>
  <si>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</si>
  <si>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</si>
  <si>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</si>
  <si>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</si>
  <si>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</si>
  <si>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</si>
  <si>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</si>
  <si>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</si>
  <si>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</si>
  <si>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</si>
  <si>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</si>
  <si>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</si>
  <si>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</si>
  <si>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</si>
  <si>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</si>
  <si>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</si>
  <si>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</si>
  <si>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</si>
  <si>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</si>
  <si>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</si>
  <si>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</si>
  <si>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</si>
  <si>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</si>
  <si>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</si>
  <si>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</si>
  <si>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</si>
  <si>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</si>
  <si>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</si>
  <si>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</si>
  <si>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</si>
  <si>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</si>
  <si>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</si>
  <si>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</si>
  <si>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</si>
  <si>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</si>
  <si>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</si>
  <si>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</si>
  <si>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Sara Reality</t>
  </si>
  <si>
    <t>Sara City</t>
  </si>
  <si>
    <t>Omkar : 9892108129</t>
  </si>
  <si>
    <t>P52000053424</t>
  </si>
  <si>
    <t>Plot No</t>
  </si>
  <si>
    <t>NAVI/WEST/B/080222/687828</t>
  </si>
  <si>
    <t>Valid upto Date</t>
  </si>
  <si>
    <t>Taloja</t>
  </si>
  <si>
    <t>Internal Road</t>
  </si>
  <si>
    <t>2.7 KM from Taloja Panchanad Railway Station Railway Station</t>
  </si>
  <si>
    <t>Taloja Phase 2</t>
  </si>
  <si>
    <t>Aastha Palace</t>
  </si>
  <si>
    <t>Plot No.15</t>
  </si>
  <si>
    <t>Plot No.13</t>
  </si>
  <si>
    <t>Plot No.19</t>
  </si>
  <si>
    <t>9.0 M.Wide Road</t>
  </si>
  <si>
    <t>Gr/Stilt + 1st to 7th Floor</t>
  </si>
  <si>
    <t>As per RERA - 31/12/2026</t>
  </si>
  <si>
    <t>Part II : Gr/Stilt + 1st to 7th Floor</t>
  </si>
  <si>
    <t>Average Progress %</t>
  </si>
  <si>
    <t>Average Disbursement %</t>
  </si>
  <si>
    <t>Sunil Peravi</t>
  </si>
  <si>
    <t>Shop</t>
  </si>
  <si>
    <t>1st Floor for Residential</t>
  </si>
  <si>
    <t>1BHK</t>
  </si>
  <si>
    <t>1RK</t>
  </si>
  <si>
    <r>
      <t xml:space="preserve">Shop No.
</t>
    </r>
    <r>
      <rPr>
        <b/>
        <sz val="11"/>
        <rFont val="Times New Roman"/>
        <family val="1"/>
      </rPr>
      <t>(Approved Plan)</t>
    </r>
  </si>
  <si>
    <r>
      <t xml:space="preserve">Flat No.
</t>
    </r>
    <r>
      <rPr>
        <b/>
        <sz val="11"/>
        <rFont val="Times New Roman"/>
        <family val="1"/>
      </rPr>
      <t>(Approved Plan)</t>
    </r>
  </si>
  <si>
    <t>Shops</t>
  </si>
  <si>
    <t>Flats</t>
  </si>
  <si>
    <r>
      <t xml:space="preserve">Proposed Amenities :                                                                                                                                                                                                                         </t>
    </r>
    <r>
      <rPr>
        <b/>
        <sz val="12"/>
        <rFont val="Times New Roman"/>
        <family val="1"/>
      </rPr>
      <t xml:space="preserve">                                               </t>
    </r>
  </si>
  <si>
    <t>Online</t>
  </si>
  <si>
    <t>MIS</t>
  </si>
  <si>
    <t>Visitor</t>
  </si>
  <si>
    <t>We refer approved floor plans from Rera.</t>
  </si>
  <si>
    <t>14, Sector - 16</t>
  </si>
  <si>
    <t>khushbu avinuve</t>
  </si>
  <si>
    <t>Open Plot/Metro Polis</t>
  </si>
  <si>
    <t>https://maps.app.goo.gl/oXXRekUQYRo4uTKy8</t>
  </si>
  <si>
    <t>CCTV, 24x7 Security, Open Car Parking, Fitness Center, Fire Fighting System</t>
  </si>
  <si>
    <t>Approved Plans, CC, Airport Noc, Sale Plan</t>
  </si>
  <si>
    <t>Airport Noc No
Site Elevation Height:
Permissible Top Elevation</t>
  </si>
  <si>
    <t xml:space="preserve">9.18M (AMSL)
109.18 M (AMSL)
</t>
  </si>
  <si>
    <t>CIDCO/BP-18567/TPO(NM &amp; K)/2023/12193</t>
  </si>
  <si>
    <t>Gr/Stilt + 1st to 7th Floor
Total Built Up Area = 2332.99 Sq.M.
Residential Units = 49 Nos. &amp; Commercial Units = 03 Nos.</t>
  </si>
  <si>
    <t>6th Floor</t>
  </si>
  <si>
    <t>7th Floor</t>
  </si>
  <si>
    <t>Flats - 49, Shops - 03</t>
  </si>
  <si>
    <t>Construction work is in process at the time of Visit.</t>
  </si>
  <si>
    <t>Ground Floor for Entrance Lobby, Driver Room, Commercial, Fitness Center &amp; Parking</t>
  </si>
  <si>
    <t>Open/Enc Balcony/ Dry Bal</t>
  </si>
  <si>
    <t>We considered Gross carpet area = Net carpet + Enclose/Open Balcony + C.B. Area + Dry Balcony.</t>
  </si>
  <si>
    <t>We have updated latest approved Plans &amp; CC (On dtd.24/05/2024).</t>
  </si>
  <si>
    <t>19.074254,73.099715</t>
  </si>
  <si>
    <t>Pooja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</si>
</sst>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sz val="11"/>
      <color rgb="FFFF0000"/>
      <name val="Times New Roman"/>
      <family val="1"/>
    </font>
    <font>
      <b/>
      <sz val="11"/>
      <color rgb="FF000000"/>
      <name val="Calibri"/>
      <family val="2"/>
    </font>
    <font>
      <b/>
      <sz val="11.5"/>
      <name val="Times New Roman"/>
      <family val="1"/>
    </font>
    <font>
      <b/>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4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0" xfId="0" applyFont="1" applyBorder="1" applyProtection="1">
      <protection hidden="1"/>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9" xfId="1" applyFont="1" applyBorder="1"/>
    <xf numFmtId="0" fontId="15"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21" fillId="2" borderId="29" xfId="0" applyFont="1" applyFill="1" applyBorder="1"/>
    <xf numFmtId="0" fontId="22" fillId="0" borderId="30" xfId="0" applyFont="1" applyBorder="1"/>
    <xf numFmtId="0" fontId="22" fillId="0" borderId="1" xfId="0" applyFont="1" applyBorder="1"/>
    <xf numFmtId="0" fontId="22" fillId="0" borderId="4"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3"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0" xfId="1" applyFont="1" applyAlignment="1">
      <alignment horizontal="center" vertical="center"/>
    </xf>
    <xf numFmtId="0" fontId="10" fillId="0" borderId="1" xfId="1" applyFont="1" applyBorder="1" applyAlignment="1" applyProtection="1">
      <alignment vertical="top" wrapText="1"/>
      <protection locked="0"/>
    </xf>
    <xf numFmtId="0" fontId="22" fillId="0" borderId="8" xfId="0" applyFont="1" applyBorder="1"/>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1" fontId="11" fillId="0" borderId="2" xfId="1" applyNumberFormat="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3" fillId="0" borderId="0" xfId="1" applyFont="1" applyAlignment="1">
      <alignment horizontal="center" vertical="center"/>
    </xf>
    <xf numFmtId="0" fontId="26"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6" fillId="0" borderId="24" xfId="1" applyNumberFormat="1" applyFont="1" applyBorder="1" applyAlignment="1">
      <alignment vertical="center"/>
    </xf>
    <xf numFmtId="1" fontId="6" fillId="0" borderId="0" xfId="1" applyNumberFormat="1" applyFont="1" applyAlignment="1">
      <alignment vertical="center"/>
    </xf>
    <xf numFmtId="168" fontId="10" fillId="0" borderId="0" xfId="1" applyNumberFormat="1" applyFont="1"/>
    <xf numFmtId="1" fontId="6" fillId="0" borderId="1" xfId="1" applyNumberFormat="1" applyFont="1" applyFill="1" applyBorder="1" applyAlignment="1">
      <alignment horizontal="center" vertical="center"/>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left" vertical="top" wrapText="1"/>
      <protection locked="0"/>
    </xf>
    <xf numFmtId="9" fontId="11" fillId="3" borderId="34" xfId="1" applyNumberFormat="1" applyFont="1" applyFill="1" applyBorder="1" applyAlignment="1" applyProtection="1">
      <alignment horizontal="center" vertical="center"/>
      <protection locked="0"/>
    </xf>
    <xf numFmtId="9" fontId="11" fillId="3" borderId="35" xfId="1" applyNumberFormat="1" applyFont="1" applyFill="1" applyBorder="1" applyAlignment="1" applyProtection="1">
      <alignment horizontal="center" vertical="center"/>
      <protection locked="0"/>
    </xf>
    <xf numFmtId="0" fontId="11" fillId="3" borderId="34" xfId="1" applyFont="1" applyFill="1" applyBorder="1" applyAlignment="1" applyProtection="1">
      <alignment horizontal="center" vertical="center" wrapText="1"/>
      <protection locked="0"/>
    </xf>
    <xf numFmtId="0" fontId="11" fillId="3" borderId="35" xfId="1" applyFont="1" applyFill="1" applyBorder="1" applyAlignment="1" applyProtection="1">
      <alignment horizontal="center" vertical="center" wrapText="1"/>
      <protection locked="0"/>
    </xf>
    <xf numFmtId="0" fontId="7" fillId="0" borderId="15" xfId="1" applyFont="1" applyBorder="1" applyAlignment="1" applyProtection="1">
      <alignment horizontal="center" vertical="top"/>
      <protection locked="0"/>
    </xf>
    <xf numFmtId="0" fontId="10" fillId="0" borderId="3"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6" fillId="0" borderId="36" xfId="1" applyFont="1" applyBorder="1" applyAlignment="1" applyProtection="1">
      <alignment horizontal="center" vertical="top" wrapText="1"/>
      <protection locked="0"/>
    </xf>
    <xf numFmtId="0" fontId="6" fillId="0" borderId="37" xfId="1" applyFont="1" applyBorder="1" applyAlignment="1" applyProtection="1">
      <alignment horizontal="center" vertical="top" wrapText="1"/>
      <protection locked="0"/>
    </xf>
    <xf numFmtId="0" fontId="11" fillId="0" borderId="38"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6" fillId="0" borderId="0" xfId="1" applyFont="1" applyAlignment="1">
      <alignment horizontal="center" vertical="center"/>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7" fillId="0" borderId="2" xfId="0" applyNumberFormat="1"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1" fontId="7" fillId="0" borderId="2"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1" fontId="10" fillId="0" borderId="7"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9" fontId="10" fillId="0" borderId="16"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0" fontId="6" fillId="0" borderId="38" xfId="1" applyFont="1" applyBorder="1" applyAlignment="1" applyProtection="1">
      <alignment horizontal="center" vertical="top" wrapText="1"/>
      <protection locked="0"/>
    </xf>
    <xf numFmtId="0" fontId="6" fillId="0" borderId="8" xfId="1" applyFont="1" applyBorder="1" applyAlignment="1" applyProtection="1">
      <alignment horizontal="center" vertical="top" wrapText="1"/>
      <protection locked="0"/>
    </xf>
    <xf numFmtId="1" fontId="11" fillId="0" borderId="2" xfId="1" applyNumberFormat="1" applyFont="1" applyBorder="1" applyAlignment="1" applyProtection="1">
      <alignment horizontal="center" vertical="top" wrapText="1"/>
      <protection locked="0"/>
    </xf>
    <xf numFmtId="1" fontId="11" fillId="0" borderId="15" xfId="1" applyNumberFormat="1" applyFont="1" applyBorder="1" applyAlignment="1" applyProtection="1">
      <alignment horizontal="center" vertical="top" wrapText="1"/>
      <protection locked="0"/>
    </xf>
    <xf numFmtId="0" fontId="7" fillId="0" borderId="15" xfId="1" applyFont="1" applyBorder="1" applyAlignment="1" applyProtection="1">
      <alignment horizontal="left" vertical="top"/>
      <protection locked="0"/>
    </xf>
    <xf numFmtId="1" fontId="29" fillId="0" borderId="2" xfId="1" applyNumberFormat="1" applyFont="1" applyBorder="1" applyAlignment="1" applyProtection="1">
      <alignment horizontal="center" vertical="top" wrapText="1"/>
      <protection locked="0"/>
    </xf>
    <xf numFmtId="1" fontId="29" fillId="0" borderId="15" xfId="1" applyNumberFormat="1" applyFont="1" applyBorder="1" applyAlignment="1" applyProtection="1">
      <alignment horizontal="center" vertical="top"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11" fillId="0" borderId="3" xfId="1" applyFont="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1" fontId="9" fillId="0" borderId="2"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protection locked="0"/>
    </xf>
    <xf numFmtId="0" fontId="7" fillId="0" borderId="21"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23" fillId="0" borderId="1" xfId="10" applyFill="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21"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14" fontId="5"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 fontId="6" fillId="0" borderId="7" xfId="0" applyNumberFormat="1" applyFont="1" applyBorder="1" applyAlignment="1" applyProtection="1">
      <alignment horizontal="center" vertical="top" wrapText="1"/>
      <protection locked="0"/>
    </xf>
    <xf numFmtId="1" fontId="6" fillId="0" borderId="8" xfId="0" applyNumberFormat="1" applyFont="1" applyBorder="1" applyAlignment="1" applyProtection="1">
      <alignment horizontal="center" vertical="top" wrapText="1"/>
      <protection locked="0"/>
    </xf>
    <xf numFmtId="1" fontId="11" fillId="0" borderId="7"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0" fontId="10" fillId="0" borderId="2" xfId="1" applyFont="1" applyBorder="1" applyAlignment="1" applyProtection="1">
      <alignment horizontal="left" vertical="top" wrapText="1"/>
      <protection locked="0"/>
    </xf>
    <xf numFmtId="0" fontId="10" fillId="0" borderId="2" xfId="1" applyFont="1" applyBorder="1" applyAlignment="1" applyProtection="1">
      <alignment horizontal="left" vertical="top"/>
      <protection locked="0"/>
    </xf>
    <xf numFmtId="0" fontId="10" fillId="0" borderId="16"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0" fillId="0" borderId="17" xfId="1" applyFont="1" applyBorder="1" applyAlignment="1" applyProtection="1">
      <alignment horizontal="left" vertical="top" wrapText="1"/>
      <protection locked="0"/>
    </xf>
    <xf numFmtId="0" fontId="11" fillId="0" borderId="7"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39" xfId="1" applyFont="1" applyBorder="1" applyAlignment="1" applyProtection="1">
      <alignment horizontal="left" vertical="top" wrapText="1"/>
      <protection locked="0"/>
    </xf>
    <xf numFmtId="9" fontId="10" fillId="0" borderId="17"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0" fontId="10" fillId="0" borderId="1" xfId="1" applyFont="1" applyBorder="1" applyAlignment="1" applyProtection="1">
      <alignment horizontal="center"/>
      <protection locked="0"/>
    </xf>
    <xf numFmtId="0" fontId="10" fillId="0" borderId="7" xfId="1" applyFont="1" applyBorder="1" applyAlignment="1" applyProtection="1">
      <alignment horizontal="center" vertical="top"/>
      <protection locked="0"/>
    </xf>
    <xf numFmtId="0" fontId="10" fillId="0" borderId="20"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10" fillId="0" borderId="15"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0" borderId="20"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28"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10" fillId="0" borderId="1" xfId="1" applyNumberFormat="1" applyFont="1" applyBorder="1" applyAlignment="1" applyProtection="1">
      <alignment horizontal="left" vertical="top"/>
      <protection locked="0"/>
    </xf>
    <xf numFmtId="1" fontId="5" fillId="0" borderId="1" xfId="1" applyNumberFormat="1" applyFont="1" applyBorder="1" applyAlignment="1" applyProtection="1">
      <alignment horizontal="center" vertical="center" wrapText="1"/>
      <protection locked="0"/>
    </xf>
    <xf numFmtId="0" fontId="11" fillId="0" borderId="15" xfId="1" applyFont="1" applyBorder="1" applyAlignment="1" applyProtection="1">
      <alignment horizontal="center" vertical="top"/>
      <protection locked="0"/>
    </xf>
    <xf numFmtId="1" fontId="11" fillId="0" borderId="16" xfId="1" applyNumberFormat="1" applyFont="1" applyBorder="1" applyAlignment="1" applyProtection="1">
      <alignment horizontal="center" vertical="top" wrapText="1"/>
      <protection locked="0"/>
    </xf>
    <xf numFmtId="1" fontId="11" fillId="0" borderId="18" xfId="1" applyNumberFormat="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10" fillId="0" borderId="7" xfId="1" applyFont="1" applyBorder="1" applyAlignment="1" applyProtection="1">
      <alignment horizontal="center" vertical="top" wrapText="1"/>
      <protection locked="0"/>
    </xf>
    <xf numFmtId="0" fontId="10" fillId="0" borderId="39" xfId="1" applyFont="1" applyBorder="1" applyAlignment="1" applyProtection="1">
      <alignment horizontal="center" vertical="top" wrapText="1"/>
      <protection locked="0"/>
    </xf>
    <xf numFmtId="0" fontId="10" fillId="0" borderId="8" xfId="1" applyFont="1" applyBorder="1" applyAlignment="1" applyProtection="1">
      <alignment horizontal="center" vertical="top" wrapText="1"/>
      <protection locked="0"/>
    </xf>
    <xf numFmtId="0" fontId="10" fillId="0" borderId="4" xfId="1" applyFont="1" applyBorder="1" applyAlignment="1" applyProtection="1">
      <alignment horizontal="center" vertical="top" wrapText="1"/>
      <protection locked="0"/>
    </xf>
    <xf numFmtId="1" fontId="7" fillId="0" borderId="31" xfId="0" applyNumberFormat="1" applyFont="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0" fontId="9" fillId="0" borderId="32" xfId="0" applyFont="1" applyBorder="1" applyAlignment="1" applyProtection="1">
      <alignment horizontal="center" vertical="center"/>
      <protection locked="0"/>
    </xf>
    <xf numFmtId="1" fontId="9" fillId="0" borderId="32" xfId="0" applyNumberFormat="1" applyFont="1" applyBorder="1" applyAlignment="1" applyProtection="1">
      <alignment horizontal="center" vertical="top" wrapText="1"/>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7" xfId="0" applyNumberFormat="1" applyFont="1" applyBorder="1" applyAlignment="1" applyProtection="1">
      <alignment vertical="top" wrapText="1"/>
      <protection locked="0"/>
    </xf>
    <xf numFmtId="1" fontId="7" fillId="0" borderId="20" xfId="0" applyNumberFormat="1" applyFont="1" applyBorder="1" applyAlignment="1" applyProtection="1">
      <alignment vertical="top" wrapText="1"/>
      <protection locked="0"/>
    </xf>
    <xf numFmtId="1" fontId="7" fillId="0" borderId="8" xfId="0" applyNumberFormat="1" applyFont="1" applyBorder="1" applyAlignment="1" applyProtection="1">
      <alignment vertical="top" wrapText="1"/>
      <protection locked="0"/>
    </xf>
    <xf numFmtId="1" fontId="10" fillId="0" borderId="20"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24" xfId="1" applyFont="1" applyBorder="1" applyAlignment="1">
      <alignment horizontal="center"/>
    </xf>
    <xf numFmtId="0" fontId="6" fillId="0" borderId="0" xfId="1" applyFont="1" applyAlignment="1">
      <alignment horizontal="center"/>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7"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10" fillId="0" borderId="8"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1" fontId="11"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259</xdr:row>
      <xdr:rowOff>57150</xdr:rowOff>
    </xdr:from>
    <xdr:to>
      <xdr:col>6</xdr:col>
      <xdr:colOff>433800</xdr:colOff>
      <xdr:row>282</xdr:row>
      <xdr:rowOff>120660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200150" y="54603650"/>
          <a:ext cx="4320000" cy="4591060"/>
        </a:xfrm>
        <a:prstGeom prst="rect">
          <a:avLst/>
        </a:prstGeom>
        <a:ln>
          <a:solidFill>
            <a:schemeClr val="tx1"/>
          </a:solidFill>
        </a:ln>
      </xdr:spPr>
    </xdr:pic>
    <xdr:clientData/>
  </xdr:twoCellAnchor>
  <xdr:twoCellAnchor editAs="oneCell">
    <xdr:from>
      <xdr:col>1</xdr:col>
      <xdr:colOff>512611</xdr:colOff>
      <xdr:row>301</xdr:row>
      <xdr:rowOff>165100</xdr:rowOff>
    </xdr:from>
    <xdr:to>
      <xdr:col>6</xdr:col>
      <xdr:colOff>284794</xdr:colOff>
      <xdr:row>319</xdr:row>
      <xdr:rowOff>104035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312711" y="60623450"/>
          <a:ext cx="4058433" cy="3482235"/>
        </a:xfrm>
        <a:prstGeom prst="rect">
          <a:avLst/>
        </a:prstGeom>
        <a:ln>
          <a:solidFill>
            <a:schemeClr val="tx1"/>
          </a:solidFill>
        </a:ln>
      </xdr:spPr>
    </xdr:pic>
    <xdr:clientData/>
  </xdr:twoCellAnchor>
  <xdr:twoCellAnchor editAs="oneCell">
    <xdr:from>
      <xdr:col>0</xdr:col>
      <xdr:colOff>314325</xdr:colOff>
      <xdr:row>320</xdr:row>
      <xdr:rowOff>0</xdr:rowOff>
    </xdr:from>
    <xdr:to>
      <xdr:col>7</xdr:col>
      <xdr:colOff>492674</xdr:colOff>
      <xdr:row>341</xdr:row>
      <xdr:rowOff>119475</xdr:rowOff>
    </xdr:to>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14325" y="54959250"/>
          <a:ext cx="5759999" cy="4320000"/>
        </a:xfrm>
        <a:prstGeom prst="rect">
          <a:avLst/>
        </a:prstGeom>
        <a:ln>
          <a:solidFill>
            <a:schemeClr val="tx1"/>
          </a:solidFill>
        </a:ln>
      </xdr:spPr>
    </xdr:pic>
    <xdr:clientData/>
  </xdr:twoCellAnchor>
  <xdr:twoCellAnchor>
    <xdr:from>
      <xdr:col>3</xdr:col>
      <xdr:colOff>742950</xdr:colOff>
      <xdr:row>329</xdr:row>
      <xdr:rowOff>152400</xdr:rowOff>
    </xdr:from>
    <xdr:to>
      <xdr:col>4</xdr:col>
      <xdr:colOff>200025</xdr:colOff>
      <xdr:row>332</xdr:row>
      <xdr:rowOff>133350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3152775" y="56911875"/>
          <a:ext cx="371475" cy="581025"/>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13</xdr:col>
      <xdr:colOff>342901</xdr:colOff>
      <xdr:row>247</xdr:row>
      <xdr:rowOff>9524</xdr:rowOff>
    </xdr:from>
    <xdr:to>
      <xdr:col>15</xdr:col>
      <xdr:colOff>163526</xdr:colOff>
      <xdr:row>256</xdr:row>
      <xdr:rowOff>169274</xdr:rowOff>
    </xdr:to>
    <xdr:pic>
      <xdr:nvPicPr>
        <xdr:cNvPr id="15" name="Picture 14" descr="https://vsjcllp.vsjadon.com/upload/insp-215310-1525.jpg">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1001376" y="43367324"/>
          <a:ext cx="1468450" cy="1959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361951</xdr:colOff>
      <xdr:row>247</xdr:row>
      <xdr:rowOff>9524</xdr:rowOff>
    </xdr:from>
    <xdr:to>
      <xdr:col>11</xdr:col>
      <xdr:colOff>363551</xdr:colOff>
      <xdr:row>256</xdr:row>
      <xdr:rowOff>169274</xdr:rowOff>
    </xdr:to>
    <xdr:pic>
      <xdr:nvPicPr>
        <xdr:cNvPr id="19" name="Picture 18" descr="https://vsjcllp.vsjadon.com/upload/insp-215310-849.jpg">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839076" y="43367324"/>
          <a:ext cx="1468450" cy="1959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514350</xdr:colOff>
      <xdr:row>234</xdr:row>
      <xdr:rowOff>171449</xdr:rowOff>
    </xdr:from>
    <xdr:to>
      <xdr:col>15</xdr:col>
      <xdr:colOff>628650</xdr:colOff>
      <xdr:row>246</xdr:row>
      <xdr:rowOff>123098</xdr:rowOff>
    </xdr:to>
    <xdr:pic>
      <xdr:nvPicPr>
        <xdr:cNvPr id="30" name="Picture 29" descr="https://vsjcllp.vsjadon.com/upload/insp-215310-861.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1172825" y="40928924"/>
          <a:ext cx="1762125" cy="23519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485776</xdr:colOff>
      <xdr:row>247</xdr:row>
      <xdr:rowOff>9524</xdr:rowOff>
    </xdr:from>
    <xdr:to>
      <xdr:col>13</xdr:col>
      <xdr:colOff>239726</xdr:colOff>
      <xdr:row>256</xdr:row>
      <xdr:rowOff>169274</xdr:rowOff>
    </xdr:to>
    <xdr:pic>
      <xdr:nvPicPr>
        <xdr:cNvPr id="31" name="Picture 30" descr="https://vsjcllp.vsjadon.com/upload/insp-215310-874.jpg">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9429751" y="43367324"/>
          <a:ext cx="1468450" cy="19599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552450</xdr:colOff>
      <xdr:row>215</xdr:row>
      <xdr:rowOff>200024</xdr:rowOff>
    </xdr:from>
    <xdr:to>
      <xdr:col>16</xdr:col>
      <xdr:colOff>94313</xdr:colOff>
      <xdr:row>234</xdr:row>
      <xdr:rowOff>94663</xdr:rowOff>
    </xdr:to>
    <xdr:pic>
      <xdr:nvPicPr>
        <xdr:cNvPr id="33" name="Picture 32" descr="https://vsjcllp.vsjadon.com/upload/insp-215310-843.jpg">
          <a:extLst>
            <a:ext uri="{FF2B5EF4-FFF2-40B4-BE49-F238E27FC236}">
              <a16:creationId xmlns:a16="http://schemas.microsoft.com/office/drawing/2014/main" id="{4DFF7579-6724-41F7-BBC4-36EEC132455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0420350" y="37166549"/>
          <a:ext cx="2761313" cy="36855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76200</xdr:colOff>
      <xdr:row>216</xdr:row>
      <xdr:rowOff>9524</xdr:rowOff>
    </xdr:from>
    <xdr:to>
      <xdr:col>12</xdr:col>
      <xdr:colOff>446738</xdr:colOff>
      <xdr:row>234</xdr:row>
      <xdr:rowOff>104188</xdr:rowOff>
    </xdr:to>
    <xdr:pic>
      <xdr:nvPicPr>
        <xdr:cNvPr id="34" name="Picture 33" descr="https://vsjcllp.vsjadon.com/upload/insp-215310-844.jpg">
          <a:extLst>
            <a:ext uri="{FF2B5EF4-FFF2-40B4-BE49-F238E27FC236}">
              <a16:creationId xmlns:a16="http://schemas.microsoft.com/office/drawing/2014/main" id="{DFD695A7-3EE9-4993-ADA8-A61AC54A1DD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553325" y="37176074"/>
          <a:ext cx="2761313" cy="368558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28575</xdr:colOff>
      <xdr:row>234</xdr:row>
      <xdr:rowOff>171449</xdr:rowOff>
    </xdr:from>
    <xdr:to>
      <xdr:col>11</xdr:col>
      <xdr:colOff>323850</xdr:colOff>
      <xdr:row>246</xdr:row>
      <xdr:rowOff>123098</xdr:rowOff>
    </xdr:to>
    <xdr:pic>
      <xdr:nvPicPr>
        <xdr:cNvPr id="35" name="Picture 34" descr="https://vsjcllp.vsjadon.com/upload/insp-215310-847.jpg">
          <a:extLst>
            <a:ext uri="{FF2B5EF4-FFF2-40B4-BE49-F238E27FC236}">
              <a16:creationId xmlns:a16="http://schemas.microsoft.com/office/drawing/2014/main" id="{C48FF299-CF7F-4D9A-A261-2F929DA55DD4}"/>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7505700" y="40928924"/>
          <a:ext cx="1762125" cy="23519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409575</xdr:colOff>
      <xdr:row>234</xdr:row>
      <xdr:rowOff>171449</xdr:rowOff>
    </xdr:from>
    <xdr:to>
      <xdr:col>13</xdr:col>
      <xdr:colOff>457200</xdr:colOff>
      <xdr:row>246</xdr:row>
      <xdr:rowOff>123098</xdr:rowOff>
    </xdr:to>
    <xdr:pic>
      <xdr:nvPicPr>
        <xdr:cNvPr id="36" name="Picture 35" descr="https://vsjcllp.vsjadon.com/upload/insp-215310-860.jpg">
          <a:extLst>
            <a:ext uri="{FF2B5EF4-FFF2-40B4-BE49-F238E27FC236}">
              <a16:creationId xmlns:a16="http://schemas.microsoft.com/office/drawing/2014/main" id="{9F69E5AD-87EE-425B-9442-9DF3D91FB764}"/>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9353550" y="40928924"/>
          <a:ext cx="1762125" cy="23519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88900</xdr:colOff>
      <xdr:row>215</xdr:row>
      <xdr:rowOff>69850</xdr:rowOff>
    </xdr:from>
    <xdr:to>
      <xdr:col>7</xdr:col>
      <xdr:colOff>675888</xdr:colOff>
      <xdr:row>255</xdr:row>
      <xdr:rowOff>58844</xdr:rowOff>
    </xdr:to>
    <xdr:grpSp>
      <xdr:nvGrpSpPr>
        <xdr:cNvPr id="3" name="Group 2"/>
        <xdr:cNvGrpSpPr/>
      </xdr:nvGrpSpPr>
      <xdr:grpSpPr>
        <a:xfrm>
          <a:off x="88900" y="36804600"/>
          <a:ext cx="6441688" cy="7856644"/>
          <a:chOff x="88900" y="36804600"/>
          <a:chExt cx="6441688" cy="7856644"/>
        </a:xfrm>
      </xdr:grpSpPr>
      <xdr:pic>
        <xdr:nvPicPr>
          <xdr:cNvPr id="23" name="Picture 2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500587" y="42501244"/>
            <a:ext cx="1618313" cy="216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88901" y="36804600"/>
            <a:ext cx="2049863" cy="2736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84813" y="36804600"/>
            <a:ext cx="2049863" cy="2736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480725" y="36804600"/>
            <a:ext cx="2049863" cy="2736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88900" y="39652922"/>
            <a:ext cx="2049863"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284813" y="39652922"/>
            <a:ext cx="204986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480725" y="39652922"/>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6</xdr:col>
      <xdr:colOff>491412</xdr:colOff>
      <xdr:row>35</xdr:row>
      <xdr:rowOff>113000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612588" y="2696882"/>
          <a:ext cx="7200000" cy="4050000"/>
        </a:xfrm>
        <a:prstGeom prst="rect">
          <a:avLst/>
        </a:prstGeom>
        <a:ln>
          <a:solidFill>
            <a:schemeClr val="tx1"/>
          </a:solidFill>
        </a:ln>
      </xdr:spPr>
    </xdr:pic>
    <xdr:clientData/>
  </xdr:twoCellAnchor>
  <xdr:twoCellAnchor editAs="oneCell">
    <xdr:from>
      <xdr:col>6</xdr:col>
      <xdr:colOff>683855</xdr:colOff>
      <xdr:row>14</xdr:row>
      <xdr:rowOff>0</xdr:rowOff>
    </xdr:from>
    <xdr:to>
      <xdr:col>16</xdr:col>
      <xdr:colOff>435678</xdr:colOff>
      <xdr:row>35</xdr:row>
      <xdr:rowOff>113000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8005031" y="2696882"/>
          <a:ext cx="7200000" cy="4050000"/>
        </a:xfrm>
        <a:prstGeom prst="rect">
          <a:avLst/>
        </a:prstGeom>
        <a:ln>
          <a:solidFill>
            <a:schemeClr val="tx1"/>
          </a:solidFill>
        </a:ln>
      </xdr:spPr>
    </xdr:pic>
    <xdr:clientData/>
  </xdr:twoCellAnchor>
  <xdr:twoCellAnchor editAs="oneCell">
    <xdr:from>
      <xdr:col>1</xdr:col>
      <xdr:colOff>0</xdr:colOff>
      <xdr:row>36</xdr:row>
      <xdr:rowOff>101682</xdr:rowOff>
    </xdr:from>
    <xdr:to>
      <xdr:col>6</xdr:col>
      <xdr:colOff>491412</xdr:colOff>
      <xdr:row>58</xdr:row>
      <xdr:rowOff>42858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12588" y="6922329"/>
          <a:ext cx="7200000" cy="405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oXXRekUQYRo4uTKy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1"/>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99" t="s">
        <v>165</v>
      </c>
      <c r="B1" s="199"/>
      <c r="C1" s="199"/>
      <c r="D1" s="199"/>
      <c r="E1" s="199"/>
      <c r="F1" s="199"/>
      <c r="G1" s="199"/>
      <c r="H1" s="199"/>
    </row>
    <row r="2" spans="1:26" ht="16.5" customHeight="1" x14ac:dyDescent="0.35">
      <c r="A2" s="200" t="s">
        <v>0</v>
      </c>
      <c r="B2" s="200"/>
      <c r="C2" s="200"/>
      <c r="D2" s="200"/>
      <c r="E2" s="200"/>
      <c r="F2" s="200"/>
      <c r="G2" s="200"/>
      <c r="H2" s="200"/>
    </row>
    <row r="3" spans="1:26" x14ac:dyDescent="0.35">
      <c r="A3" s="158" t="s">
        <v>1</v>
      </c>
      <c r="B3" s="158"/>
      <c r="C3" s="158"/>
      <c r="D3" s="158"/>
      <c r="E3" s="158" t="str">
        <f ca="1">TEXT(TODAY(),"DD/MM/YYYY")</f>
        <v>12/07/2025</v>
      </c>
      <c r="F3" s="158"/>
      <c r="G3" s="158"/>
      <c r="H3" s="158"/>
      <c r="K3" s="49" t="s">
        <v>236</v>
      </c>
      <c r="L3" s="47" t="s">
        <v>234</v>
      </c>
      <c r="M3" s="47" t="s">
        <v>239</v>
      </c>
      <c r="N3" s="47" t="s">
        <v>237</v>
      </c>
      <c r="O3" s="47" t="s">
        <v>238</v>
      </c>
      <c r="P3" s="47" t="s">
        <v>240</v>
      </c>
    </row>
    <row r="4" spans="1:26" ht="15" customHeight="1" x14ac:dyDescent="0.35">
      <c r="A4" s="158" t="s">
        <v>233</v>
      </c>
      <c r="B4" s="158"/>
      <c r="C4" s="158"/>
      <c r="D4" s="158"/>
      <c r="E4" s="158" t="s">
        <v>234</v>
      </c>
      <c r="F4" s="158"/>
      <c r="G4" s="158"/>
      <c r="H4" s="158"/>
      <c r="K4" s="46" t="s">
        <v>235</v>
      </c>
      <c r="L4" s="47" t="s">
        <v>171</v>
      </c>
      <c r="M4" s="47" t="s">
        <v>244</v>
      </c>
      <c r="N4" s="47" t="s">
        <v>246</v>
      </c>
      <c r="O4" s="47" t="s">
        <v>248</v>
      </c>
      <c r="P4" s="47"/>
    </row>
    <row r="5" spans="1:26" ht="15" customHeight="1" x14ac:dyDescent="0.35">
      <c r="A5" s="158" t="s">
        <v>2</v>
      </c>
      <c r="B5" s="158"/>
      <c r="C5" s="158"/>
      <c r="D5" s="158"/>
      <c r="E5" s="158" t="s">
        <v>243</v>
      </c>
      <c r="F5" s="158"/>
      <c r="G5" s="158"/>
      <c r="H5" s="158"/>
      <c r="K5" s="46"/>
      <c r="L5" s="47" t="s">
        <v>241</v>
      </c>
      <c r="M5" s="47" t="s">
        <v>245</v>
      </c>
      <c r="N5" s="47" t="s">
        <v>247</v>
      </c>
      <c r="O5" s="47" t="s">
        <v>249</v>
      </c>
      <c r="P5" s="47"/>
    </row>
    <row r="6" spans="1:26" x14ac:dyDescent="0.35">
      <c r="A6" s="158" t="s">
        <v>3</v>
      </c>
      <c r="B6" s="158"/>
      <c r="C6" s="158"/>
      <c r="D6" s="158"/>
      <c r="E6" s="201">
        <v>45848</v>
      </c>
      <c r="F6" s="158"/>
      <c r="G6" s="158"/>
      <c r="H6" s="158"/>
      <c r="K6" s="46"/>
      <c r="L6" s="47" t="s">
        <v>242</v>
      </c>
      <c r="M6" s="47"/>
      <c r="N6" s="47"/>
      <c r="O6" s="47" t="s">
        <v>250</v>
      </c>
      <c r="P6" s="47"/>
    </row>
    <row r="7" spans="1:26" ht="16.5" customHeight="1" x14ac:dyDescent="0.35">
      <c r="A7" s="158" t="s">
        <v>4</v>
      </c>
      <c r="B7" s="158"/>
      <c r="C7" s="158"/>
      <c r="D7" s="158"/>
      <c r="E7" s="158" t="s">
        <v>297</v>
      </c>
      <c r="F7" s="158"/>
      <c r="G7" s="158"/>
      <c r="H7" s="158"/>
      <c r="K7" s="46"/>
      <c r="L7" s="47" t="s">
        <v>243</v>
      </c>
      <c r="M7" s="47"/>
      <c r="N7" s="47"/>
      <c r="O7" s="47" t="s">
        <v>250</v>
      </c>
      <c r="P7" s="47"/>
    </row>
    <row r="8" spans="1:26" ht="15" customHeight="1" x14ac:dyDescent="0.35">
      <c r="A8" s="158" t="s">
        <v>5</v>
      </c>
      <c r="B8" s="158"/>
      <c r="C8" s="158"/>
      <c r="D8" s="158"/>
      <c r="E8" s="158" t="str">
        <f>E7</f>
        <v>Sara Reality</v>
      </c>
      <c r="F8" s="158"/>
      <c r="G8" s="158"/>
      <c r="H8" s="158"/>
      <c r="K8" s="46"/>
      <c r="L8" s="47"/>
      <c r="M8" s="47"/>
      <c r="N8" s="47"/>
      <c r="O8" s="47" t="s">
        <v>251</v>
      </c>
      <c r="P8" s="47"/>
    </row>
    <row r="9" spans="1:26" x14ac:dyDescent="0.35">
      <c r="A9" s="158" t="s">
        <v>6</v>
      </c>
      <c r="B9" s="158"/>
      <c r="C9" s="158"/>
      <c r="D9" s="158"/>
      <c r="E9" s="138" t="s">
        <v>298</v>
      </c>
      <c r="F9" s="138"/>
      <c r="G9" s="138"/>
      <c r="H9" s="138"/>
      <c r="K9" s="46"/>
      <c r="L9" s="47"/>
      <c r="M9" s="47"/>
      <c r="N9" s="47"/>
      <c r="O9" s="47" t="s">
        <v>252</v>
      </c>
      <c r="P9" s="47"/>
    </row>
    <row r="10" spans="1:26" x14ac:dyDescent="0.35">
      <c r="A10" s="158" t="s">
        <v>168</v>
      </c>
      <c r="B10" s="158"/>
      <c r="C10" s="158"/>
      <c r="D10" s="158"/>
      <c r="E10" s="158" t="s">
        <v>299</v>
      </c>
      <c r="F10" s="158"/>
      <c r="G10" s="158"/>
      <c r="H10" s="158"/>
      <c r="K10" s="46"/>
      <c r="L10" s="47"/>
      <c r="M10" s="47"/>
      <c r="N10" s="47"/>
      <c r="O10" s="47"/>
      <c r="P10" s="47"/>
    </row>
    <row r="11" spans="1:26" x14ac:dyDescent="0.35">
      <c r="A11" s="158" t="s">
        <v>169</v>
      </c>
      <c r="B11" s="158"/>
      <c r="C11" s="158"/>
      <c r="D11" s="158"/>
      <c r="E11" s="158" t="s">
        <v>299</v>
      </c>
      <c r="F11" s="158"/>
      <c r="G11" s="158"/>
      <c r="H11" s="158"/>
    </row>
    <row r="12" spans="1:26" x14ac:dyDescent="0.35">
      <c r="A12" s="158" t="s">
        <v>7</v>
      </c>
      <c r="B12" s="158"/>
      <c r="C12" s="158"/>
      <c r="D12" s="158"/>
      <c r="E12" s="158" t="s">
        <v>118</v>
      </c>
      <c r="F12" s="158"/>
      <c r="G12" s="158"/>
      <c r="H12" s="158"/>
    </row>
    <row r="13" spans="1:26" hidden="1" x14ac:dyDescent="0.35">
      <c r="A13" s="158" t="s">
        <v>172</v>
      </c>
      <c r="B13" s="158"/>
      <c r="C13" s="158"/>
      <c r="D13" s="158"/>
      <c r="E13" s="158"/>
      <c r="F13" s="158"/>
      <c r="G13" s="158"/>
      <c r="H13" s="158"/>
      <c r="S13" s="47" t="s">
        <v>179</v>
      </c>
      <c r="T13" s="47" t="s">
        <v>189</v>
      </c>
      <c r="U13" s="47" t="s">
        <v>173</v>
      </c>
      <c r="V13" s="47" t="s">
        <v>194</v>
      </c>
      <c r="W13" s="47" t="s">
        <v>212</v>
      </c>
      <c r="X13"/>
      <c r="Y13" t="s">
        <v>194</v>
      </c>
      <c r="Z13" t="e">
        <f ca="1">OFFSET($S$13,1,MATCH($G20,$S$13:$W$13,0)-1,15,1)</f>
        <v>#VALUE!</v>
      </c>
    </row>
    <row r="14" spans="1:26" x14ac:dyDescent="0.35">
      <c r="A14" s="158" t="s">
        <v>279</v>
      </c>
      <c r="B14" s="158"/>
      <c r="C14" s="158"/>
      <c r="D14" s="158"/>
      <c r="E14" s="85" t="s">
        <v>337</v>
      </c>
      <c r="F14" s="85"/>
      <c r="G14" s="85"/>
      <c r="H14" s="85"/>
      <c r="S14" s="47" t="s">
        <v>180</v>
      </c>
      <c r="T14" s="47" t="s">
        <v>187</v>
      </c>
      <c r="U14" s="47" t="s">
        <v>209</v>
      </c>
      <c r="V14" s="47" t="s">
        <v>195</v>
      </c>
      <c r="W14" s="47" t="s">
        <v>213</v>
      </c>
      <c r="X14"/>
      <c r="Y14"/>
      <c r="Z14"/>
    </row>
    <row r="15" spans="1:26" x14ac:dyDescent="0.35">
      <c r="A15" s="158" t="s">
        <v>8</v>
      </c>
      <c r="B15" s="158"/>
      <c r="C15" s="158"/>
      <c r="D15" s="158"/>
      <c r="E15" s="85" t="s">
        <v>300</v>
      </c>
      <c r="F15" s="158"/>
      <c r="G15" s="158"/>
      <c r="H15" s="158"/>
      <c r="I15" s="226" t="e">
        <f ca="1">OFFSET($D$5,1,MATCH($J13,$D$5:$H$5,0)-1,15,1)</f>
        <v>#N/A</v>
      </c>
      <c r="J15" s="227"/>
      <c r="K15" s="227"/>
      <c r="L15" s="227"/>
      <c r="M15" s="227"/>
      <c r="N15" s="227"/>
      <c r="O15" s="227"/>
      <c r="P15" s="227"/>
      <c r="S15" s="47" t="s">
        <v>181</v>
      </c>
      <c r="T15" s="47" t="s">
        <v>188</v>
      </c>
      <c r="U15" s="47" t="s">
        <v>210</v>
      </c>
      <c r="V15" s="47" t="s">
        <v>196</v>
      </c>
      <c r="W15" s="47" t="s">
        <v>226</v>
      </c>
      <c r="X15"/>
      <c r="Y15"/>
      <c r="Z15"/>
    </row>
    <row r="16" spans="1:26" ht="34" customHeight="1" x14ac:dyDescent="0.35">
      <c r="A16" s="85" t="s">
        <v>9</v>
      </c>
      <c r="B16" s="85"/>
      <c r="C16" s="85" t="str">
        <f>CONCATENATE((IF(OR(E9="",E9="NA"),"",E9)),", ",(IF(OR(A17="",A17="NA"),"",A17)),".",(IF(OR(C17="",C17="NA"),"",C17)),", near ",(IF(OR(C22="",C22="NA"),"",C22)),", ",(IF(OR(C19="",C19="NA"),"",C19)),", ",(IF(OR(C18="",C18="NA"),"",C18)),", ",(IF(OR(G19="",G19="NA"),"",G19)),", ",(IF(OR(C20="",C20="NA"),"",C20)),", ",(IF(OR(C21="",C21="NA"),"",C21)),", ",(IF(OR(G20="",G20="NA"),"",G20))," - ",(IF(OR(G21="",G21="NA"),"",G21)),".")</f>
        <v>Sara City, Plot No.14, Sector - 16, near Aastha Palace, Internal Road, Taloja Phase 2, Taloja, Taloja, Panvel, Raigad - 410208.</v>
      </c>
      <c r="D16" s="85"/>
      <c r="E16" s="85"/>
      <c r="F16" s="85"/>
      <c r="G16" s="85"/>
      <c r="H16" s="85"/>
      <c r="S16" s="47" t="s">
        <v>182</v>
      </c>
      <c r="T16" s="47" t="s">
        <v>190</v>
      </c>
      <c r="U16" s="47" t="s">
        <v>211</v>
      </c>
      <c r="V16" s="47" t="s">
        <v>197</v>
      </c>
      <c r="W16" s="47" t="s">
        <v>214</v>
      </c>
      <c r="X16"/>
      <c r="Y16"/>
      <c r="Z16"/>
    </row>
    <row r="17" spans="1:26" x14ac:dyDescent="0.35">
      <c r="A17" s="85" t="s">
        <v>301</v>
      </c>
      <c r="B17" s="85"/>
      <c r="C17" s="85" t="s">
        <v>332</v>
      </c>
      <c r="D17" s="85"/>
      <c r="E17" s="85"/>
      <c r="F17" s="85"/>
      <c r="G17" s="85"/>
      <c r="H17" s="85"/>
      <c r="S17" s="47" t="s">
        <v>183</v>
      </c>
      <c r="T17" s="47" t="s">
        <v>191</v>
      </c>
      <c r="U17" s="47" t="s">
        <v>173</v>
      </c>
      <c r="V17" s="47" t="s">
        <v>198</v>
      </c>
      <c r="W17" s="47" t="s">
        <v>215</v>
      </c>
      <c r="X17"/>
      <c r="Y17"/>
      <c r="Z17"/>
    </row>
    <row r="18" spans="1:26" ht="15.75" customHeight="1" x14ac:dyDescent="0.35">
      <c r="A18" s="85" t="s">
        <v>163</v>
      </c>
      <c r="B18" s="85"/>
      <c r="C18" s="85" t="s">
        <v>307</v>
      </c>
      <c r="D18" s="85"/>
      <c r="E18" s="85"/>
      <c r="F18" s="85"/>
      <c r="G18" s="85"/>
      <c r="H18" s="85"/>
      <c r="S18" s="47" t="s">
        <v>184</v>
      </c>
      <c r="T18" s="47" t="s">
        <v>189</v>
      </c>
      <c r="U18" s="47"/>
      <c r="V18" s="47" t="s">
        <v>199</v>
      </c>
      <c r="W18" s="47" t="s">
        <v>216</v>
      </c>
      <c r="X18"/>
      <c r="Y18"/>
      <c r="Z18"/>
    </row>
    <row r="19" spans="1:26" ht="15.75" customHeight="1" x14ac:dyDescent="0.35">
      <c r="A19" s="85" t="s">
        <v>10</v>
      </c>
      <c r="B19" s="85"/>
      <c r="C19" s="158" t="s">
        <v>305</v>
      </c>
      <c r="D19" s="158"/>
      <c r="E19" s="85" t="s">
        <v>70</v>
      </c>
      <c r="F19" s="85"/>
      <c r="G19" s="85" t="s">
        <v>304</v>
      </c>
      <c r="H19" s="85"/>
      <c r="S19" s="47" t="s">
        <v>185</v>
      </c>
      <c r="T19" s="47" t="s">
        <v>192</v>
      </c>
      <c r="U19" s="47"/>
      <c r="V19" s="47" t="s">
        <v>200</v>
      </c>
      <c r="W19" s="47" t="s">
        <v>217</v>
      </c>
      <c r="X19"/>
      <c r="Y19"/>
      <c r="Z19"/>
    </row>
    <row r="20" spans="1:26" x14ac:dyDescent="0.35">
      <c r="A20" s="158" t="s">
        <v>12</v>
      </c>
      <c r="B20" s="158"/>
      <c r="C20" s="85" t="s">
        <v>304</v>
      </c>
      <c r="D20" s="85"/>
      <c r="E20" s="85" t="s">
        <v>11</v>
      </c>
      <c r="F20" s="85"/>
      <c r="G20" s="198" t="s">
        <v>194</v>
      </c>
      <c r="H20" s="198"/>
      <c r="S20" s="47" t="s">
        <v>186</v>
      </c>
      <c r="T20" s="47" t="s">
        <v>193</v>
      </c>
      <c r="U20" s="47"/>
      <c r="V20" s="47" t="s">
        <v>201</v>
      </c>
      <c r="W20" s="47" t="s">
        <v>218</v>
      </c>
      <c r="X20"/>
      <c r="Y20"/>
      <c r="Z20"/>
    </row>
    <row r="21" spans="1:26" x14ac:dyDescent="0.35">
      <c r="A21" s="158" t="s">
        <v>71</v>
      </c>
      <c r="B21" s="158"/>
      <c r="C21" s="85" t="s">
        <v>196</v>
      </c>
      <c r="D21" s="85"/>
      <c r="E21" s="85" t="s">
        <v>13</v>
      </c>
      <c r="F21" s="85"/>
      <c r="G21" s="85">
        <v>410208</v>
      </c>
      <c r="H21" s="85"/>
      <c r="S21" s="47"/>
      <c r="T21" s="47"/>
      <c r="U21" s="47"/>
      <c r="V21" s="47" t="s">
        <v>202</v>
      </c>
      <c r="W21" s="47" t="s">
        <v>219</v>
      </c>
      <c r="X21"/>
      <c r="Y21"/>
      <c r="Z21"/>
    </row>
    <row r="22" spans="1:26" ht="47.15" customHeight="1" x14ac:dyDescent="0.35">
      <c r="A22" s="158" t="s">
        <v>119</v>
      </c>
      <c r="B22" s="158"/>
      <c r="C22" s="85" t="s">
        <v>308</v>
      </c>
      <c r="D22" s="85"/>
      <c r="E22" s="85" t="s">
        <v>14</v>
      </c>
      <c r="F22" s="85"/>
      <c r="G22" s="85" t="s">
        <v>306</v>
      </c>
      <c r="H22" s="85"/>
      <c r="S22" s="47"/>
      <c r="T22" s="47"/>
      <c r="U22" s="47"/>
      <c r="V22" s="47" t="s">
        <v>203</v>
      </c>
      <c r="W22" s="47" t="s">
        <v>220</v>
      </c>
      <c r="X22"/>
      <c r="Y22"/>
      <c r="Z22"/>
    </row>
    <row r="23" spans="1:26" ht="15" customHeight="1" x14ac:dyDescent="0.35">
      <c r="A23" s="141" t="s">
        <v>73</v>
      </c>
      <c r="B23" s="141"/>
      <c r="C23" s="141"/>
      <c r="D23" s="141"/>
      <c r="E23" s="158" t="s">
        <v>15</v>
      </c>
      <c r="F23" s="158"/>
      <c r="G23" s="158"/>
      <c r="H23" s="158"/>
      <c r="S23" s="47"/>
      <c r="T23" s="47"/>
      <c r="U23" s="47"/>
      <c r="V23" s="47" t="s">
        <v>204</v>
      </c>
      <c r="W23" s="47" t="s">
        <v>221</v>
      </c>
      <c r="X23"/>
      <c r="Y23"/>
      <c r="Z23"/>
    </row>
    <row r="24" spans="1:26" ht="18.75" customHeight="1" x14ac:dyDescent="0.35">
      <c r="A24" s="141"/>
      <c r="B24" s="141"/>
      <c r="C24" s="141"/>
      <c r="D24" s="141"/>
      <c r="E24" s="158"/>
      <c r="F24" s="158"/>
      <c r="G24" s="158"/>
      <c r="H24" s="158"/>
      <c r="S24" s="47"/>
      <c r="T24" s="47"/>
      <c r="U24" s="47"/>
      <c r="V24" s="47" t="s">
        <v>205</v>
      </c>
      <c r="W24" s="47" t="s">
        <v>222</v>
      </c>
      <c r="X24"/>
      <c r="Y24"/>
      <c r="Z24"/>
    </row>
    <row r="25" spans="1:26" ht="15" customHeight="1" x14ac:dyDescent="0.35">
      <c r="A25" s="141" t="s">
        <v>16</v>
      </c>
      <c r="B25" s="141"/>
      <c r="C25" s="141"/>
      <c r="D25" s="141"/>
      <c r="E25" s="85" t="s">
        <v>17</v>
      </c>
      <c r="F25" s="85"/>
      <c r="G25" s="85"/>
      <c r="H25" s="85"/>
      <c r="S25" s="47"/>
      <c r="T25" s="47"/>
      <c r="U25" s="47"/>
      <c r="V25" s="47" t="s">
        <v>206</v>
      </c>
      <c r="W25" s="47" t="s">
        <v>223</v>
      </c>
      <c r="X25"/>
      <c r="Y25"/>
      <c r="Z25"/>
    </row>
    <row r="26" spans="1:26" ht="15" customHeight="1" x14ac:dyDescent="0.35">
      <c r="A26" s="101" t="s">
        <v>18</v>
      </c>
      <c r="B26" s="101"/>
      <c r="C26" s="101"/>
      <c r="D26" s="101"/>
      <c r="E26" s="85" t="str">
        <f>IF(AND(G20="Mumbai"),"Upper Class","Middle Class")</f>
        <v>Middle Class</v>
      </c>
      <c r="F26" s="85"/>
      <c r="G26" s="85"/>
      <c r="H26" s="85"/>
      <c r="S26" s="47"/>
      <c r="T26" s="47"/>
      <c r="U26" s="47"/>
      <c r="V26" s="47" t="s">
        <v>207</v>
      </c>
      <c r="W26" s="47" t="s">
        <v>224</v>
      </c>
      <c r="X26"/>
      <c r="Y26"/>
      <c r="Z26"/>
    </row>
    <row r="27" spans="1:26" x14ac:dyDescent="0.35">
      <c r="A27" s="101" t="s">
        <v>19</v>
      </c>
      <c r="B27" s="101"/>
      <c r="C27" s="101"/>
      <c r="D27" s="101"/>
      <c r="E27" s="85" t="s">
        <v>20</v>
      </c>
      <c r="F27" s="85"/>
      <c r="G27" s="85"/>
      <c r="H27" s="85"/>
      <c r="S27" s="47"/>
      <c r="T27" s="47"/>
      <c r="U27" s="47"/>
      <c r="V27" s="47" t="s">
        <v>208</v>
      </c>
      <c r="W27" s="47" t="s">
        <v>225</v>
      </c>
      <c r="X27"/>
      <c r="Y27"/>
      <c r="Z27"/>
    </row>
    <row r="28" spans="1:26" ht="15.75" customHeight="1" x14ac:dyDescent="0.35">
      <c r="A28" s="101" t="s">
        <v>21</v>
      </c>
      <c r="B28" s="101"/>
      <c r="C28" s="101"/>
      <c r="D28" s="101"/>
      <c r="E28" s="85" t="str">
        <f>IF(AND(G20="Mumbai"),"Developed","Developing")</f>
        <v>Developing</v>
      </c>
      <c r="F28" s="85"/>
      <c r="G28" s="85"/>
      <c r="H28" s="85"/>
    </row>
    <row r="29" spans="1:26" x14ac:dyDescent="0.35">
      <c r="A29" s="101" t="s">
        <v>22</v>
      </c>
      <c r="B29" s="101"/>
      <c r="C29" s="101"/>
      <c r="D29" s="101"/>
      <c r="E29" s="85" t="s">
        <v>23</v>
      </c>
      <c r="F29" s="85"/>
      <c r="G29" s="85"/>
      <c r="H29" s="85"/>
    </row>
    <row r="30" spans="1:26" ht="15.75" customHeight="1" x14ac:dyDescent="0.35">
      <c r="A30" s="101" t="s">
        <v>78</v>
      </c>
      <c r="B30" s="101"/>
      <c r="C30" s="101"/>
      <c r="D30" s="101"/>
      <c r="E30" s="85" t="s">
        <v>79</v>
      </c>
      <c r="F30" s="85"/>
      <c r="G30" s="85"/>
      <c r="H30" s="85"/>
    </row>
    <row r="31" spans="1:26" ht="15" customHeight="1" x14ac:dyDescent="0.35">
      <c r="A31" s="101" t="s">
        <v>30</v>
      </c>
      <c r="B31" s="101"/>
      <c r="C31" s="101"/>
      <c r="D31" s="101"/>
      <c r="E31" s="8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85"/>
      <c r="G31" s="85"/>
      <c r="H31" s="85"/>
    </row>
    <row r="32" spans="1:26" ht="15.75" customHeight="1" x14ac:dyDescent="0.35">
      <c r="A32" s="101" t="s">
        <v>90</v>
      </c>
      <c r="B32" s="101"/>
      <c r="C32" s="101"/>
      <c r="D32" s="101"/>
      <c r="E32" s="85" t="s">
        <v>31</v>
      </c>
      <c r="F32" s="85"/>
      <c r="G32" s="85"/>
      <c r="H32" s="85"/>
    </row>
    <row r="33" spans="1:19" s="19" customFormat="1" x14ac:dyDescent="0.35">
      <c r="A33" s="197" t="s">
        <v>91</v>
      </c>
      <c r="B33" s="197"/>
      <c r="C33" s="194" t="s">
        <v>174</v>
      </c>
      <c r="D33" s="195"/>
      <c r="E33" s="196"/>
      <c r="F33" s="194" t="s">
        <v>29</v>
      </c>
      <c r="G33" s="195"/>
      <c r="H33" s="196"/>
      <c r="S33" s="19" t="e">
        <f ca="1">OFFSET($S$13,1,MATCH($G20,$S$13:$W$13,0)-1,15,1)</f>
        <v>#VALUE!</v>
      </c>
    </row>
    <row r="34" spans="1:19" s="19" customFormat="1" x14ac:dyDescent="0.35">
      <c r="A34" s="178" t="s">
        <v>24</v>
      </c>
      <c r="B34" s="178" t="s">
        <v>28</v>
      </c>
      <c r="C34" s="179" t="s">
        <v>309</v>
      </c>
      <c r="D34" s="180"/>
      <c r="E34" s="181"/>
      <c r="F34" s="179" t="s">
        <v>333</v>
      </c>
      <c r="G34" s="180"/>
      <c r="H34" s="181"/>
    </row>
    <row r="35" spans="1:19" x14ac:dyDescent="0.35">
      <c r="A35" s="178" t="s">
        <v>25</v>
      </c>
      <c r="B35" s="178" t="s">
        <v>28</v>
      </c>
      <c r="C35" s="179" t="s">
        <v>310</v>
      </c>
      <c r="D35" s="180"/>
      <c r="E35" s="181"/>
      <c r="F35" s="179" t="s">
        <v>308</v>
      </c>
      <c r="G35" s="180"/>
      <c r="H35" s="181"/>
    </row>
    <row r="36" spans="1:19" s="19" customFormat="1" x14ac:dyDescent="0.35">
      <c r="A36" s="178" t="s">
        <v>27</v>
      </c>
      <c r="B36" s="178" t="s">
        <v>28</v>
      </c>
      <c r="C36" s="179" t="s">
        <v>311</v>
      </c>
      <c r="D36" s="180"/>
      <c r="E36" s="181"/>
      <c r="F36" s="179" t="s">
        <v>334</v>
      </c>
      <c r="G36" s="180"/>
      <c r="H36" s="181"/>
    </row>
    <row r="37" spans="1:19" x14ac:dyDescent="0.35">
      <c r="A37" s="178" t="s">
        <v>26</v>
      </c>
      <c r="B37" s="178" t="s">
        <v>28</v>
      </c>
      <c r="C37" s="179" t="s">
        <v>312</v>
      </c>
      <c r="D37" s="180"/>
      <c r="E37" s="181"/>
      <c r="F37" s="179" t="s">
        <v>305</v>
      </c>
      <c r="G37" s="180"/>
      <c r="H37" s="181"/>
    </row>
    <row r="38" spans="1:19" x14ac:dyDescent="0.35">
      <c r="A38" s="101" t="s">
        <v>280</v>
      </c>
      <c r="B38" s="101"/>
      <c r="C38" s="101"/>
      <c r="D38" s="101"/>
      <c r="E38" s="101"/>
      <c r="F38" s="101"/>
      <c r="G38" s="101"/>
      <c r="H38" s="101"/>
    </row>
    <row r="39" spans="1:19" ht="15.75" customHeight="1" x14ac:dyDescent="0.35">
      <c r="A39" s="101" t="s">
        <v>166</v>
      </c>
      <c r="B39" s="101"/>
      <c r="C39" s="161" t="s">
        <v>350</v>
      </c>
      <c r="D39" s="161"/>
      <c r="E39" s="161"/>
      <c r="F39" s="161"/>
      <c r="G39" s="161"/>
      <c r="H39" s="161"/>
    </row>
    <row r="40" spans="1:19" x14ac:dyDescent="0.35">
      <c r="A40" s="101" t="s">
        <v>162</v>
      </c>
      <c r="B40" s="101"/>
      <c r="C40" s="148" t="s">
        <v>335</v>
      </c>
      <c r="D40" s="85"/>
      <c r="E40" s="85"/>
      <c r="F40" s="85"/>
      <c r="G40" s="85"/>
      <c r="H40" s="85"/>
    </row>
    <row r="41" spans="1:19" x14ac:dyDescent="0.35">
      <c r="A41" s="161" t="s">
        <v>32</v>
      </c>
      <c r="B41" s="161"/>
      <c r="C41" s="161"/>
      <c r="D41" s="161"/>
      <c r="E41" s="161"/>
      <c r="F41" s="161"/>
      <c r="G41" s="161"/>
      <c r="H41" s="161"/>
    </row>
    <row r="42" spans="1:19" x14ac:dyDescent="0.35">
      <c r="A42" s="101" t="s">
        <v>33</v>
      </c>
      <c r="B42" s="101"/>
      <c r="C42" s="101"/>
      <c r="D42" s="101"/>
      <c r="E42" s="182">
        <v>619.58000000000004</v>
      </c>
      <c r="F42" s="182"/>
      <c r="G42" s="182"/>
      <c r="H42" s="182"/>
    </row>
    <row r="43" spans="1:19" x14ac:dyDescent="0.35">
      <c r="A43" s="101" t="s">
        <v>34</v>
      </c>
      <c r="B43" s="101"/>
      <c r="C43" s="101"/>
      <c r="D43" s="101"/>
      <c r="E43" s="185">
        <f>929.37/E42</f>
        <v>1.5</v>
      </c>
      <c r="F43" s="185"/>
      <c r="G43" s="185"/>
      <c r="H43" s="185"/>
      <c r="I43" s="18">
        <f>929.37/E42</f>
        <v>1.5</v>
      </c>
    </row>
    <row r="44" spans="1:19" x14ac:dyDescent="0.35">
      <c r="A44" s="101" t="s">
        <v>35</v>
      </c>
      <c r="B44" s="101"/>
      <c r="C44" s="101"/>
      <c r="D44" s="101"/>
      <c r="E44" s="185">
        <f>E46/E42-E43</f>
        <v>2.2654540172374831</v>
      </c>
      <c r="F44" s="185"/>
      <c r="G44" s="185"/>
      <c r="H44" s="185"/>
    </row>
    <row r="45" spans="1:19" x14ac:dyDescent="0.35">
      <c r="A45" s="101" t="s">
        <v>36</v>
      </c>
      <c r="B45" s="101"/>
      <c r="C45" s="101"/>
      <c r="D45" s="101"/>
      <c r="E45" s="185">
        <f>E43+E44</f>
        <v>3.7654540172374831</v>
      </c>
      <c r="F45" s="185"/>
      <c r="G45" s="185"/>
      <c r="H45" s="185"/>
    </row>
    <row r="46" spans="1:19" x14ac:dyDescent="0.35">
      <c r="A46" s="101" t="s">
        <v>89</v>
      </c>
      <c r="B46" s="101"/>
      <c r="C46" s="101"/>
      <c r="D46" s="101"/>
      <c r="E46" s="186">
        <v>2333</v>
      </c>
      <c r="F46" s="186"/>
      <c r="G46" s="186"/>
      <c r="H46" s="186"/>
    </row>
    <row r="47" spans="1:19" x14ac:dyDescent="0.35">
      <c r="A47" s="158" t="s">
        <v>37</v>
      </c>
      <c r="B47" s="158"/>
      <c r="C47" s="158"/>
      <c r="D47" s="158"/>
      <c r="E47" s="158" t="s">
        <v>118</v>
      </c>
      <c r="F47" s="158"/>
      <c r="G47" s="158"/>
      <c r="H47" s="158"/>
    </row>
    <row r="48" spans="1:19" x14ac:dyDescent="0.35">
      <c r="A48" s="161" t="s">
        <v>38</v>
      </c>
      <c r="B48" s="161"/>
      <c r="C48" s="161"/>
      <c r="D48" s="161"/>
      <c r="E48" s="161"/>
      <c r="F48" s="161"/>
      <c r="G48" s="161"/>
      <c r="H48" s="161"/>
    </row>
    <row r="49" spans="1:24" ht="33.75" customHeight="1" x14ac:dyDescent="0.35">
      <c r="A49" s="149" t="s">
        <v>151</v>
      </c>
      <c r="B49" s="150"/>
      <c r="C49" s="151" t="s">
        <v>268</v>
      </c>
      <c r="D49" s="152"/>
      <c r="E49" s="152"/>
      <c r="F49" s="152"/>
      <c r="G49" s="152"/>
      <c r="H49" s="96"/>
      <c r="R49" t="s">
        <v>253</v>
      </c>
      <c r="S49" t="s">
        <v>173</v>
      </c>
      <c r="T49" t="s">
        <v>179</v>
      </c>
      <c r="U49" t="s">
        <v>194</v>
      </c>
      <c r="V49" t="s">
        <v>189</v>
      </c>
    </row>
    <row r="50" spans="1:24" ht="30.65" customHeight="1" x14ac:dyDescent="0.35">
      <c r="A50" s="149" t="s">
        <v>39</v>
      </c>
      <c r="B50" s="150"/>
      <c r="C50" s="149" t="s">
        <v>340</v>
      </c>
      <c r="D50" s="187"/>
      <c r="E50" s="150"/>
      <c r="F50" s="17" t="s">
        <v>40</v>
      </c>
      <c r="G50" s="188">
        <v>45371</v>
      </c>
      <c r="H50" s="189"/>
      <c r="R50"/>
      <c r="S50" t="s">
        <v>254</v>
      </c>
      <c r="T50" t="s">
        <v>259</v>
      </c>
      <c r="U50" t="s">
        <v>270</v>
      </c>
      <c r="V50" t="s">
        <v>275</v>
      </c>
    </row>
    <row r="51" spans="1:24" ht="31" customHeight="1" x14ac:dyDescent="0.35">
      <c r="A51" s="149" t="s">
        <v>41</v>
      </c>
      <c r="B51" s="150"/>
      <c r="C51" s="149" t="str">
        <f>C50</f>
        <v>CIDCO/BP-18567/TPO(NM &amp; K)/2023/12193</v>
      </c>
      <c r="D51" s="187"/>
      <c r="E51" s="150"/>
      <c r="F51" s="17" t="s">
        <v>40</v>
      </c>
      <c r="G51" s="188">
        <f>G50</f>
        <v>45371</v>
      </c>
      <c r="H51" s="189"/>
      <c r="R51"/>
      <c r="S51" t="s">
        <v>255</v>
      </c>
      <c r="T51" t="s">
        <v>260</v>
      </c>
      <c r="U51" t="s">
        <v>268</v>
      </c>
      <c r="V51" t="s">
        <v>276</v>
      </c>
    </row>
    <row r="52" spans="1:24" s="20" customFormat="1" ht="31" customHeight="1" x14ac:dyDescent="0.35">
      <c r="A52" s="190" t="s">
        <v>155</v>
      </c>
      <c r="B52" s="191"/>
      <c r="C52" s="149" t="str">
        <f>C51</f>
        <v>CIDCO/BP-18567/TPO(NM &amp; K)/2023/12193</v>
      </c>
      <c r="D52" s="187"/>
      <c r="E52" s="150"/>
      <c r="F52" s="17" t="s">
        <v>40</v>
      </c>
      <c r="G52" s="188">
        <f>G51</f>
        <v>45371</v>
      </c>
      <c r="H52" s="189"/>
      <c r="R52"/>
      <c r="S52" t="s">
        <v>256</v>
      </c>
      <c r="T52" t="s">
        <v>261</v>
      </c>
      <c r="U52" t="s">
        <v>258</v>
      </c>
      <c r="V52" t="s">
        <v>277</v>
      </c>
    </row>
    <row r="53" spans="1:24" s="20" customFormat="1" ht="47.5" customHeight="1" x14ac:dyDescent="0.35">
      <c r="A53" s="192"/>
      <c r="B53" s="193"/>
      <c r="C53" s="149" t="s">
        <v>341</v>
      </c>
      <c r="D53" s="187"/>
      <c r="E53" s="187"/>
      <c r="F53" s="187"/>
      <c r="G53" s="187"/>
      <c r="H53" s="150"/>
      <c r="I53" s="82">
        <f>2279.74+53.29</f>
        <v>2333.0299999999997</v>
      </c>
      <c r="R53"/>
      <c r="S53" t="s">
        <v>257</v>
      </c>
      <c r="T53" t="s">
        <v>264</v>
      </c>
      <c r="U53" t="s">
        <v>271</v>
      </c>
    </row>
    <row r="54" spans="1:24" s="20" customFormat="1" hidden="1" x14ac:dyDescent="0.35">
      <c r="A54" s="230" t="s">
        <v>281</v>
      </c>
      <c r="B54" s="231"/>
      <c r="C54" s="149"/>
      <c r="D54" s="187"/>
      <c r="E54" s="150"/>
      <c r="F54" s="17" t="s">
        <v>40</v>
      </c>
      <c r="G54" s="149"/>
      <c r="H54" s="150"/>
      <c r="R54"/>
      <c r="S54" t="s">
        <v>256</v>
      </c>
      <c r="T54" t="s">
        <v>261</v>
      </c>
      <c r="U54" t="s">
        <v>258</v>
      </c>
      <c r="V54" t="s">
        <v>277</v>
      </c>
    </row>
    <row r="55" spans="1:24" s="20" customFormat="1" ht="32.25" hidden="1" customHeight="1" x14ac:dyDescent="0.35">
      <c r="A55" s="232"/>
      <c r="B55" s="233"/>
      <c r="C55" s="119"/>
      <c r="D55" s="120"/>
      <c r="E55" s="120"/>
      <c r="F55" s="120"/>
      <c r="G55" s="120"/>
      <c r="H55" s="121"/>
      <c r="R55"/>
      <c r="S55" t="s">
        <v>258</v>
      </c>
      <c r="T55" t="s">
        <v>262</v>
      </c>
      <c r="U55" t="s">
        <v>272</v>
      </c>
      <c r="V55" s="18"/>
      <c r="W55" s="18"/>
      <c r="X55" s="18"/>
    </row>
    <row r="56" spans="1:24" s="20" customFormat="1" ht="34.5" hidden="1" customHeight="1" x14ac:dyDescent="0.35">
      <c r="A56" s="230" t="s">
        <v>282</v>
      </c>
      <c r="B56" s="231"/>
      <c r="C56" s="149">
        <f>C55</f>
        <v>0</v>
      </c>
      <c r="D56" s="187"/>
      <c r="E56" s="150"/>
      <c r="F56" s="17" t="s">
        <v>40</v>
      </c>
      <c r="G56" s="149">
        <f>G55</f>
        <v>0</v>
      </c>
      <c r="H56" s="150"/>
      <c r="R56"/>
      <c r="S56" s="18"/>
      <c r="T56" t="s">
        <v>263</v>
      </c>
      <c r="U56" t="s">
        <v>273</v>
      </c>
      <c r="V56" s="18"/>
      <c r="W56" s="18"/>
      <c r="X56" s="18"/>
    </row>
    <row r="57" spans="1:24" s="20" customFormat="1" ht="41.25" hidden="1" customHeight="1" x14ac:dyDescent="0.35">
      <c r="A57" s="232"/>
      <c r="B57" s="233"/>
      <c r="C57" s="149"/>
      <c r="D57" s="187"/>
      <c r="E57" s="187"/>
      <c r="F57" s="187"/>
      <c r="G57" s="187"/>
      <c r="H57" s="150"/>
      <c r="R57"/>
      <c r="S57" s="18"/>
      <c r="T57" t="s">
        <v>265</v>
      </c>
      <c r="U57" t="s">
        <v>274</v>
      </c>
      <c r="V57" s="18"/>
      <c r="W57" s="18"/>
      <c r="X57" s="18"/>
    </row>
    <row r="58" spans="1:24" s="20" customFormat="1" ht="15.75" customHeight="1" x14ac:dyDescent="0.35">
      <c r="A58" s="169" t="s">
        <v>338</v>
      </c>
      <c r="B58" s="171"/>
      <c r="C58" s="236" t="s">
        <v>302</v>
      </c>
      <c r="D58" s="237"/>
      <c r="E58" s="238"/>
      <c r="F58" s="60" t="s">
        <v>40</v>
      </c>
      <c r="G58" s="188">
        <v>44797</v>
      </c>
      <c r="H58" s="150"/>
      <c r="R58"/>
      <c r="S58" s="18"/>
      <c r="T58" t="s">
        <v>266</v>
      </c>
      <c r="U58" s="18" t="s">
        <v>296</v>
      </c>
      <c r="V58" s="18"/>
      <c r="W58" s="18"/>
      <c r="X58" s="18"/>
    </row>
    <row r="59" spans="1:24" s="20" customFormat="1" ht="33.75" customHeight="1" x14ac:dyDescent="0.35">
      <c r="A59" s="234"/>
      <c r="B59" s="235"/>
      <c r="C59" s="85" t="s">
        <v>339</v>
      </c>
      <c r="D59" s="85"/>
      <c r="E59" s="85"/>
      <c r="F59" s="60" t="s">
        <v>303</v>
      </c>
      <c r="G59" s="155">
        <v>47718</v>
      </c>
      <c r="H59" s="141"/>
      <c r="R59"/>
      <c r="S59" s="18"/>
      <c r="T59" t="s">
        <v>267</v>
      </c>
      <c r="U59" s="18"/>
      <c r="V59" s="18"/>
      <c r="W59" s="18"/>
      <c r="X59" s="18"/>
    </row>
    <row r="60" spans="1:24" x14ac:dyDescent="0.35">
      <c r="A60" s="239" t="s">
        <v>42</v>
      </c>
      <c r="B60" s="240"/>
      <c r="C60" s="239" t="s">
        <v>103</v>
      </c>
      <c r="D60" s="241"/>
      <c r="E60" s="240"/>
      <c r="F60" s="40" t="s">
        <v>40</v>
      </c>
      <c r="G60" s="228" t="s">
        <v>28</v>
      </c>
      <c r="H60" s="229"/>
      <c r="R60"/>
      <c r="T60" t="s">
        <v>269</v>
      </c>
    </row>
    <row r="61" spans="1:24" x14ac:dyDescent="0.35">
      <c r="A61" s="206" t="s">
        <v>44</v>
      </c>
      <c r="B61" s="206"/>
      <c r="C61" s="206"/>
      <c r="D61" s="206"/>
      <c r="E61" s="206"/>
      <c r="F61" s="206"/>
      <c r="G61" s="206"/>
      <c r="H61" s="206"/>
      <c r="T61" t="s">
        <v>278</v>
      </c>
    </row>
    <row r="62" spans="1:24" x14ac:dyDescent="0.35">
      <c r="A62" s="85" t="s">
        <v>88</v>
      </c>
      <c r="B62" s="85"/>
      <c r="C62" s="85"/>
      <c r="D62" s="158">
        <f>E46</f>
        <v>2333</v>
      </c>
      <c r="E62" s="158"/>
      <c r="F62" s="158"/>
      <c r="G62" s="158"/>
      <c r="H62" s="158"/>
      <c r="R62"/>
    </row>
    <row r="63" spans="1:24" x14ac:dyDescent="0.35">
      <c r="A63" s="85" t="s">
        <v>45</v>
      </c>
      <c r="B63" s="158"/>
      <c r="C63" s="158"/>
      <c r="D63" s="158" t="s">
        <v>344</v>
      </c>
      <c r="E63" s="158"/>
      <c r="F63" s="158"/>
      <c r="G63" s="158"/>
      <c r="H63" s="158"/>
      <c r="I63" s="21"/>
      <c r="R63"/>
    </row>
    <row r="64" spans="1:24" x14ac:dyDescent="0.35">
      <c r="A64" s="169" t="s">
        <v>46</v>
      </c>
      <c r="B64" s="170"/>
      <c r="C64" s="171"/>
      <c r="D64" s="167" t="s">
        <v>313</v>
      </c>
      <c r="E64" s="168"/>
      <c r="F64" s="168"/>
      <c r="G64" s="168"/>
      <c r="H64" s="168"/>
      <c r="R64"/>
    </row>
    <row r="65" spans="1:19" ht="15.75" customHeight="1" x14ac:dyDescent="0.35">
      <c r="A65" s="169" t="s">
        <v>86</v>
      </c>
      <c r="B65" s="170"/>
      <c r="C65" s="170"/>
      <c r="D65" s="85" t="s">
        <v>313</v>
      </c>
      <c r="E65" s="158"/>
      <c r="F65" s="158"/>
      <c r="G65" s="158"/>
      <c r="H65" s="158"/>
      <c r="R65"/>
    </row>
    <row r="66" spans="1:19" ht="15.75" customHeight="1" x14ac:dyDescent="0.35">
      <c r="A66" s="158" t="s">
        <v>43</v>
      </c>
      <c r="B66" s="158"/>
      <c r="C66" s="158"/>
      <c r="D66" s="183" t="s">
        <v>314</v>
      </c>
      <c r="E66" s="183"/>
      <c r="F66" s="183"/>
      <c r="G66" s="183"/>
      <c r="H66" s="183"/>
      <c r="J66" s="22"/>
      <c r="K66" s="21"/>
      <c r="N66" s="21"/>
      <c r="S66"/>
    </row>
    <row r="67" spans="1:19" ht="15.75" customHeight="1" x14ac:dyDescent="0.35">
      <c r="A67" s="101" t="s">
        <v>84</v>
      </c>
      <c r="B67" s="101"/>
      <c r="C67" s="101"/>
      <c r="D67" s="184" t="str">
        <f>(IF(G60="NA","60 Years After Completion",IF(G60&lt;&gt;"NA",""&amp;60-ROUNDDOWN((E3-G60)/360,0)&amp;" Years"," ")))</f>
        <v>60 Years After Completion</v>
      </c>
      <c r="E67" s="184"/>
      <c r="F67" s="184"/>
      <c r="G67" s="184"/>
      <c r="H67" s="184"/>
      <c r="N67" s="21"/>
      <c r="S67"/>
    </row>
    <row r="68" spans="1:19" ht="15.75" customHeight="1" x14ac:dyDescent="0.35">
      <c r="A68" s="101" t="s">
        <v>85</v>
      </c>
      <c r="B68" s="101"/>
      <c r="C68" s="101"/>
      <c r="D68" s="141" t="s">
        <v>23</v>
      </c>
      <c r="E68" s="141"/>
      <c r="F68" s="141"/>
      <c r="G68" s="141"/>
      <c r="H68" s="141"/>
      <c r="J68" s="23"/>
      <c r="K68" s="23"/>
      <c r="S68"/>
    </row>
    <row r="69" spans="1:19" ht="33" customHeight="1" x14ac:dyDescent="0.35">
      <c r="A69" s="158" t="s">
        <v>327</v>
      </c>
      <c r="B69" s="158"/>
      <c r="C69" s="158"/>
      <c r="D69" s="159" t="s">
        <v>336</v>
      </c>
      <c r="E69" s="159"/>
      <c r="F69" s="159"/>
      <c r="G69" s="159"/>
      <c r="H69" s="159"/>
      <c r="S69"/>
    </row>
    <row r="70" spans="1:19" x14ac:dyDescent="0.35">
      <c r="A70" s="141" t="s">
        <v>147</v>
      </c>
      <c r="B70" s="141"/>
      <c r="C70" s="141"/>
      <c r="D70" s="141" t="s">
        <v>28</v>
      </c>
      <c r="E70" s="141"/>
      <c r="F70" s="141"/>
      <c r="G70" s="141"/>
      <c r="H70" s="141"/>
      <c r="I70" s="24"/>
      <c r="J70" s="24"/>
      <c r="K70" s="24"/>
      <c r="L70" s="24"/>
      <c r="M70" s="24"/>
      <c r="N70" s="24"/>
    </row>
    <row r="71" spans="1:19" ht="15.75" customHeight="1" x14ac:dyDescent="0.35">
      <c r="A71" s="142" t="s">
        <v>83</v>
      </c>
      <c r="B71" s="142"/>
      <c r="C71" s="142"/>
      <c r="D71" s="167" t="str">
        <f ca="1">(IF(G77&gt;95%,"Nothing",IF(G77&gt;0%,"Cement, Aggregate, Steel, etc",IF(G77=0%,"Work not yet Started"))))</f>
        <v>Cement, Aggregate, Steel, etc</v>
      </c>
      <c r="E71" s="167"/>
      <c r="F71" s="167"/>
      <c r="G71" s="167"/>
      <c r="H71" s="167"/>
      <c r="J71" s="23"/>
      <c r="S71"/>
    </row>
    <row r="72" spans="1:19" ht="33.75" customHeight="1" thickBot="1" x14ac:dyDescent="0.4">
      <c r="A72" s="160" t="s">
        <v>116</v>
      </c>
      <c r="B72" s="160"/>
      <c r="C72" s="160"/>
      <c r="D72" s="167" t="str">
        <f ca="1">(IF(D71="Nothing","Yes",IF(D71="Cement, Aggregate, Steel, etc","Under Construction",IF(D71="Work not yet Started","Work not yet Started"))))</f>
        <v>Under Construction</v>
      </c>
      <c r="E72" s="167"/>
      <c r="F72" s="167" t="str">
        <f ca="1">(IF(D71="Nothing","Yes",IF(D71="Cement, Aggregate, Steel, etc","Under Construction",IF(D71="Work not yet Started","Work not yet Started"))))</f>
        <v>Under Construction</v>
      </c>
      <c r="G72" s="167"/>
      <c r="H72" s="167"/>
      <c r="S72"/>
    </row>
    <row r="73" spans="1:19" ht="15.75" customHeight="1" x14ac:dyDescent="0.35">
      <c r="A73" s="153" t="s">
        <v>137</v>
      </c>
      <c r="B73" s="154"/>
      <c r="C73" s="145" t="s">
        <v>313</v>
      </c>
      <c r="D73" s="146"/>
      <c r="E73" s="146"/>
      <c r="F73" s="146"/>
      <c r="G73" s="146"/>
      <c r="H73" s="147"/>
      <c r="I73" s="41" t="str">
        <f ca="1">IF(D86=100%,"All work Completed. Possession granted to the Building.",IF(D85=100%,"All work Completed, Waiting for OC",I74&amp;""&amp;I75&amp;""&amp;J74&amp;""&amp;J73&amp;" "&amp;J75))</f>
        <v>Excavation, Plinth, RCC Slab, Brickwork, Internal Plaster Completed, External Plaster upto 6 Floor, Flooring upto 3 Floor, Painting upto 3 Floor Completed</v>
      </c>
      <c r="J73" s="42"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External Plaster upto 6 Floor, Flooring upto 3 Floor, Painting upto 3 Floor</v>
      </c>
      <c r="S73"/>
    </row>
    <row r="74" spans="1:19" x14ac:dyDescent="0.35">
      <c r="A74" s="15" t="s">
        <v>139</v>
      </c>
      <c r="B74" s="45">
        <f>IF(AND(ISNUMBER(SEARCH("1B",C73))),1,IF(AND(ISNUMBER(SEARCH("2B",C73))),2,IF(AND(ISNUMBER(SEARCH("3B",C73))),3,IF(AND(ISNUMBER(SEARCH("4B",C73))),4,IF(ISNUMBER(SEARCH("5B",C73)),5,0)))))</f>
        <v>0</v>
      </c>
      <c r="C74" s="45" t="s">
        <v>69</v>
      </c>
      <c r="D74" s="45">
        <v>1</v>
      </c>
      <c r="E74" s="45" t="s">
        <v>68</v>
      </c>
      <c r="F74" s="45">
        <v>0</v>
      </c>
      <c r="G74" s="45" t="s">
        <v>77</v>
      </c>
      <c r="H74" s="16">
        <f ca="1">--TRIM(RIGHT(SUBSTITUTE(LEFT(C73,_xlfn.AGGREGATE(16,6,FIND({0,1,2,3,4,5,6,7,8,9},C73,ROW(INDIRECT("1:"&amp;LEN(C73)))),1))," ",REPT(" ",LEN(C73))),LEN(C73)))</f>
        <v>7</v>
      </c>
      <c r="I74" s="43" t="str">
        <f ca="1">IF(D77=100%,"Excavation","")&amp;IF(D78=100%,", Plinth","")&amp;IF(D79=100%,", RCC Slab","")&amp;IF(D80=100%,", Brickwork","")&amp;IF(D81=100%,", Internal Plaster","")&amp;IF(D82=100%,", External Plaster","")&amp;IF(D83=100%,", Flooring","")&amp;IF(D84=100%,", Painting","")&amp;IF(D85=100%,", Building common Amenities","")</f>
        <v>Excavation, Plinth, RCC Slab, Brickwork, Internal Plaster</v>
      </c>
      <c r="J74" s="44"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6" customHeight="1" x14ac:dyDescent="0.35">
      <c r="A75" s="137" t="s">
        <v>87</v>
      </c>
      <c r="B75" s="138"/>
      <c r="C75" s="156" t="str">
        <f ca="1">I73</f>
        <v>Excavation, Plinth, RCC Slab, Brickwork, Internal Plaster Completed, External Plaster upto 6 Floor, Flooring upto 3 Floor, Painting upto 3 Floor Completed</v>
      </c>
      <c r="D75" s="156"/>
      <c r="E75" s="156"/>
      <c r="F75" s="156"/>
      <c r="G75" s="156"/>
      <c r="H75" s="157"/>
      <c r="I75" s="43" t="str">
        <f ca="1">IF(I74&lt;&gt;""," Completed","")</f>
        <v xml:space="preserve"> Completed</v>
      </c>
      <c r="J75" s="44" t="str">
        <f ca="1">IF(J73&lt;&gt;"","Completed","")</f>
        <v>Completed</v>
      </c>
      <c r="S75"/>
    </row>
    <row r="76" spans="1:19" ht="15.75" customHeight="1" x14ac:dyDescent="0.35">
      <c r="A76" s="91" t="s">
        <v>47</v>
      </c>
      <c r="B76" s="92"/>
      <c r="C76" s="62" t="s">
        <v>136</v>
      </c>
      <c r="D76" s="62" t="s">
        <v>80</v>
      </c>
      <c r="E76" s="92" t="s">
        <v>82</v>
      </c>
      <c r="F76" s="92"/>
      <c r="G76" s="92" t="s">
        <v>81</v>
      </c>
      <c r="H76" s="210"/>
      <c r="I76" s="13" t="s">
        <v>138</v>
      </c>
      <c r="J76" s="25">
        <f ca="1">H74*25%</f>
        <v>1.75</v>
      </c>
      <c r="S76"/>
    </row>
    <row r="77" spans="1:19" x14ac:dyDescent="0.35">
      <c r="A77" s="91" t="s">
        <v>125</v>
      </c>
      <c r="B77" s="92"/>
      <c r="C77" s="62">
        <f ca="1">J78</f>
        <v>7</v>
      </c>
      <c r="D77" s="63">
        <f ca="1">((100/H74)*C77)/100</f>
        <v>1</v>
      </c>
      <c r="E77" s="122">
        <f ca="1">(((C78/H74*10)+(40/(D74+F74+H74)*C79)+(7.5/(H74)*C80)+(7.5/(H74)*C81)+(10/H74*C82)+(10/H74*C83)+(5/H74*C84)+(5/H74*C85)+(5/H74*C86))/100)</f>
        <v>0.8</v>
      </c>
      <c r="F77" s="175"/>
      <c r="G77" s="122">
        <f ca="1">((((C77/H74)*20)+((C78/H74)*25)+(30/(H74+F74+D74)*C79)+(5/H74*C80)+(5/H74*C81)+(5/H74*C82)+(5/H74*C83)+(0/H74*C84)+(0/H74*C85)+(5/H74*C86))/100)</f>
        <v>0.91428571428571426</v>
      </c>
      <c r="H77" s="123"/>
      <c r="I77" s="13" t="s">
        <v>98</v>
      </c>
      <c r="J77" s="26">
        <f ca="1">H74*50%</f>
        <v>3.5</v>
      </c>
    </row>
    <row r="78" spans="1:19" x14ac:dyDescent="0.35">
      <c r="A78" s="91" t="s">
        <v>48</v>
      </c>
      <c r="B78" s="92"/>
      <c r="C78" s="64">
        <v>7</v>
      </c>
      <c r="D78" s="63">
        <f ca="1">((100/H74)*C78)/100</f>
        <v>1</v>
      </c>
      <c r="E78" s="124"/>
      <c r="F78" s="176"/>
      <c r="G78" s="124"/>
      <c r="H78" s="125"/>
      <c r="I78" s="13" t="s">
        <v>99</v>
      </c>
      <c r="J78" s="26">
        <f ca="1">H74</f>
        <v>7</v>
      </c>
      <c r="S78"/>
    </row>
    <row r="79" spans="1:19" ht="15.75" customHeight="1" x14ac:dyDescent="0.35">
      <c r="A79" s="91" t="s">
        <v>126</v>
      </c>
      <c r="B79" s="92"/>
      <c r="C79" s="62">
        <v>8</v>
      </c>
      <c r="D79" s="63">
        <f ca="1">((100/(D74+F74+H74))*C79)/100</f>
        <v>1</v>
      </c>
      <c r="E79" s="124"/>
      <c r="F79" s="176"/>
      <c r="G79" s="124"/>
      <c r="H79" s="125"/>
      <c r="I79" s="13" t="s">
        <v>100</v>
      </c>
      <c r="J79" s="27">
        <f ca="1">(IF(B74&gt;1,(H74/(B74+2)),H74/4))</f>
        <v>1.75</v>
      </c>
      <c r="S79"/>
    </row>
    <row r="80" spans="1:19" ht="15.75" customHeight="1" x14ac:dyDescent="0.35">
      <c r="A80" s="91" t="s">
        <v>133</v>
      </c>
      <c r="B80" s="92" t="s">
        <v>127</v>
      </c>
      <c r="C80" s="62">
        <v>7</v>
      </c>
      <c r="D80" s="63">
        <f ca="1">((100/H74)*C80)/100</f>
        <v>1</v>
      </c>
      <c r="E80" s="124"/>
      <c r="F80" s="176"/>
      <c r="G80" s="124"/>
      <c r="H80" s="125"/>
      <c r="I80" s="13" t="s">
        <v>101</v>
      </c>
      <c r="J80" s="27">
        <f ca="1">(IF(B74&gt;1,(H74/(B74+2)+J79),H74/4+J79))</f>
        <v>3.5</v>
      </c>
    </row>
    <row r="81" spans="1:19" ht="15.75" customHeight="1" x14ac:dyDescent="0.35">
      <c r="A81" s="91" t="s">
        <v>134</v>
      </c>
      <c r="B81" s="92" t="s">
        <v>127</v>
      </c>
      <c r="C81" s="62">
        <v>7</v>
      </c>
      <c r="D81" s="63">
        <f ca="1">((100/H74)*C81)/100</f>
        <v>1</v>
      </c>
      <c r="E81" s="124"/>
      <c r="F81" s="176"/>
      <c r="G81" s="124"/>
      <c r="H81" s="125"/>
      <c r="I81" s="13" t="s">
        <v>145</v>
      </c>
      <c r="J81" s="27">
        <f>(IF(B74&gt;1,(H74/(B74+2)+J80),0))</f>
        <v>0</v>
      </c>
    </row>
    <row r="82" spans="1:19" ht="15" customHeight="1" x14ac:dyDescent="0.35">
      <c r="A82" s="91" t="s">
        <v>132</v>
      </c>
      <c r="B82" s="92" t="s">
        <v>129</v>
      </c>
      <c r="C82" s="62">
        <v>6</v>
      </c>
      <c r="D82" s="63">
        <f ca="1">((100/(H74))*C82)/100</f>
        <v>0.85714285714285721</v>
      </c>
      <c r="E82" s="124"/>
      <c r="F82" s="176"/>
      <c r="G82" s="124"/>
      <c r="H82" s="125"/>
      <c r="I82" s="13" t="s">
        <v>140</v>
      </c>
      <c r="J82" s="27">
        <f>(IF(B74&gt;2,(H74/(B74+2)+J81),0))</f>
        <v>0</v>
      </c>
    </row>
    <row r="83" spans="1:19" ht="15.75" customHeight="1" x14ac:dyDescent="0.35">
      <c r="A83" s="91" t="s">
        <v>128</v>
      </c>
      <c r="B83" s="92" t="s">
        <v>128</v>
      </c>
      <c r="C83" s="62">
        <v>3</v>
      </c>
      <c r="D83" s="63">
        <f ca="1">((100/H74)*C83)/100</f>
        <v>0.4285714285714286</v>
      </c>
      <c r="E83" s="124"/>
      <c r="F83" s="176"/>
      <c r="G83" s="124"/>
      <c r="H83" s="125"/>
      <c r="I83" s="13" t="s">
        <v>141</v>
      </c>
      <c r="J83" s="28">
        <f>(IF(B74&gt;3,(H74/(B74+2)+J82),0))</f>
        <v>0</v>
      </c>
    </row>
    <row r="84" spans="1:19" ht="15.75" customHeight="1" x14ac:dyDescent="0.35">
      <c r="A84" s="91" t="s">
        <v>135</v>
      </c>
      <c r="B84" s="92"/>
      <c r="C84" s="62">
        <v>3</v>
      </c>
      <c r="D84" s="63">
        <f ca="1">((100/H74)*C84)/100</f>
        <v>0.4285714285714286</v>
      </c>
      <c r="E84" s="124"/>
      <c r="F84" s="176"/>
      <c r="G84" s="124"/>
      <c r="H84" s="125"/>
      <c r="I84" s="13" t="s">
        <v>142</v>
      </c>
      <c r="J84" s="27">
        <f>(IF(B74&gt;4,(H74/(B74+2)+J83),0))</f>
        <v>0</v>
      </c>
    </row>
    <row r="85" spans="1:19" ht="15.75" customHeight="1" x14ac:dyDescent="0.35">
      <c r="A85" s="91" t="s">
        <v>130</v>
      </c>
      <c r="B85" s="92" t="s">
        <v>130</v>
      </c>
      <c r="C85" s="62">
        <v>0</v>
      </c>
      <c r="D85" s="63">
        <f ca="1">((100/(H74))*C85)/100</f>
        <v>0</v>
      </c>
      <c r="E85" s="124"/>
      <c r="F85" s="176"/>
      <c r="G85" s="124"/>
      <c r="H85" s="125"/>
      <c r="I85" s="13" t="s">
        <v>146</v>
      </c>
      <c r="J85" s="27">
        <f ca="1">(IF(B74=1,(H74/(B74+3)+J80),IF(B74=0,(H74/4+J80),IF(B74&gt;1,0))))</f>
        <v>5.25</v>
      </c>
    </row>
    <row r="86" spans="1:19" ht="16" thickBot="1" x14ac:dyDescent="0.4">
      <c r="A86" s="135" t="s">
        <v>131</v>
      </c>
      <c r="B86" s="136"/>
      <c r="C86" s="65">
        <v>0</v>
      </c>
      <c r="D86" s="66">
        <f ca="1">((100/(H74))*C86)/100</f>
        <v>0</v>
      </c>
      <c r="E86" s="126"/>
      <c r="F86" s="177"/>
      <c r="G86" s="126"/>
      <c r="H86" s="127"/>
      <c r="I86" s="14" t="s">
        <v>102</v>
      </c>
      <c r="J86" s="29">
        <f ca="1">(IF(B74&gt;1.5,(H74/(B74+2)+J80+MAX(0,J81-J80)+MAX(0,J82-J81)+MAX(0,J83-J82)+MAX(0,J84-J83)+MAX(0,J85-J84)),IF(B74=1,(H74/(B74+3)+J85),IF(B74=0,H74/4+J85))))</f>
        <v>7</v>
      </c>
    </row>
    <row r="87" spans="1:19" ht="15.75" hidden="1" customHeight="1" x14ac:dyDescent="0.35">
      <c r="A87" s="143" t="s">
        <v>137</v>
      </c>
      <c r="B87" s="144"/>
      <c r="C87" s="145" t="s">
        <v>315</v>
      </c>
      <c r="D87" s="146"/>
      <c r="E87" s="146"/>
      <c r="F87" s="146"/>
      <c r="G87" s="146"/>
      <c r="H87" s="147"/>
      <c r="I87" s="41" t="str">
        <f ca="1">IF(D100=100%,"All work Completed. Possession granted to the Building.",IF(D99=100%,"All work Completed, Waiting for OC",I88&amp;""&amp;I89&amp;""&amp;J88&amp;""&amp;J87&amp;" "&amp;J89))</f>
        <v xml:space="preserve">Excavation Completed, Footing work is process </v>
      </c>
      <c r="J87" s="42"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c>
      <c r="S87"/>
    </row>
    <row r="88" spans="1:19" hidden="1" x14ac:dyDescent="0.35">
      <c r="A88" s="15" t="s">
        <v>139</v>
      </c>
      <c r="B88" s="45">
        <f>IF(AND(ISNUMBER(SEARCH("1B",C87))),1,IF(AND(ISNUMBER(SEARCH("2B",C87))),2,IF(AND(ISNUMBER(SEARCH("3B",C87))),3,IF(AND(ISNUMBER(SEARCH("4B",C87))),4,IF(ISNUMBER(SEARCH("5B",C87)),5,0)))))</f>
        <v>0</v>
      </c>
      <c r="C88" s="45" t="s">
        <v>69</v>
      </c>
      <c r="D88" s="45">
        <v>1</v>
      </c>
      <c r="E88" s="45" t="s">
        <v>68</v>
      </c>
      <c r="F88" s="45">
        <v>0</v>
      </c>
      <c r="G88" s="45" t="s">
        <v>77</v>
      </c>
      <c r="H88" s="16">
        <f ca="1">--TRIM(RIGHT(SUBSTITUTE(LEFT(C87,_xlfn.AGGREGATE(16,6,FIND({0,1,2,3,4,5,6,7,8,9},C87,ROW(INDIRECT("1:"&amp;LEN(C87)))),1))," ",REPT(" ",LEN(C87))),LEN(C87)))</f>
        <v>7</v>
      </c>
      <c r="I88" s="43" t="str">
        <f ca="1">IF(D91=100%,"Excavation","")&amp;IF(D92=100%,", Plinth","")&amp;IF(D93=100%,", RCC Slab","")&amp;IF(D94=100%,", Brickwork","")&amp;IF(D95=100%,", Internal Plaster","")&amp;IF(D96=100%,", External Plaster","")&amp;IF(D97=100%,", Flooring","")&amp;IF(D98=100%,", Painting","")&amp;IF(D99=100%,", Building common Amenities","")</f>
        <v>Excavation</v>
      </c>
      <c r="J88" s="44"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Footing work is process</v>
      </c>
      <c r="S88"/>
    </row>
    <row r="89" spans="1:19" ht="15.75" hidden="1" customHeight="1" x14ac:dyDescent="0.35">
      <c r="A89" s="95" t="s">
        <v>87</v>
      </c>
      <c r="B89" s="96"/>
      <c r="C89" s="172" t="str">
        <f ca="1">I87</f>
        <v xml:space="preserve">Excavation Completed, Footing work is process </v>
      </c>
      <c r="D89" s="173"/>
      <c r="E89" s="173"/>
      <c r="F89" s="173"/>
      <c r="G89" s="173"/>
      <c r="H89" s="174"/>
      <c r="I89" s="43" t="str">
        <f ca="1">IF(I88&lt;&gt;""," Completed","")</f>
        <v xml:space="preserve"> Completed</v>
      </c>
      <c r="J89" s="44" t="str">
        <f ca="1">IF(J87&lt;&gt;"","Completed","")</f>
        <v/>
      </c>
      <c r="S89"/>
    </row>
    <row r="90" spans="1:19" ht="15.75" hidden="1" customHeight="1" x14ac:dyDescent="0.35">
      <c r="A90" s="128" t="s">
        <v>47</v>
      </c>
      <c r="B90" s="129"/>
      <c r="C90" s="62" t="s">
        <v>136</v>
      </c>
      <c r="D90" s="62" t="s">
        <v>80</v>
      </c>
      <c r="E90" s="207" t="s">
        <v>82</v>
      </c>
      <c r="F90" s="209"/>
      <c r="G90" s="207" t="s">
        <v>81</v>
      </c>
      <c r="H90" s="208"/>
      <c r="I90" s="13" t="s">
        <v>138</v>
      </c>
      <c r="J90" s="25">
        <f ca="1">H88*25%</f>
        <v>1.75</v>
      </c>
      <c r="S90"/>
    </row>
    <row r="91" spans="1:19" hidden="1" x14ac:dyDescent="0.35">
      <c r="A91" s="128" t="s">
        <v>125</v>
      </c>
      <c r="B91" s="129"/>
      <c r="C91" s="62">
        <f ca="1">J92</f>
        <v>7</v>
      </c>
      <c r="D91" s="63">
        <f ca="1">((100/H88)*C91)/100</f>
        <v>1</v>
      </c>
      <c r="E91" s="122">
        <f ca="1">(((C92/H88*10)+(40/(D88+F88+H88)*C93)+(7.5/(H88)*C94)+(7.5/(H88)*C95)+(10/H88*C96)+(10/H88*C97)+(5/H88*C98)+(5/H88*C99)+(5/H88*C100))/100)</f>
        <v>2.5000000000000001E-2</v>
      </c>
      <c r="F91" s="175"/>
      <c r="G91" s="122">
        <f ca="1">((((C91/H88)*20)+((C92/H88)*25)+(30/(H88+F88+D88)*C93)+(5/H88*C94)+(5/H88*C95)+(5/H88*C96)+(5/H88*C97)+(0/H88*C98)+(0/H88*C99)+(5/H88*C100))/100)</f>
        <v>0.26250000000000001</v>
      </c>
      <c r="H91" s="123"/>
      <c r="I91" s="13" t="s">
        <v>98</v>
      </c>
      <c r="J91" s="26">
        <f ca="1">H88*50%</f>
        <v>3.5</v>
      </c>
    </row>
    <row r="92" spans="1:19" hidden="1" x14ac:dyDescent="0.35">
      <c r="A92" s="128" t="s">
        <v>48</v>
      </c>
      <c r="B92" s="129"/>
      <c r="C92" s="64">
        <f ca="1">J93</f>
        <v>1.75</v>
      </c>
      <c r="D92" s="63">
        <f ca="1">((100/H88)*C92)/100</f>
        <v>0.25</v>
      </c>
      <c r="E92" s="124"/>
      <c r="F92" s="176"/>
      <c r="G92" s="124"/>
      <c r="H92" s="125"/>
      <c r="I92" s="13" t="s">
        <v>99</v>
      </c>
      <c r="J92" s="26">
        <f ca="1">H88</f>
        <v>7</v>
      </c>
      <c r="S92"/>
    </row>
    <row r="93" spans="1:19" ht="15.75" hidden="1" customHeight="1" x14ac:dyDescent="0.35">
      <c r="A93" s="128" t="s">
        <v>126</v>
      </c>
      <c r="B93" s="129"/>
      <c r="C93" s="62">
        <v>0</v>
      </c>
      <c r="D93" s="63">
        <f ca="1">((100/(D88+F88+H88))*C93)/100</f>
        <v>0</v>
      </c>
      <c r="E93" s="124"/>
      <c r="F93" s="176"/>
      <c r="G93" s="124"/>
      <c r="H93" s="125"/>
      <c r="I93" s="13" t="s">
        <v>100</v>
      </c>
      <c r="J93" s="27">
        <f ca="1">(IF(B88&gt;1,(H88/(B88+2)),H88/4))</f>
        <v>1.75</v>
      </c>
      <c r="S93"/>
    </row>
    <row r="94" spans="1:19" ht="15.75" hidden="1" customHeight="1" x14ac:dyDescent="0.35">
      <c r="A94" s="57" t="s">
        <v>133</v>
      </c>
      <c r="B94" s="58" t="s">
        <v>127</v>
      </c>
      <c r="C94" s="62">
        <v>0</v>
      </c>
      <c r="D94" s="63">
        <f ca="1">((100/H88)*C94)/100</f>
        <v>0</v>
      </c>
      <c r="E94" s="124"/>
      <c r="F94" s="176"/>
      <c r="G94" s="124"/>
      <c r="H94" s="125"/>
      <c r="I94" s="13" t="s">
        <v>101</v>
      </c>
      <c r="J94" s="27">
        <f ca="1">(IF(B88&gt;1,(H88/(B88+2)+J93),H88/4+J93))</f>
        <v>3.5</v>
      </c>
    </row>
    <row r="95" spans="1:19" ht="15.75" hidden="1" customHeight="1" x14ac:dyDescent="0.35">
      <c r="A95" s="57" t="s">
        <v>134</v>
      </c>
      <c r="B95" s="58" t="s">
        <v>127</v>
      </c>
      <c r="C95" s="62">
        <v>0</v>
      </c>
      <c r="D95" s="63">
        <f ca="1">((100/H88)*C95)/100</f>
        <v>0</v>
      </c>
      <c r="E95" s="124"/>
      <c r="F95" s="176"/>
      <c r="G95" s="124"/>
      <c r="H95" s="125"/>
      <c r="I95" s="13" t="s">
        <v>145</v>
      </c>
      <c r="J95" s="27">
        <f>(IF(B88&gt;1,(H88/(B88+2)+J94),0))</f>
        <v>0</v>
      </c>
    </row>
    <row r="96" spans="1:19" ht="15" hidden="1" customHeight="1" x14ac:dyDescent="0.35">
      <c r="A96" s="57" t="s">
        <v>132</v>
      </c>
      <c r="B96" s="58" t="s">
        <v>129</v>
      </c>
      <c r="C96" s="62">
        <v>0</v>
      </c>
      <c r="D96" s="63">
        <f ca="1">((100/(H88))*C96)/100</f>
        <v>0</v>
      </c>
      <c r="E96" s="124"/>
      <c r="F96" s="176"/>
      <c r="G96" s="124"/>
      <c r="H96" s="125"/>
      <c r="I96" s="13" t="s">
        <v>140</v>
      </c>
      <c r="J96" s="27">
        <f>(IF(B88&gt;2,(H88/(B88+2)+J95),0))</f>
        <v>0</v>
      </c>
    </row>
    <row r="97" spans="1:22" ht="15.75" hidden="1" customHeight="1" x14ac:dyDescent="0.35">
      <c r="A97" s="57" t="s">
        <v>128</v>
      </c>
      <c r="B97" s="58" t="s">
        <v>128</v>
      </c>
      <c r="C97" s="62">
        <v>0</v>
      </c>
      <c r="D97" s="63">
        <f ca="1">((100/H88)*C97)/100</f>
        <v>0</v>
      </c>
      <c r="E97" s="124"/>
      <c r="F97" s="176"/>
      <c r="G97" s="124"/>
      <c r="H97" s="125"/>
      <c r="I97" s="13" t="s">
        <v>141</v>
      </c>
      <c r="J97" s="28">
        <f>(IF(B88&gt;3,(H88/(B88+2)+J96),0))</f>
        <v>0</v>
      </c>
    </row>
    <row r="98" spans="1:22" ht="15.75" hidden="1" customHeight="1" x14ac:dyDescent="0.35">
      <c r="A98" s="128" t="s">
        <v>135</v>
      </c>
      <c r="B98" s="129"/>
      <c r="C98" s="62">
        <v>0</v>
      </c>
      <c r="D98" s="63">
        <f ca="1">((100/H88)*C98)/100</f>
        <v>0</v>
      </c>
      <c r="E98" s="124"/>
      <c r="F98" s="176"/>
      <c r="G98" s="124"/>
      <c r="H98" s="125"/>
      <c r="I98" s="13" t="s">
        <v>142</v>
      </c>
      <c r="J98" s="27">
        <f>(IF(B88&gt;4,(H88/(B88+2)+J97),0))</f>
        <v>0</v>
      </c>
    </row>
    <row r="99" spans="1:22" ht="15.75" hidden="1" customHeight="1" x14ac:dyDescent="0.35">
      <c r="A99" s="57" t="s">
        <v>130</v>
      </c>
      <c r="B99" s="58" t="s">
        <v>130</v>
      </c>
      <c r="C99" s="62">
        <v>0</v>
      </c>
      <c r="D99" s="63">
        <f ca="1">((100/(H88))*C99)/100</f>
        <v>0</v>
      </c>
      <c r="E99" s="124"/>
      <c r="F99" s="176"/>
      <c r="G99" s="124"/>
      <c r="H99" s="125"/>
      <c r="I99" s="13" t="s">
        <v>146</v>
      </c>
      <c r="J99" s="27">
        <f ca="1">(IF(B88=1,(H88/(B88+3)+J94),IF(B88=0,(H88/4+J94),IF(B88&gt;1,0))))</f>
        <v>5.25</v>
      </c>
    </row>
    <row r="100" spans="1:22" ht="16" hidden="1" thickBot="1" x14ac:dyDescent="0.4">
      <c r="A100" s="93" t="s">
        <v>131</v>
      </c>
      <c r="B100" s="94"/>
      <c r="C100" s="65">
        <v>0</v>
      </c>
      <c r="D100" s="66">
        <f ca="1">((100/(H88))*C100)/100</f>
        <v>0</v>
      </c>
      <c r="E100" s="126"/>
      <c r="F100" s="177"/>
      <c r="G100" s="126"/>
      <c r="H100" s="127"/>
      <c r="I100" s="14" t="s">
        <v>102</v>
      </c>
      <c r="J100" s="29">
        <f ca="1">(IF(B88&gt;1.5,(H88/(B88+2)+J94+MAX(0,J95-J94)+MAX(0,J96-J95)+MAX(0,J97-J96)+MAX(0,J98-J97)+MAX(0,J99-J98)),IF(B88=1,(H88/(B88+3)+J99),IF(B88=0,H88/4+J99))))</f>
        <v>7</v>
      </c>
    </row>
    <row r="101" spans="1:22" ht="32.15" hidden="1" customHeight="1" thickBot="1" x14ac:dyDescent="0.4">
      <c r="A101" s="88" t="s">
        <v>316</v>
      </c>
      <c r="B101" s="89"/>
      <c r="C101" s="86">
        <f ca="1">AVERAGE(E77,E91)</f>
        <v>0.41250000000000003</v>
      </c>
      <c r="D101" s="87"/>
      <c r="E101" s="88" t="s">
        <v>317</v>
      </c>
      <c r="F101" s="89"/>
      <c r="G101" s="86">
        <f ca="1">AVERAGE(G77,G91)</f>
        <v>0.58839285714285716</v>
      </c>
      <c r="H101" s="87"/>
      <c r="I101" s="61" t="str">
        <f>IF(D104=100%,"Excavation","")&amp;IF(D105=100%,", Plinth","")&amp;IF(D106=100%,", RCC Slab","")&amp;IF(D107=100%,", Brickwork","")&amp;IF(D108=100%,", Internal Plaster","")&amp;IF(D109=100%,", External Plaster","")&amp;IF(D110=100%,", Flooring","")&amp;IF(D111=100%,", Painting","")&amp;IF(D112=100%,", Building common Amenities","")</f>
        <v/>
      </c>
      <c r="J101" s="44" t="str">
        <f>(IF(C104=0,"Work not yet Started.",IF(D104=25%,"Piling work in process",IF(D104=50%,"Excavation work in process",IF(D104=100%,"","0")))))&amp;(IF(C105=0%,"",IF(C105=J106,", Footing work is process",IF(C105=J107,", Footing work Completed",IF(C105=J108,", 1st Basement Completed",IF(C105=J109,", 1st &amp; 2nd Basement Completed",IF(C105=J110,", 1st to 3rd Basement Completed",IF(C105=J111,", 1st to 4th Basement Completed",IF(C105=J112,", Plinth work is process",IF(C105=J113,"","0"))))))))))</f>
        <v>Work not yet Started.</v>
      </c>
      <c r="S101"/>
    </row>
    <row r="102" spans="1:22" x14ac:dyDescent="0.35">
      <c r="A102" s="132" t="s">
        <v>157</v>
      </c>
      <c r="B102" s="132"/>
      <c r="C102" s="132"/>
      <c r="D102" s="132"/>
      <c r="E102" s="132"/>
      <c r="F102" s="90" t="s">
        <v>161</v>
      </c>
      <c r="G102" s="90"/>
      <c r="H102" s="90"/>
      <c r="I102" s="72"/>
      <c r="J102" s="72" t="s">
        <v>328</v>
      </c>
      <c r="K102" s="72" t="s">
        <v>329</v>
      </c>
      <c r="L102" s="72" t="s">
        <v>330</v>
      </c>
      <c r="N102" s="72"/>
      <c r="R102" t="s">
        <v>253</v>
      </c>
      <c r="S102" t="s">
        <v>173</v>
      </c>
      <c r="T102" t="s">
        <v>179</v>
      </c>
      <c r="U102" t="s">
        <v>194</v>
      </c>
      <c r="V102" t="s">
        <v>189</v>
      </c>
    </row>
    <row r="103" spans="1:22" x14ac:dyDescent="0.35">
      <c r="A103" s="101" t="s">
        <v>159</v>
      </c>
      <c r="B103" s="101"/>
      <c r="C103" s="101"/>
      <c r="D103" s="101"/>
      <c r="E103" s="101"/>
      <c r="F103" s="99">
        <v>5000</v>
      </c>
      <c r="G103" s="99"/>
      <c r="H103" s="99"/>
      <c r="I103" s="75">
        <f>AVERAGE(J103:L103)</f>
        <v>5148.4812872181237</v>
      </c>
      <c r="J103" s="75">
        <f>AVERAGE(J137:J138,J141)</f>
        <v>5445.4438616543712</v>
      </c>
      <c r="K103" s="72">
        <v>5100</v>
      </c>
      <c r="L103" s="75">
        <v>4900</v>
      </c>
      <c r="M103" s="72"/>
      <c r="N103" s="72"/>
      <c r="R103"/>
      <c r="S103">
        <v>800000</v>
      </c>
      <c r="T103">
        <v>300000</v>
      </c>
      <c r="U103">
        <v>100000</v>
      </c>
      <c r="V103">
        <v>100000</v>
      </c>
    </row>
    <row r="104" spans="1:22" x14ac:dyDescent="0.35">
      <c r="A104" s="101" t="s">
        <v>158</v>
      </c>
      <c r="B104" s="101"/>
      <c r="C104" s="101"/>
      <c r="D104" s="101"/>
      <c r="E104" s="101"/>
      <c r="F104" s="99">
        <v>10000</v>
      </c>
      <c r="G104" s="99"/>
      <c r="H104" s="99"/>
      <c r="I104" s="72"/>
      <c r="J104" s="72"/>
      <c r="K104" s="72"/>
      <c r="L104" s="72"/>
      <c r="M104" s="72"/>
      <c r="N104" s="72"/>
      <c r="R104"/>
      <c r="S104">
        <v>900000</v>
      </c>
      <c r="T104">
        <v>350000</v>
      </c>
      <c r="U104">
        <v>150000</v>
      </c>
      <c r="V104">
        <v>150000</v>
      </c>
    </row>
    <row r="105" spans="1:22" hidden="1" x14ac:dyDescent="0.35">
      <c r="A105" s="101" t="s">
        <v>160</v>
      </c>
      <c r="B105" s="101"/>
      <c r="C105" s="101"/>
      <c r="D105" s="101"/>
      <c r="E105" s="101"/>
      <c r="F105" s="99"/>
      <c r="G105" s="99"/>
      <c r="H105" s="99"/>
      <c r="I105" s="72"/>
      <c r="J105" s="72"/>
      <c r="K105" s="72"/>
      <c r="L105" s="72"/>
      <c r="M105" s="72"/>
      <c r="N105" s="72"/>
      <c r="R105"/>
      <c r="S105">
        <v>1000000</v>
      </c>
      <c r="T105">
        <v>400000</v>
      </c>
      <c r="U105">
        <v>200000</v>
      </c>
      <c r="V105">
        <v>200000</v>
      </c>
    </row>
    <row r="106" spans="1:22" s="30" customFormat="1" hidden="1" x14ac:dyDescent="0.35">
      <c r="A106" s="101" t="s">
        <v>176</v>
      </c>
      <c r="B106" s="101"/>
      <c r="C106" s="101"/>
      <c r="D106" s="101"/>
      <c r="E106" s="101"/>
      <c r="F106" s="99"/>
      <c r="G106" s="99"/>
      <c r="H106" s="99"/>
      <c r="I106" s="73"/>
      <c r="J106" s="73"/>
      <c r="K106" s="73"/>
      <c r="L106" s="73"/>
      <c r="M106" s="73"/>
      <c r="N106" s="73"/>
      <c r="R106"/>
      <c r="S106">
        <v>1100000</v>
      </c>
      <c r="T106">
        <v>500000</v>
      </c>
      <c r="U106">
        <v>250000</v>
      </c>
      <c r="V106" s="20">
        <v>250000</v>
      </c>
    </row>
    <row r="107" spans="1:22" s="30" customFormat="1" hidden="1" x14ac:dyDescent="0.35">
      <c r="A107" s="101" t="s">
        <v>92</v>
      </c>
      <c r="B107" s="101"/>
      <c r="C107" s="101"/>
      <c r="D107" s="101"/>
      <c r="E107" s="101"/>
      <c r="F107" s="99"/>
      <c r="G107" s="99"/>
      <c r="H107" s="99"/>
      <c r="I107" s="73"/>
      <c r="J107" s="73"/>
      <c r="K107" s="73"/>
      <c r="L107" s="73"/>
      <c r="M107" s="73"/>
      <c r="N107" s="73"/>
      <c r="R107"/>
      <c r="S107">
        <v>1200000</v>
      </c>
      <c r="T107">
        <v>600000</v>
      </c>
      <c r="U107">
        <v>300000</v>
      </c>
      <c r="V107">
        <v>300000</v>
      </c>
    </row>
    <row r="108" spans="1:22" s="30" customFormat="1" hidden="1" x14ac:dyDescent="0.35">
      <c r="A108" s="101" t="s">
        <v>93</v>
      </c>
      <c r="B108" s="101"/>
      <c r="C108" s="101"/>
      <c r="D108" s="101"/>
      <c r="E108" s="101"/>
      <c r="F108" s="99"/>
      <c r="G108" s="99"/>
      <c r="H108" s="99"/>
      <c r="I108" s="73"/>
      <c r="J108" s="73"/>
      <c r="K108" s="73"/>
      <c r="L108" s="73"/>
      <c r="M108" s="73"/>
      <c r="N108" s="73"/>
      <c r="R108"/>
      <c r="S108">
        <v>1300000</v>
      </c>
      <c r="T108">
        <v>700000</v>
      </c>
      <c r="U108">
        <v>350000</v>
      </c>
      <c r="V108" s="20">
        <v>400000</v>
      </c>
    </row>
    <row r="109" spans="1:22" s="30" customFormat="1" hidden="1" x14ac:dyDescent="0.35">
      <c r="A109" s="101" t="s">
        <v>94</v>
      </c>
      <c r="B109" s="101"/>
      <c r="C109" s="101"/>
      <c r="D109" s="101"/>
      <c r="E109" s="101"/>
      <c r="F109" s="99"/>
      <c r="G109" s="99"/>
      <c r="H109" s="99"/>
      <c r="I109" s="73"/>
      <c r="J109" s="73"/>
      <c r="K109" s="73"/>
      <c r="L109" s="73"/>
      <c r="M109" s="73"/>
      <c r="N109" s="73"/>
      <c r="R109"/>
      <c r="S109">
        <v>1400000</v>
      </c>
      <c r="T109">
        <v>800000</v>
      </c>
      <c r="U109">
        <v>400000</v>
      </c>
      <c r="V109"/>
    </row>
    <row r="110" spans="1:22" s="30" customFormat="1" hidden="1" x14ac:dyDescent="0.35">
      <c r="A110" s="101" t="s">
        <v>95</v>
      </c>
      <c r="B110" s="101"/>
      <c r="C110" s="101"/>
      <c r="D110" s="101"/>
      <c r="E110" s="101"/>
      <c r="F110" s="99"/>
      <c r="G110" s="99"/>
      <c r="H110" s="99"/>
      <c r="I110" s="73"/>
      <c r="J110" s="73"/>
      <c r="K110" s="73"/>
      <c r="L110" s="73"/>
      <c r="M110" s="73"/>
      <c r="N110" s="73"/>
      <c r="R110"/>
      <c r="S110">
        <v>1500000</v>
      </c>
      <c r="T110">
        <v>900000</v>
      </c>
      <c r="U110">
        <v>500000</v>
      </c>
      <c r="V110" s="20"/>
    </row>
    <row r="111" spans="1:22" s="30" customFormat="1" hidden="1" x14ac:dyDescent="0.35">
      <c r="A111" s="101" t="s">
        <v>96</v>
      </c>
      <c r="B111" s="101"/>
      <c r="C111" s="101"/>
      <c r="D111" s="101"/>
      <c r="E111" s="101"/>
      <c r="F111" s="99"/>
      <c r="G111" s="99"/>
      <c r="H111" s="99"/>
      <c r="I111" s="73"/>
      <c r="J111" s="73"/>
      <c r="K111" s="73"/>
      <c r="L111" s="73"/>
      <c r="M111" s="73"/>
      <c r="N111" s="73"/>
      <c r="R111"/>
      <c r="S111">
        <v>1600000</v>
      </c>
      <c r="T111">
        <v>1000000</v>
      </c>
      <c r="U111">
        <v>600000</v>
      </c>
      <c r="V111"/>
    </row>
    <row r="112" spans="1:22" s="30" customFormat="1" hidden="1" x14ac:dyDescent="0.35">
      <c r="A112" s="101" t="s">
        <v>97</v>
      </c>
      <c r="B112" s="101"/>
      <c r="C112" s="101"/>
      <c r="D112" s="101"/>
      <c r="E112" s="101"/>
      <c r="F112" s="99"/>
      <c r="G112" s="99"/>
      <c r="H112" s="99"/>
      <c r="I112" s="73"/>
      <c r="J112" s="73"/>
      <c r="K112" s="73"/>
      <c r="L112" s="73"/>
      <c r="M112" s="73"/>
      <c r="N112" s="73"/>
      <c r="R112"/>
      <c r="S112">
        <v>1700000</v>
      </c>
      <c r="T112"/>
      <c r="U112"/>
      <c r="V112" s="20"/>
    </row>
    <row r="113" spans="1:22" x14ac:dyDescent="0.35">
      <c r="A113" s="101" t="s">
        <v>49</v>
      </c>
      <c r="B113" s="101"/>
      <c r="C113" s="101"/>
      <c r="D113" s="101"/>
      <c r="E113" s="101"/>
      <c r="F113" s="99">
        <v>200000</v>
      </c>
      <c r="G113" s="99"/>
      <c r="H113" s="99"/>
      <c r="I113" s="72"/>
      <c r="J113" s="72"/>
      <c r="K113" s="72"/>
      <c r="L113" s="72"/>
      <c r="M113" s="72"/>
      <c r="N113" s="72"/>
      <c r="R113"/>
      <c r="S113">
        <v>1800000</v>
      </c>
      <c r="T113"/>
      <c r="U113"/>
    </row>
    <row r="114" spans="1:22" s="31" customFormat="1" x14ac:dyDescent="0.35">
      <c r="A114" s="161" t="s">
        <v>50</v>
      </c>
      <c r="B114" s="161"/>
      <c r="C114" s="161"/>
      <c r="D114" s="161"/>
      <c r="E114" s="161"/>
      <c r="F114" s="99">
        <f>F103*0.8</f>
        <v>4000</v>
      </c>
      <c r="G114" s="99"/>
      <c r="H114" s="99"/>
      <c r="I114" s="74"/>
      <c r="J114" s="74"/>
      <c r="K114" s="74"/>
      <c r="L114" s="74"/>
      <c r="M114" s="74"/>
      <c r="N114" s="74"/>
      <c r="R114" s="18"/>
      <c r="S114" s="18"/>
      <c r="T114"/>
      <c r="U114"/>
      <c r="V114" s="18"/>
    </row>
    <row r="115" spans="1:22" s="32" customFormat="1" ht="15.75" customHeight="1" x14ac:dyDescent="0.35">
      <c r="A115" s="110" t="s">
        <v>72</v>
      </c>
      <c r="B115" s="110"/>
      <c r="C115" s="110"/>
      <c r="D115" s="110"/>
      <c r="E115" s="110"/>
      <c r="F115" s="110"/>
      <c r="G115" s="110"/>
      <c r="H115" s="110"/>
      <c r="R115"/>
      <c r="S115" s="18"/>
      <c r="T115"/>
      <c r="U115"/>
      <c r="V115" s="18"/>
    </row>
    <row r="116" spans="1:22" s="32" customFormat="1" ht="15.75" customHeight="1" x14ac:dyDescent="0.35">
      <c r="A116" s="102" t="s">
        <v>51</v>
      </c>
      <c r="B116" s="102"/>
      <c r="C116" s="100" t="s">
        <v>75</v>
      </c>
      <c r="D116" s="100"/>
      <c r="E116" s="113" t="s">
        <v>52</v>
      </c>
      <c r="F116" s="113"/>
      <c r="G116" s="102" t="s">
        <v>53</v>
      </c>
      <c r="H116" s="102"/>
      <c r="R116"/>
      <c r="S116" s="18"/>
      <c r="T116"/>
      <c r="U116" s="18"/>
      <c r="V116" s="18"/>
    </row>
    <row r="117" spans="1:22" s="32" customFormat="1" x14ac:dyDescent="0.35">
      <c r="A117" s="118" t="s">
        <v>325</v>
      </c>
      <c r="B117" s="118"/>
      <c r="C117" s="97">
        <f>COUNT(F129:F131)</f>
        <v>3</v>
      </c>
      <c r="D117" s="98"/>
      <c r="E117" s="97">
        <f>SUM(F129:F131)</f>
        <v>522.05399999999997</v>
      </c>
      <c r="F117" s="98"/>
      <c r="G117" s="97">
        <f>SUM(H129:H131)</f>
        <v>809.18370000000004</v>
      </c>
      <c r="H117" s="98"/>
      <c r="R117"/>
      <c r="S117" s="18"/>
      <c r="T117"/>
      <c r="U117" s="18"/>
      <c r="V117" s="18"/>
    </row>
    <row r="118" spans="1:22" s="32" customFormat="1" x14ac:dyDescent="0.35">
      <c r="A118" s="110" t="s">
        <v>150</v>
      </c>
      <c r="B118" s="110"/>
      <c r="C118" s="111">
        <f>SUM(C117)</f>
        <v>3</v>
      </c>
      <c r="D118" s="100"/>
      <c r="E118" s="112">
        <f>SUM(E117)</f>
        <v>522.05399999999997</v>
      </c>
      <c r="F118" s="113"/>
      <c r="G118" s="102">
        <f>SUM(G117)</f>
        <v>809.18370000000004</v>
      </c>
      <c r="H118" s="102"/>
      <c r="R118"/>
      <c r="S118" s="18"/>
      <c r="T118"/>
      <c r="U118" s="18"/>
      <c r="V118" s="18"/>
    </row>
    <row r="119" spans="1:22" s="32" customFormat="1" x14ac:dyDescent="0.35">
      <c r="A119" s="110" t="s">
        <v>67</v>
      </c>
      <c r="B119" s="110"/>
      <c r="C119" s="110"/>
      <c r="D119" s="110"/>
      <c r="E119" s="110"/>
      <c r="F119" s="110"/>
      <c r="G119" s="110"/>
      <c r="H119" s="110"/>
      <c r="T119"/>
    </row>
    <row r="120" spans="1:22" s="32" customFormat="1" ht="15.75" customHeight="1" x14ac:dyDescent="0.35">
      <c r="A120" s="102" t="s">
        <v>51</v>
      </c>
      <c r="B120" s="102"/>
      <c r="C120" s="100" t="s">
        <v>75</v>
      </c>
      <c r="D120" s="100"/>
      <c r="E120" s="113" t="s">
        <v>52</v>
      </c>
      <c r="F120" s="113"/>
      <c r="G120" s="102" t="s">
        <v>53</v>
      </c>
      <c r="H120" s="102"/>
      <c r="T120"/>
    </row>
    <row r="121" spans="1:22" s="32" customFormat="1" x14ac:dyDescent="0.35">
      <c r="A121" s="118" t="s">
        <v>326</v>
      </c>
      <c r="B121" s="118"/>
      <c r="C121" s="162">
        <f>COUNT(F136:F142)+COUNT(F144:F150)*4+COUNT(F152:F158)+COUNT(F160:F166)</f>
        <v>49</v>
      </c>
      <c r="D121" s="163"/>
      <c r="E121" s="97">
        <f>SUM(F136:F142)+SUM(F144:F150)*4+SUM(F152:F158)+SUM(F160:F166)</f>
        <v>19533.10788</v>
      </c>
      <c r="F121" s="97"/>
      <c r="G121" s="97">
        <f>SUM(H136:H142)+SUM(H144:H150)*4+SUM(H152:H158)+SUM(H160:H166)</f>
        <v>28345.287905999998</v>
      </c>
      <c r="H121" s="97"/>
      <c r="T121"/>
    </row>
    <row r="122" spans="1:22" s="32" customFormat="1" ht="16" thickBot="1" x14ac:dyDescent="0.4">
      <c r="A122" s="106" t="s">
        <v>150</v>
      </c>
      <c r="B122" s="106"/>
      <c r="C122" s="139">
        <f>SUM(C121)</f>
        <v>49</v>
      </c>
      <c r="D122" s="140"/>
      <c r="E122" s="107">
        <f>SUM(E121)</f>
        <v>19533.10788</v>
      </c>
      <c r="F122" s="108"/>
      <c r="G122" s="109">
        <f>SUM(G121)</f>
        <v>28345.287905999998</v>
      </c>
      <c r="H122" s="109"/>
    </row>
    <row r="123" spans="1:22" s="32" customFormat="1" ht="16" thickBot="1" x14ac:dyDescent="0.4">
      <c r="A123" s="211" t="s">
        <v>167</v>
      </c>
      <c r="B123" s="212"/>
      <c r="C123" s="213">
        <f>C118+C122</f>
        <v>52</v>
      </c>
      <c r="D123" s="213"/>
      <c r="E123" s="214">
        <f>E118+E122</f>
        <v>20055.16188</v>
      </c>
      <c r="F123" s="214"/>
      <c r="G123" s="116">
        <f>G118+G122</f>
        <v>29154.471605999999</v>
      </c>
      <c r="H123" s="117"/>
    </row>
    <row r="124" spans="1:22" s="31" customFormat="1" x14ac:dyDescent="0.35">
      <c r="A124" s="203" t="s">
        <v>54</v>
      </c>
      <c r="B124" s="203"/>
      <c r="C124" s="203"/>
      <c r="D124" s="203"/>
      <c r="E124" s="203"/>
      <c r="F124" s="203"/>
      <c r="G124" s="203"/>
      <c r="H124" s="203"/>
      <c r="T124" s="32"/>
    </row>
    <row r="125" spans="1:22" x14ac:dyDescent="0.35">
      <c r="A125" s="200" t="s">
        <v>175</v>
      </c>
      <c r="B125" s="200"/>
      <c r="C125" s="200"/>
      <c r="D125" s="200"/>
      <c r="E125" s="200"/>
      <c r="F125" s="200"/>
      <c r="G125" s="200"/>
      <c r="H125" s="200"/>
      <c r="T125" s="32"/>
    </row>
    <row r="126" spans="1:22" ht="47.25" customHeight="1" x14ac:dyDescent="0.35">
      <c r="A126" s="130" t="s">
        <v>323</v>
      </c>
      <c r="B126" s="130" t="s">
        <v>177</v>
      </c>
      <c r="C126" s="130" t="s">
        <v>55</v>
      </c>
      <c r="D126" s="130" t="s">
        <v>232</v>
      </c>
      <c r="E126" s="133" t="s">
        <v>156</v>
      </c>
      <c r="F126" s="130" t="s">
        <v>56</v>
      </c>
      <c r="G126" s="133" t="s">
        <v>57</v>
      </c>
      <c r="H126" s="67" t="s">
        <v>148</v>
      </c>
      <c r="T126" s="32"/>
    </row>
    <row r="127" spans="1:22" s="34" customFormat="1" x14ac:dyDescent="0.35">
      <c r="A127" s="131"/>
      <c r="B127" s="131"/>
      <c r="C127" s="131"/>
      <c r="D127" s="131"/>
      <c r="E127" s="134"/>
      <c r="F127" s="131"/>
      <c r="G127" s="134"/>
      <c r="H127" s="68">
        <v>0.55000000000000004</v>
      </c>
      <c r="T127" s="31"/>
    </row>
    <row r="128" spans="1:22" s="34" customFormat="1" x14ac:dyDescent="0.35">
      <c r="A128" s="164" t="s">
        <v>346</v>
      </c>
      <c r="B128" s="165"/>
      <c r="C128" s="165"/>
      <c r="D128" s="165"/>
      <c r="E128" s="165"/>
      <c r="F128" s="165"/>
      <c r="G128" s="165"/>
      <c r="H128" s="166"/>
      <c r="J128" s="33"/>
      <c r="T128" s="18"/>
    </row>
    <row r="129" spans="1:20" s="34" customFormat="1" ht="15.75" customHeight="1" x14ac:dyDescent="0.35">
      <c r="A129" s="114">
        <v>1</v>
      </c>
      <c r="B129" s="115"/>
      <c r="C129" s="69" t="s">
        <v>319</v>
      </c>
      <c r="D129" s="71">
        <f>(13.85)*10.764</f>
        <v>149.08139999999997</v>
      </c>
      <c r="E129" s="69">
        <v>0</v>
      </c>
      <c r="F129" s="69">
        <f>D129+(IF(E129&lt;201,E129,IF(E129&lt;301,E129/2,E129/3)))</f>
        <v>149.08139999999997</v>
      </c>
      <c r="G129" s="70">
        <v>0</v>
      </c>
      <c r="H129" s="69">
        <f>(F129+(IF(G129&lt;101,G129,IF(G129&lt;201,G129/2,IF(G129&lt;=301,G129/3,G129/4)))))*(($H$127)+1)</f>
        <v>231.07616999999996</v>
      </c>
      <c r="I129" s="33"/>
      <c r="L129" s="103"/>
      <c r="M129" s="103"/>
      <c r="N129" s="33"/>
      <c r="T129" s="18"/>
    </row>
    <row r="130" spans="1:20" s="34" customFormat="1" ht="15.75" customHeight="1" x14ac:dyDescent="0.35">
      <c r="A130" s="114">
        <f>A129+1</f>
        <v>2</v>
      </c>
      <c r="B130" s="115"/>
      <c r="C130" s="69" t="s">
        <v>319</v>
      </c>
      <c r="D130" s="71">
        <f>(17.94)*10.764</f>
        <v>193.10615999999999</v>
      </c>
      <c r="E130" s="69">
        <v>0</v>
      </c>
      <c r="F130" s="69">
        <f t="shared" ref="F130:F131" si="0">D130+(IF(E130&lt;201,E130,IF(E130&lt;301,E130/2,E130/3)))</f>
        <v>193.10615999999999</v>
      </c>
      <c r="G130" s="69">
        <v>0</v>
      </c>
      <c r="H130" s="69">
        <f>(F130+(IF(G130&lt;101,G130,IF(G130&lt;201,G130/2,IF(G130&lt;=301,G130/3,G130/4)))))*(($H$127)+1)</f>
        <v>299.314548</v>
      </c>
      <c r="I130" s="33"/>
      <c r="L130" s="103"/>
      <c r="M130" s="103"/>
      <c r="N130" s="33"/>
    </row>
    <row r="131" spans="1:20" s="34" customFormat="1" ht="15.75" customHeight="1" x14ac:dyDescent="0.35">
      <c r="A131" s="114">
        <f>A130+1</f>
        <v>3</v>
      </c>
      <c r="B131" s="115"/>
      <c r="C131" s="69" t="s">
        <v>319</v>
      </c>
      <c r="D131" s="71">
        <f>(16.71)*10.764</f>
        <v>179.86644000000001</v>
      </c>
      <c r="E131" s="69">
        <v>0</v>
      </c>
      <c r="F131" s="69">
        <f t="shared" si="0"/>
        <v>179.86644000000001</v>
      </c>
      <c r="G131" s="69">
        <v>0</v>
      </c>
      <c r="H131" s="69">
        <f>(F131+(IF(G131&lt;101,G131,IF(G131&lt;201,G131/2,IF(G131&lt;=301,G131/3,G131/4)))))*(($H$127)+1)</f>
        <v>278.79298200000005</v>
      </c>
      <c r="I131" s="33">
        <f>2.76*4.75+1.76*1.3+0.9*1.2</f>
        <v>16.478000000000002</v>
      </c>
      <c r="L131" s="103"/>
      <c r="M131" s="103"/>
      <c r="N131" s="33"/>
    </row>
    <row r="132" spans="1:20" s="34" customFormat="1" x14ac:dyDescent="0.35">
      <c r="A132" s="114"/>
      <c r="B132" s="224"/>
      <c r="C132" s="224"/>
      <c r="D132" s="224"/>
      <c r="E132" s="224"/>
      <c r="F132" s="224"/>
      <c r="G132" s="224"/>
      <c r="H132" s="115"/>
      <c r="I132" s="33"/>
      <c r="N132" s="33"/>
    </row>
    <row r="133" spans="1:20" ht="47.25" customHeight="1" x14ac:dyDescent="0.35">
      <c r="A133" s="204" t="s">
        <v>324</v>
      </c>
      <c r="B133" s="130" t="s">
        <v>178</v>
      </c>
      <c r="C133" s="130" t="s">
        <v>55</v>
      </c>
      <c r="D133" s="130" t="s">
        <v>232</v>
      </c>
      <c r="E133" s="130" t="s">
        <v>347</v>
      </c>
      <c r="F133" s="130" t="s">
        <v>56</v>
      </c>
      <c r="G133" s="133" t="s">
        <v>57</v>
      </c>
      <c r="H133" s="67" t="s">
        <v>148</v>
      </c>
      <c r="I133" s="33"/>
      <c r="T133" s="34"/>
    </row>
    <row r="134" spans="1:20" s="34" customFormat="1" x14ac:dyDescent="0.35">
      <c r="A134" s="205"/>
      <c r="B134" s="131"/>
      <c r="C134" s="131"/>
      <c r="D134" s="131"/>
      <c r="E134" s="131"/>
      <c r="F134" s="131"/>
      <c r="G134" s="134"/>
      <c r="H134" s="68">
        <v>0.45</v>
      </c>
      <c r="I134" s="33"/>
    </row>
    <row r="135" spans="1:20" s="34" customFormat="1" x14ac:dyDescent="0.35">
      <c r="A135" s="215" t="s">
        <v>320</v>
      </c>
      <c r="B135" s="216"/>
      <c r="C135" s="216"/>
      <c r="D135" s="216"/>
      <c r="E135" s="216"/>
      <c r="F135" s="216"/>
      <c r="G135" s="216"/>
      <c r="H135" s="217"/>
      <c r="J135" s="71">
        <v>10.763999999999999</v>
      </c>
      <c r="K135" s="34">
        <v>5000</v>
      </c>
    </row>
    <row r="136" spans="1:20" s="34" customFormat="1" ht="15.75" customHeight="1" x14ac:dyDescent="0.35">
      <c r="A136" s="104">
        <v>101</v>
      </c>
      <c r="B136" s="105"/>
      <c r="C136" s="39" t="s">
        <v>321</v>
      </c>
      <c r="D136" s="71">
        <f>(29.06+1.35)*10.764</f>
        <v>327.33323999999999</v>
      </c>
      <c r="E136" s="71">
        <f>(7.3)*10.764</f>
        <v>78.577199999999991</v>
      </c>
      <c r="F136" s="39">
        <f t="shared" ref="F136:F142" si="1">D136+E136</f>
        <v>405.91043999999999</v>
      </c>
      <c r="G136" s="48">
        <v>0</v>
      </c>
      <c r="H136" s="48">
        <f t="shared" ref="H136:H142" si="2">F136*(($H$134)+1)+(IF(G136&lt;101,G136,IF(G136&lt;201,G136/2,IF(G136&lt;=301,G136/3,G136/4))))</f>
        <v>588.57013799999993</v>
      </c>
      <c r="I136" s="33">
        <f>2.7*4+1.8*2+2.3*3+1.8*1.2+1.8*1.2+1.2*1.8</f>
        <v>27.78</v>
      </c>
      <c r="J136" s="34">
        <f>1*(4.6+2.7)</f>
        <v>7.3</v>
      </c>
      <c r="K136" s="34">
        <f>K$135*H136</f>
        <v>2942850.6899999995</v>
      </c>
      <c r="L136" s="79">
        <f>0.6*3</f>
        <v>1.7999999999999998</v>
      </c>
      <c r="M136" s="79"/>
      <c r="N136" s="33"/>
      <c r="T136" s="18"/>
    </row>
    <row r="137" spans="1:20" s="34" customFormat="1" ht="15.75" customHeight="1" x14ac:dyDescent="0.35">
      <c r="A137" s="104">
        <f t="shared" ref="A137:A142" si="3">A136+1</f>
        <v>102</v>
      </c>
      <c r="B137" s="105"/>
      <c r="C137" s="39" t="s">
        <v>322</v>
      </c>
      <c r="D137" s="71">
        <f>(18.53)*10.764</f>
        <v>199.45692</v>
      </c>
      <c r="E137" s="71">
        <f>(4.22)*10.764</f>
        <v>45.424079999999996</v>
      </c>
      <c r="F137" s="48">
        <f t="shared" si="1"/>
        <v>244.881</v>
      </c>
      <c r="G137" s="48">
        <v>0</v>
      </c>
      <c r="H137" s="48">
        <f t="shared" si="2"/>
        <v>355.07745</v>
      </c>
      <c r="I137" s="33"/>
      <c r="J137" s="33">
        <f>2035000/H137</f>
        <v>5731.1440081593464</v>
      </c>
      <c r="K137" s="59">
        <f t="shared" ref="K137:K142" si="4">K$135*H137</f>
        <v>1775387.25</v>
      </c>
      <c r="L137" s="103"/>
      <c r="M137" s="103"/>
      <c r="N137" s="33"/>
    </row>
    <row r="138" spans="1:20" s="34" customFormat="1" ht="15.75" customHeight="1" x14ac:dyDescent="0.35">
      <c r="A138" s="104">
        <f t="shared" si="3"/>
        <v>103</v>
      </c>
      <c r="B138" s="105"/>
      <c r="C138" s="39" t="s">
        <v>321</v>
      </c>
      <c r="D138" s="71">
        <f>(29.21+1.35)*10.764</f>
        <v>328.94783999999999</v>
      </c>
      <c r="E138" s="71">
        <f>(7.5+2)*10.764</f>
        <v>102.258</v>
      </c>
      <c r="F138" s="48">
        <f t="shared" si="1"/>
        <v>431.20583999999997</v>
      </c>
      <c r="G138" s="48">
        <v>0</v>
      </c>
      <c r="H138" s="48">
        <f t="shared" si="2"/>
        <v>625.24846799999989</v>
      </c>
      <c r="I138" s="33">
        <f>2.7*4.3+2*2.15+2.25*3+1.65*1+1.8*1.4</f>
        <v>26.83</v>
      </c>
      <c r="J138" s="33">
        <f>3279000/H138</f>
        <v>5244.3151288137196</v>
      </c>
      <c r="K138" s="59">
        <f t="shared" si="4"/>
        <v>3126242.3399999994</v>
      </c>
      <c r="L138" s="103"/>
      <c r="M138" s="103"/>
      <c r="N138" s="33"/>
    </row>
    <row r="139" spans="1:20" s="34" customFormat="1" ht="15.75" customHeight="1" x14ac:dyDescent="0.35">
      <c r="A139" s="104">
        <f t="shared" si="3"/>
        <v>104</v>
      </c>
      <c r="B139" s="105"/>
      <c r="C139" s="39" t="s">
        <v>321</v>
      </c>
      <c r="D139" s="71">
        <f>(30.87)*10.764</f>
        <v>332.28467999999998</v>
      </c>
      <c r="E139" s="71">
        <f>(7.8+2.75)*10.764</f>
        <v>113.56019999999999</v>
      </c>
      <c r="F139" s="48">
        <f t="shared" si="1"/>
        <v>445.84487999999999</v>
      </c>
      <c r="G139" s="48">
        <v>0</v>
      </c>
      <c r="H139" s="48">
        <f t="shared" si="2"/>
        <v>646.47507599999994</v>
      </c>
      <c r="I139" s="33"/>
      <c r="K139" s="59">
        <f t="shared" si="4"/>
        <v>3232375.38</v>
      </c>
      <c r="L139" s="103"/>
      <c r="M139" s="103"/>
      <c r="N139" s="33"/>
    </row>
    <row r="140" spans="1:20" s="56" customFormat="1" ht="15.75" customHeight="1" x14ac:dyDescent="0.35">
      <c r="A140" s="104">
        <f t="shared" si="3"/>
        <v>105</v>
      </c>
      <c r="B140" s="105"/>
      <c r="C140" s="55" t="s">
        <v>321</v>
      </c>
      <c r="D140" s="71">
        <f>(29.05)*10.764</f>
        <v>312.69419999999997</v>
      </c>
      <c r="E140" s="71">
        <f>(7.45+2.75)*10.764</f>
        <v>109.79279999999999</v>
      </c>
      <c r="F140" s="55">
        <f t="shared" si="1"/>
        <v>422.48699999999997</v>
      </c>
      <c r="G140" s="55">
        <v>0</v>
      </c>
      <c r="H140" s="55">
        <f t="shared" si="2"/>
        <v>612.60614999999996</v>
      </c>
      <c r="I140" s="33"/>
      <c r="K140" s="59">
        <f t="shared" si="4"/>
        <v>3063030.75</v>
      </c>
      <c r="L140" s="103"/>
      <c r="M140" s="103"/>
      <c r="N140" s="33"/>
    </row>
    <row r="141" spans="1:20" s="56" customFormat="1" ht="15.75" customHeight="1" x14ac:dyDescent="0.35">
      <c r="A141" s="104">
        <f t="shared" si="3"/>
        <v>106</v>
      </c>
      <c r="B141" s="105"/>
      <c r="C141" s="55" t="s">
        <v>321</v>
      </c>
      <c r="D141" s="71">
        <f>(29.53)*10.764</f>
        <v>317.86091999999996</v>
      </c>
      <c r="E141" s="71">
        <f>(7.65+2.75)*10.764</f>
        <v>111.9456</v>
      </c>
      <c r="F141" s="55">
        <f t="shared" si="1"/>
        <v>429.80651999999998</v>
      </c>
      <c r="G141" s="76">
        <v>0</v>
      </c>
      <c r="H141" s="55">
        <f t="shared" si="2"/>
        <v>623.21945399999993</v>
      </c>
      <c r="I141" s="33"/>
      <c r="J141" s="33">
        <f>3341000/H141</f>
        <v>5360.8724479900466</v>
      </c>
      <c r="K141" s="59">
        <f t="shared" si="4"/>
        <v>3116097.2699999996</v>
      </c>
      <c r="L141" s="103"/>
      <c r="M141" s="103"/>
      <c r="N141" s="33"/>
    </row>
    <row r="142" spans="1:20" s="56" customFormat="1" ht="15.75" customHeight="1" x14ac:dyDescent="0.35">
      <c r="A142" s="104">
        <f t="shared" si="3"/>
        <v>107</v>
      </c>
      <c r="B142" s="105"/>
      <c r="C142" s="55" t="s">
        <v>321</v>
      </c>
      <c r="D142" s="71">
        <f>(27.45)*10.764</f>
        <v>295.47179999999997</v>
      </c>
      <c r="E142" s="71">
        <f>(2.7+2.7+4.6*1)*10.764</f>
        <v>107.63999999999999</v>
      </c>
      <c r="F142" s="55">
        <f t="shared" si="1"/>
        <v>403.11179999999996</v>
      </c>
      <c r="G142" s="83">
        <f>(0.5*4.6*0.9)*10.764</f>
        <v>22.281479999999998</v>
      </c>
      <c r="H142" s="55">
        <f t="shared" si="2"/>
        <v>606.79358999999988</v>
      </c>
      <c r="I142" s="33">
        <f>2.7*4.15+1.8*3+2.7*2.15+1.8*1.1+1.08*1.75</f>
        <v>26.280000000000005</v>
      </c>
      <c r="K142" s="59">
        <f t="shared" si="4"/>
        <v>3033967.9499999993</v>
      </c>
      <c r="L142" s="103"/>
      <c r="M142" s="103"/>
      <c r="N142" s="33"/>
    </row>
    <row r="143" spans="1:20" s="79" customFormat="1" x14ac:dyDescent="0.35">
      <c r="A143" s="215" t="s">
        <v>143</v>
      </c>
      <c r="B143" s="216"/>
      <c r="C143" s="216"/>
      <c r="D143" s="216"/>
      <c r="E143" s="216"/>
      <c r="F143" s="216"/>
      <c r="G143" s="216"/>
      <c r="H143" s="217"/>
      <c r="I143" s="33"/>
      <c r="J143" s="79" t="e">
        <f t="shared" ref="J143:J148" si="5">I143/F143</f>
        <v>#DIV/0!</v>
      </c>
      <c r="K143" s="79">
        <f t="shared" ref="K143:K148" si="6">K$135*I143</f>
        <v>0</v>
      </c>
    </row>
    <row r="144" spans="1:20" s="79" customFormat="1" ht="15.75" customHeight="1" x14ac:dyDescent="0.35">
      <c r="A144" s="104" t="str">
        <f ca="1">(SUMPRODUCT(MID(0&amp;(LEFT(A143,SUM(LEN(A143)-LEN(SUBSTITUTE(A143,{"0","1","2"},""))))), LARGE(INDEX(ISNUMBER(--MID((LEFT(A143,SUM(LEN(A143)-LEN(SUBSTITUTE(A143,{"0","1","2"},""))))), ROW(INDIRECT("1:"&amp;LEN((LEFT(A143,SUM(LEN(A143)-LEN(SUBSTITUTE(A143,{"0","1","2"},"")))))))), 1)) * ROW(INDIRECT("1:"&amp;LEN((LEFT(A143,SUM(LEN(A143)-LEN(SUBSTITUTE(A143,{"0","1","2"},"")))))))), 0), ROW(INDIRECT("1:"&amp;LEN((LEFT(A143,SUM(LEN(A143)-LEN(SUBSTITUTE(A143,{"0","1","2"},"")))))))))+1, 1) * 10^ROW(INDIRECT("1:"&amp;LEN((LEFT(A143,SUM(LEN(A143)-LEN(SUBSTITUTE(A143,{"0","1","2"},""))))))))/10))*100+1&amp;""&amp;" to "&amp;""&amp;(SUMPRODUCT(MID(0&amp;(--TRIM(RIGHT(SUBSTITUTE(LEFT(A143,_xlfn.AGGREGATE(16,6,FIND({0,1,2,3,4,5,6,7,8,9},A143,ROW(INDIRECT("1:"&amp;LEN(A143)))),1))," ",REPT(" ",LEN(A143))),LEN(A143)))), LARGE(INDEX(ISNUMBER(--MID((--TRIM(RIGHT(SUBSTITUTE(LEFT(A143,_xlfn.AGGREGATE(16,6,FIND({0,1,2,3,4,5,6,7,8,9},A143,ROW(INDIRECT("1:"&amp;LEN(A143)))),1))," ",REPT(" ",LEN(A143))),LEN(A143)))), ROW(INDIRECT("1:"&amp;LEN((--TRIM(RIGHT(SUBSTITUTE(LEFT(A143,_xlfn.AGGREGATE(16,6,FIND({0,1,2,3,4,5,6,7,8,9},A143,ROW(INDIRECT("1:"&amp;LEN(A143)))),1))," ",REPT(" ",LEN(A143))),LEN(A143))))))), 1)) * ROW(INDIRECT("1:"&amp;LEN((--TRIM(RIGHT(SUBSTITUTE(LEFT(A143,_xlfn.AGGREGATE(16,6,FIND({0,1,2,3,4,5,6,7,8,9},A143,ROW(INDIRECT("1:"&amp;LEN(A143)))),1))," ",REPT(" ",LEN(A143))),LEN(A143))))))), 0), ROW(INDIRECT("1:"&amp;LEN((--TRIM(RIGHT(SUBSTITUTE(LEFT(A143,_xlfn.AGGREGATE(16,6,FIND({0,1,2,3,4,5,6,7,8,9},A143,ROW(INDIRECT("1:"&amp;LEN(A143)))),1))," ",REPT(" ",LEN(A143))),LEN(A143))))))))+1, 1) * 10^ROW(INDIRECT("1:"&amp;LEN((--TRIM(RIGHT(SUBSTITUTE(LEFT(A143,_xlfn.AGGREGATE(16,6,FIND({0,1,2,3,4,5,6,7,8,9},A143,ROW(INDIRECT("1:"&amp;LEN(A143)))),1))," ",REPT(" ",LEN(A143))),LEN(A143)))))))/10))*100+1</f>
        <v>201 to 501</v>
      </c>
      <c r="B144" s="105"/>
      <c r="C144" s="77" t="s">
        <v>321</v>
      </c>
      <c r="D144" s="71">
        <f>(29.06+1.35)*10.764</f>
        <v>327.33323999999999</v>
      </c>
      <c r="E144" s="71">
        <f>(7.3)*10.764</f>
        <v>78.577199999999991</v>
      </c>
      <c r="F144" s="77">
        <f t="shared" ref="F144:F150" si="7">D144+E144</f>
        <v>405.91043999999999</v>
      </c>
      <c r="G144" s="77">
        <v>0</v>
      </c>
      <c r="H144" s="77">
        <f t="shared" ref="H144:H150" si="8">F144*(($H$134)+1)+(IF(G144&lt;101,G144,IF(G144&lt;201,G144/2,IF(G144&lt;=301,G144/3,G144/4))))</f>
        <v>588.57013799999993</v>
      </c>
      <c r="I144" s="33"/>
      <c r="J144" s="79">
        <f t="shared" si="5"/>
        <v>0</v>
      </c>
      <c r="K144" s="79">
        <f t="shared" si="6"/>
        <v>0</v>
      </c>
    </row>
    <row r="145" spans="1:20" s="79" customFormat="1" ht="15.75" customHeight="1" x14ac:dyDescent="0.35">
      <c r="A145" s="104" t="str">
        <f ca="1">(SUMPRODUCT(MID(0&amp;(LEFT(A144,SUM(LEN(A144)-LEN(SUBSTITUTE(A144,{"0","1","2"},""))))), LARGE(INDEX(ISNUMBER(--MID((LEFT(A144,SUM(LEN(A144)-LEN(SUBSTITUTE(A144,{"0","1","2"},""))))), ROW(INDIRECT("1:"&amp;LEN((LEFT(A144,SUM(LEN(A144)-LEN(SUBSTITUTE(A144,{"0","1","2"},"")))))))), 1)) * ROW(INDIRECT("1:"&amp;LEN((LEFT(A144,SUM(LEN(A144)-LEN(SUBSTITUTE(A144,{"0","1","2"},"")))))))), 0), ROW(INDIRECT("1:"&amp;LEN((LEFT(A144,SUM(LEN(A144)-LEN(SUBSTITUTE(A144,{"0","1","2"},"")))))))))+1, 1) * 10^ROW(INDIRECT("1:"&amp;LEN((LEFT(A144,SUM(LEN(A144)-LEN(SUBSTITUTE(A144,{"0","1","2"},""))))))))/10))*1+1&amp;""&amp;" to "&amp;""&amp;(SUMPRODUCT(MID(0&amp;(--TRIM(RIGHT(SUBSTITUTE(LEFT(A144,_xlfn.AGGREGATE(16,6,FIND({0,1,2,3,4,5,6,7,8,9},A144,ROW(INDIRECT("1:"&amp;LEN(A144)))),1))," ",REPT(" ",LEN(A144))),LEN(A144)))), LARGE(INDEX(ISNUMBER(--MID((--TRIM(RIGHT(SUBSTITUTE(LEFT(A144,_xlfn.AGGREGATE(16,6,FIND({0,1,2,3,4,5,6,7,8,9},A144,ROW(INDIRECT("1:"&amp;LEN(A144)))),1))," ",REPT(" ",LEN(A144))),LEN(A144)))), ROW(INDIRECT("1:"&amp;LEN((--TRIM(RIGHT(SUBSTITUTE(LEFT(A144,_xlfn.AGGREGATE(16,6,FIND({0,1,2,3,4,5,6,7,8,9},A144,ROW(INDIRECT("1:"&amp;LEN(A144)))),1))," ",REPT(" ",LEN(A144))),LEN(A144))))))), 1)) * ROW(INDIRECT("1:"&amp;LEN((--TRIM(RIGHT(SUBSTITUTE(LEFT(A144,_xlfn.AGGREGATE(16,6,FIND({0,1,2,3,4,5,6,7,8,9},A144,ROW(INDIRECT("1:"&amp;LEN(A144)))),1))," ",REPT(" ",LEN(A144))),LEN(A144))))))), 0), ROW(INDIRECT("1:"&amp;LEN((--TRIM(RIGHT(SUBSTITUTE(LEFT(A144,_xlfn.AGGREGATE(16,6,FIND({0,1,2,3,4,5,6,7,8,9},A144,ROW(INDIRECT("1:"&amp;LEN(A144)))),1))," ",REPT(" ",LEN(A144))),LEN(A144))))))))+1, 1) * 10^ROW(INDIRECT("1:"&amp;LEN((--TRIM(RIGHT(SUBSTITUTE(LEFT(A144,_xlfn.AGGREGATE(16,6,FIND({0,1,2,3,4,5,6,7,8,9},A144,ROW(INDIRECT("1:"&amp;LEN(A144)))),1))," ",REPT(" ",LEN(A144))),LEN(A144)))))))/10))*1+1</f>
        <v>202 to 502</v>
      </c>
      <c r="B145" s="105"/>
      <c r="C145" s="77" t="s">
        <v>322</v>
      </c>
      <c r="D145" s="71">
        <f>(18.53)*10.764</f>
        <v>199.45692</v>
      </c>
      <c r="E145" s="71">
        <f>(4.22)*10.764</f>
        <v>45.424079999999996</v>
      </c>
      <c r="F145" s="77">
        <f t="shared" si="7"/>
        <v>244.881</v>
      </c>
      <c r="G145" s="77">
        <v>0</v>
      </c>
      <c r="H145" s="77">
        <f t="shared" si="8"/>
        <v>355.07745</v>
      </c>
      <c r="I145" s="33"/>
      <c r="J145" s="79">
        <f t="shared" si="5"/>
        <v>0</v>
      </c>
      <c r="K145" s="79">
        <f t="shared" si="6"/>
        <v>0</v>
      </c>
    </row>
    <row r="146" spans="1:20" s="79" customFormat="1" ht="15.75" customHeight="1" x14ac:dyDescent="0.35">
      <c r="A146" s="104" t="str">
        <f ca="1">(SUMPRODUCT(MID(0&amp;(LEFT(A145,SUM(LEN(A145)-LEN(SUBSTITUTE(A145,{"0","1","2"},""))))), LARGE(INDEX(ISNUMBER(--MID((LEFT(A145,SUM(LEN(A145)-LEN(SUBSTITUTE(A145,{"0","1","2"},""))))), ROW(INDIRECT("1:"&amp;LEN((LEFT(A145,SUM(LEN(A145)-LEN(SUBSTITUTE(A145,{"0","1","2"},"")))))))), 1)) * ROW(INDIRECT("1:"&amp;LEN((LEFT(A145,SUM(LEN(A145)-LEN(SUBSTITUTE(A145,{"0","1","2"},"")))))))), 0), ROW(INDIRECT("1:"&amp;LEN((LEFT(A145,SUM(LEN(A145)-LEN(SUBSTITUTE(A145,{"0","1","2"},"")))))))))+1, 1) * 10^ROW(INDIRECT("1:"&amp;LEN((LEFT(A145,SUM(LEN(A145)-LEN(SUBSTITUTE(A145,{"0","1","2"},""))))))))/10))*1+1&amp;""&amp;" to "&amp;""&amp;(SUMPRODUCT(MID(0&amp;(--TRIM(RIGHT(SUBSTITUTE(LEFT(A145,_xlfn.AGGREGATE(16,6,FIND({0,1,2,3,4,5,6,7,8,9},A145,ROW(INDIRECT("1:"&amp;LEN(A145)))),1))," ",REPT(" ",LEN(A145))),LEN(A145)))), LARGE(INDEX(ISNUMBER(--MID((--TRIM(RIGHT(SUBSTITUTE(LEFT(A145,_xlfn.AGGREGATE(16,6,FIND({0,1,2,3,4,5,6,7,8,9},A145,ROW(INDIRECT("1:"&amp;LEN(A145)))),1))," ",REPT(" ",LEN(A145))),LEN(A145)))), ROW(INDIRECT("1:"&amp;LEN((--TRIM(RIGHT(SUBSTITUTE(LEFT(A145,_xlfn.AGGREGATE(16,6,FIND({0,1,2,3,4,5,6,7,8,9},A145,ROW(INDIRECT("1:"&amp;LEN(A145)))),1))," ",REPT(" ",LEN(A145))),LEN(A145))))))), 1)) * ROW(INDIRECT("1:"&amp;LEN((--TRIM(RIGHT(SUBSTITUTE(LEFT(A145,_xlfn.AGGREGATE(16,6,FIND({0,1,2,3,4,5,6,7,8,9},A145,ROW(INDIRECT("1:"&amp;LEN(A145)))),1))," ",REPT(" ",LEN(A145))),LEN(A145))))))), 0), ROW(INDIRECT("1:"&amp;LEN((--TRIM(RIGHT(SUBSTITUTE(LEFT(A145,_xlfn.AGGREGATE(16,6,FIND({0,1,2,3,4,5,6,7,8,9},A145,ROW(INDIRECT("1:"&amp;LEN(A145)))),1))," ",REPT(" ",LEN(A145))),LEN(A145))))))))+1, 1) * 10^ROW(INDIRECT("1:"&amp;LEN((--TRIM(RIGHT(SUBSTITUTE(LEFT(A145,_xlfn.AGGREGATE(16,6,FIND({0,1,2,3,4,5,6,7,8,9},A145,ROW(INDIRECT("1:"&amp;LEN(A145)))),1))," ",REPT(" ",LEN(A145))),LEN(A145)))))))/10))*1+1</f>
        <v>203 to 503</v>
      </c>
      <c r="B146" s="105"/>
      <c r="C146" s="77" t="s">
        <v>321</v>
      </c>
      <c r="D146" s="71">
        <f>(29.21+1.35)*10.764</f>
        <v>328.94783999999999</v>
      </c>
      <c r="E146" s="71">
        <f>(7.5+2)*10.764</f>
        <v>102.258</v>
      </c>
      <c r="F146" s="77">
        <f t="shared" si="7"/>
        <v>431.20583999999997</v>
      </c>
      <c r="G146" s="77">
        <v>0</v>
      </c>
      <c r="H146" s="77">
        <f t="shared" si="8"/>
        <v>625.24846799999989</v>
      </c>
      <c r="I146" s="33"/>
      <c r="J146" s="79">
        <f t="shared" si="5"/>
        <v>0</v>
      </c>
      <c r="K146" s="79">
        <f t="shared" si="6"/>
        <v>0</v>
      </c>
    </row>
    <row r="147" spans="1:20" s="79" customFormat="1" ht="15.75" customHeight="1" x14ac:dyDescent="0.35">
      <c r="A147" s="104" t="str">
        <f ca="1">(SUMPRODUCT(MID(0&amp;(LEFT(A146,SUM(LEN(A146)-LEN(SUBSTITUTE(A146,{"0","1","2"},""))))), LARGE(INDEX(ISNUMBER(--MID((LEFT(A146,SUM(LEN(A146)-LEN(SUBSTITUTE(A146,{"0","1","2"},""))))), ROW(INDIRECT("1:"&amp;LEN((LEFT(A146,SUM(LEN(A146)-LEN(SUBSTITUTE(A146,{"0","1","2"},"")))))))), 1)) * ROW(INDIRECT("1:"&amp;LEN((LEFT(A146,SUM(LEN(A146)-LEN(SUBSTITUTE(A146,{"0","1","2"},"")))))))), 0), ROW(INDIRECT("1:"&amp;LEN((LEFT(A146,SUM(LEN(A146)-LEN(SUBSTITUTE(A146,{"0","1","2"},"")))))))))+1, 1) * 10^ROW(INDIRECT("1:"&amp;LEN((LEFT(A146,SUM(LEN(A146)-LEN(SUBSTITUTE(A146,{"0","1","2"},""))))))))/10))*1+1&amp;""&amp;" to "&amp;""&amp;(SUMPRODUCT(MID(0&amp;(--TRIM(RIGHT(SUBSTITUTE(LEFT(A146,_xlfn.AGGREGATE(16,6,FIND({0,1,2,3,4,5,6,7,8,9},A146,ROW(INDIRECT("1:"&amp;LEN(A146)))),1))," ",REPT(" ",LEN(A146))),LEN(A146)))), LARGE(INDEX(ISNUMBER(--MID((--TRIM(RIGHT(SUBSTITUTE(LEFT(A146,_xlfn.AGGREGATE(16,6,FIND({0,1,2,3,4,5,6,7,8,9},A146,ROW(INDIRECT("1:"&amp;LEN(A146)))),1))," ",REPT(" ",LEN(A146))),LEN(A146)))), ROW(INDIRECT("1:"&amp;LEN((--TRIM(RIGHT(SUBSTITUTE(LEFT(A146,_xlfn.AGGREGATE(16,6,FIND({0,1,2,3,4,5,6,7,8,9},A146,ROW(INDIRECT("1:"&amp;LEN(A146)))),1))," ",REPT(" ",LEN(A146))),LEN(A146))))))), 1)) * ROW(INDIRECT("1:"&amp;LEN((--TRIM(RIGHT(SUBSTITUTE(LEFT(A146,_xlfn.AGGREGATE(16,6,FIND({0,1,2,3,4,5,6,7,8,9},A146,ROW(INDIRECT("1:"&amp;LEN(A146)))),1))," ",REPT(" ",LEN(A146))),LEN(A146))))))), 0), ROW(INDIRECT("1:"&amp;LEN((--TRIM(RIGHT(SUBSTITUTE(LEFT(A146,_xlfn.AGGREGATE(16,6,FIND({0,1,2,3,4,5,6,7,8,9},A146,ROW(INDIRECT("1:"&amp;LEN(A146)))),1))," ",REPT(" ",LEN(A146))),LEN(A146))))))))+1, 1) * 10^ROW(INDIRECT("1:"&amp;LEN((--TRIM(RIGHT(SUBSTITUTE(LEFT(A146,_xlfn.AGGREGATE(16,6,FIND({0,1,2,3,4,5,6,7,8,9},A146,ROW(INDIRECT("1:"&amp;LEN(A146)))),1))," ",REPT(" ",LEN(A146))),LEN(A146)))))))/10))*1+1</f>
        <v>204 to 504</v>
      </c>
      <c r="B147" s="105"/>
      <c r="C147" s="77" t="s">
        <v>321</v>
      </c>
      <c r="D147" s="71">
        <f>(30.87)*10.764</f>
        <v>332.28467999999998</v>
      </c>
      <c r="E147" s="71">
        <f>(7.8+2.75)*10.764</f>
        <v>113.56019999999999</v>
      </c>
      <c r="F147" s="77">
        <f t="shared" si="7"/>
        <v>445.84487999999999</v>
      </c>
      <c r="G147" s="77">
        <v>0</v>
      </c>
      <c r="H147" s="77">
        <f t="shared" si="8"/>
        <v>646.47507599999994</v>
      </c>
      <c r="I147" s="33"/>
      <c r="J147" s="79">
        <f t="shared" si="5"/>
        <v>0</v>
      </c>
      <c r="K147" s="79">
        <f t="shared" si="6"/>
        <v>0</v>
      </c>
    </row>
    <row r="148" spans="1:20" s="79" customFormat="1" ht="15.75" customHeight="1" x14ac:dyDescent="0.35">
      <c r="A148" s="104" t="str">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10^ROW(INDIRECT("1:"&amp;LEN((LEFT(A147,SUM(LEN(A147)-LEN(SUBSTITUTE(A147,{"0","1","2"},""))))))))/10))*1+1&amp;""&amp;" to "&amp;""&amp;(SUMPRODUCT(MID(0&amp;(--TRIM(RIGHT(SUBSTITUTE(LEFT(A147,_xlfn.AGGREGATE(16,6,FIND({0,1,2,3,4,5,6,7,8,9},A147,ROW(INDIRECT("1:"&amp;LEN(A147)))),1)),"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",LEN(A147))),LEN(A147)))))))/10))*1+1</f>
        <v>205 to 505</v>
      </c>
      <c r="B148" s="105"/>
      <c r="C148" s="77" t="s">
        <v>321</v>
      </c>
      <c r="D148" s="71">
        <f>(29.05)*10.764</f>
        <v>312.69419999999997</v>
      </c>
      <c r="E148" s="71">
        <f>(7.45+2.75)*10.764</f>
        <v>109.79279999999999</v>
      </c>
      <c r="F148" s="77">
        <f t="shared" si="7"/>
        <v>422.48699999999997</v>
      </c>
      <c r="G148" s="77">
        <v>0</v>
      </c>
      <c r="H148" s="77">
        <f t="shared" si="8"/>
        <v>612.60614999999996</v>
      </c>
      <c r="I148" s="33"/>
      <c r="J148" s="79">
        <f t="shared" si="5"/>
        <v>0</v>
      </c>
      <c r="K148" s="79">
        <f t="shared" si="6"/>
        <v>0</v>
      </c>
    </row>
    <row r="149" spans="1:20" s="79" customFormat="1" ht="15.75" customHeight="1" x14ac:dyDescent="0.35">
      <c r="A149" s="104" t="str">
        <f ca="1">(SUMPRODUCT(MID(0&amp;(LEFT(A148,SUM(LEN(A148)-LEN(SUBSTITUTE(A148,{"0","1","2"},""))))), LARGE(INDEX(ISNUMBER(--MID((LEFT(A148,SUM(LEN(A148)-LEN(SUBSTITUTE(A148,{"0","1","2"},""))))), ROW(INDIRECT("1:"&amp;LEN((LEFT(A148,SUM(LEN(A148)-LEN(SUBSTITUTE(A148,{"0","1","2"},"")))))))), 1)) * ROW(INDIRECT("1:"&amp;LEN((LEFT(A148,SUM(LEN(A148)-LEN(SUBSTITUTE(A148,{"0","1","2"},"")))))))), 0), ROW(INDIRECT("1:"&amp;LEN((LEFT(A148,SUM(LEN(A148)-LEN(SUBSTITUTE(A148,{"0","1","2"},"")))))))))+1, 1) * 10^ROW(INDIRECT("1:"&amp;LEN((LEFT(A148,SUM(LEN(A148)-LEN(SUBSTITUTE(A148,{"0","1","2"},""))))))))/10))*1+1&amp;""&amp;" to "&amp;""&amp;(SUMPRODUCT(MID(0&amp;(--TRIM(RIGHT(SUBSTITUTE(LEFT(A148,_xlfn.AGGREGATE(16,6,FIND({0,1,2,3,4,5,6,7,8,9},A148,ROW(INDIRECT("1:"&amp;LEN(A148)))),1))," ",REPT(" ",LEN(A148))),LEN(A148)))), LARGE(INDEX(ISNUMBER(--MID((--TRIM(RIGHT(SUBSTITUTE(LEFT(A148,_xlfn.AGGREGATE(16,6,FIND({0,1,2,3,4,5,6,7,8,9},A148,ROW(INDIRECT("1:"&amp;LEN(A148)))),1))," ",REPT(" ",LEN(A148))),LEN(A148)))), ROW(INDIRECT("1:"&amp;LEN((--TRIM(RIGHT(SUBSTITUTE(LEFT(A148,_xlfn.AGGREGATE(16,6,FIND({0,1,2,3,4,5,6,7,8,9},A148,ROW(INDIRECT("1:"&amp;LEN(A148)))),1))," ",REPT(" ",LEN(A148))),LEN(A148))))))), 1)) * ROW(INDIRECT("1:"&amp;LEN((--TRIM(RIGHT(SUBSTITUTE(LEFT(A148,_xlfn.AGGREGATE(16,6,FIND({0,1,2,3,4,5,6,7,8,9},A148,ROW(INDIRECT("1:"&amp;LEN(A148)))),1))," ",REPT(" ",LEN(A148))),LEN(A148))))))), 0), ROW(INDIRECT("1:"&amp;LEN((--TRIM(RIGHT(SUBSTITUTE(LEFT(A148,_xlfn.AGGREGATE(16,6,FIND({0,1,2,3,4,5,6,7,8,9},A148,ROW(INDIRECT("1:"&amp;LEN(A148)))),1))," ",REPT(" ",LEN(A148))),LEN(A148))))))))+1, 1) * 10^ROW(INDIRECT("1:"&amp;LEN((--TRIM(RIGHT(SUBSTITUTE(LEFT(A148,_xlfn.AGGREGATE(16,6,FIND({0,1,2,3,4,5,6,7,8,9},A148,ROW(INDIRECT("1:"&amp;LEN(A148)))),1))," ",REPT(" ",LEN(A148))),LEN(A148)))))))/10))*1+1</f>
        <v>206 to 506</v>
      </c>
      <c r="B149" s="105"/>
      <c r="C149" s="77" t="s">
        <v>321</v>
      </c>
      <c r="D149" s="71">
        <f>(29.53)*10.764</f>
        <v>317.86091999999996</v>
      </c>
      <c r="E149" s="71">
        <f>(7.65+2.75)*10.764</f>
        <v>111.9456</v>
      </c>
      <c r="F149" s="77">
        <f t="shared" si="7"/>
        <v>429.80651999999998</v>
      </c>
      <c r="G149" s="77">
        <v>0</v>
      </c>
      <c r="H149" s="77">
        <f t="shared" si="8"/>
        <v>623.21945399999993</v>
      </c>
      <c r="I149" s="33"/>
      <c r="J149" s="79">
        <f t="shared" ref="J149:J150" si="9">I149/F149</f>
        <v>0</v>
      </c>
      <c r="K149" s="79">
        <f t="shared" ref="K149:K150" si="10">K$135*I149</f>
        <v>0</v>
      </c>
    </row>
    <row r="150" spans="1:20" s="79" customFormat="1" ht="15.75" customHeight="1" x14ac:dyDescent="0.35">
      <c r="A150" s="104" t="str">
        <f ca="1">(SUMPRODUCT(MID(0&amp;(LEFT(A149,SUM(LEN(A149)-LEN(SUBSTITUTE(A149,{"0","1","2"},""))))), LARGE(INDEX(ISNUMBER(--MID((LEFT(A149,SUM(LEN(A149)-LEN(SUBSTITUTE(A149,{"0","1","2"},""))))), ROW(INDIRECT("1:"&amp;LEN((LEFT(A149,SUM(LEN(A149)-LEN(SUBSTITUTE(A149,{"0","1","2"},"")))))))), 1)) * ROW(INDIRECT("1:"&amp;LEN((LEFT(A149,SUM(LEN(A149)-LEN(SUBSTITUTE(A149,{"0","1","2"},"")))))))), 0), ROW(INDIRECT("1:"&amp;LEN((LEFT(A149,SUM(LEN(A149)-LEN(SUBSTITUTE(A149,{"0","1","2"},"")))))))))+1, 1) * 10^ROW(INDIRECT("1:"&amp;LEN((LEFT(A149,SUM(LEN(A149)-LEN(SUBSTITUTE(A149,{"0","1","2"},""))))))))/10))*1+1&amp;""&amp;" to "&amp;""&amp;(SUMPRODUCT(MID(0&amp;(--TRIM(RIGHT(SUBSTITUTE(LEFT(A149,_xlfn.AGGREGATE(16,6,FIND({0,1,2,3,4,5,6,7,8,9},A149,ROW(INDIRECT("1:"&amp;LEN(A149)))),1))," ",REPT(" ",LEN(A149))),LEN(A149)))), LARGE(INDEX(ISNUMBER(--MID((--TRIM(RIGHT(SUBSTITUTE(LEFT(A149,_xlfn.AGGREGATE(16,6,FIND({0,1,2,3,4,5,6,7,8,9},A149,ROW(INDIRECT("1:"&amp;LEN(A149)))),1))," ",REPT(" ",LEN(A149))),LEN(A149)))), ROW(INDIRECT("1:"&amp;LEN((--TRIM(RIGHT(SUBSTITUTE(LEFT(A149,_xlfn.AGGREGATE(16,6,FIND({0,1,2,3,4,5,6,7,8,9},A149,ROW(INDIRECT("1:"&amp;LEN(A149)))),1))," ",REPT(" ",LEN(A149))),LEN(A149))))))), 1)) * ROW(INDIRECT("1:"&amp;LEN((--TRIM(RIGHT(SUBSTITUTE(LEFT(A149,_xlfn.AGGREGATE(16,6,FIND({0,1,2,3,4,5,6,7,8,9},A149,ROW(INDIRECT("1:"&amp;LEN(A149)))),1))," ",REPT(" ",LEN(A149))),LEN(A149))))))), 0), ROW(INDIRECT("1:"&amp;LEN((--TRIM(RIGHT(SUBSTITUTE(LEFT(A149,_xlfn.AGGREGATE(16,6,FIND({0,1,2,3,4,5,6,7,8,9},A149,ROW(INDIRECT("1:"&amp;LEN(A149)))),1))," ",REPT(" ",LEN(A149))),LEN(A149))))))))+1, 1) * 10^ROW(INDIRECT("1:"&amp;LEN((--TRIM(RIGHT(SUBSTITUTE(LEFT(A149,_xlfn.AGGREGATE(16,6,FIND({0,1,2,3,4,5,6,7,8,9},A149,ROW(INDIRECT("1:"&amp;LEN(A149)))),1))," ",REPT(" ",LEN(A149))),LEN(A149)))))))/10))*1+1</f>
        <v>207 to 507</v>
      </c>
      <c r="B150" s="105"/>
      <c r="C150" s="77" t="s">
        <v>321</v>
      </c>
      <c r="D150" s="71">
        <f>(27.45)*10.764</f>
        <v>295.47179999999997</v>
      </c>
      <c r="E150" s="71">
        <f>(7.3+2.7)*10.764</f>
        <v>107.63999999999999</v>
      </c>
      <c r="F150" s="77">
        <f t="shared" si="7"/>
        <v>403.11179999999996</v>
      </c>
      <c r="G150" s="77">
        <v>0</v>
      </c>
      <c r="H150" s="77">
        <f t="shared" si="8"/>
        <v>584.51210999999989</v>
      </c>
      <c r="I150" s="33"/>
      <c r="J150" s="79">
        <f t="shared" si="9"/>
        <v>0</v>
      </c>
      <c r="K150" s="79">
        <f t="shared" si="10"/>
        <v>0</v>
      </c>
    </row>
    <row r="151" spans="1:20" s="79" customFormat="1" x14ac:dyDescent="0.35">
      <c r="A151" s="215" t="s">
        <v>342</v>
      </c>
      <c r="B151" s="216"/>
      <c r="C151" s="216"/>
      <c r="D151" s="216"/>
      <c r="E151" s="216"/>
      <c r="F151" s="216"/>
      <c r="G151" s="216"/>
      <c r="H151" s="217"/>
      <c r="J151" s="71"/>
    </row>
    <row r="152" spans="1:20" s="79" customFormat="1" ht="15.75" customHeight="1" x14ac:dyDescent="0.35">
      <c r="A152" s="104">
        <v>601</v>
      </c>
      <c r="B152" s="105"/>
      <c r="C152" s="77" t="s">
        <v>321</v>
      </c>
      <c r="D152" s="71">
        <f>(28.41+1.35)*10.764</f>
        <v>320.33663999999999</v>
      </c>
      <c r="E152" s="71">
        <f>(7.3)*10.764</f>
        <v>78.577199999999991</v>
      </c>
      <c r="F152" s="77">
        <f t="shared" ref="F152:F158" si="11">D152+E152</f>
        <v>398.91383999999999</v>
      </c>
      <c r="G152" s="77">
        <v>0</v>
      </c>
      <c r="H152" s="77">
        <f t="shared" ref="H152:H158" si="12">F152*(($H$134)+1)+(IF(G152&lt;101,G152,IF(G152&lt;201,G152/2,IF(G152&lt;=301,G152/3,G152/4))))</f>
        <v>578.42506800000001</v>
      </c>
      <c r="I152" s="33"/>
      <c r="L152" s="103"/>
      <c r="M152" s="103"/>
      <c r="N152" s="33"/>
      <c r="T152" s="18"/>
    </row>
    <row r="153" spans="1:20" s="79" customFormat="1" ht="15.75" customHeight="1" x14ac:dyDescent="0.35">
      <c r="A153" s="104">
        <f t="shared" ref="A153:A158" si="13">A152+1</f>
        <v>602</v>
      </c>
      <c r="B153" s="105"/>
      <c r="C153" s="77" t="s">
        <v>322</v>
      </c>
      <c r="D153" s="71">
        <f>(16.88)*10.764</f>
        <v>181.69631999999999</v>
      </c>
      <c r="E153" s="71">
        <f>(4.22+1.95)*10.764</f>
        <v>66.413879999999992</v>
      </c>
      <c r="F153" s="77">
        <f t="shared" si="11"/>
        <v>248.11019999999996</v>
      </c>
      <c r="G153" s="77">
        <v>0</v>
      </c>
      <c r="H153" s="77">
        <f t="shared" si="12"/>
        <v>359.75978999999995</v>
      </c>
      <c r="I153" s="80"/>
      <c r="J153" s="81"/>
      <c r="K153" s="81"/>
      <c r="L153" s="103"/>
      <c r="M153" s="103"/>
      <c r="N153" s="33"/>
    </row>
    <row r="154" spans="1:20" s="79" customFormat="1" ht="15.75" customHeight="1" x14ac:dyDescent="0.35">
      <c r="A154" s="104">
        <f t="shared" si="13"/>
        <v>603</v>
      </c>
      <c r="B154" s="105"/>
      <c r="C154" s="77" t="s">
        <v>321</v>
      </c>
      <c r="D154" s="71">
        <f>(24.84+1.35)*10.764</f>
        <v>281.90915999999999</v>
      </c>
      <c r="E154" s="71">
        <f>(7.5+6.95)*10.764</f>
        <v>155.53979999999999</v>
      </c>
      <c r="F154" s="77">
        <f t="shared" si="11"/>
        <v>437.44895999999994</v>
      </c>
      <c r="G154" s="77">
        <v>0</v>
      </c>
      <c r="H154" s="77">
        <f t="shared" si="12"/>
        <v>634.30099199999995</v>
      </c>
      <c r="I154" s="80"/>
      <c r="J154" s="81"/>
      <c r="K154" s="81"/>
      <c r="L154" s="103"/>
      <c r="M154" s="103"/>
      <c r="N154" s="33"/>
    </row>
    <row r="155" spans="1:20" s="79" customFormat="1" ht="15.75" customHeight="1" x14ac:dyDescent="0.35">
      <c r="A155" s="104">
        <f t="shared" si="13"/>
        <v>604</v>
      </c>
      <c r="B155" s="105"/>
      <c r="C155" s="77" t="s">
        <v>321</v>
      </c>
      <c r="D155" s="71">
        <f>(26.66)*10.764</f>
        <v>286.96823999999998</v>
      </c>
      <c r="E155" s="71">
        <f>(7.8+7.6)*10.764</f>
        <v>165.76559999999998</v>
      </c>
      <c r="F155" s="77">
        <f t="shared" si="11"/>
        <v>452.73383999999999</v>
      </c>
      <c r="G155" s="77">
        <v>0</v>
      </c>
      <c r="H155" s="77">
        <f t="shared" si="12"/>
        <v>656.464068</v>
      </c>
      <c r="I155" s="80"/>
      <c r="J155" s="81"/>
      <c r="K155" s="81"/>
      <c r="L155" s="103"/>
      <c r="M155" s="103"/>
      <c r="N155" s="33"/>
    </row>
    <row r="156" spans="1:20" s="79" customFormat="1" ht="15.75" customHeight="1" x14ac:dyDescent="0.35">
      <c r="A156" s="104">
        <f t="shared" si="13"/>
        <v>605</v>
      </c>
      <c r="B156" s="105"/>
      <c r="C156" s="77" t="s">
        <v>321</v>
      </c>
      <c r="D156" s="71">
        <f>(24.97)*10.764</f>
        <v>268.77707999999996</v>
      </c>
      <c r="E156" s="71">
        <f>(7.45+7.35)*10.764</f>
        <v>159.30719999999999</v>
      </c>
      <c r="F156" s="77">
        <f t="shared" si="11"/>
        <v>428.08427999999992</v>
      </c>
      <c r="G156" s="77">
        <v>0</v>
      </c>
      <c r="H156" s="77">
        <f t="shared" si="12"/>
        <v>620.72220599999991</v>
      </c>
      <c r="I156" s="80"/>
      <c r="J156" s="81"/>
      <c r="K156" s="81"/>
      <c r="L156" s="103"/>
      <c r="M156" s="103"/>
      <c r="N156" s="33"/>
    </row>
    <row r="157" spans="1:20" s="79" customFormat="1" ht="15.75" customHeight="1" x14ac:dyDescent="0.35">
      <c r="A157" s="104">
        <f t="shared" si="13"/>
        <v>606</v>
      </c>
      <c r="B157" s="105"/>
      <c r="C157" s="77" t="s">
        <v>321</v>
      </c>
      <c r="D157" s="71">
        <f>(25.28)*10.764</f>
        <v>272.11392000000001</v>
      </c>
      <c r="E157" s="71">
        <f>(7.65+7.55)*10.764</f>
        <v>163.61279999999999</v>
      </c>
      <c r="F157" s="77">
        <f t="shared" si="11"/>
        <v>435.72672</v>
      </c>
      <c r="G157" s="76">
        <v>0</v>
      </c>
      <c r="H157" s="77">
        <f t="shared" si="12"/>
        <v>631.80374399999994</v>
      </c>
      <c r="I157" s="80"/>
      <c r="J157" s="81"/>
      <c r="K157" s="81"/>
      <c r="L157" s="103"/>
      <c r="M157" s="103"/>
      <c r="N157" s="33"/>
    </row>
    <row r="158" spans="1:20" s="79" customFormat="1" ht="15.75" customHeight="1" x14ac:dyDescent="0.35">
      <c r="A158" s="104">
        <f t="shared" si="13"/>
        <v>607</v>
      </c>
      <c r="B158" s="105"/>
      <c r="C158" s="77" t="s">
        <v>321</v>
      </c>
      <c r="D158" s="71">
        <f>(27.45)*10.764</f>
        <v>295.47179999999997</v>
      </c>
      <c r="E158" s="71">
        <f>(7.3+2.7)*10.764</f>
        <v>107.63999999999999</v>
      </c>
      <c r="F158" s="77">
        <f t="shared" si="11"/>
        <v>403.11179999999996</v>
      </c>
      <c r="G158" s="71">
        <v>0</v>
      </c>
      <c r="H158" s="77">
        <f t="shared" si="12"/>
        <v>584.51210999999989</v>
      </c>
      <c r="I158" s="80"/>
      <c r="J158" s="81"/>
      <c r="K158" s="81"/>
      <c r="L158" s="103"/>
      <c r="M158" s="103"/>
      <c r="N158" s="33"/>
    </row>
    <row r="159" spans="1:20" s="79" customFormat="1" x14ac:dyDescent="0.35">
      <c r="A159" s="215" t="s">
        <v>343</v>
      </c>
      <c r="B159" s="216"/>
      <c r="C159" s="216"/>
      <c r="D159" s="216"/>
      <c r="E159" s="216"/>
      <c r="F159" s="216"/>
      <c r="G159" s="216"/>
      <c r="H159" s="217"/>
      <c r="I159" s="80"/>
      <c r="J159" s="81"/>
      <c r="K159" s="81"/>
    </row>
    <row r="160" spans="1:20" s="79" customFormat="1" ht="15.75" customHeight="1" x14ac:dyDescent="0.35">
      <c r="A160" s="104">
        <v>701</v>
      </c>
      <c r="B160" s="105"/>
      <c r="C160" s="77" t="s">
        <v>321</v>
      </c>
      <c r="D160" s="71">
        <f>(27.76+1.35)*10.764</f>
        <v>313.34003999999999</v>
      </c>
      <c r="E160" s="71">
        <f>(7.3+1.15)*10.764</f>
        <v>90.955799999999982</v>
      </c>
      <c r="F160" s="77">
        <f t="shared" ref="F160:F166" si="14">D160+E160</f>
        <v>404.29584</v>
      </c>
      <c r="G160" s="77">
        <v>0</v>
      </c>
      <c r="H160" s="77">
        <f t="shared" ref="H160:H166" si="15">F160*(($H$134)+1)+(IF(G160&lt;101,G160,IF(G160&lt;201,G160/2,IF(G160&lt;=301,G160/3,G160/4))))</f>
        <v>586.22896800000001</v>
      </c>
      <c r="I160" s="80"/>
      <c r="J160" s="81"/>
      <c r="K160" s="81"/>
      <c r="L160" s="103"/>
      <c r="M160" s="103"/>
      <c r="N160" s="33"/>
      <c r="T160" s="18"/>
    </row>
    <row r="161" spans="1:14" s="79" customFormat="1" ht="15.75" customHeight="1" x14ac:dyDescent="0.35">
      <c r="A161" s="104">
        <f t="shared" ref="A161:A166" si="16">A160+1</f>
        <v>702</v>
      </c>
      <c r="B161" s="105"/>
      <c r="C161" s="77" t="s">
        <v>322</v>
      </c>
      <c r="D161" s="71">
        <f>(14.78)*10.764</f>
        <v>159.09191999999999</v>
      </c>
      <c r="E161" s="71">
        <f>(4.22+4.35)*10.764</f>
        <v>92.247479999999996</v>
      </c>
      <c r="F161" s="77">
        <f t="shared" si="14"/>
        <v>251.33939999999998</v>
      </c>
      <c r="G161" s="77">
        <v>0</v>
      </c>
      <c r="H161" s="77">
        <f t="shared" si="15"/>
        <v>364.44212999999996</v>
      </c>
      <c r="I161" s="80"/>
      <c r="J161" s="81"/>
      <c r="K161" s="81"/>
      <c r="L161" s="103"/>
      <c r="M161" s="103"/>
      <c r="N161" s="33"/>
    </row>
    <row r="162" spans="1:14" s="79" customFormat="1" ht="15.75" customHeight="1" x14ac:dyDescent="0.35">
      <c r="A162" s="104">
        <f t="shared" si="16"/>
        <v>703</v>
      </c>
      <c r="B162" s="105"/>
      <c r="C162" s="77" t="s">
        <v>321</v>
      </c>
      <c r="D162" s="71">
        <f>(24.84+1.35)*10.764</f>
        <v>281.90915999999999</v>
      </c>
      <c r="E162" s="71">
        <f>(7.5+6.95)*10.764</f>
        <v>155.53979999999999</v>
      </c>
      <c r="F162" s="77">
        <f t="shared" si="14"/>
        <v>437.44895999999994</v>
      </c>
      <c r="G162" s="77">
        <v>0</v>
      </c>
      <c r="H162" s="77">
        <f t="shared" si="15"/>
        <v>634.30099199999995</v>
      </c>
      <c r="I162" s="33"/>
      <c r="J162" s="33"/>
      <c r="L162" s="103"/>
      <c r="M162" s="103"/>
      <c r="N162" s="33"/>
    </row>
    <row r="163" spans="1:14" s="79" customFormat="1" ht="15.75" customHeight="1" x14ac:dyDescent="0.35">
      <c r="A163" s="104">
        <f t="shared" si="16"/>
        <v>704</v>
      </c>
      <c r="B163" s="105"/>
      <c r="C163" s="77" t="s">
        <v>321</v>
      </c>
      <c r="D163" s="71">
        <f>(26.66)*10.764</f>
        <v>286.96823999999998</v>
      </c>
      <c r="E163" s="71">
        <f>(7.8+7.6)*10.764</f>
        <v>165.76559999999998</v>
      </c>
      <c r="F163" s="77">
        <f t="shared" si="14"/>
        <v>452.73383999999999</v>
      </c>
      <c r="G163" s="77">
        <v>0</v>
      </c>
      <c r="H163" s="77">
        <f t="shared" si="15"/>
        <v>656.464068</v>
      </c>
      <c r="I163" s="33"/>
      <c r="L163" s="103"/>
      <c r="M163" s="103"/>
      <c r="N163" s="33"/>
    </row>
    <row r="164" spans="1:14" s="79" customFormat="1" ht="15.75" customHeight="1" x14ac:dyDescent="0.35">
      <c r="A164" s="104">
        <f t="shared" si="16"/>
        <v>705</v>
      </c>
      <c r="B164" s="105"/>
      <c r="C164" s="77" t="s">
        <v>321</v>
      </c>
      <c r="D164" s="71">
        <f>(24.97)*10.764</f>
        <v>268.77707999999996</v>
      </c>
      <c r="E164" s="71">
        <f>(7.45+7.35)*10.764</f>
        <v>159.30719999999999</v>
      </c>
      <c r="F164" s="77">
        <f t="shared" si="14"/>
        <v>428.08427999999992</v>
      </c>
      <c r="G164" s="77">
        <v>0</v>
      </c>
      <c r="H164" s="77">
        <f t="shared" si="15"/>
        <v>620.72220599999991</v>
      </c>
      <c r="I164" s="33"/>
      <c r="L164" s="103"/>
      <c r="M164" s="103"/>
      <c r="N164" s="33"/>
    </row>
    <row r="165" spans="1:14" s="79" customFormat="1" ht="15.75" customHeight="1" x14ac:dyDescent="0.35">
      <c r="A165" s="104">
        <f t="shared" si="16"/>
        <v>706</v>
      </c>
      <c r="B165" s="105"/>
      <c r="C165" s="77" t="s">
        <v>321</v>
      </c>
      <c r="D165" s="71">
        <f>(25.28)*10.764</f>
        <v>272.11392000000001</v>
      </c>
      <c r="E165" s="71">
        <f>(7.65+7.55)*10.764</f>
        <v>163.61279999999999</v>
      </c>
      <c r="F165" s="77">
        <f t="shared" si="14"/>
        <v>435.72672</v>
      </c>
      <c r="G165" s="76">
        <v>0</v>
      </c>
      <c r="H165" s="77">
        <f t="shared" si="15"/>
        <v>631.80374399999994</v>
      </c>
      <c r="I165" s="33"/>
      <c r="J165" s="33"/>
      <c r="L165" s="103"/>
      <c r="M165" s="103"/>
      <c r="N165" s="33"/>
    </row>
    <row r="166" spans="1:14" s="79" customFormat="1" ht="15.75" customHeight="1" x14ac:dyDescent="0.35">
      <c r="A166" s="104">
        <f t="shared" si="16"/>
        <v>707</v>
      </c>
      <c r="B166" s="105"/>
      <c r="C166" s="77" t="s">
        <v>321</v>
      </c>
      <c r="D166" s="71">
        <f>(27.45)*10.764</f>
        <v>295.47179999999997</v>
      </c>
      <c r="E166" s="71">
        <f>(7.3+2.7)*10.764</f>
        <v>107.63999999999999</v>
      </c>
      <c r="F166" s="77">
        <f t="shared" si="14"/>
        <v>403.11179999999996</v>
      </c>
      <c r="G166" s="71">
        <v>0</v>
      </c>
      <c r="H166" s="77">
        <f t="shared" si="15"/>
        <v>584.51210999999989</v>
      </c>
      <c r="I166" s="33"/>
      <c r="L166" s="103"/>
      <c r="M166" s="103"/>
      <c r="N166" s="33"/>
    </row>
    <row r="167" spans="1:14" s="34" customFormat="1" hidden="1" x14ac:dyDescent="0.35">
      <c r="A167" s="225" t="s">
        <v>117</v>
      </c>
      <c r="B167" s="225"/>
      <c r="C167" s="225"/>
      <c r="D167" s="225"/>
      <c r="E167" s="225"/>
      <c r="F167" s="225"/>
      <c r="G167" s="225"/>
      <c r="H167" s="225"/>
      <c r="I167" s="33"/>
      <c r="J167" s="59" t="e">
        <f t="shared" ref="J167:J190" si="17">I167/F167</f>
        <v>#DIV/0!</v>
      </c>
      <c r="K167" s="59">
        <f t="shared" ref="K167:K190" si="18">K$135*I167</f>
        <v>0</v>
      </c>
      <c r="L167" s="103"/>
      <c r="M167" s="103"/>
    </row>
    <row r="168" spans="1:14" s="34" customFormat="1" hidden="1" x14ac:dyDescent="0.35">
      <c r="A168" s="202">
        <f>LEFT(A167,SUM(LEN(A167)-LEN(SUBSTITUTE(A167,{"0","1","2","3","4","5","6","7","8","9"},""))))*100+1</f>
        <v>201</v>
      </c>
      <c r="B168" s="202"/>
      <c r="C168" s="39"/>
      <c r="D168" s="39"/>
      <c r="E168" s="48">
        <v>0</v>
      </c>
      <c r="F168" s="48">
        <f>D168+E168</f>
        <v>0</v>
      </c>
      <c r="G168" s="48">
        <v>0</v>
      </c>
      <c r="H168" s="48">
        <f>F168*(($H$134)+1)+(IF(G168&lt;101,G168,IF(G168&lt;201,G168/2,IF(G168&lt;=301,G168/3,G168/4))))</f>
        <v>0</v>
      </c>
      <c r="I168" s="33"/>
      <c r="J168" s="59" t="e">
        <f t="shared" si="17"/>
        <v>#DIV/0!</v>
      </c>
      <c r="K168" s="59">
        <f t="shared" si="18"/>
        <v>0</v>
      </c>
      <c r="N168" s="33"/>
    </row>
    <row r="169" spans="1:14" s="34" customFormat="1" hidden="1" x14ac:dyDescent="0.35">
      <c r="A169" s="202">
        <f>A168+1</f>
        <v>202</v>
      </c>
      <c r="B169" s="202"/>
      <c r="C169" s="39"/>
      <c r="D169" s="39"/>
      <c r="E169" s="48">
        <v>0</v>
      </c>
      <c r="F169" s="48">
        <f>D169+E169</f>
        <v>0</v>
      </c>
      <c r="G169" s="48">
        <v>0</v>
      </c>
      <c r="H169" s="48">
        <f>F169*(($H$134)+1)+(IF(G169&lt;101,G169,IF(G169&lt;201,G169/2,IF(G169&lt;=301,G169/3,G169/4))))</f>
        <v>0</v>
      </c>
      <c r="I169" s="33"/>
      <c r="J169" s="59" t="e">
        <f t="shared" si="17"/>
        <v>#DIV/0!</v>
      </c>
      <c r="K169" s="59">
        <f t="shared" si="18"/>
        <v>0</v>
      </c>
      <c r="N169" s="33"/>
    </row>
    <row r="170" spans="1:14" s="34" customFormat="1" hidden="1" x14ac:dyDescent="0.35">
      <c r="A170" s="202">
        <f>A169+1</f>
        <v>203</v>
      </c>
      <c r="B170" s="202"/>
      <c r="C170" s="39"/>
      <c r="D170" s="39"/>
      <c r="E170" s="48">
        <v>0</v>
      </c>
      <c r="F170" s="48">
        <f>D170+E170</f>
        <v>0</v>
      </c>
      <c r="G170" s="48">
        <v>0</v>
      </c>
      <c r="H170" s="48">
        <f>F170*(($H$134)+1)+(IF(G170&lt;101,G170,IF(G170&lt;201,G170/2,IF(G170&lt;=301,G170/3,G170/4))))</f>
        <v>0</v>
      </c>
      <c r="I170" s="33"/>
      <c r="J170" s="59" t="e">
        <f t="shared" si="17"/>
        <v>#DIV/0!</v>
      </c>
      <c r="K170" s="59">
        <f t="shared" si="18"/>
        <v>0</v>
      </c>
      <c r="N170" s="33"/>
    </row>
    <row r="171" spans="1:14" s="34" customFormat="1" hidden="1" x14ac:dyDescent="0.35">
      <c r="A171" s="202">
        <f>A170+1</f>
        <v>204</v>
      </c>
      <c r="B171" s="202"/>
      <c r="C171" s="39"/>
      <c r="D171" s="39"/>
      <c r="E171" s="48">
        <v>0</v>
      </c>
      <c r="F171" s="48">
        <f>D171+E171</f>
        <v>0</v>
      </c>
      <c r="G171" s="48">
        <v>0</v>
      </c>
      <c r="H171" s="48">
        <f>F171*(($H$134)+1)+(IF(G171&lt;101,G171,IF(G171&lt;201,G171/2,IF(G171&lt;=301,G171/3,G171/4))))</f>
        <v>0</v>
      </c>
      <c r="I171" s="33"/>
      <c r="J171" s="59" t="e">
        <f t="shared" si="17"/>
        <v>#DIV/0!</v>
      </c>
      <c r="K171" s="59">
        <f t="shared" si="18"/>
        <v>0</v>
      </c>
      <c r="N171" s="33"/>
    </row>
    <row r="172" spans="1:14" s="34" customFormat="1" hidden="1" x14ac:dyDescent="0.35">
      <c r="A172" s="202">
        <f>A171+1</f>
        <v>205</v>
      </c>
      <c r="B172" s="202"/>
      <c r="C172" s="39"/>
      <c r="D172" s="39"/>
      <c r="E172" s="48">
        <v>0</v>
      </c>
      <c r="F172" s="48">
        <f>D172+E172</f>
        <v>0</v>
      </c>
      <c r="G172" s="48">
        <v>0</v>
      </c>
      <c r="H172" s="48">
        <f>F172*(($H$134)+1)+(IF(G172&lt;101,G172,IF(G172&lt;201,G172/2,IF(G172&lt;=301,G172/3,G172/4))))</f>
        <v>0</v>
      </c>
      <c r="I172" s="33"/>
      <c r="J172" s="59" t="e">
        <f t="shared" si="17"/>
        <v>#DIV/0!</v>
      </c>
      <c r="K172" s="59">
        <f t="shared" si="18"/>
        <v>0</v>
      </c>
      <c r="N172" s="33"/>
    </row>
    <row r="173" spans="1:14" s="34" customFormat="1" ht="15.75" hidden="1" customHeight="1" x14ac:dyDescent="0.35">
      <c r="A173" s="215" t="s">
        <v>149</v>
      </c>
      <c r="B173" s="216"/>
      <c r="C173" s="216"/>
      <c r="D173" s="216"/>
      <c r="E173" s="216"/>
      <c r="F173" s="216"/>
      <c r="G173" s="216"/>
      <c r="H173" s="217"/>
      <c r="I173" s="33"/>
      <c r="J173" s="59" t="e">
        <f t="shared" si="17"/>
        <v>#DIV/0!</v>
      </c>
      <c r="K173" s="59">
        <f t="shared" si="18"/>
        <v>0</v>
      </c>
    </row>
    <row r="174" spans="1:14" s="34" customFormat="1" ht="15.75" hidden="1" customHeight="1" x14ac:dyDescent="0.35">
      <c r="A174" s="104" t="str">
        <f ca="1">(SUMPRODUCT(MID(0&amp;(LEFT(A173,SUM(LEN(A173)-LEN(SUBSTITUTE(A173,{"0","1","2"},""))))), LARGE(INDEX(ISNUMBER(--MID((LEFT(A173,SUM(LEN(A173)-LEN(SUBSTITUTE(A173,{"0","1","2"},""))))), ROW(INDIRECT("1:"&amp;LEN((LEFT(A173,SUM(LEN(A173)-LEN(SUBSTITUTE(A173,{"0","1","2"},"")))))))), 1)) * ROW(INDIRECT("1:"&amp;LEN((LEFT(A173,SUM(LEN(A173)-LEN(SUBSTITUTE(A173,{"0","1","2"},"")))))))), 0), ROW(INDIRECT("1:"&amp;LEN((LEFT(A173,SUM(LEN(A173)-LEN(SUBSTITUTE(A173,{"0","1","2"},"")))))))))+1, 1) * 10^ROW(INDIRECT("1:"&amp;LEN((LEFT(A173,SUM(LEN(A173)-LEN(SUBSTITUTE(A173,{"0","1","2"},""))))))))/10))*100+1&amp;""&amp;" ,.., "&amp;""&amp;(SUMPRODUCT(MID(0&amp;(--TRIM(RIGHT(SUBSTITUTE(LEFT(A173,_xlfn.AGGREGATE(16,6,FIND({0,1,2,3,4,5,6,7,8,9},A173,ROW(INDIRECT("1:"&amp;LEN(A173)))),1))," ",REPT(" ",LEN(A173))),LEN(A173)))), LARGE(INDEX(ISNUMBER(--MID((--TRIM(RIGHT(SUBSTITUTE(LEFT(A173,_xlfn.AGGREGATE(16,6,FIND({0,1,2,3,4,5,6,7,8,9},A173,ROW(INDIRECT("1:"&amp;LEN(A173)))),1))," ",REPT(" ",LEN(A173))),LEN(A173)))), ROW(INDIRECT("1:"&amp;LEN((--TRIM(RIGHT(SUBSTITUTE(LEFT(A173,_xlfn.AGGREGATE(16,6,FIND({0,1,2,3,4,5,6,7,8,9},A173,ROW(INDIRECT("1:"&amp;LEN(A173)))),1))," ",REPT(" ",LEN(A173))),LEN(A173))))))), 1)) * ROW(INDIRECT("1:"&amp;LEN((--TRIM(RIGHT(SUBSTITUTE(LEFT(A173,_xlfn.AGGREGATE(16,6,FIND({0,1,2,3,4,5,6,7,8,9},A173,ROW(INDIRECT("1:"&amp;LEN(A173)))),1))," ",REPT(" ",LEN(A173))),LEN(A173))))))), 0), ROW(INDIRECT("1:"&amp;LEN((--TRIM(RIGHT(SUBSTITUTE(LEFT(A173,_xlfn.AGGREGATE(16,6,FIND({0,1,2,3,4,5,6,7,8,9},A173,ROW(INDIRECT("1:"&amp;LEN(A173)))),1))," ",REPT(" ",LEN(A173))),LEN(A173))))))))+1, 1) * 10^ROW(INDIRECT("1:"&amp;LEN((--TRIM(RIGHT(SUBSTITUTE(LEFT(A173,_xlfn.AGGREGATE(16,6,FIND({0,1,2,3,4,5,6,7,8,9},A173,ROW(INDIRECT("1:"&amp;LEN(A173)))),1))," ",REPT(" ",LEN(A173))),LEN(A173)))))))/10))*100+1</f>
        <v>301 ,.., 1501</v>
      </c>
      <c r="B174" s="105"/>
      <c r="C174" s="39"/>
      <c r="D174" s="39"/>
      <c r="E174" s="48">
        <v>0</v>
      </c>
      <c r="F174" s="48">
        <f>D174+E174</f>
        <v>0</v>
      </c>
      <c r="G174" s="48">
        <v>0</v>
      </c>
      <c r="H174" s="48">
        <f>F174*(($H$134)+1)+(IF(G174&lt;101,G174,IF(G174&lt;201,G174/2,IF(G174&lt;=301,G174/3,G174/4))))</f>
        <v>0</v>
      </c>
      <c r="I174" s="33"/>
      <c r="J174" s="59" t="e">
        <f t="shared" si="17"/>
        <v>#DIV/0!</v>
      </c>
      <c r="K174" s="59">
        <f t="shared" si="18"/>
        <v>0</v>
      </c>
    </row>
    <row r="175" spans="1:14" s="34" customFormat="1" ht="15.75" hidden="1" customHeight="1" x14ac:dyDescent="0.35">
      <c r="A175" s="104"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10^ROW(INDIRECT("1:"&amp;LEN((LEFT(A174,SUM(LEN(A174)-LEN(SUBSTITUTE(A174,{"0","1","2"},""))))))))/10))*1+1&amp;""&amp;" ,..,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",LEN(A174))),LEN(A174)))))))/10))*1+1</f>
        <v>302 ,.., 1502</v>
      </c>
      <c r="B175" s="105"/>
      <c r="C175" s="39"/>
      <c r="D175" s="39"/>
      <c r="E175" s="48">
        <v>0</v>
      </c>
      <c r="F175" s="48">
        <f>D175+E175</f>
        <v>0</v>
      </c>
      <c r="G175" s="48">
        <v>0</v>
      </c>
      <c r="H175" s="48">
        <f>F175*(($H$134)+1)+(IF(G175&lt;101,G175,IF(G175&lt;201,G175/2,IF(G175&lt;=301,G175/3,G175/4))))</f>
        <v>0</v>
      </c>
      <c r="I175" s="33"/>
      <c r="J175" s="59" t="e">
        <f t="shared" si="17"/>
        <v>#DIV/0!</v>
      </c>
      <c r="K175" s="59">
        <f t="shared" si="18"/>
        <v>0</v>
      </c>
    </row>
    <row r="176" spans="1:14" s="34" customFormat="1" ht="15.75" hidden="1" customHeight="1" x14ac:dyDescent="0.35">
      <c r="A176" s="104"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303 ,.., 1503</v>
      </c>
      <c r="B176" s="105"/>
      <c r="C176" s="39"/>
      <c r="D176" s="39"/>
      <c r="E176" s="48">
        <v>0</v>
      </c>
      <c r="F176" s="48">
        <f>D176+E176</f>
        <v>0</v>
      </c>
      <c r="G176" s="48">
        <v>0</v>
      </c>
      <c r="H176" s="48">
        <f>F176*(($H$134)+1)+(IF(G176&lt;101,G176,IF(G176&lt;201,G176/2,IF(G176&lt;=301,G176/3,G176/4))))</f>
        <v>0</v>
      </c>
      <c r="I176" s="33"/>
      <c r="J176" s="59" t="e">
        <f t="shared" si="17"/>
        <v>#DIV/0!</v>
      </c>
      <c r="K176" s="59">
        <f t="shared" si="18"/>
        <v>0</v>
      </c>
    </row>
    <row r="177" spans="1:20" s="34" customFormat="1" ht="15.75" hidden="1" customHeight="1" x14ac:dyDescent="0.35">
      <c r="A177" s="104"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304 ,.., 1504</v>
      </c>
      <c r="B177" s="105"/>
      <c r="C177" s="39"/>
      <c r="D177" s="39"/>
      <c r="E177" s="48">
        <v>0</v>
      </c>
      <c r="F177" s="48">
        <f>D177+E177</f>
        <v>0</v>
      </c>
      <c r="G177" s="48">
        <v>0</v>
      </c>
      <c r="H177" s="48">
        <f>F177*(($H$134)+1)+(IF(G177&lt;101,G177,IF(G177&lt;201,G177/2,IF(G177&lt;=301,G177/3,G177/4))))</f>
        <v>0</v>
      </c>
      <c r="I177" s="33"/>
      <c r="J177" s="59" t="e">
        <f t="shared" si="17"/>
        <v>#DIV/0!</v>
      </c>
      <c r="K177" s="59">
        <f t="shared" si="18"/>
        <v>0</v>
      </c>
    </row>
    <row r="178" spans="1:20" s="34" customFormat="1" ht="15.75" hidden="1" customHeight="1" x14ac:dyDescent="0.35">
      <c r="A178" s="104"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305 ,.., 1505</v>
      </c>
      <c r="B178" s="105"/>
      <c r="C178" s="39"/>
      <c r="D178" s="39"/>
      <c r="E178" s="48">
        <v>0</v>
      </c>
      <c r="F178" s="48">
        <f>D178+E178</f>
        <v>0</v>
      </c>
      <c r="G178" s="48">
        <v>0</v>
      </c>
      <c r="H178" s="48">
        <f>F178*(($H$134)+1)+(IF(G178&lt;101,G178,IF(G178&lt;201,G178/2,IF(G178&lt;=301,G178/3,G178/4))))</f>
        <v>0</v>
      </c>
      <c r="I178" s="33"/>
      <c r="J178" s="59" t="e">
        <f t="shared" si="17"/>
        <v>#DIV/0!</v>
      </c>
      <c r="K178" s="59">
        <f t="shared" si="18"/>
        <v>0</v>
      </c>
    </row>
    <row r="179" spans="1:20" s="34" customFormat="1" hidden="1" x14ac:dyDescent="0.35">
      <c r="A179" s="215" t="s">
        <v>143</v>
      </c>
      <c r="B179" s="216"/>
      <c r="C179" s="216"/>
      <c r="D179" s="216"/>
      <c r="E179" s="216"/>
      <c r="F179" s="216"/>
      <c r="G179" s="216"/>
      <c r="H179" s="217"/>
      <c r="I179" s="33"/>
      <c r="J179" s="59" t="e">
        <f t="shared" si="17"/>
        <v>#DIV/0!</v>
      </c>
      <c r="K179" s="59">
        <f t="shared" si="18"/>
        <v>0</v>
      </c>
    </row>
    <row r="180" spans="1:20" s="34" customFormat="1" ht="15.75" hidden="1" customHeight="1" x14ac:dyDescent="0.35">
      <c r="A180" s="104"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10^ROW(INDIRECT("1:"&amp;LEN((LEFT(A179,SUM(LEN(A179)-LEN(SUBSTITUTE(A179,{"0","1","2"},""))))))))/10))*100+1&amp;""&amp;" to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",LEN(A179))),LEN(A179)))))))/10))*100+1</f>
        <v>201 to 501</v>
      </c>
      <c r="B180" s="105"/>
      <c r="C180" s="39"/>
      <c r="D180" s="39"/>
      <c r="E180" s="48">
        <v>0</v>
      </c>
      <c r="F180" s="48">
        <f>D180+E180</f>
        <v>0</v>
      </c>
      <c r="G180" s="48">
        <v>0</v>
      </c>
      <c r="H180" s="48">
        <f>F180*(($H$134)+1)+(IF(G180&lt;101,G180,IF(G180&lt;201,G180/2,IF(G180&lt;=301,G180/3,G180/4))))</f>
        <v>0</v>
      </c>
      <c r="I180" s="33"/>
      <c r="J180" s="59" t="e">
        <f t="shared" si="17"/>
        <v>#DIV/0!</v>
      </c>
      <c r="K180" s="59">
        <f t="shared" si="18"/>
        <v>0</v>
      </c>
    </row>
    <row r="181" spans="1:20" s="34" customFormat="1" ht="15.75" hidden="1" customHeight="1" x14ac:dyDescent="0.35">
      <c r="A181" s="104"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to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202 to 502</v>
      </c>
      <c r="B181" s="105"/>
      <c r="C181" s="39"/>
      <c r="D181" s="39"/>
      <c r="E181" s="48">
        <v>0</v>
      </c>
      <c r="F181" s="48">
        <f>D181+E181</f>
        <v>0</v>
      </c>
      <c r="G181" s="48">
        <v>0</v>
      </c>
      <c r="H181" s="48">
        <f>F181*(($H$134)+1)+(IF(G181&lt;101,G181,IF(G181&lt;201,G181/2,IF(G181&lt;=301,G181/3,G181/4))))</f>
        <v>0</v>
      </c>
      <c r="I181" s="33"/>
      <c r="J181" s="59" t="e">
        <f t="shared" si="17"/>
        <v>#DIV/0!</v>
      </c>
      <c r="K181" s="59">
        <f t="shared" si="18"/>
        <v>0</v>
      </c>
    </row>
    <row r="182" spans="1:20" s="34" customFormat="1" ht="15.75" hidden="1" customHeight="1" x14ac:dyDescent="0.35">
      <c r="A182" s="104"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to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203 to 503</v>
      </c>
      <c r="B182" s="105"/>
      <c r="C182" s="39"/>
      <c r="D182" s="39"/>
      <c r="E182" s="48">
        <v>0</v>
      </c>
      <c r="F182" s="48">
        <f>D182+E182</f>
        <v>0</v>
      </c>
      <c r="G182" s="48">
        <v>0</v>
      </c>
      <c r="H182" s="48">
        <f>F182*(($H$134)+1)+(IF(G182&lt;101,G182,IF(G182&lt;201,G182/2,IF(G182&lt;=301,G182/3,G182/4))))</f>
        <v>0</v>
      </c>
      <c r="I182" s="33"/>
      <c r="J182" s="59" t="e">
        <f t="shared" si="17"/>
        <v>#DIV/0!</v>
      </c>
      <c r="K182" s="59">
        <f t="shared" si="18"/>
        <v>0</v>
      </c>
    </row>
    <row r="183" spans="1:20" s="34" customFormat="1" ht="15.75" hidden="1" customHeight="1" x14ac:dyDescent="0.35">
      <c r="A183" s="104"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to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204 to 504</v>
      </c>
      <c r="B183" s="105"/>
      <c r="C183" s="39"/>
      <c r="D183" s="39"/>
      <c r="E183" s="48">
        <v>0</v>
      </c>
      <c r="F183" s="48">
        <f>D183+E183</f>
        <v>0</v>
      </c>
      <c r="G183" s="48">
        <v>0</v>
      </c>
      <c r="H183" s="48">
        <f>F183*(($H$134)+1)+(IF(G183&lt;101,G183,IF(G183&lt;201,G183/2,IF(G183&lt;=301,G183/3,G183/4))))</f>
        <v>0</v>
      </c>
      <c r="I183" s="33"/>
      <c r="J183" s="59" t="e">
        <f t="shared" si="17"/>
        <v>#DIV/0!</v>
      </c>
      <c r="K183" s="59">
        <f t="shared" si="18"/>
        <v>0</v>
      </c>
    </row>
    <row r="184" spans="1:20" s="34" customFormat="1" ht="15.75" hidden="1" customHeight="1" x14ac:dyDescent="0.35">
      <c r="A184" s="104"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to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205 to 505</v>
      </c>
      <c r="B184" s="105"/>
      <c r="C184" s="39"/>
      <c r="D184" s="39"/>
      <c r="E184" s="48">
        <v>0</v>
      </c>
      <c r="F184" s="48">
        <f>D184+E184</f>
        <v>0</v>
      </c>
      <c r="G184" s="48">
        <v>0</v>
      </c>
      <c r="H184" s="48">
        <f>F184*(($H$134)+1)+(IF(G184&lt;101,G184,IF(G184&lt;201,G184/2,IF(G184&lt;=301,G184/3,G184/4))))</f>
        <v>0</v>
      </c>
      <c r="I184" s="33"/>
      <c r="J184" s="59" t="e">
        <f t="shared" si="17"/>
        <v>#DIV/0!</v>
      </c>
      <c r="K184" s="59">
        <f t="shared" si="18"/>
        <v>0</v>
      </c>
    </row>
    <row r="185" spans="1:20" s="34" customFormat="1" hidden="1" x14ac:dyDescent="0.35">
      <c r="A185" s="215" t="s">
        <v>144</v>
      </c>
      <c r="B185" s="216"/>
      <c r="C185" s="216"/>
      <c r="D185" s="216"/>
      <c r="E185" s="216"/>
      <c r="F185" s="216"/>
      <c r="G185" s="216"/>
      <c r="H185" s="217"/>
      <c r="I185" s="33"/>
      <c r="J185" s="59" t="e">
        <f t="shared" si="17"/>
        <v>#DIV/0!</v>
      </c>
      <c r="K185" s="59">
        <f t="shared" si="18"/>
        <v>0</v>
      </c>
    </row>
    <row r="186" spans="1:20" s="34" customFormat="1" ht="15.75" hidden="1" customHeight="1" x14ac:dyDescent="0.35">
      <c r="A186" s="104"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10^ROW(INDIRECT("1:"&amp;LEN((LEFT(A185,SUM(LEN(A185)-LEN(SUBSTITUTE(A185,{"0","1","2"},""))))))))/10))*100+1&amp;""&amp;" &amp;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",LEN(A185))),LEN(A185)))))))/10))*100+1</f>
        <v>201 &amp; 501</v>
      </c>
      <c r="B186" s="105"/>
      <c r="C186" s="39"/>
      <c r="D186" s="39"/>
      <c r="E186" s="48">
        <v>0</v>
      </c>
      <c r="F186" s="48">
        <f>D186+E186</f>
        <v>0</v>
      </c>
      <c r="G186" s="48">
        <v>0</v>
      </c>
      <c r="H186" s="48">
        <f>F186*(($H$134)+1)+(IF(G186&lt;101,G186,IF(G186&lt;201,G186/2,IF(G186&lt;=301,G186/3,G186/4))))</f>
        <v>0</v>
      </c>
      <c r="I186" s="33"/>
      <c r="J186" s="59" t="e">
        <f t="shared" si="17"/>
        <v>#DIV/0!</v>
      </c>
      <c r="K186" s="59">
        <f t="shared" si="18"/>
        <v>0</v>
      </c>
    </row>
    <row r="187" spans="1:20" s="34" customFormat="1" ht="15.75" hidden="1" customHeight="1" x14ac:dyDescent="0.35">
      <c r="A187" s="104"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&amp;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202 &amp; 502</v>
      </c>
      <c r="B187" s="105"/>
      <c r="C187" s="39"/>
      <c r="D187" s="39"/>
      <c r="E187" s="48">
        <v>0</v>
      </c>
      <c r="F187" s="48">
        <f>D187+E187</f>
        <v>0</v>
      </c>
      <c r="G187" s="48">
        <v>0</v>
      </c>
      <c r="H187" s="48">
        <f>F187*(($H$134)+1)+(IF(G187&lt;101,G187,IF(G187&lt;201,G187/2,IF(G187&lt;=301,G187/3,G187/4))))</f>
        <v>0</v>
      </c>
      <c r="I187" s="33"/>
      <c r="J187" s="59" t="e">
        <f t="shared" si="17"/>
        <v>#DIV/0!</v>
      </c>
      <c r="K187" s="59">
        <f t="shared" si="18"/>
        <v>0</v>
      </c>
    </row>
    <row r="188" spans="1:20" s="34" customFormat="1" ht="15.75" hidden="1" customHeight="1" x14ac:dyDescent="0.35">
      <c r="A188" s="104"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&amp;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203 &amp; 503</v>
      </c>
      <c r="B188" s="105"/>
      <c r="C188" s="39"/>
      <c r="D188" s="39"/>
      <c r="E188" s="48">
        <v>0</v>
      </c>
      <c r="F188" s="48">
        <f>D188+E188</f>
        <v>0</v>
      </c>
      <c r="G188" s="48">
        <v>0</v>
      </c>
      <c r="H188" s="48">
        <f>F188*(($H$134)+1)+(IF(G188&lt;101,G188,IF(G188&lt;201,G188/2,IF(G188&lt;=301,G188/3,G188/4))))</f>
        <v>0</v>
      </c>
      <c r="I188" s="33"/>
      <c r="J188" s="59" t="e">
        <f t="shared" si="17"/>
        <v>#DIV/0!</v>
      </c>
      <c r="K188" s="59">
        <f t="shared" si="18"/>
        <v>0</v>
      </c>
    </row>
    <row r="189" spans="1:20" s="34" customFormat="1" ht="15.75" hidden="1" customHeight="1" x14ac:dyDescent="0.35">
      <c r="A189" s="104"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&amp;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204 &amp; 504</v>
      </c>
      <c r="B189" s="105"/>
      <c r="C189" s="39"/>
      <c r="D189" s="39"/>
      <c r="E189" s="48">
        <v>0</v>
      </c>
      <c r="F189" s="48">
        <f>D189+E189</f>
        <v>0</v>
      </c>
      <c r="G189" s="48">
        <v>0</v>
      </c>
      <c r="H189" s="48">
        <f>F189*(($H$134)+1)+(IF(G189&lt;101,G189,IF(G189&lt;201,G189/2,IF(G189&lt;=301,G189/3,G189/4))))</f>
        <v>0</v>
      </c>
      <c r="I189" s="33"/>
      <c r="J189" s="59" t="e">
        <f t="shared" si="17"/>
        <v>#DIV/0!</v>
      </c>
      <c r="K189" s="59">
        <f t="shared" si="18"/>
        <v>0</v>
      </c>
    </row>
    <row r="190" spans="1:20" s="34" customFormat="1" ht="15.75" hidden="1" customHeight="1" x14ac:dyDescent="0.35">
      <c r="A190" s="104"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&amp;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205 &amp; 505</v>
      </c>
      <c r="B190" s="105"/>
      <c r="C190" s="39"/>
      <c r="D190" s="39"/>
      <c r="E190" s="48">
        <v>0</v>
      </c>
      <c r="F190" s="48">
        <f>D190+E190</f>
        <v>0</v>
      </c>
      <c r="G190" s="48">
        <v>0</v>
      </c>
      <c r="H190" s="48">
        <f>F190*(($H$134)+1)+(IF(G190&lt;101,G190,IF(G190&lt;201,G190/2,IF(G190&lt;=301,G190/3,G190/4))))</f>
        <v>0</v>
      </c>
      <c r="I190" s="33"/>
      <c r="J190" s="59" t="e">
        <f t="shared" si="17"/>
        <v>#DIV/0!</v>
      </c>
      <c r="K190" s="59">
        <f t="shared" si="18"/>
        <v>0</v>
      </c>
    </row>
    <row r="191" spans="1:20" s="32" customFormat="1" x14ac:dyDescent="0.35">
      <c r="A191" s="242" t="s">
        <v>65</v>
      </c>
      <c r="B191" s="242"/>
      <c r="C191" s="242"/>
      <c r="D191" s="242"/>
      <c r="E191" s="242"/>
      <c r="F191" s="242"/>
      <c r="G191" s="242"/>
      <c r="H191" s="242"/>
      <c r="T191" s="34"/>
    </row>
    <row r="192" spans="1:20" s="32" customFormat="1" x14ac:dyDescent="0.35">
      <c r="A192" s="84" t="s">
        <v>153</v>
      </c>
      <c r="B192" s="244" t="s">
        <v>345</v>
      </c>
      <c r="C192" s="244"/>
      <c r="D192" s="244"/>
      <c r="E192" s="244"/>
      <c r="F192" s="244"/>
      <c r="G192" s="244"/>
      <c r="H192" s="244"/>
      <c r="T192" s="34"/>
    </row>
    <row r="193" spans="1:20" s="32" customFormat="1" x14ac:dyDescent="0.35">
      <c r="A193" s="84" t="s">
        <v>153</v>
      </c>
      <c r="B193" s="244" t="str">
        <f>(IF(H133="Saleable area Loading :","We have considered Saleable area of Flats as per our Calculation.","We considered Saleable area of Flat as per Builder area Sheet."))</f>
        <v>We have considered Saleable area of Flats as per our Calculation.</v>
      </c>
      <c r="C193" s="244"/>
      <c r="D193" s="244"/>
      <c r="E193" s="244"/>
      <c r="F193" s="244"/>
      <c r="G193" s="244"/>
      <c r="H193" s="244"/>
      <c r="T193" s="34"/>
    </row>
    <row r="194" spans="1:20" s="32" customFormat="1" x14ac:dyDescent="0.35">
      <c r="A194" s="84" t="s">
        <v>153</v>
      </c>
      <c r="B194" s="244" t="str">
        <f>(IF(H126="Saleable area Loading :","We have considered Saleable area of Commercial as per our Calculation.","We considered Saleable area of Commercial as per Builder area Sheet."))</f>
        <v>We have considered Saleable area of Commercial as per our Calculation.</v>
      </c>
      <c r="C194" s="244"/>
      <c r="D194" s="244"/>
      <c r="E194" s="244"/>
      <c r="F194" s="244"/>
      <c r="G194" s="244"/>
      <c r="H194" s="244"/>
    </row>
    <row r="195" spans="1:20" s="32" customFormat="1" x14ac:dyDescent="0.35">
      <c r="A195" s="84" t="s">
        <v>153</v>
      </c>
      <c r="B195" s="245" t="s">
        <v>120</v>
      </c>
      <c r="C195" s="245"/>
      <c r="D195" s="245"/>
      <c r="E195" s="245"/>
      <c r="F195" s="245"/>
      <c r="G195" s="245"/>
      <c r="H195" s="245"/>
    </row>
    <row r="196" spans="1:20" s="32" customFormat="1" ht="33" customHeight="1" x14ac:dyDescent="0.35">
      <c r="A196" s="84" t="s">
        <v>153</v>
      </c>
      <c r="B196" s="245" t="s">
        <v>348</v>
      </c>
      <c r="C196" s="245"/>
      <c r="D196" s="245"/>
      <c r="E196" s="245"/>
      <c r="F196" s="245"/>
      <c r="G196" s="245"/>
      <c r="H196" s="245"/>
    </row>
    <row r="197" spans="1:20" s="32" customFormat="1" x14ac:dyDescent="0.35">
      <c r="A197" s="84" t="s">
        <v>153</v>
      </c>
      <c r="B197" s="245" t="s">
        <v>152</v>
      </c>
      <c r="C197" s="245"/>
      <c r="D197" s="245"/>
      <c r="E197" s="245"/>
      <c r="F197" s="245"/>
      <c r="G197" s="245"/>
      <c r="H197" s="245"/>
    </row>
    <row r="198" spans="1:20" s="32" customFormat="1" x14ac:dyDescent="0.35">
      <c r="A198" s="84" t="s">
        <v>153</v>
      </c>
      <c r="B198" s="245" t="s">
        <v>121</v>
      </c>
      <c r="C198" s="245"/>
      <c r="D198" s="245"/>
      <c r="E198" s="245"/>
      <c r="F198" s="245"/>
      <c r="G198" s="245"/>
      <c r="H198" s="245"/>
    </row>
    <row r="199" spans="1:20" s="32" customFormat="1" ht="34.5" customHeight="1" x14ac:dyDescent="0.35">
      <c r="A199" s="84" t="s">
        <v>153</v>
      </c>
      <c r="B199" s="245" t="s">
        <v>154</v>
      </c>
      <c r="C199" s="245"/>
      <c r="D199" s="245"/>
      <c r="E199" s="245"/>
      <c r="F199" s="245"/>
      <c r="G199" s="245"/>
      <c r="H199" s="245"/>
    </row>
    <row r="200" spans="1:20" s="32" customFormat="1" x14ac:dyDescent="0.35">
      <c r="A200" s="84" t="s">
        <v>153</v>
      </c>
      <c r="B200" s="245" t="s">
        <v>122</v>
      </c>
      <c r="C200" s="245"/>
      <c r="D200" s="245"/>
      <c r="E200" s="245"/>
      <c r="F200" s="245"/>
      <c r="G200" s="245"/>
      <c r="H200" s="245"/>
    </row>
    <row r="201" spans="1:20" s="32" customFormat="1" hidden="1" x14ac:dyDescent="0.35">
      <c r="A201" s="54" t="s">
        <v>153</v>
      </c>
      <c r="B201" s="221" t="s">
        <v>331</v>
      </c>
      <c r="C201" s="222"/>
      <c r="D201" s="222"/>
      <c r="E201" s="222"/>
      <c r="F201" s="222"/>
      <c r="G201" s="222"/>
      <c r="H201" s="223"/>
    </row>
    <row r="202" spans="1:20" s="32" customFormat="1" x14ac:dyDescent="0.35">
      <c r="A202" s="78" t="s">
        <v>153</v>
      </c>
      <c r="B202" s="221" t="s">
        <v>349</v>
      </c>
      <c r="C202" s="222"/>
      <c r="D202" s="222"/>
      <c r="E202" s="222"/>
      <c r="F202" s="222"/>
      <c r="G202" s="222"/>
      <c r="H202" s="223"/>
    </row>
    <row r="203" spans="1:20" x14ac:dyDescent="0.35">
      <c r="A203" s="206" t="s">
        <v>58</v>
      </c>
      <c r="B203" s="206"/>
      <c r="C203" s="206"/>
      <c r="D203" s="206"/>
      <c r="E203" s="206"/>
      <c r="F203" s="206"/>
      <c r="G203" s="206"/>
      <c r="H203" s="206"/>
      <c r="T203" s="32"/>
    </row>
    <row r="204" spans="1:20" x14ac:dyDescent="0.35">
      <c r="A204" s="101" t="s">
        <v>59</v>
      </c>
      <c r="B204" s="101"/>
      <c r="C204" s="101"/>
      <c r="D204" s="101"/>
      <c r="E204" s="101"/>
      <c r="F204" s="101"/>
      <c r="G204" s="101"/>
      <c r="H204" s="101"/>
      <c r="T204" s="32"/>
    </row>
    <row r="205" spans="1:20" ht="15.75" customHeight="1" x14ac:dyDescent="0.35">
      <c r="A205" s="218" t="s">
        <v>60</v>
      </c>
      <c r="B205" s="218"/>
      <c r="C205" s="218"/>
      <c r="D205" s="218"/>
      <c r="E205" s="218"/>
      <c r="F205" s="218"/>
      <c r="G205" s="218"/>
      <c r="H205" s="218"/>
      <c r="T205" s="32"/>
    </row>
    <row r="206" spans="1:20" x14ac:dyDescent="0.35">
      <c r="A206" s="158" t="s">
        <v>61</v>
      </c>
      <c r="B206" s="158"/>
      <c r="C206" s="158"/>
      <c r="D206" s="158"/>
      <c r="E206" s="158"/>
      <c r="F206" s="158"/>
      <c r="G206" s="158"/>
      <c r="H206" s="158"/>
    </row>
    <row r="207" spans="1:20" x14ac:dyDescent="0.35">
      <c r="A207" s="158" t="s">
        <v>62</v>
      </c>
      <c r="B207" s="158"/>
      <c r="C207" s="158"/>
      <c r="D207" s="158"/>
      <c r="E207" s="158"/>
      <c r="F207" s="158"/>
      <c r="G207" s="158"/>
      <c r="H207" s="158"/>
    </row>
    <row r="208" spans="1:20" x14ac:dyDescent="0.35">
      <c r="A208" s="158" t="s">
        <v>123</v>
      </c>
      <c r="B208" s="158"/>
      <c r="C208" s="158"/>
      <c r="D208" s="158"/>
      <c r="E208" s="158"/>
      <c r="F208" s="158"/>
      <c r="G208" s="158"/>
      <c r="H208" s="158"/>
    </row>
    <row r="209" spans="1:8" ht="34" customHeight="1" x14ac:dyDescent="0.35">
      <c r="A209" s="85" t="s">
        <v>124</v>
      </c>
      <c r="B209" s="85"/>
      <c r="C209" s="85"/>
      <c r="D209" s="85"/>
      <c r="E209" s="85"/>
      <c r="F209" s="85"/>
      <c r="G209" s="85"/>
      <c r="H209" s="85"/>
    </row>
    <row r="210" spans="1:8" x14ac:dyDescent="0.35">
      <c r="A210" s="220" t="s">
        <v>74</v>
      </c>
      <c r="B210" s="220"/>
      <c r="C210" s="220" t="s">
        <v>318</v>
      </c>
      <c r="D210" s="220"/>
      <c r="E210" s="220" t="s">
        <v>104</v>
      </c>
      <c r="F210" s="220"/>
      <c r="G210" s="220" t="s">
        <v>351</v>
      </c>
      <c r="H210" s="220"/>
    </row>
    <row r="211" spans="1:8" x14ac:dyDescent="0.35">
      <c r="A211" s="219" t="s">
        <v>76</v>
      </c>
      <c r="B211" s="219"/>
      <c r="C211" s="219"/>
      <c r="D211" s="219"/>
      <c r="E211" s="219"/>
      <c r="F211" s="219"/>
      <c r="G211" s="219"/>
      <c r="H211" s="219"/>
    </row>
    <row r="212" spans="1:8" x14ac:dyDescent="0.35">
      <c r="A212" s="219"/>
      <c r="B212" s="219"/>
      <c r="C212" s="219"/>
      <c r="D212" s="219"/>
      <c r="E212" s="219"/>
      <c r="F212" s="219"/>
      <c r="G212" s="219"/>
      <c r="H212" s="219"/>
    </row>
    <row r="213" spans="1:8" x14ac:dyDescent="0.35">
      <c r="A213" s="219"/>
      <c r="B213" s="219"/>
      <c r="C213" s="219"/>
      <c r="D213" s="219"/>
      <c r="E213" s="219"/>
      <c r="F213" s="219"/>
      <c r="G213" s="219"/>
      <c r="H213" s="219"/>
    </row>
    <row r="214" spans="1:8" x14ac:dyDescent="0.35">
      <c r="A214" s="219"/>
      <c r="B214" s="219"/>
      <c r="C214" s="219"/>
      <c r="D214" s="219"/>
      <c r="E214" s="219"/>
      <c r="F214" s="219"/>
      <c r="G214" s="219"/>
      <c r="H214" s="219"/>
    </row>
    <row r="215" spans="1:8" x14ac:dyDescent="0.35">
      <c r="A215" s="35" t="s">
        <v>63</v>
      </c>
      <c r="B215" s="36"/>
      <c r="C215" s="36"/>
      <c r="D215" s="35" t="str">
        <f>E9</f>
        <v>Sara City</v>
      </c>
      <c r="F215" s="36"/>
      <c r="G215" s="36"/>
      <c r="H215" s="36"/>
    </row>
    <row r="216" spans="1:8" x14ac:dyDescent="0.35">
      <c r="A216" s="36"/>
      <c r="B216" s="36"/>
      <c r="C216" s="36"/>
      <c r="D216" s="36"/>
      <c r="E216" s="36"/>
      <c r="F216" s="36"/>
      <c r="G216" s="36"/>
      <c r="H216" s="36"/>
    </row>
    <row r="217" spans="1:8" x14ac:dyDescent="0.35">
      <c r="A217" s="36"/>
      <c r="B217" s="36"/>
      <c r="C217" s="36"/>
      <c r="D217" s="36"/>
      <c r="E217" s="36"/>
      <c r="F217" s="36"/>
      <c r="G217" s="36"/>
      <c r="H217" s="36"/>
    </row>
    <row r="218" spans="1:8" ht="15" customHeight="1" x14ac:dyDescent="0.35"/>
    <row r="258" spans="1:1" x14ac:dyDescent="0.35">
      <c r="A258" s="38" t="s">
        <v>164</v>
      </c>
    </row>
    <row r="290" spans="1:1" hidden="1" x14ac:dyDescent="0.35"/>
    <row r="291" spans="1:1" hidden="1" x14ac:dyDescent="0.35"/>
    <row r="292" spans="1:1" hidden="1" x14ac:dyDescent="0.35"/>
    <row r="293" spans="1:1" hidden="1" x14ac:dyDescent="0.35"/>
    <row r="294" spans="1:1" hidden="1" x14ac:dyDescent="0.35"/>
    <row r="295" spans="1:1" hidden="1" x14ac:dyDescent="0.35"/>
    <row r="296" spans="1:1" hidden="1" x14ac:dyDescent="0.35"/>
    <row r="297" spans="1:1" hidden="1" x14ac:dyDescent="0.35"/>
    <row r="298" spans="1:1" hidden="1" x14ac:dyDescent="0.35"/>
    <row r="299" spans="1:1" hidden="1" x14ac:dyDescent="0.35"/>
    <row r="300" spans="1:1" hidden="1" x14ac:dyDescent="0.35"/>
    <row r="301" spans="1:1" x14ac:dyDescent="0.35">
      <c r="A301" s="38" t="s">
        <v>64</v>
      </c>
    </row>
  </sheetData>
  <mergeCells count="372">
    <mergeCell ref="L165:M165"/>
    <mergeCell ref="A166:B166"/>
    <mergeCell ref="L166:M166"/>
    <mergeCell ref="B202:H202"/>
    <mergeCell ref="L157:M157"/>
    <mergeCell ref="A158:B158"/>
    <mergeCell ref="L158:M158"/>
    <mergeCell ref="A159:H159"/>
    <mergeCell ref="A160:B160"/>
    <mergeCell ref="L160:M160"/>
    <mergeCell ref="A161:B161"/>
    <mergeCell ref="L161:M161"/>
    <mergeCell ref="A162:B162"/>
    <mergeCell ref="L162:M162"/>
    <mergeCell ref="L167:M167"/>
    <mergeCell ref="A177:B177"/>
    <mergeCell ref="B196:H196"/>
    <mergeCell ref="A191:H191"/>
    <mergeCell ref="A183:B183"/>
    <mergeCell ref="A184:B184"/>
    <mergeCell ref="L153:M153"/>
    <mergeCell ref="A154:B154"/>
    <mergeCell ref="L154:M154"/>
    <mergeCell ref="A155:B155"/>
    <mergeCell ref="L155:M155"/>
    <mergeCell ref="A156:B156"/>
    <mergeCell ref="L156:M156"/>
    <mergeCell ref="L163:M163"/>
    <mergeCell ref="A164:B164"/>
    <mergeCell ref="L164:M164"/>
    <mergeCell ref="C58:E58"/>
    <mergeCell ref="G58:H58"/>
    <mergeCell ref="A60:B60"/>
    <mergeCell ref="C60:E60"/>
    <mergeCell ref="D62:H62"/>
    <mergeCell ref="F111:H111"/>
    <mergeCell ref="A65:C65"/>
    <mergeCell ref="F103:H103"/>
    <mergeCell ref="L152:M152"/>
    <mergeCell ref="A119:H119"/>
    <mergeCell ref="G120:H120"/>
    <mergeCell ref="A120:B120"/>
    <mergeCell ref="F114:H114"/>
    <mergeCell ref="E116:F116"/>
    <mergeCell ref="A116:B116"/>
    <mergeCell ref="C120:D120"/>
    <mergeCell ref="E120:F120"/>
    <mergeCell ref="I15:P15"/>
    <mergeCell ref="F112:H112"/>
    <mergeCell ref="F110:H110"/>
    <mergeCell ref="E43:H43"/>
    <mergeCell ref="A43:D43"/>
    <mergeCell ref="A50:B50"/>
    <mergeCell ref="C52:E52"/>
    <mergeCell ref="G52:H52"/>
    <mergeCell ref="G60:H60"/>
    <mergeCell ref="A54:B55"/>
    <mergeCell ref="C54:E54"/>
    <mergeCell ref="G54:H54"/>
    <mergeCell ref="A56:B57"/>
    <mergeCell ref="C56:E56"/>
    <mergeCell ref="G56:H56"/>
    <mergeCell ref="A58:B59"/>
    <mergeCell ref="A179:H179"/>
    <mergeCell ref="A173:H173"/>
    <mergeCell ref="A132:H132"/>
    <mergeCell ref="A175:B175"/>
    <mergeCell ref="A143:H143"/>
    <mergeCell ref="A178:B178"/>
    <mergeCell ref="A167:H167"/>
    <mergeCell ref="A169:B169"/>
    <mergeCell ref="A170:B170"/>
    <mergeCell ref="A176:B176"/>
    <mergeCell ref="A157:B157"/>
    <mergeCell ref="A163:B163"/>
    <mergeCell ref="A174:B174"/>
    <mergeCell ref="A172:B172"/>
    <mergeCell ref="A153:B153"/>
    <mergeCell ref="A165:B165"/>
    <mergeCell ref="A180:B180"/>
    <mergeCell ref="A181:B181"/>
    <mergeCell ref="A190:B190"/>
    <mergeCell ref="A189:B189"/>
    <mergeCell ref="B192:H192"/>
    <mergeCell ref="B193:H193"/>
    <mergeCell ref="A204:H204"/>
    <mergeCell ref="B201:H201"/>
    <mergeCell ref="B199:H199"/>
    <mergeCell ref="A182:B182"/>
    <mergeCell ref="B200:H200"/>
    <mergeCell ref="B198:H198"/>
    <mergeCell ref="A203:H203"/>
    <mergeCell ref="B197:H197"/>
    <mergeCell ref="B195:H195"/>
    <mergeCell ref="B194:H194"/>
    <mergeCell ref="A188:B188"/>
    <mergeCell ref="A185:H185"/>
    <mergeCell ref="A186:B186"/>
    <mergeCell ref="A187:B187"/>
    <mergeCell ref="A208:H208"/>
    <mergeCell ref="A205:H205"/>
    <mergeCell ref="A211:H214"/>
    <mergeCell ref="A210:B210"/>
    <mergeCell ref="E210:F210"/>
    <mergeCell ref="C210:D210"/>
    <mergeCell ref="G210:H210"/>
    <mergeCell ref="A206:H206"/>
    <mergeCell ref="A209:H209"/>
    <mergeCell ref="A207:H207"/>
    <mergeCell ref="A129:B129"/>
    <mergeCell ref="A123:B123"/>
    <mergeCell ref="C123:D123"/>
    <mergeCell ref="E123:F123"/>
    <mergeCell ref="A168:B168"/>
    <mergeCell ref="D133:D134"/>
    <mergeCell ref="E133:E134"/>
    <mergeCell ref="A144:B144"/>
    <mergeCell ref="A145:B145"/>
    <mergeCell ref="A146:B146"/>
    <mergeCell ref="A147:B147"/>
    <mergeCell ref="A148:B148"/>
    <mergeCell ref="A149:B149"/>
    <mergeCell ref="A150:B150"/>
    <mergeCell ref="A151:H151"/>
    <mergeCell ref="A152:B152"/>
    <mergeCell ref="A140:B140"/>
    <mergeCell ref="A135:H135"/>
    <mergeCell ref="A125:H125"/>
    <mergeCell ref="A130:B130"/>
    <mergeCell ref="A11:D11"/>
    <mergeCell ref="E11:H11"/>
    <mergeCell ref="A23:D24"/>
    <mergeCell ref="C126:C127"/>
    <mergeCell ref="B133:B134"/>
    <mergeCell ref="A171:B171"/>
    <mergeCell ref="A124:H124"/>
    <mergeCell ref="A133:A134"/>
    <mergeCell ref="F133:F134"/>
    <mergeCell ref="D65:H65"/>
    <mergeCell ref="A61:H61"/>
    <mergeCell ref="A62:C62"/>
    <mergeCell ref="A63:C63"/>
    <mergeCell ref="D63:H63"/>
    <mergeCell ref="A98:B98"/>
    <mergeCell ref="E91:F100"/>
    <mergeCell ref="G90:H90"/>
    <mergeCell ref="E90:F90"/>
    <mergeCell ref="A90:B90"/>
    <mergeCell ref="D72:H72"/>
    <mergeCell ref="A70:C70"/>
    <mergeCell ref="D71:H71"/>
    <mergeCell ref="A77:B77"/>
    <mergeCell ref="G76:H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E14:H14"/>
    <mergeCell ref="A15:D15"/>
    <mergeCell ref="A12:D12"/>
    <mergeCell ref="E12:H12"/>
    <mergeCell ref="A17:B17"/>
    <mergeCell ref="A14:D14"/>
    <mergeCell ref="A19:B19"/>
    <mergeCell ref="C19:D19"/>
    <mergeCell ref="E19:F19"/>
    <mergeCell ref="G19:H19"/>
    <mergeCell ref="A20:B20"/>
    <mergeCell ref="C20:D20"/>
    <mergeCell ref="E20:F20"/>
    <mergeCell ref="G20:H20"/>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F37:H37"/>
    <mergeCell ref="C51:E51"/>
    <mergeCell ref="C50:E50"/>
    <mergeCell ref="G50:H50"/>
    <mergeCell ref="A51:B51"/>
    <mergeCell ref="G51:H51"/>
    <mergeCell ref="A52:B53"/>
    <mergeCell ref="C53:H53"/>
    <mergeCell ref="A39:B39"/>
    <mergeCell ref="C39:H39"/>
    <mergeCell ref="A46:D46"/>
    <mergeCell ref="L131:M131"/>
    <mergeCell ref="L130:M130"/>
    <mergeCell ref="L129:M129"/>
    <mergeCell ref="A84:B84"/>
    <mergeCell ref="C121:D121"/>
    <mergeCell ref="E121:F121"/>
    <mergeCell ref="G121:H121"/>
    <mergeCell ref="A103:E103"/>
    <mergeCell ref="A101:B101"/>
    <mergeCell ref="A128:H128"/>
    <mergeCell ref="E126:E127"/>
    <mergeCell ref="A91:B91"/>
    <mergeCell ref="A47:D47"/>
    <mergeCell ref="A48:H48"/>
    <mergeCell ref="D64:H64"/>
    <mergeCell ref="A64:C64"/>
    <mergeCell ref="A83:B83"/>
    <mergeCell ref="C89:H89"/>
    <mergeCell ref="A45:D45"/>
    <mergeCell ref="E77:F86"/>
    <mergeCell ref="G77:H86"/>
    <mergeCell ref="A40:B40"/>
    <mergeCell ref="C40:H40"/>
    <mergeCell ref="F126:F127"/>
    <mergeCell ref="C117:D117"/>
    <mergeCell ref="E117:F117"/>
    <mergeCell ref="B126:B127"/>
    <mergeCell ref="A126:A127"/>
    <mergeCell ref="C133:C134"/>
    <mergeCell ref="G133:G134"/>
    <mergeCell ref="A49:B49"/>
    <mergeCell ref="C49:H49"/>
    <mergeCell ref="A73:B73"/>
    <mergeCell ref="C73:H73"/>
    <mergeCell ref="A81:B81"/>
    <mergeCell ref="A68:C68"/>
    <mergeCell ref="G59:H59"/>
    <mergeCell ref="D68:H68"/>
    <mergeCell ref="C75:H75"/>
    <mergeCell ref="A78:B78"/>
    <mergeCell ref="A80:B80"/>
    <mergeCell ref="E76:F76"/>
    <mergeCell ref="A69:C69"/>
    <mergeCell ref="D69:H69"/>
    <mergeCell ref="A72:C72"/>
    <mergeCell ref="L138:M138"/>
    <mergeCell ref="C55:H55"/>
    <mergeCell ref="A139:B139"/>
    <mergeCell ref="A76:B76"/>
    <mergeCell ref="G91:H100"/>
    <mergeCell ref="A92:B92"/>
    <mergeCell ref="A93:B93"/>
    <mergeCell ref="F104:H104"/>
    <mergeCell ref="A104:E104"/>
    <mergeCell ref="D126:D127"/>
    <mergeCell ref="A106:E106"/>
    <mergeCell ref="A105:E105"/>
    <mergeCell ref="A102:E102"/>
    <mergeCell ref="F106:H106"/>
    <mergeCell ref="G126:G127"/>
    <mergeCell ref="A79:B79"/>
    <mergeCell ref="A85:B85"/>
    <mergeCell ref="A86:B86"/>
    <mergeCell ref="A75:B75"/>
    <mergeCell ref="C122:D122"/>
    <mergeCell ref="D70:H70"/>
    <mergeCell ref="A71:C71"/>
    <mergeCell ref="A87:B87"/>
    <mergeCell ref="C87:H87"/>
    <mergeCell ref="L140:M140"/>
    <mergeCell ref="A141:B141"/>
    <mergeCell ref="L141:M141"/>
    <mergeCell ref="A142:B142"/>
    <mergeCell ref="L142:M142"/>
    <mergeCell ref="A107:E107"/>
    <mergeCell ref="A122:B122"/>
    <mergeCell ref="E122:F122"/>
    <mergeCell ref="A112:E112"/>
    <mergeCell ref="G122:H122"/>
    <mergeCell ref="A118:B118"/>
    <mergeCell ref="C118:D118"/>
    <mergeCell ref="E118:F118"/>
    <mergeCell ref="G118:H118"/>
    <mergeCell ref="F107:H107"/>
    <mergeCell ref="A136:B136"/>
    <mergeCell ref="A131:B131"/>
    <mergeCell ref="A108:E108"/>
    <mergeCell ref="L139:M139"/>
    <mergeCell ref="A137:B137"/>
    <mergeCell ref="G123:H123"/>
    <mergeCell ref="L137:M137"/>
    <mergeCell ref="A138:B138"/>
    <mergeCell ref="A121:B121"/>
    <mergeCell ref="C59:E59"/>
    <mergeCell ref="C101:D101"/>
    <mergeCell ref="E101:F101"/>
    <mergeCell ref="G101:H101"/>
    <mergeCell ref="F102:H102"/>
    <mergeCell ref="A82:B82"/>
    <mergeCell ref="A100:B100"/>
    <mergeCell ref="A89:B89"/>
    <mergeCell ref="G117:H117"/>
    <mergeCell ref="F109:H109"/>
    <mergeCell ref="C116:D116"/>
    <mergeCell ref="A110:E110"/>
    <mergeCell ref="F105:H105"/>
    <mergeCell ref="A109:E109"/>
    <mergeCell ref="G116:H116"/>
    <mergeCell ref="A111:E111"/>
    <mergeCell ref="F108:H108"/>
    <mergeCell ref="A115:H115"/>
    <mergeCell ref="A113:E113"/>
    <mergeCell ref="F113:H113"/>
    <mergeCell ref="A114:E114"/>
    <mergeCell ref="A117:B117"/>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6:E127">
      <formula1>"Attached Loft area,Attached Otla area,Attached Mezzanine area"</formula1>
    </dataValidation>
    <dataValidation type="list" allowBlank="1" showInputMessage="1" showErrorMessage="1" sqref="F102:H102">
      <formula1>"On Saleable Area,On Builtup Area,On Carpet Area,On Plot Area"</formula1>
    </dataValidation>
    <dataValidation type="list" allowBlank="1" showInputMessage="1" showErrorMessage="1" sqref="B126:B127">
      <formula1>"Shop No. (Sale Plan),Sale / Rehab,Sale / Mhada"</formula1>
    </dataValidation>
    <dataValidation type="list" allowBlank="1" showInputMessage="1" showErrorMessage="1" sqref="B133:B13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3:E134">
      <formula1>"Fungible area,Open/Enc Balcony/ Dry Bal,Chajja Area,Cornice Area,AP Area,WS Area"</formula1>
    </dataValidation>
    <dataValidation type="list" allowBlank="1" showInputMessage="1" showErrorMessage="1" sqref="H127 H13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C96">
      <formula1>0</formula1>
      <formula2>H74</formula2>
    </dataValidation>
    <dataValidation type="list" allowBlank="1" showInputMessage="1" showErrorMessage="1" sqref="F113:H113">
      <formula1>OFFSET($S$102,1,MATCH($G20,$S$102:$W$102,0)-1,15,1)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214" max="16383" man="1"/>
    <brk id="257" max="16383" man="1"/>
    <brk id="30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E8" sqref="E8"/>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3" t="s">
        <v>105</v>
      </c>
      <c r="C3" s="243"/>
      <c r="D3" s="243"/>
      <c r="E3" s="243"/>
      <c r="F3" s="243"/>
      <c r="G3" s="243"/>
      <c r="H3" s="243"/>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6"/>
      <c r="C4" s="46" t="s">
        <v>11</v>
      </c>
      <c r="D4" s="47" t="s">
        <v>179</v>
      </c>
      <c r="E4" s="47" t="s">
        <v>189</v>
      </c>
      <c r="F4" s="47" t="s">
        <v>173</v>
      </c>
      <c r="G4" s="47" t="s">
        <v>194</v>
      </c>
      <c r="H4" s="47" t="s">
        <v>212</v>
      </c>
      <c r="J4" t="s">
        <v>194</v>
      </c>
      <c r="K4" t="s">
        <v>210</v>
      </c>
    </row>
    <row r="5" spans="2:11" x14ac:dyDescent="0.35">
      <c r="B5" s="46"/>
      <c r="C5" s="46"/>
      <c r="D5" s="47" t="s">
        <v>180</v>
      </c>
      <c r="E5" s="47" t="s">
        <v>187</v>
      </c>
      <c r="F5" s="47" t="s">
        <v>209</v>
      </c>
      <c r="G5" s="47" t="s">
        <v>195</v>
      </c>
      <c r="H5" s="47" t="s">
        <v>213</v>
      </c>
    </row>
    <row r="6" spans="2:11" x14ac:dyDescent="0.35">
      <c r="B6" s="46"/>
      <c r="C6" s="46"/>
      <c r="D6" s="47" t="s">
        <v>181</v>
      </c>
      <c r="E6" s="47" t="s">
        <v>188</v>
      </c>
      <c r="F6" s="47" t="s">
        <v>210</v>
      </c>
      <c r="G6" s="47" t="s">
        <v>196</v>
      </c>
      <c r="H6" s="47" t="s">
        <v>226</v>
      </c>
    </row>
    <row r="7" spans="2:11" x14ac:dyDescent="0.35">
      <c r="B7" s="46"/>
      <c r="C7" s="46"/>
      <c r="D7" s="47" t="s">
        <v>182</v>
      </c>
      <c r="E7" s="47" t="s">
        <v>190</v>
      </c>
      <c r="F7" s="47" t="s">
        <v>211</v>
      </c>
      <c r="G7" s="47" t="s">
        <v>197</v>
      </c>
      <c r="H7" s="47" t="s">
        <v>214</v>
      </c>
    </row>
    <row r="8" spans="2:11" x14ac:dyDescent="0.35">
      <c r="B8" s="46"/>
      <c r="C8" s="46"/>
      <c r="D8" s="47" t="s">
        <v>183</v>
      </c>
      <c r="E8" s="47" t="s">
        <v>191</v>
      </c>
      <c r="F8" s="47"/>
      <c r="G8" s="47" t="s">
        <v>198</v>
      </c>
      <c r="H8" s="47" t="s">
        <v>215</v>
      </c>
    </row>
    <row r="9" spans="2:11" x14ac:dyDescent="0.35">
      <c r="B9" s="46"/>
      <c r="C9" s="46"/>
      <c r="D9" s="47" t="s">
        <v>184</v>
      </c>
      <c r="E9" s="47" t="s">
        <v>189</v>
      </c>
      <c r="F9" s="47"/>
      <c r="G9" s="47" t="s">
        <v>199</v>
      </c>
      <c r="H9" s="47" t="s">
        <v>216</v>
      </c>
    </row>
    <row r="10" spans="2:11" x14ac:dyDescent="0.35">
      <c r="B10" s="46"/>
      <c r="C10" s="46"/>
      <c r="D10" s="47" t="s">
        <v>185</v>
      </c>
      <c r="E10" s="47" t="s">
        <v>192</v>
      </c>
      <c r="F10" s="47"/>
      <c r="G10" s="47" t="s">
        <v>200</v>
      </c>
      <c r="H10" s="47" t="s">
        <v>217</v>
      </c>
    </row>
    <row r="11" spans="2:11" x14ac:dyDescent="0.35">
      <c r="B11" s="46"/>
      <c r="C11" s="46"/>
      <c r="D11" s="47" t="s">
        <v>186</v>
      </c>
      <c r="E11" s="47" t="s">
        <v>193</v>
      </c>
      <c r="F11" s="47"/>
      <c r="G11" s="47" t="s">
        <v>201</v>
      </c>
      <c r="H11" s="47" t="s">
        <v>218</v>
      </c>
    </row>
    <row r="12" spans="2:11" x14ac:dyDescent="0.35">
      <c r="B12" s="46"/>
      <c r="C12" s="46"/>
      <c r="D12" s="47"/>
      <c r="E12" s="47"/>
      <c r="F12" s="47"/>
      <c r="G12" s="47" t="s">
        <v>202</v>
      </c>
      <c r="H12" s="47" t="s">
        <v>219</v>
      </c>
    </row>
    <row r="13" spans="2:11" x14ac:dyDescent="0.35">
      <c r="B13" s="46"/>
      <c r="C13" s="46"/>
      <c r="D13" s="47"/>
      <c r="E13" s="47"/>
      <c r="F13" s="47"/>
      <c r="G13" s="47" t="s">
        <v>203</v>
      </c>
      <c r="H13" s="47" t="s">
        <v>220</v>
      </c>
    </row>
    <row r="14" spans="2:11" x14ac:dyDescent="0.35">
      <c r="B14" s="46"/>
      <c r="C14" s="46"/>
      <c r="D14" s="47"/>
      <c r="E14" s="47"/>
      <c r="F14" s="47"/>
      <c r="G14" s="47" t="s">
        <v>204</v>
      </c>
      <c r="H14" s="47" t="s">
        <v>221</v>
      </c>
    </row>
    <row r="15" spans="2:11" x14ac:dyDescent="0.35">
      <c r="B15" s="46"/>
      <c r="C15" s="46"/>
      <c r="D15" s="47"/>
      <c r="E15" s="47"/>
      <c r="F15" s="47"/>
      <c r="G15" s="47" t="s">
        <v>205</v>
      </c>
      <c r="H15" s="47" t="s">
        <v>222</v>
      </c>
    </row>
    <row r="16" spans="2:11" x14ac:dyDescent="0.35">
      <c r="B16" s="46"/>
      <c r="C16" s="46"/>
      <c r="D16" s="47"/>
      <c r="E16" s="47"/>
      <c r="F16" s="47"/>
      <c r="G16" s="47" t="s">
        <v>206</v>
      </c>
      <c r="H16" s="47" t="s">
        <v>223</v>
      </c>
    </row>
    <row r="17" spans="2:8" x14ac:dyDescent="0.35">
      <c r="B17" s="46"/>
      <c r="C17" s="46"/>
      <c r="D17" s="47"/>
      <c r="E17" s="47"/>
      <c r="F17" s="47"/>
      <c r="G17" s="47" t="s">
        <v>207</v>
      </c>
      <c r="H17" s="47" t="s">
        <v>224</v>
      </c>
    </row>
    <row r="18" spans="2:8" x14ac:dyDescent="0.35">
      <c r="B18" s="46"/>
      <c r="C18" s="46"/>
      <c r="D18" s="47"/>
      <c r="E18" s="47"/>
      <c r="F18" s="47"/>
      <c r="G18" s="47" t="s">
        <v>208</v>
      </c>
      <c r="H18" s="47" t="s">
        <v>225</v>
      </c>
    </row>
    <row r="24" spans="2:8" x14ac:dyDescent="0.35">
      <c r="C24" t="s">
        <v>170</v>
      </c>
    </row>
    <row r="25" spans="2:8" x14ac:dyDescent="0.35">
      <c r="C25" t="s">
        <v>227</v>
      </c>
    </row>
    <row r="26" spans="2:8" x14ac:dyDescent="0.35">
      <c r="C26" t="s">
        <v>228</v>
      </c>
    </row>
    <row r="27" spans="2:8" x14ac:dyDescent="0.35">
      <c r="C27" t="s">
        <v>229</v>
      </c>
    </row>
    <row r="28" spans="2:8" x14ac:dyDescent="0.35">
      <c r="C28" t="s">
        <v>230</v>
      </c>
    </row>
    <row r="29" spans="2:8" x14ac:dyDescent="0.35">
      <c r="C29" t="s">
        <v>231</v>
      </c>
    </row>
    <row r="30" spans="2:8" x14ac:dyDescent="0.35">
      <c r="C30" t="s">
        <v>170</v>
      </c>
    </row>
    <row r="33" spans="3:11" x14ac:dyDescent="0.35">
      <c r="J33">
        <v>1</v>
      </c>
      <c r="K33">
        <v>2</v>
      </c>
    </row>
    <row r="34" spans="3:11" x14ac:dyDescent="0.35">
      <c r="C34" s="49" t="s">
        <v>236</v>
      </c>
      <c r="D34" s="47" t="s">
        <v>234</v>
      </c>
      <c r="E34" s="47" t="s">
        <v>239</v>
      </c>
      <c r="F34" s="47" t="s">
        <v>237</v>
      </c>
      <c r="G34" s="47" t="s">
        <v>238</v>
      </c>
      <c r="H34" s="47" t="s">
        <v>240</v>
      </c>
      <c r="J34" t="s">
        <v>194</v>
      </c>
      <c r="K34" t="s">
        <v>210</v>
      </c>
    </row>
    <row r="35" spans="3:11" x14ac:dyDescent="0.35">
      <c r="C35" s="46" t="s">
        <v>235</v>
      </c>
      <c r="D35" s="47" t="s">
        <v>171</v>
      </c>
      <c r="E35" s="47" t="s">
        <v>244</v>
      </c>
      <c r="F35" s="47" t="s">
        <v>246</v>
      </c>
      <c r="G35" s="47" t="s">
        <v>248</v>
      </c>
      <c r="H35" s="47"/>
    </row>
    <row r="36" spans="3:11" x14ac:dyDescent="0.35">
      <c r="C36" s="46"/>
      <c r="D36" s="47" t="s">
        <v>241</v>
      </c>
      <c r="E36" s="47" t="s">
        <v>245</v>
      </c>
      <c r="F36" s="47" t="s">
        <v>247</v>
      </c>
      <c r="G36" s="47" t="s">
        <v>249</v>
      </c>
      <c r="H36" s="47"/>
    </row>
    <row r="37" spans="3:11" x14ac:dyDescent="0.35">
      <c r="C37" s="46"/>
      <c r="D37" s="47" t="s">
        <v>242</v>
      </c>
      <c r="E37" s="47"/>
      <c r="F37" s="47"/>
      <c r="G37" s="47" t="s">
        <v>250</v>
      </c>
      <c r="H37" s="47"/>
    </row>
    <row r="38" spans="3:11" x14ac:dyDescent="0.35">
      <c r="C38" s="46"/>
      <c r="D38" s="47" t="s">
        <v>243</v>
      </c>
      <c r="E38" s="47"/>
      <c r="F38" s="47"/>
      <c r="G38" s="47" t="s">
        <v>250</v>
      </c>
      <c r="H38" s="47"/>
    </row>
    <row r="39" spans="3:11" x14ac:dyDescent="0.35">
      <c r="C39" s="46"/>
      <c r="D39" s="47"/>
      <c r="E39" s="47"/>
      <c r="F39" s="47"/>
      <c r="G39" s="47" t="s">
        <v>251</v>
      </c>
      <c r="H39" s="47"/>
    </row>
    <row r="40" spans="3:11" x14ac:dyDescent="0.35">
      <c r="C40" s="46"/>
      <c r="D40" s="47"/>
      <c r="E40" s="47"/>
      <c r="F40" s="47"/>
      <c r="G40" s="47" t="s">
        <v>252</v>
      </c>
      <c r="H40" s="47"/>
    </row>
    <row r="41" spans="3:11" x14ac:dyDescent="0.35">
      <c r="C41" s="46"/>
      <c r="D41" s="47"/>
      <c r="E41" s="47"/>
      <c r="F41" s="47"/>
      <c r="G41" s="47"/>
      <c r="H41" s="47"/>
    </row>
    <row r="43" spans="3:11" x14ac:dyDescent="0.35">
      <c r="C43" t="s">
        <v>253</v>
      </c>
    </row>
    <row r="44" spans="3:11" x14ac:dyDescent="0.35">
      <c r="C44" t="s">
        <v>173</v>
      </c>
      <c r="D44" t="s">
        <v>254</v>
      </c>
    </row>
    <row r="45" spans="3:11" x14ac:dyDescent="0.35">
      <c r="D45" t="s">
        <v>255</v>
      </c>
    </row>
    <row r="46" spans="3:11" x14ac:dyDescent="0.35">
      <c r="D46" t="s">
        <v>256</v>
      </c>
    </row>
    <row r="47" spans="3:11" x14ac:dyDescent="0.35">
      <c r="D47" t="s">
        <v>257</v>
      </c>
    </row>
    <row r="48" spans="3:11" x14ac:dyDescent="0.35">
      <c r="D48" t="s">
        <v>258</v>
      </c>
    </row>
    <row r="49" spans="3:4" x14ac:dyDescent="0.35">
      <c r="C49" t="s">
        <v>179</v>
      </c>
      <c r="D49" t="s">
        <v>259</v>
      </c>
    </row>
    <row r="50" spans="3:4" x14ac:dyDescent="0.35">
      <c r="D50" t="s">
        <v>260</v>
      </c>
    </row>
    <row r="51" spans="3:4" x14ac:dyDescent="0.35">
      <c r="D51" t="s">
        <v>261</v>
      </c>
    </row>
    <row r="52" spans="3:4" x14ac:dyDescent="0.35">
      <c r="D52" t="s">
        <v>264</v>
      </c>
    </row>
    <row r="53" spans="3:4" x14ac:dyDescent="0.35">
      <c r="D53" t="s">
        <v>262</v>
      </c>
    </row>
    <row r="54" spans="3:4" x14ac:dyDescent="0.35">
      <c r="D54" t="s">
        <v>263</v>
      </c>
    </row>
    <row r="55" spans="3:4" x14ac:dyDescent="0.35">
      <c r="D55" t="s">
        <v>265</v>
      </c>
    </row>
    <row r="56" spans="3:4" x14ac:dyDescent="0.35">
      <c r="D56" t="s">
        <v>266</v>
      </c>
    </row>
    <row r="57" spans="3:4" x14ac:dyDescent="0.35">
      <c r="D57" t="s">
        <v>267</v>
      </c>
    </row>
    <row r="58" spans="3:4" x14ac:dyDescent="0.35">
      <c r="D58" t="s">
        <v>269</v>
      </c>
    </row>
    <row r="59" spans="3:4" x14ac:dyDescent="0.35">
      <c r="D59" t="s">
        <v>278</v>
      </c>
    </row>
    <row r="60" spans="3:4" x14ac:dyDescent="0.35">
      <c r="C60" t="s">
        <v>194</v>
      </c>
      <c r="D60" t="s">
        <v>270</v>
      </c>
    </row>
    <row r="61" spans="3:4" x14ac:dyDescent="0.35">
      <c r="D61" t="s">
        <v>268</v>
      </c>
    </row>
    <row r="62" spans="3:4" x14ac:dyDescent="0.35">
      <c r="D62" t="s">
        <v>258</v>
      </c>
    </row>
    <row r="63" spans="3:4" x14ac:dyDescent="0.35">
      <c r="D63" t="s">
        <v>271</v>
      </c>
    </row>
    <row r="64" spans="3:4" x14ac:dyDescent="0.35">
      <c r="D64" t="s">
        <v>272</v>
      </c>
    </row>
    <row r="65" spans="3:4" x14ac:dyDescent="0.35">
      <c r="D65" t="s">
        <v>273</v>
      </c>
    </row>
    <row r="66" spans="3:4" x14ac:dyDescent="0.35">
      <c r="D66" t="s">
        <v>274</v>
      </c>
    </row>
    <row r="67" spans="3:4" x14ac:dyDescent="0.35">
      <c r="C67" t="s">
        <v>189</v>
      </c>
      <c r="D67" t="s">
        <v>275</v>
      </c>
    </row>
    <row r="68" spans="3:4" x14ac:dyDescent="0.35">
      <c r="D68" t="s">
        <v>276</v>
      </c>
    </row>
    <row r="69" spans="3:4" x14ac:dyDescent="0.3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50">
        <v>1</v>
      </c>
      <c r="C2" s="53" t="s">
        <v>283</v>
      </c>
    </row>
    <row r="3" spans="2:3" x14ac:dyDescent="0.35">
      <c r="B3" s="50">
        <v>2</v>
      </c>
      <c r="C3" s="51" t="s">
        <v>284</v>
      </c>
    </row>
    <row r="4" spans="2:3" x14ac:dyDescent="0.35">
      <c r="B4" s="50">
        <v>3</v>
      </c>
      <c r="C4" s="52" t="s">
        <v>285</v>
      </c>
    </row>
    <row r="5" spans="2:3" x14ac:dyDescent="0.35">
      <c r="B5" s="50">
        <v>4</v>
      </c>
      <c r="C5" s="51" t="s">
        <v>286</v>
      </c>
    </row>
    <row r="6" spans="2:3" x14ac:dyDescent="0.35">
      <c r="B6" s="50">
        <v>5</v>
      </c>
      <c r="C6" s="52" t="s">
        <v>287</v>
      </c>
    </row>
    <row r="7" spans="2:3" ht="29" x14ac:dyDescent="0.35">
      <c r="B7" s="50">
        <v>6</v>
      </c>
      <c r="C7" s="51" t="s">
        <v>288</v>
      </c>
    </row>
    <row r="8" spans="2:3" ht="72.5" x14ac:dyDescent="0.35">
      <c r="B8" s="50">
        <v>7</v>
      </c>
      <c r="C8" s="51" t="s">
        <v>289</v>
      </c>
    </row>
    <row r="9" spans="2:3" x14ac:dyDescent="0.35">
      <c r="B9" s="50">
        <v>8</v>
      </c>
      <c r="C9" s="52" t="s">
        <v>290</v>
      </c>
    </row>
    <row r="10" spans="2:3" x14ac:dyDescent="0.35">
      <c r="B10" s="50">
        <v>9</v>
      </c>
      <c r="C10" s="52" t="s">
        <v>291</v>
      </c>
    </row>
    <row r="11" spans="2:3" x14ac:dyDescent="0.35">
      <c r="B11" s="50">
        <v>10</v>
      </c>
      <c r="C11" s="52" t="s">
        <v>292</v>
      </c>
    </row>
    <row r="12" spans="2:3" x14ac:dyDescent="0.35">
      <c r="B12" s="50">
        <v>11</v>
      </c>
      <c r="C12" s="52" t="s">
        <v>293</v>
      </c>
    </row>
    <row r="13" spans="2:3" x14ac:dyDescent="0.35">
      <c r="B13" s="50">
        <v>12</v>
      </c>
      <c r="C13" s="52" t="s">
        <v>294</v>
      </c>
    </row>
    <row r="14" spans="2:3" x14ac:dyDescent="0.35">
      <c r="B14" s="50">
        <v>13</v>
      </c>
      <c r="C14" s="52" t="s">
        <v>295</v>
      </c>
    </row>
    <row r="15" spans="2:3" x14ac:dyDescent="0.35">
      <c r="B15" s="50">
        <v>14</v>
      </c>
      <c r="C15" s="52"/>
    </row>
    <row r="16" spans="2:3" x14ac:dyDescent="0.35">
      <c r="B16" s="50">
        <v>15</v>
      </c>
      <c r="C16" s="52"/>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2025-07-12T15:26:44Z</cp:lastPrinted>
  <dcterms:created xsi:type="dcterms:W3CDTF">2019-07-16T09:29:46Z</dcterms:created>
  <dcterms:modified xsi:type="dcterms:W3CDTF">2025-07-12T15:27:27Z</dcterms:modified>
</cp:coreProperties>
</file>