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14-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Report!$A$1:$H$308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4" i="1" l="1"/>
  <c r="I58" i="1" l="1"/>
  <c r="E125" i="1" l="1"/>
  <c r="D125" i="1"/>
  <c r="E124" i="1"/>
  <c r="D124" i="1"/>
  <c r="E122" i="1"/>
  <c r="D122" i="1"/>
  <c r="E121" i="1"/>
  <c r="D121" i="1"/>
  <c r="F121" i="1" s="1"/>
  <c r="H121" i="1" s="1"/>
  <c r="J121" i="1" s="1"/>
  <c r="D113" i="1"/>
  <c r="I121" i="1"/>
  <c r="I113" i="1"/>
  <c r="A122" i="1"/>
  <c r="I42" i="1"/>
  <c r="F124" i="1" l="1"/>
  <c r="H124" i="1"/>
  <c r="K124" i="1" s="1"/>
  <c r="I124" i="1"/>
  <c r="F125" i="1"/>
  <c r="H125" i="1" s="1"/>
  <c r="K125" i="1" s="1"/>
  <c r="F122" i="1"/>
  <c r="H122" i="1" s="1"/>
  <c r="F114" i="1"/>
  <c r="H114" i="1" s="1"/>
  <c r="F115" i="1"/>
  <c r="H115" i="1" s="1"/>
  <c r="F116" i="1"/>
  <c r="H116" i="1" s="1"/>
  <c r="F113" i="1"/>
  <c r="G105" i="1" l="1"/>
  <c r="G106" i="1" s="1"/>
  <c r="J122" i="1"/>
  <c r="J87" i="1" s="1"/>
  <c r="I87" i="1" s="1"/>
  <c r="C105" i="1"/>
  <c r="C106" i="1" s="1"/>
  <c r="H113" i="1"/>
  <c r="G101" i="1" s="1"/>
  <c r="G102" i="1" s="1"/>
  <c r="E101" i="1"/>
  <c r="E102" i="1" s="1"/>
  <c r="C101" i="1"/>
  <c r="C102" i="1" s="1"/>
  <c r="E105" i="1"/>
  <c r="E106" i="1" s="1"/>
  <c r="B157" i="1"/>
  <c r="G55" i="1" l="1"/>
  <c r="C55" i="1"/>
  <c r="S32" i="1" l="1"/>
  <c r="F11" i="5" l="1"/>
  <c r="G11" i="5" s="1"/>
  <c r="F10" i="5"/>
  <c r="G10" i="5" s="1"/>
  <c r="F9" i="5"/>
  <c r="G9" i="5" s="1"/>
  <c r="F8" i="5"/>
  <c r="G8" i="5" s="1"/>
  <c r="F7" i="5"/>
  <c r="G7" i="5" s="1"/>
  <c r="F6" i="5"/>
  <c r="G6" i="5" s="1"/>
  <c r="F5" i="5"/>
  <c r="G5" i="5" s="1"/>
  <c r="G12" i="5" s="1"/>
  <c r="D180" i="1"/>
  <c r="B158" i="1"/>
  <c r="F154" i="1"/>
  <c r="H154" i="1" s="1"/>
  <c r="F153" i="1"/>
  <c r="H153" i="1" s="1"/>
  <c r="F152" i="1"/>
  <c r="H152" i="1" s="1"/>
  <c r="F151" i="1"/>
  <c r="H151" i="1" s="1"/>
  <c r="F150" i="1"/>
  <c r="H150" i="1" s="1"/>
  <c r="F148" i="1"/>
  <c r="H148" i="1" s="1"/>
  <c r="F147" i="1"/>
  <c r="H147" i="1" s="1"/>
  <c r="F146" i="1"/>
  <c r="H146" i="1" s="1"/>
  <c r="F145" i="1"/>
  <c r="H145" i="1" s="1"/>
  <c r="F144" i="1"/>
  <c r="H144" i="1" s="1"/>
  <c r="F142" i="1"/>
  <c r="H142" i="1" s="1"/>
  <c r="F141" i="1"/>
  <c r="H141" i="1" s="1"/>
  <c r="F140" i="1"/>
  <c r="H140" i="1" s="1"/>
  <c r="F139" i="1"/>
  <c r="H139" i="1" s="1"/>
  <c r="F138" i="1"/>
  <c r="H138" i="1" s="1"/>
  <c r="F136" i="1"/>
  <c r="H136" i="1" s="1"/>
  <c r="F135" i="1"/>
  <c r="H135" i="1" s="1"/>
  <c r="F134" i="1"/>
  <c r="H134" i="1" s="1"/>
  <c r="F133" i="1"/>
  <c r="H133" i="1" s="1"/>
  <c r="F132" i="1"/>
  <c r="H132" i="1" s="1"/>
  <c r="A132" i="1"/>
  <c r="A133" i="1" s="1"/>
  <c r="A134" i="1" s="1"/>
  <c r="A135" i="1" s="1"/>
  <c r="A136" i="1" s="1"/>
  <c r="F130" i="1"/>
  <c r="H130" i="1" s="1"/>
  <c r="F129" i="1"/>
  <c r="H129" i="1" s="1"/>
  <c r="F128" i="1"/>
  <c r="H128" i="1" s="1"/>
  <c r="A128" i="1"/>
  <c r="A129" i="1" s="1"/>
  <c r="A130" i="1" s="1"/>
  <c r="F127" i="1"/>
  <c r="H127" i="1" s="1"/>
  <c r="A114" i="1"/>
  <c r="A115" i="1" s="1"/>
  <c r="A116" i="1" s="1"/>
  <c r="G107" i="1"/>
  <c r="E107" i="1"/>
  <c r="C107" i="1"/>
  <c r="F98" i="1"/>
  <c r="C72" i="1"/>
  <c r="D66" i="1"/>
  <c r="D61" i="1"/>
  <c r="G50" i="1"/>
  <c r="C50" i="1"/>
  <c r="E43" i="1"/>
  <c r="E44" i="1" s="1"/>
  <c r="E30" i="1"/>
  <c r="E27" i="1"/>
  <c r="E25" i="1"/>
  <c r="C15" i="1"/>
  <c r="I14" i="1"/>
  <c r="E8" i="1"/>
  <c r="E3" i="1"/>
  <c r="H73" i="1"/>
  <c r="A138" i="1"/>
  <c r="A150" i="1"/>
  <c r="A144" i="1"/>
  <c r="J72" i="1" l="1"/>
  <c r="J74" i="1" s="1"/>
  <c r="J75" i="1"/>
  <c r="J76" i="1"/>
  <c r="J77" i="1"/>
  <c r="C76" i="1" s="1"/>
  <c r="D80" i="1"/>
  <c r="D82" i="1"/>
  <c r="D81" i="1"/>
  <c r="D85" i="1"/>
  <c r="D79" i="1"/>
  <c r="D84" i="1"/>
  <c r="D78" i="1"/>
  <c r="D83" i="1"/>
  <c r="B73" i="1"/>
  <c r="J78" i="1" s="1"/>
  <c r="A139" i="1"/>
  <c r="A145" i="1"/>
  <c r="A151" i="1"/>
  <c r="D76" i="1" l="1"/>
  <c r="J82" i="1"/>
  <c r="J80" i="1"/>
  <c r="J81" i="1"/>
  <c r="J79" i="1"/>
  <c r="J84" i="1" s="1"/>
  <c r="J85" i="1" s="1"/>
  <c r="C77" i="1" s="1"/>
  <c r="J83" i="1"/>
  <c r="A146" i="1"/>
  <c r="A152" i="1"/>
  <c r="A140" i="1"/>
  <c r="J73" i="1" l="1"/>
  <c r="E76" i="1"/>
  <c r="D77" i="1"/>
  <c r="I73" i="1" s="1"/>
  <c r="G76" i="1"/>
  <c r="D70" i="1" s="1"/>
  <c r="A141" i="1"/>
  <c r="A147" i="1"/>
  <c r="A153" i="1"/>
  <c r="F71" i="1" l="1"/>
  <c r="D71" i="1"/>
  <c r="I74" i="1"/>
  <c r="I72" i="1" s="1"/>
  <c r="C74" i="1" s="1"/>
  <c r="A142" i="1"/>
  <c r="A148" i="1"/>
  <c r="A154"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C54" authorId="1" shapeId="0">
      <text>
        <r>
          <rPr>
            <b/>
            <sz val="9"/>
            <color indexed="81"/>
            <rFont val="Tahoma"/>
            <family val="2"/>
          </rPr>
          <t>SACHIN:</t>
        </r>
        <r>
          <rPr>
            <sz val="9"/>
            <color indexed="81"/>
            <rFont val="Tahoma"/>
            <family val="2"/>
          </rPr>
          <t xml:space="preserve">
Floor with height</t>
        </r>
      </text>
    </comment>
    <comment ref="C56" authorId="1" shapeId="0">
      <text>
        <r>
          <rPr>
            <b/>
            <sz val="9"/>
            <color indexed="81"/>
            <rFont val="Tahoma"/>
            <family val="2"/>
          </rPr>
          <t>SACHIN:</t>
        </r>
        <r>
          <rPr>
            <sz val="9"/>
            <color indexed="81"/>
            <rFont val="Tahoma"/>
            <family val="2"/>
          </rPr>
          <t xml:space="preserve">
Survey Nos.</t>
        </r>
      </text>
    </comment>
    <comment ref="C58" authorId="1" shapeId="0">
      <text>
        <r>
          <rPr>
            <b/>
            <sz val="9"/>
            <color indexed="81"/>
            <rFont val="Tahoma"/>
            <family val="2"/>
          </rPr>
          <t>SACHIN:</t>
        </r>
        <r>
          <rPr>
            <sz val="9"/>
            <color indexed="81"/>
            <rFont val="Tahoma"/>
            <family val="2"/>
          </rPr>
          <t xml:space="preserve">
Height from AMSL</t>
        </r>
      </text>
    </comment>
    <comment ref="D61"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1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<sst xmlns="http://schemas.openxmlformats.org/spreadsheetml/2006/main" count="526" uniqueCount="351">
  <si>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</si>
  <si>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</si>
  <si>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</si>
  <si>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</si>
  <si>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</si>
  <si>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</si>
  <si>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</si>
  <si>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</si>
  <si>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</si>
  <si>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</si>
  <si>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</si>
  <si>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</si>
  <si>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</si>
  <si>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</si>
  <si>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</si>
  <si>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</si>
  <si>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</si>
  <si>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</si>
  <si>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</si>
  <si>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</si>
  <si>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</si>
  <si>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</si>
  <si>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</si>
  <si>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</si>
  <si>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</si>
  <si>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</si>
  <si>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</si>
  <si>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</si>
  <si>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</si>
  <si>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</si>
  <si>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</si>
  <si>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</si>
  <si>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</si>
  <si>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</si>
  <si>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</si>
  <si>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</si>
  <si>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</si>
  <si>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</si>
  <si>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</si>
  <si>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</si>
  <si>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</si>
  <si>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</si>
  <si>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</si>
  <si>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</si>
  <si>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</si>
  <si>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</si>
  <si>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</si>
  <si>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</si>
  <si>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</si>
  <si>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</si>
  <si>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</si>
  <si>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</si>
  <si>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</si>
  <si>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</si>
  <si>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</si>
  <si>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</si>
  <si>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</si>
  <si>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</si>
  <si>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</si>
  <si>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</si>
  <si>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</si>
  <si>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</si>
  <si>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</si>
  <si>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</si>
  <si>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</si>
  <si>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</si>
  <si>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</si>
  <si>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</si>
  <si>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</si>
  <si>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</si>
  <si>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</si>
  <si>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</si>
  <si>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</si>
  <si>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</si>
  <si>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</si>
  <si>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</si>
  <si>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</si>
  <si>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</si>
  <si>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</si>
  <si>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</si>
  <si>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</si>
  <si>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</si>
  <si>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</si>
  <si>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</si>
  <si>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</si>
  <si>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</si>
  <si>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</si>
  <si>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</si>
  <si>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</si>
  <si>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</si>
  <si>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</si>
  <si>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</si>
  <si>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</si>
  <si>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</si>
  <si>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</si>
  <si>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</si>
  <si>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</si>
  <si>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</si>
  <si>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</si>
  <si>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</si>
  <si>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</si>
  <si>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</si>
  <si>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</si>
  <si>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</si>
  <si>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</si>
  <si>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</si>
  <si>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</si>
  <si>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</si>
  <si>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</si>
  <si>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</si>
  <si>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</si>
  <si>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</si>
  <si>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</si>
  <si>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</si>
  <si>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</si>
  <si>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</si>
  <si>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</si>
  <si>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</si>
  <si>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</si>
  <si>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</si>
  <si>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</si>
  <si>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</si>
  <si>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</si>
  <si>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</si>
  <si>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</si>
  <si>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</si>
  <si>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</si>
  <si>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</si>
  <si>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</si>
  <si>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</si>
  <si>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</si>
  <si>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</si>
  <si>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</si>
  <si>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</si>
  <si>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</si>
  <si>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</si>
  <si>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</si>
  <si>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</si>
  <si>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</si>
  <si>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</si>
  <si>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</si>
  <si>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</si>
  <si>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</si>
  <si>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</si>
  <si>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</si>
  <si>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</si>
  <si>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</si>
  <si>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</si>
  <si>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</si>
  <si>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</si>
  <si>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</si>
  <si>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</si>
  <si>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</si>
  <si>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</si>
  <si>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</si>
  <si>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</si>
  <si>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</si>
  <si>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</si>
  <si>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</si>
  <si>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</si>
  <si>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</si>
  <si>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</si>
  <si>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</si>
  <si>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</si>
  <si>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</si>
  <si>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</si>
  <si>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</si>
  <si>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</si>
  <si>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</si>
  <si>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</si>
  <si>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</si>
  <si>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</si>
  <si>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</si>
  <si>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</si>
  <si>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</si>
  <si>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</si>
  <si>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</si>
  <si>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</si>
  <si>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</si>
  <si>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</si>
  <si>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</si>
  <si>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</si>
  <si>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</si>
  <si>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</si>
  <si>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</si>
  <si>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</si>
  <si>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</si>
  <si>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</si>
  <si>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</si>
  <si>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</si>
  <si>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</si>
  <si>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</si>
  <si>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</si>
  <si>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</si>
  <si>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</si>
  <si>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</si>
  <si>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</si>
  <si>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</si>
  <si>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</si>
  <si>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</si>
  <si>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</si>
  <si>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</si>
  <si>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</si>
  <si>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</si>
  <si>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</si>
  <si>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</si>
  <si>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</si>
  <si>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</si>
  <si>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</si>
  <si>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</si>
  <si>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</si>
  <si>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</si>
  <si>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</si>
  <si>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</si>
  <si>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</si>
  <si>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</si>
  <si>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</si>
  <si>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</si>
  <si>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</si>
  <si>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</si>
  <si>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</si>
  <si>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</si>
  <si>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</si>
  <si>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</si>
  <si>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</si>
  <si>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</si>
  <si>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</si>
  <si>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</si>
  <si>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</si>
  <si>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</si>
  <si>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</si>
  <si>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</si>
  <si>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</si>
  <si>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</si>
  <si>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</si>
  <si>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</si>
  <si>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</si>
  <si>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</si>
  <si>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</si>
  <si>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</si>
  <si>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</si>
  <si>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</si>
  <si>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</si>
  <si>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</si>
  <si>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</si>
  <si>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</si>
  <si>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</si>
  <si>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</si>
  <si>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</si>
  <si>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</si>
  <si>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</si>
  <si>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</si>
  <si>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</si>
  <si>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</si>
  <si>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</si>
  <si>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</si>
  <si>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</si>
  <si>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</si>
  <si>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</si>
  <si>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</si>
  <si>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</si>
  <si>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</si>
  <si>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</si>
  <si>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</si>
  <si>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</si>
  <si>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</si>
  <si>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</si>
  <si>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</si>
  <si>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</si>
  <si>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</si>
  <si>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</si>
  <si>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</si>
  <si>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</si>
  <si>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</si>
  <si>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</si>
  <si>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</si>
  <si>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</si>
  <si>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</si>
  <si>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</si>
  <si>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</si>
  <si>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</si>
  <si>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</si>
  <si>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</si>
  <si>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</si>
  <si>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</si>
  <si>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</si>
  <si>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</si>
  <si>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</si>
  <si>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</si>
  <si>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</si>
  <si>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</si>
  <si>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</si>
  <si>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</si>
  <si>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</si>
  <si>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</si>
  <si>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</si>
  <si>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</si>
  <si>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Sara Reality</t>
  </si>
  <si>
    <t>Sara Corner</t>
  </si>
  <si>
    <t>P52000052982</t>
  </si>
  <si>
    <t>Plot No</t>
  </si>
  <si>
    <t>33, Sector - 10</t>
  </si>
  <si>
    <t>Taloja</t>
  </si>
  <si>
    <t>https://maps.app.goo.gl/mpC9ChLDyFDYHrA77</t>
  </si>
  <si>
    <t>19.0786818,73.0917286</t>
  </si>
  <si>
    <t>1.4 KM from Taloja Panchanand Railway Station</t>
  </si>
  <si>
    <t>Taloja Phase 1</t>
  </si>
  <si>
    <t xml:space="preserve">Taloja  </t>
  </si>
  <si>
    <t>Internal Road</t>
  </si>
  <si>
    <t>Zayan apartment</t>
  </si>
  <si>
    <t>Existing Building</t>
  </si>
  <si>
    <t>8.0 M. Wide Road</t>
  </si>
  <si>
    <t>Plot No.37</t>
  </si>
  <si>
    <t>Plot No.31 &amp; 32</t>
  </si>
  <si>
    <t>6.0 M. Wide Road</t>
  </si>
  <si>
    <t>Gr/Stilt + 1st to 4th Floor</t>
  </si>
  <si>
    <t>Valid Upto Dated</t>
  </si>
  <si>
    <t>NAVI/WEST/B/110322/724661</t>
  </si>
  <si>
    <t>As per RERA - 31/12/2026</t>
  </si>
  <si>
    <t>Gr/Stilt + 1st to 7th Floor</t>
  </si>
  <si>
    <t>Ground Floor for Commercial &amp; Parking</t>
  </si>
  <si>
    <t>Shop</t>
  </si>
  <si>
    <t>1st Floor for Residential</t>
  </si>
  <si>
    <t>2nd to 4th Floor</t>
  </si>
  <si>
    <t>1BHK</t>
  </si>
  <si>
    <t>Chajja Area</t>
  </si>
  <si>
    <t>Flats</t>
  </si>
  <si>
    <t>Flats - 8, Shops - 1</t>
  </si>
  <si>
    <r>
      <t xml:space="preserve">Shop No.
</t>
    </r>
    <r>
      <rPr>
        <b/>
        <sz val="11"/>
        <rFont val="Times New Roman"/>
        <family val="1"/>
      </rPr>
      <t>(Approved Plan)</t>
    </r>
  </si>
  <si>
    <t>We considered Gross carpet area = Net carpet + Chajja Area.</t>
  </si>
  <si>
    <r>
      <t xml:space="preserve">Flat No.
</t>
    </r>
    <r>
      <rPr>
        <b/>
        <sz val="11"/>
        <rFont val="Times New Roman"/>
        <family val="1"/>
      </rPr>
      <t>(Approved Plan)</t>
    </r>
  </si>
  <si>
    <t>We refer approved floor plans from Rera.</t>
  </si>
  <si>
    <t>Online</t>
  </si>
  <si>
    <t>MIS</t>
  </si>
  <si>
    <t>Visitor</t>
  </si>
  <si>
    <t>Builder</t>
  </si>
  <si>
    <t>Approved Plans, CC, Airport Noc</t>
  </si>
  <si>
    <t>Fire Fighting System, Security access, Parking Area</t>
  </si>
  <si>
    <r>
      <t xml:space="preserve">Proposed Amenities :                                                                                                                                                                                                                         </t>
    </r>
    <r>
      <rPr>
        <b/>
        <sz val="12"/>
        <rFont val="Times New Roman"/>
        <family val="1"/>
      </rPr>
      <t xml:space="preserve">                                               </t>
    </r>
  </si>
  <si>
    <t>CIDCO/BP-18502/TPO(NM &amp; K)/2023/11004</t>
  </si>
  <si>
    <t>Airport Noc No
Site Elevation Height:
Permissible Top Elevation</t>
  </si>
  <si>
    <t>9.17M (AMSL)
89.17M (AMSL)</t>
  </si>
  <si>
    <t>Construction work is in process at the time of Visit.</t>
  </si>
  <si>
    <t>CIDCO/BP-18502/TPO(NM &amp; K)/2023/12408</t>
  </si>
  <si>
    <t>Gr/Stilt + 1st to 7th Floor
Total Built Up Area = 594.44 Sq.M.</t>
  </si>
  <si>
    <t>We have updated latest CC from Rera (On 09/10/2024).</t>
  </si>
  <si>
    <t>Sunil Peravi</t>
  </si>
  <si>
    <t>Mr.Omkar : 9892108129</t>
  </si>
  <si>
    <t>p</t>
  </si>
  <si>
    <t>Pooja</t>
  </si>
  <si>
    <t>Provide revised approved floor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</si>
</sst>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0"/>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b/>
      <sz val="11.5"/>
      <name val="Times New Roman"/>
      <family val="1"/>
    </font>
    <font>
      <b/>
      <sz val="11"/>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8" fillId="0" borderId="0"/>
    <xf numFmtId="9" fontId="19" fillId="0" borderId="0" applyFont="0" applyFill="0" applyBorder="0" applyAlignment="0" applyProtection="0"/>
    <xf numFmtId="43" fontId="19" fillId="0" borderId="0" applyFont="0" applyFill="0" applyBorder="0" applyAlignment="0" applyProtection="0"/>
    <xf numFmtId="0" fontId="23" fillId="0" borderId="0" applyNumberFormat="0" applyFill="0" applyBorder="0" applyAlignment="0" applyProtection="0"/>
  </cellStyleXfs>
  <cellXfs count="210">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0" fontId="15" fillId="0" borderId="0" xfId="0" applyFont="1" applyProtection="1">
      <protection hidden="1"/>
    </xf>
    <xf numFmtId="0" fontId="15" fillId="0" borderId="10" xfId="0" applyFont="1" applyBorder="1" applyProtection="1">
      <protection hidden="1"/>
    </xf>
    <xf numFmtId="0" fontId="10" fillId="0" borderId="3" xfId="1" applyFont="1" applyBorder="1" applyAlignment="1" applyProtection="1">
      <alignment horizontal="center" vertical="top"/>
      <protection locked="0"/>
    </xf>
    <xf numFmtId="0" fontId="10" fillId="0" borderId="4"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0" fillId="0" borderId="0" xfId="1" applyFont="1"/>
    <xf numFmtId="0" fontId="6" fillId="0" borderId="9" xfId="1" applyFont="1" applyBorder="1"/>
    <xf numFmtId="0" fontId="15"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1" fillId="2" borderId="29" xfId="0" applyFont="1" applyFill="1" applyBorder="1"/>
    <xf numFmtId="0" fontId="22" fillId="0" borderId="30" xfId="0" applyFont="1" applyBorder="1"/>
    <xf numFmtId="0" fontId="22" fillId="0" borderId="1" xfId="0" applyFont="1" applyBorder="1"/>
    <xf numFmtId="0" fontId="22" fillId="0" borderId="4" xfId="0" applyFont="1" applyBorder="1"/>
    <xf numFmtId="0" fontId="10"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5" fillId="0" borderId="1" xfId="1" applyFont="1" applyBorder="1" applyAlignment="1" applyProtection="1">
      <alignment horizontal="left" vertical="top" wrapText="1"/>
      <protection locked="0"/>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9" fontId="10" fillId="0" borderId="6" xfId="8" applyFont="1" applyFill="1" applyBorder="1" applyAlignment="1" applyProtection="1">
      <alignment horizontal="center" vertical="top" wrapText="1"/>
      <protection locked="0"/>
    </xf>
    <xf numFmtId="1" fontId="6" fillId="0" borderId="1" xfId="1" applyNumberFormat="1" applyFont="1" applyBorder="1" applyAlignment="1">
      <alignment horizontal="center" vertical="center"/>
    </xf>
    <xf numFmtId="1" fontId="11" fillId="0" borderId="2" xfId="1" applyNumberFormat="1" applyFont="1" applyBorder="1" applyAlignment="1" applyProtection="1">
      <alignment horizontal="center" vertical="top" wrapText="1"/>
      <protection locked="0"/>
    </xf>
    <xf numFmtId="9" fontId="11" fillId="0" borderId="15"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10" fillId="0" borderId="1" xfId="1" applyNumberFormat="1" applyFont="1" applyBorder="1" applyAlignment="1">
      <alignment horizontal="center" vertical="center"/>
    </xf>
    <xf numFmtId="0" fontId="13" fillId="0" borderId="0" xfId="1" applyFont="1" applyAlignment="1">
      <alignment horizontal="center" vertical="center"/>
    </xf>
    <xf numFmtId="0" fontId="26" fillId="0" borderId="0" xfId="1" applyFont="1" applyAlignment="1">
      <alignment horizontal="center" vertical="center"/>
    </xf>
    <xf numFmtId="0" fontId="13" fillId="0" borderId="0" xfId="2" applyFont="1" applyAlignment="1">
      <alignment horizontal="center" vertical="center"/>
    </xf>
    <xf numFmtId="1" fontId="13" fillId="0" borderId="0" xfId="1" applyNumberFormat="1" applyFont="1" applyAlignment="1">
      <alignment horizontal="center" vertical="center"/>
    </xf>
    <xf numFmtId="168" fontId="6" fillId="0" borderId="0" xfId="1" applyNumberFormat="1" applyFont="1" applyAlignment="1">
      <alignment horizontal="center" vertical="center"/>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7" fillId="0" borderId="7"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0" fontId="10" fillId="0" borderId="16" xfId="1" applyFont="1" applyBorder="1" applyAlignment="1" applyProtection="1">
      <alignment horizontal="left" vertical="top" wrapText="1"/>
      <protection locked="0"/>
    </xf>
    <xf numFmtId="0" fontId="10" fillId="0" borderId="23"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11" fillId="0" borderId="2" xfId="1" applyNumberFormat="1" applyFont="1" applyBorder="1" applyAlignment="1" applyProtection="1">
      <alignment horizontal="center" vertical="top" wrapText="1"/>
      <protection locked="0"/>
    </xf>
    <xf numFmtId="1" fontId="11" fillId="0" borderId="15"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1" fontId="11" fillId="0" borderId="18" xfId="1" applyNumberFormat="1" applyFont="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1" fillId="0" borderId="7" xfId="0" applyNumberFormat="1" applyFont="1" applyBorder="1" applyAlignment="1" applyProtection="1">
      <alignment vertical="top" wrapText="1"/>
      <protection locked="0"/>
    </xf>
    <xf numFmtId="1" fontId="11" fillId="0" borderId="20" xfId="0" applyNumberFormat="1" applyFont="1" applyBorder="1" applyAlignment="1" applyProtection="1">
      <alignment vertical="top" wrapText="1"/>
      <protection locked="0"/>
    </xf>
    <xf numFmtId="1" fontId="11" fillId="0" borderId="8" xfId="0" applyNumberFormat="1" applyFont="1" applyBorder="1" applyAlignment="1" applyProtection="1">
      <alignment vertical="top" wrapText="1"/>
      <protection locked="0"/>
    </xf>
    <xf numFmtId="1" fontId="7" fillId="0" borderId="7" xfId="0" applyNumberFormat="1" applyFont="1" applyBorder="1" applyAlignment="1" applyProtection="1">
      <alignment vertical="top" wrapText="1"/>
      <protection locked="0"/>
    </xf>
    <xf numFmtId="1" fontId="7" fillId="0" borderId="20"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14" fontId="5" fillId="0" borderId="7" xfId="1" applyNumberFormat="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left" vertical="top"/>
      <protection locked="0"/>
    </xf>
    <xf numFmtId="1" fontId="10" fillId="0" borderId="7" xfId="1" applyNumberFormat="1" applyFont="1" applyBorder="1" applyAlignment="1" applyProtection="1">
      <alignment horizontal="center" vertical="center" wrapText="1"/>
      <protection locked="0"/>
    </xf>
    <xf numFmtId="1" fontId="10" fillId="0" borderId="8" xfId="1" applyNumberFormat="1" applyFont="1" applyBorder="1" applyAlignment="1" applyProtection="1">
      <alignment horizontal="center" vertical="center" wrapText="1"/>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167" fontId="6" fillId="0" borderId="1" xfId="9" applyNumberFormat="1" applyFont="1" applyFill="1" applyBorder="1" applyAlignment="1" applyProtection="1">
      <alignment horizontal="left" vertical="top"/>
      <protection locked="0"/>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0" fontId="5" fillId="0" borderId="2"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6" fillId="0" borderId="3"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0" fillId="0" borderId="17" xfId="1" applyFont="1" applyBorder="1" applyAlignment="1" applyProtection="1">
      <alignment horizontal="left" vertical="top" wrapText="1"/>
      <protection locked="0"/>
    </xf>
    <xf numFmtId="0" fontId="10" fillId="0" borderId="18" xfId="1" applyFont="1" applyBorder="1" applyAlignment="1" applyProtection="1">
      <alignment horizontal="left" vertical="top" wrapText="1"/>
      <protection locked="0"/>
    </xf>
    <xf numFmtId="0" fontId="10" fillId="0" borderId="19" xfId="1" applyFont="1" applyBorder="1" applyAlignment="1" applyProtection="1">
      <alignment horizontal="left" vertical="top" wrapText="1"/>
      <protection locked="0"/>
    </xf>
    <xf numFmtId="0" fontId="6" fillId="0" borderId="24" xfId="1" applyFont="1" applyBorder="1" applyAlignment="1">
      <alignment horizontal="center"/>
    </xf>
    <xf numFmtId="0" fontId="6" fillId="0" borderId="0" xfId="1" applyFont="1" applyAlignment="1">
      <alignment horizontal="center"/>
    </xf>
    <xf numFmtId="164" fontId="6" fillId="0" borderId="1" xfId="1" applyNumberFormat="1" applyFont="1" applyBorder="1" applyAlignment="1" applyProtection="1">
      <alignment horizontal="left" vertical="top"/>
      <protection locked="0"/>
    </xf>
    <xf numFmtId="14" fontId="5" fillId="0" borderId="1" xfId="1" applyNumberFormat="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1" fontId="11" fillId="0" borderId="31" xfId="0" applyNumberFormat="1" applyFont="1" applyBorder="1" applyAlignment="1" applyProtection="1">
      <alignment horizontal="center" vertical="center" wrapText="1"/>
      <protection locked="0"/>
    </xf>
    <xf numFmtId="1" fontId="11" fillId="0" borderId="32" xfId="0" applyNumberFormat="1" applyFont="1" applyBorder="1" applyAlignment="1" applyProtection="1">
      <alignment horizontal="center" vertical="center" wrapText="1"/>
      <protection locked="0"/>
    </xf>
    <xf numFmtId="0" fontId="11" fillId="0" borderId="32" xfId="0" applyFont="1" applyBorder="1" applyAlignment="1" applyProtection="1">
      <alignment horizontal="center" vertical="center"/>
      <protection locked="0"/>
    </xf>
    <xf numFmtId="1" fontId="11" fillId="0" borderId="32" xfId="0" applyNumberFormat="1" applyFont="1" applyBorder="1" applyAlignment="1" applyProtection="1">
      <alignment horizontal="center" vertical="top" wrapText="1"/>
      <protection locked="0"/>
    </xf>
    <xf numFmtId="1" fontId="10" fillId="0" borderId="20" xfId="1" applyNumberFormat="1" applyFont="1" applyBorder="1" applyAlignment="1" applyProtection="1">
      <alignment horizontal="center" vertical="center" wrapText="1"/>
      <protection locked="0"/>
    </xf>
    <xf numFmtId="0" fontId="11" fillId="0" borderId="15"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0" fontId="7" fillId="0" borderId="7"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0" fontId="5" fillId="0" borderId="1" xfId="1" applyFont="1" applyBorder="1" applyAlignment="1" applyProtection="1">
      <alignment vertical="top"/>
      <protection locked="0"/>
    </xf>
    <xf numFmtId="0" fontId="11" fillId="0" borderId="1" xfId="1" applyFont="1" applyBorder="1" applyAlignment="1" applyProtection="1">
      <alignment horizontal="left" vertical="top" wrapText="1"/>
      <protection locked="0"/>
    </xf>
    <xf numFmtId="0" fontId="11" fillId="0" borderId="4" xfId="1" applyFont="1" applyBorder="1" applyAlignment="1" applyProtection="1">
      <alignment horizontal="left" vertical="top" wrapText="1"/>
      <protection locked="0"/>
    </xf>
    <xf numFmtId="0" fontId="10" fillId="0" borderId="1" xfId="1" applyFont="1" applyBorder="1" applyAlignment="1" applyProtection="1">
      <alignment horizontal="center" vertical="top" wrapText="1"/>
      <protection locked="0"/>
    </xf>
    <xf numFmtId="0" fontId="5" fillId="0" borderId="2" xfId="1" applyFont="1" applyBorder="1" applyAlignment="1" applyProtection="1">
      <alignment horizontal="left" vertical="top" wrapText="1"/>
      <protection locked="0"/>
    </xf>
    <xf numFmtId="0" fontId="10" fillId="0" borderId="2" xfId="1" applyFont="1" applyBorder="1" applyAlignment="1" applyProtection="1">
      <alignment horizontal="left" vertical="top" wrapText="1"/>
      <protection locked="0"/>
    </xf>
    <xf numFmtId="0" fontId="10" fillId="0" borderId="4" xfId="1" applyFont="1" applyBorder="1" applyAlignment="1" applyProtection="1">
      <alignment horizontal="center" vertical="top" wrapText="1"/>
      <protection locked="0"/>
    </xf>
    <xf numFmtId="9" fontId="10" fillId="0" borderId="16" xfId="8" applyFont="1" applyFill="1" applyBorder="1" applyAlignment="1" applyProtection="1">
      <alignment horizontal="center" vertical="center" wrapText="1"/>
      <protection locked="0"/>
    </xf>
    <xf numFmtId="9" fontId="10" fillId="0" borderId="17" xfId="8" applyFont="1" applyFill="1" applyBorder="1" applyAlignment="1" applyProtection="1">
      <alignment horizontal="center" vertical="center" wrapText="1"/>
      <protection locked="0"/>
    </xf>
    <xf numFmtId="9" fontId="10" fillId="0" borderId="24"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7"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9" xfId="8" applyFont="1" applyFill="1" applyBorder="1" applyAlignment="1" applyProtection="1">
      <alignment horizontal="center" vertical="center" wrapText="1"/>
      <protection locked="0"/>
    </xf>
    <xf numFmtId="9" fontId="10" fillId="0" borderId="11" xfId="8" applyFont="1" applyFill="1" applyBorder="1" applyAlignment="1" applyProtection="1">
      <alignment horizontal="center" vertical="center" wrapText="1"/>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28" fillId="0" borderId="1" xfId="1" applyFont="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14" fontId="10" fillId="0" borderId="1" xfId="1" applyNumberFormat="1" applyFont="1" applyBorder="1" applyAlignment="1" applyProtection="1">
      <alignment horizontal="left" vertical="top"/>
      <protection locked="0"/>
    </xf>
    <xf numFmtId="0" fontId="10" fillId="0" borderId="7" xfId="1" applyFont="1" applyBorder="1" applyAlignment="1" applyProtection="1">
      <alignment horizontal="center" vertical="top"/>
      <protection locked="0"/>
    </xf>
    <xf numFmtId="0" fontId="10" fillId="0" borderId="20" xfId="1" applyFont="1" applyBorder="1" applyAlignment="1" applyProtection="1">
      <alignment horizontal="center" vertical="top"/>
      <protection locked="0"/>
    </xf>
    <xf numFmtId="0" fontId="10" fillId="0" borderId="8" xfId="1" applyFont="1" applyBorder="1" applyAlignment="1" applyProtection="1">
      <alignment horizontal="center" vertical="top"/>
      <protection locked="0"/>
    </xf>
    <xf numFmtId="0" fontId="10" fillId="0" borderId="1" xfId="1" applyFont="1" applyBorder="1" applyAlignment="1" applyProtection="1">
      <alignment horizontal="left"/>
      <protection locked="0"/>
    </xf>
    <xf numFmtId="0" fontId="10" fillId="0" borderId="1" xfId="1" applyFont="1" applyBorder="1" applyAlignment="1" applyProtection="1">
      <alignment horizontal="center"/>
      <protection locked="0"/>
    </xf>
    <xf numFmtId="0" fontId="11" fillId="0" borderId="7" xfId="1" applyFont="1" applyBorder="1" applyAlignment="1" applyProtection="1">
      <alignment horizontal="center" vertical="top"/>
      <protection locked="0"/>
    </xf>
    <xf numFmtId="0" fontId="11" fillId="0" borderId="2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0" fillId="0" borderId="2" xfId="1" applyFont="1" applyBorder="1" applyAlignment="1" applyProtection="1">
      <alignment horizontal="left" vertical="top"/>
      <protection locked="0"/>
    </xf>
    <xf numFmtId="1" fontId="10" fillId="0" borderId="1" xfId="0" applyNumberFormat="1" applyFont="1" applyBorder="1" applyAlignment="1" applyProtection="1">
      <alignment horizontal="center" vertical="top" wrapText="1"/>
      <protection locked="0"/>
    </xf>
    <xf numFmtId="1" fontId="11" fillId="0" borderId="7" xfId="1" applyNumberFormat="1" applyFont="1" applyBorder="1" applyAlignment="1" applyProtection="1">
      <alignment horizontal="center" vertical="center" wrapText="1"/>
      <protection locked="0"/>
    </xf>
    <xf numFmtId="1" fontId="11" fillId="0" borderId="20"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29" fillId="0" borderId="2" xfId="1" applyNumberFormat="1" applyFont="1" applyBorder="1" applyAlignment="1" applyProtection="1">
      <alignment horizontal="center" vertical="top" wrapText="1"/>
      <protection locked="0"/>
    </xf>
    <xf numFmtId="1" fontId="29" fillId="0" borderId="15" xfId="1" applyNumberFormat="1" applyFont="1" applyBorder="1" applyAlignment="1" applyProtection="1">
      <alignment horizontal="center" vertical="top" wrapText="1"/>
      <protection locked="0"/>
    </xf>
    <xf numFmtId="0" fontId="7" fillId="0" borderId="15" xfId="1" applyFont="1" applyBorder="1" applyAlignment="1" applyProtection="1">
      <alignment horizontal="center" vertical="top"/>
      <protection locked="0"/>
    </xf>
    <xf numFmtId="1" fontId="10"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23" fillId="0" borderId="1" xfId="10" applyFill="1" applyBorder="1" applyAlignment="1" applyProtection="1">
      <alignment horizontal="left" vertical="top" wrapText="1"/>
      <protection locked="0"/>
    </xf>
    <xf numFmtId="1" fontId="11" fillId="0" borderId="33" xfId="0" applyNumberFormat="1" applyFont="1" applyBorder="1" applyAlignment="1" applyProtection="1">
      <alignment horizontal="center" vertical="top" wrapText="1"/>
      <protection locked="0"/>
    </xf>
    <xf numFmtId="0" fontId="5" fillId="0" borderId="7" xfId="1" applyFont="1" applyBorder="1" applyAlignment="1" applyProtection="1">
      <alignment vertical="top" wrapText="1"/>
      <protection locked="0"/>
    </xf>
    <xf numFmtId="0" fontId="5" fillId="0" borderId="20" xfId="1" applyFont="1" applyBorder="1" applyAlignment="1" applyProtection="1">
      <alignment vertical="top" wrapText="1"/>
      <protection locked="0"/>
    </xf>
    <xf numFmtId="0" fontId="5" fillId="0" borderId="8" xfId="1" applyFont="1" applyBorder="1" applyAlignment="1" applyProtection="1">
      <alignment vertical="top" wrapText="1"/>
      <protection locked="0"/>
    </xf>
    <xf numFmtId="0" fontId="11" fillId="0" borderId="7"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0" fontId="7" fillId="0" borderId="15" xfId="1" applyFont="1" applyBorder="1" applyAlignment="1" applyProtection="1">
      <alignment horizontal="left" vertical="top"/>
      <protection locked="0"/>
    </xf>
    <xf numFmtId="1" fontId="11" fillId="0" borderId="2" xfId="0" applyNumberFormat="1" applyFont="1" applyBorder="1" applyAlignment="1" applyProtection="1">
      <alignment horizontal="center" vertical="center" wrapText="1"/>
      <protection locked="0"/>
    </xf>
    <xf numFmtId="1" fontId="11" fillId="0" borderId="2" xfId="0" applyNumberFormat="1" applyFont="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11" fillId="0" borderId="3" xfId="1" applyFont="1" applyBorder="1" applyAlignment="1" applyProtection="1">
      <alignment horizontal="left" vertical="top"/>
      <protection locked="0"/>
    </xf>
    <xf numFmtId="0" fontId="7" fillId="0" borderId="21"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11" fillId="0" borderId="12"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22" xfId="1" applyFont="1" applyBorder="1" applyAlignment="1" applyProtection="1">
      <alignment horizontal="left" vertical="top" wrapText="1"/>
      <protection locked="0"/>
    </xf>
    <xf numFmtId="0" fontId="8"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xdr:col>
      <xdr:colOff>128827</xdr:colOff>
      <xdr:row>288</xdr:row>
      <xdr:rowOff>20531</xdr:rowOff>
    </xdr:from>
    <xdr:to>
      <xdr:col>6</xdr:col>
      <xdr:colOff>614993</xdr:colOff>
      <xdr:row>307</xdr:row>
      <xdr:rowOff>25663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928927" y="68568781"/>
          <a:ext cx="4772416" cy="3745282"/>
        </a:xfrm>
        <a:prstGeom prst="rect">
          <a:avLst/>
        </a:prstGeom>
        <a:ln>
          <a:solidFill>
            <a:schemeClr val="tx1"/>
          </a:solidFill>
        </a:ln>
      </xdr:spPr>
    </xdr:pic>
    <xdr:clientData/>
  </xdr:twoCellAnchor>
  <xdr:twoCellAnchor editAs="oneCell">
    <xdr:from>
      <xdr:col>1</xdr:col>
      <xdr:colOff>190500</xdr:colOff>
      <xdr:row>266</xdr:row>
      <xdr:rowOff>127000</xdr:rowOff>
    </xdr:from>
    <xdr:to>
      <xdr:col>6</xdr:col>
      <xdr:colOff>584250</xdr:colOff>
      <xdr:row>287</xdr:row>
      <xdr:rowOff>121926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990600" y="64344550"/>
          <a:ext cx="4680000" cy="4128776"/>
        </a:xfrm>
        <a:prstGeom prst="rect">
          <a:avLst/>
        </a:prstGeom>
        <a:ln>
          <a:solidFill>
            <a:schemeClr val="tx1"/>
          </a:solidFill>
        </a:ln>
      </xdr:spPr>
    </xdr:pic>
    <xdr:clientData/>
  </xdr:twoCellAnchor>
  <xdr:twoCellAnchor>
    <xdr:from>
      <xdr:col>3</xdr:col>
      <xdr:colOff>522527</xdr:colOff>
      <xdr:row>295</xdr:row>
      <xdr:rowOff>103081</xdr:rowOff>
    </xdr:from>
    <xdr:to>
      <xdr:col>4</xdr:col>
      <xdr:colOff>478077</xdr:colOff>
      <xdr:row>300</xdr:row>
      <xdr:rowOff>33231</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rot="20412397">
          <a:off x="3049827" y="70029281"/>
          <a:ext cx="914400" cy="91440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editAs="oneCell">
    <xdr:from>
      <xdr:col>1</xdr:col>
      <xdr:colOff>762000</xdr:colOff>
      <xdr:row>223</xdr:row>
      <xdr:rowOff>152400</xdr:rowOff>
    </xdr:from>
    <xdr:to>
      <xdr:col>6</xdr:col>
      <xdr:colOff>75750</xdr:colOff>
      <xdr:row>242</xdr:row>
      <xdr:rowOff>61791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1562100" y="55708550"/>
          <a:ext cx="3600000" cy="3649541"/>
        </a:xfrm>
        <a:prstGeom prst="rect">
          <a:avLst/>
        </a:prstGeom>
        <a:ln>
          <a:solidFill>
            <a:schemeClr val="tx1"/>
          </a:solidFill>
        </a:ln>
      </xdr:spPr>
    </xdr:pic>
    <xdr:clientData/>
  </xdr:twoCellAnchor>
  <xdr:twoCellAnchor editAs="oneCell">
    <xdr:from>
      <xdr:col>2</xdr:col>
      <xdr:colOff>577668</xdr:colOff>
      <xdr:row>243</xdr:row>
      <xdr:rowOff>48364</xdr:rowOff>
    </xdr:from>
    <xdr:to>
      <xdr:col>5</xdr:col>
      <xdr:colOff>202931</xdr:colOff>
      <xdr:row>258</xdr:row>
      <xdr:rowOff>126914</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2215968" y="59541514"/>
          <a:ext cx="2292263" cy="3031299"/>
        </a:xfrm>
        <a:prstGeom prst="rect">
          <a:avLst/>
        </a:prstGeom>
        <a:ln>
          <a:solidFill>
            <a:schemeClr val="tx1"/>
          </a:solidFill>
        </a:ln>
      </xdr:spPr>
    </xdr:pic>
    <xdr:clientData/>
  </xdr:twoCellAnchor>
  <xdr:twoCellAnchor>
    <xdr:from>
      <xdr:col>8</xdr:col>
      <xdr:colOff>600074</xdr:colOff>
      <xdr:row>181</xdr:row>
      <xdr:rowOff>95250</xdr:rowOff>
    </xdr:from>
    <xdr:to>
      <xdr:col>15</xdr:col>
      <xdr:colOff>428624</xdr:colOff>
      <xdr:row>221</xdr:row>
      <xdr:rowOff>47625</xdr:rowOff>
    </xdr:to>
    <xdr:grpSp>
      <xdr:nvGrpSpPr>
        <xdr:cNvPr id="18" name="Group 17">
          <a:extLst>
            <a:ext uri="{FF2B5EF4-FFF2-40B4-BE49-F238E27FC236}">
              <a16:creationId xmlns:a16="http://schemas.microsoft.com/office/drawing/2014/main" id="{00000000-0008-0000-0000-000012000000}"/>
            </a:ext>
          </a:extLst>
        </xdr:cNvPr>
        <xdr:cNvGrpSpPr/>
      </xdr:nvGrpSpPr>
      <xdr:grpSpPr>
        <a:xfrm>
          <a:off x="7419974" y="31165800"/>
          <a:ext cx="6102350" cy="7820025"/>
          <a:chOff x="775701" y="2100061"/>
          <a:chExt cx="5163342" cy="6762492"/>
        </a:xfrm>
      </xdr:grpSpPr>
      <xdr:pic>
        <xdr:nvPicPr>
          <xdr:cNvPr id="19" name="Picture 18" descr="https://vsjcllp.vsjadon.com/upload/insp-214362-1525.jpg">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4737794" y="7259217"/>
            <a:ext cx="1201249" cy="16033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14362-843.jpg">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775701" y="2100061"/>
            <a:ext cx="2415334" cy="322380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14362-845.jp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1329388" y="5455984"/>
            <a:ext cx="1281110" cy="17099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14362-844.jpg">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4097798" y="5455984"/>
            <a:ext cx="1279992" cy="17084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14362-847.jpg">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3339490" y="2100061"/>
            <a:ext cx="2415334" cy="322380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14362-851.jpg">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2714152" y="5455984"/>
            <a:ext cx="1279992" cy="17084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14362-861.jpg">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2138241" y="7240556"/>
            <a:ext cx="1201249" cy="16033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14362-862.jpg">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3442893" y="7240556"/>
            <a:ext cx="1201249" cy="16033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14362-860.jpg">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855076" y="7240556"/>
            <a:ext cx="1198900" cy="1600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146050</xdr:colOff>
      <xdr:row>180</xdr:row>
      <xdr:rowOff>101600</xdr:rowOff>
    </xdr:from>
    <xdr:to>
      <xdr:col>7</xdr:col>
      <xdr:colOff>800191</xdr:colOff>
      <xdr:row>215</xdr:row>
      <xdr:rowOff>58759</xdr:rowOff>
    </xdr:to>
    <xdr:grpSp>
      <xdr:nvGrpSpPr>
        <xdr:cNvPr id="7" name="Group 6"/>
        <xdr:cNvGrpSpPr/>
      </xdr:nvGrpSpPr>
      <xdr:grpSpPr>
        <a:xfrm>
          <a:off x="146050" y="30975300"/>
          <a:ext cx="6508841" cy="6840559"/>
          <a:chOff x="146050" y="30975300"/>
          <a:chExt cx="6508841" cy="6840559"/>
        </a:xfrm>
      </xdr:grpSpPr>
      <xdr:pic>
        <xdr:nvPicPr>
          <xdr:cNvPr id="26" name="Picture 25"/>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5117494" y="35763859"/>
            <a:ext cx="1537397" cy="2052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718517" y="30975300"/>
            <a:ext cx="3506345" cy="468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803198" y="35763859"/>
            <a:ext cx="1537397" cy="2052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399858" y="30975300"/>
            <a:ext cx="1699229" cy="2268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399857" y="33387300"/>
            <a:ext cx="1699229" cy="2268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460346" y="35763859"/>
            <a:ext cx="1537397" cy="2052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146050" y="35763859"/>
            <a:ext cx="1537397" cy="2052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6</xdr:col>
      <xdr:colOff>491412</xdr:colOff>
      <xdr:row>35</xdr:row>
      <xdr:rowOff>113000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12588" y="2696882"/>
          <a:ext cx="7200000" cy="405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mpC9ChLDyFDYHrA7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66"/>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7" width="11" style="37" customWidth="1"/>
    <col min="8" max="8" width="13.81640625"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63" t="s">
        <v>166</v>
      </c>
      <c r="B1" s="163"/>
      <c r="C1" s="163"/>
      <c r="D1" s="163"/>
      <c r="E1" s="163"/>
      <c r="F1" s="163"/>
      <c r="G1" s="163"/>
      <c r="H1" s="163"/>
    </row>
    <row r="2" spans="1:26" ht="16.5" customHeight="1" x14ac:dyDescent="0.35">
      <c r="A2" s="102" t="s">
        <v>0</v>
      </c>
      <c r="B2" s="102"/>
      <c r="C2" s="102"/>
      <c r="D2" s="102"/>
      <c r="E2" s="102"/>
      <c r="F2" s="102"/>
      <c r="G2" s="102"/>
      <c r="H2" s="102"/>
    </row>
    <row r="3" spans="1:26" x14ac:dyDescent="0.35">
      <c r="A3" s="76" t="s">
        <v>1</v>
      </c>
      <c r="B3" s="76"/>
      <c r="C3" s="76"/>
      <c r="D3" s="76"/>
      <c r="E3" s="76" t="str">
        <f ca="1">TEXT(TODAY(),"DD/MM/YYYY")</f>
        <v>14/07/2025</v>
      </c>
      <c r="F3" s="76"/>
      <c r="G3" s="76"/>
      <c r="H3" s="76"/>
      <c r="K3" s="49" t="s">
        <v>236</v>
      </c>
      <c r="L3" s="48" t="s">
        <v>234</v>
      </c>
      <c r="M3" s="48" t="s">
        <v>239</v>
      </c>
      <c r="N3" s="48" t="s">
        <v>237</v>
      </c>
      <c r="O3" s="48" t="s">
        <v>238</v>
      </c>
      <c r="P3" s="48" t="s">
        <v>240</v>
      </c>
    </row>
    <row r="4" spans="1:26" ht="15" customHeight="1" x14ac:dyDescent="0.35">
      <c r="A4" s="76" t="s">
        <v>233</v>
      </c>
      <c r="B4" s="76"/>
      <c r="C4" s="76"/>
      <c r="D4" s="76"/>
      <c r="E4" s="76" t="s">
        <v>234</v>
      </c>
      <c r="F4" s="76"/>
      <c r="G4" s="76"/>
      <c r="H4" s="76"/>
      <c r="K4" s="47" t="s">
        <v>235</v>
      </c>
      <c r="L4" s="48" t="s">
        <v>172</v>
      </c>
      <c r="M4" s="48" t="s">
        <v>244</v>
      </c>
      <c r="N4" s="48" t="s">
        <v>246</v>
      </c>
      <c r="O4" s="48" t="s">
        <v>248</v>
      </c>
      <c r="P4" s="48"/>
    </row>
    <row r="5" spans="1:26" ht="15" customHeight="1" x14ac:dyDescent="0.35">
      <c r="A5" s="76" t="s">
        <v>2</v>
      </c>
      <c r="B5" s="76"/>
      <c r="C5" s="76"/>
      <c r="D5" s="76"/>
      <c r="E5" s="76" t="s">
        <v>243</v>
      </c>
      <c r="F5" s="76"/>
      <c r="G5" s="76"/>
      <c r="H5" s="76"/>
      <c r="K5" s="47"/>
      <c r="L5" s="48" t="s">
        <v>241</v>
      </c>
      <c r="M5" s="48" t="s">
        <v>245</v>
      </c>
      <c r="N5" s="48" t="s">
        <v>247</v>
      </c>
      <c r="O5" s="48" t="s">
        <v>249</v>
      </c>
      <c r="P5" s="48"/>
    </row>
    <row r="6" spans="1:26" x14ac:dyDescent="0.35">
      <c r="A6" s="76" t="s">
        <v>3</v>
      </c>
      <c r="B6" s="76"/>
      <c r="C6" s="76"/>
      <c r="D6" s="76"/>
      <c r="E6" s="165">
        <v>45849</v>
      </c>
      <c r="F6" s="76"/>
      <c r="G6" s="76"/>
      <c r="H6" s="76"/>
      <c r="K6" s="47"/>
      <c r="L6" s="48" t="s">
        <v>242</v>
      </c>
      <c r="M6" s="48"/>
      <c r="N6" s="48"/>
      <c r="O6" s="48" t="s">
        <v>250</v>
      </c>
      <c r="P6" s="48"/>
    </row>
    <row r="7" spans="1:26" ht="16.5" customHeight="1" x14ac:dyDescent="0.35">
      <c r="A7" s="76" t="s">
        <v>4</v>
      </c>
      <c r="B7" s="76"/>
      <c r="C7" s="76"/>
      <c r="D7" s="76"/>
      <c r="E7" s="76" t="s">
        <v>297</v>
      </c>
      <c r="F7" s="76"/>
      <c r="G7" s="76"/>
      <c r="H7" s="76"/>
      <c r="K7" s="47"/>
      <c r="L7" s="48" t="s">
        <v>243</v>
      </c>
      <c r="M7" s="48"/>
      <c r="N7" s="48"/>
      <c r="O7" s="48" t="s">
        <v>250</v>
      </c>
      <c r="P7" s="48"/>
    </row>
    <row r="8" spans="1:26" ht="15" customHeight="1" x14ac:dyDescent="0.35">
      <c r="A8" s="76" t="s">
        <v>5</v>
      </c>
      <c r="B8" s="76"/>
      <c r="C8" s="76"/>
      <c r="D8" s="76"/>
      <c r="E8" s="76" t="str">
        <f>E7</f>
        <v>Sara Reality</v>
      </c>
      <c r="F8" s="76"/>
      <c r="G8" s="76"/>
      <c r="H8" s="76"/>
      <c r="K8" s="47"/>
      <c r="L8" s="48"/>
      <c r="M8" s="48"/>
      <c r="N8" s="48"/>
      <c r="O8" s="48" t="s">
        <v>251</v>
      </c>
      <c r="P8" s="48"/>
    </row>
    <row r="9" spans="1:26" x14ac:dyDescent="0.35">
      <c r="A9" s="76" t="s">
        <v>6</v>
      </c>
      <c r="B9" s="76"/>
      <c r="C9" s="76"/>
      <c r="D9" s="76"/>
      <c r="E9" s="164" t="s">
        <v>298</v>
      </c>
      <c r="F9" s="164"/>
      <c r="G9" s="164"/>
      <c r="H9" s="164"/>
      <c r="K9" s="47"/>
      <c r="L9" s="48"/>
      <c r="M9" s="48"/>
      <c r="N9" s="48"/>
      <c r="O9" s="48" t="s">
        <v>252</v>
      </c>
      <c r="P9" s="48"/>
    </row>
    <row r="10" spans="1:26" x14ac:dyDescent="0.35">
      <c r="A10" s="76" t="s">
        <v>169</v>
      </c>
      <c r="B10" s="76"/>
      <c r="C10" s="76"/>
      <c r="D10" s="76"/>
      <c r="E10" s="76" t="s">
        <v>347</v>
      </c>
      <c r="F10" s="76"/>
      <c r="G10" s="76"/>
      <c r="H10" s="76"/>
      <c r="K10" s="47"/>
      <c r="L10" s="48"/>
      <c r="M10" s="48"/>
      <c r="N10" s="48"/>
      <c r="O10" s="48"/>
      <c r="P10" s="48"/>
    </row>
    <row r="11" spans="1:26" x14ac:dyDescent="0.35">
      <c r="A11" s="76" t="s">
        <v>170</v>
      </c>
      <c r="B11" s="76"/>
      <c r="C11" s="76"/>
      <c r="D11" s="76"/>
      <c r="E11" s="76" t="s">
        <v>347</v>
      </c>
      <c r="F11" s="76"/>
      <c r="G11" s="76"/>
      <c r="H11" s="76"/>
    </row>
    <row r="12" spans="1:26" x14ac:dyDescent="0.35">
      <c r="A12" s="76" t="s">
        <v>7</v>
      </c>
      <c r="B12" s="76"/>
      <c r="C12" s="76"/>
      <c r="D12" s="76"/>
      <c r="E12" s="76" t="s">
        <v>119</v>
      </c>
      <c r="F12" s="76"/>
      <c r="G12" s="76"/>
      <c r="H12" s="76"/>
    </row>
    <row r="13" spans="1:26" x14ac:dyDescent="0.35">
      <c r="A13" s="103" t="s">
        <v>279</v>
      </c>
      <c r="B13" s="103"/>
      <c r="C13" s="103"/>
      <c r="D13" s="103"/>
      <c r="E13" s="75" t="s">
        <v>336</v>
      </c>
      <c r="F13" s="75"/>
      <c r="G13" s="75"/>
      <c r="H13" s="75"/>
      <c r="S13" s="48" t="s">
        <v>180</v>
      </c>
      <c r="T13" s="48" t="s">
        <v>187</v>
      </c>
      <c r="U13" s="48" t="s">
        <v>209</v>
      </c>
      <c r="V13" s="48" t="s">
        <v>195</v>
      </c>
      <c r="W13" s="48" t="s">
        <v>213</v>
      </c>
      <c r="X13"/>
      <c r="Y13"/>
      <c r="Z13"/>
    </row>
    <row r="14" spans="1:26" x14ac:dyDescent="0.35">
      <c r="A14" s="103" t="s">
        <v>8</v>
      </c>
      <c r="B14" s="103"/>
      <c r="C14" s="103"/>
      <c r="D14" s="103"/>
      <c r="E14" s="75" t="s">
        <v>299</v>
      </c>
      <c r="F14" s="76"/>
      <c r="G14" s="76"/>
      <c r="H14" s="76"/>
      <c r="I14" s="124" t="e">
        <f ca="1">OFFSET($D$5,1,MATCH(#REF!,$D$5:$H$5,0)-1,15,1)</f>
        <v>#REF!</v>
      </c>
      <c r="J14" s="125"/>
      <c r="K14" s="125"/>
      <c r="L14" s="125"/>
      <c r="M14" s="125"/>
      <c r="N14" s="125"/>
      <c r="O14" s="125"/>
      <c r="P14" s="125"/>
      <c r="S14" s="48" t="s">
        <v>181</v>
      </c>
      <c r="T14" s="48" t="s">
        <v>188</v>
      </c>
      <c r="U14" s="48" t="s">
        <v>210</v>
      </c>
      <c r="V14" s="48" t="s">
        <v>196</v>
      </c>
      <c r="W14" s="48" t="s">
        <v>226</v>
      </c>
      <c r="X14"/>
      <c r="Y14"/>
      <c r="Z14"/>
    </row>
    <row r="15" spans="1:26" ht="31.5" customHeight="1" x14ac:dyDescent="0.35">
      <c r="A15" s="75" t="s">
        <v>9</v>
      </c>
      <c r="B15" s="75"/>
      <c r="C15" s="75" t="str">
        <f>CONCATENATE((IF(OR(E9="",E9="NA"),"",E9)),", ",(IF(OR(A16="",A16="NA"),"",A16)),".",(IF(OR(C16="",C16="NA"),"",C16)),", near ",(IF(OR(C21="",C21="NA"),"",C21)),", ",(IF(OR(C18="",C18="NA"),"",C18)),", ",(IF(OR(C17="",C17="NA"),"",C17)),", ",(IF(OR(G18="",G18="NA"),"",G18)),", ",(IF(OR(C19="",C19="NA"),"",C19)),", ",(IF(OR(C20="",C20="NA"),"",C20)),", ",(IF(OR(G19="",G19="NA"),"",G19))," - ",(IF(OR(G20="",G20="NA"),"",G20)),".")</f>
        <v>Sara Corner, Plot No.33, Sector - 10, near Zayan apartment, Internal Road, Taloja Phase 1, Taloja, Taloja  , Panvel, Raigad - 410208.</v>
      </c>
      <c r="D15" s="75"/>
      <c r="E15" s="75"/>
      <c r="F15" s="75"/>
      <c r="G15" s="75"/>
      <c r="H15" s="75"/>
      <c r="S15" s="48" t="s">
        <v>182</v>
      </c>
      <c r="T15" s="48" t="s">
        <v>190</v>
      </c>
      <c r="U15" s="48" t="s">
        <v>211</v>
      </c>
      <c r="V15" s="48" t="s">
        <v>197</v>
      </c>
      <c r="W15" s="48" t="s">
        <v>214</v>
      </c>
      <c r="X15"/>
      <c r="Y15"/>
      <c r="Z15"/>
    </row>
    <row r="16" spans="1:26" x14ac:dyDescent="0.35">
      <c r="A16" s="75" t="s">
        <v>300</v>
      </c>
      <c r="B16" s="75"/>
      <c r="C16" s="75" t="s">
        <v>301</v>
      </c>
      <c r="D16" s="75"/>
      <c r="E16" s="75"/>
      <c r="F16" s="75"/>
      <c r="G16" s="75"/>
      <c r="H16" s="75"/>
      <c r="S16" s="48" t="s">
        <v>183</v>
      </c>
      <c r="T16" s="48" t="s">
        <v>191</v>
      </c>
      <c r="U16" s="48" t="s">
        <v>173</v>
      </c>
      <c r="V16" s="48" t="s">
        <v>198</v>
      </c>
      <c r="W16" s="48" t="s">
        <v>215</v>
      </c>
      <c r="X16"/>
      <c r="Y16"/>
      <c r="Z16"/>
    </row>
    <row r="17" spans="1:26" ht="15.75" customHeight="1" x14ac:dyDescent="0.35">
      <c r="A17" s="75" t="s">
        <v>164</v>
      </c>
      <c r="B17" s="75"/>
      <c r="C17" s="75" t="s">
        <v>306</v>
      </c>
      <c r="D17" s="75"/>
      <c r="E17" s="75"/>
      <c r="F17" s="75"/>
      <c r="G17" s="75"/>
      <c r="H17" s="75"/>
      <c r="S17" s="48" t="s">
        <v>184</v>
      </c>
      <c r="T17" s="48" t="s">
        <v>189</v>
      </c>
      <c r="U17" s="48"/>
      <c r="V17" s="48" t="s">
        <v>199</v>
      </c>
      <c r="W17" s="48" t="s">
        <v>216</v>
      </c>
      <c r="X17"/>
      <c r="Y17"/>
      <c r="Z17"/>
    </row>
    <row r="18" spans="1:26" ht="15.75" customHeight="1" x14ac:dyDescent="0.35">
      <c r="A18" s="75" t="s">
        <v>10</v>
      </c>
      <c r="B18" s="75"/>
      <c r="C18" s="76" t="s">
        <v>308</v>
      </c>
      <c r="D18" s="76"/>
      <c r="E18" s="75" t="s">
        <v>70</v>
      </c>
      <c r="F18" s="75"/>
      <c r="G18" s="75" t="s">
        <v>302</v>
      </c>
      <c r="H18" s="75"/>
      <c r="S18" s="48" t="s">
        <v>185</v>
      </c>
      <c r="T18" s="48" t="s">
        <v>192</v>
      </c>
      <c r="U18" s="48"/>
      <c r="V18" s="48" t="s">
        <v>200</v>
      </c>
      <c r="W18" s="48" t="s">
        <v>217</v>
      </c>
      <c r="X18"/>
      <c r="Y18"/>
      <c r="Z18"/>
    </row>
    <row r="19" spans="1:26" x14ac:dyDescent="0.35">
      <c r="A19" s="76" t="s">
        <v>12</v>
      </c>
      <c r="B19" s="76"/>
      <c r="C19" s="75" t="s">
        <v>307</v>
      </c>
      <c r="D19" s="75"/>
      <c r="E19" s="75" t="s">
        <v>11</v>
      </c>
      <c r="F19" s="75"/>
      <c r="G19" s="169" t="s">
        <v>194</v>
      </c>
      <c r="H19" s="169"/>
      <c r="S19" s="48" t="s">
        <v>186</v>
      </c>
      <c r="T19" s="48" t="s">
        <v>193</v>
      </c>
      <c r="U19" s="48"/>
      <c r="V19" s="48" t="s">
        <v>201</v>
      </c>
      <c r="W19" s="48" t="s">
        <v>218</v>
      </c>
      <c r="X19"/>
      <c r="Y19"/>
      <c r="Z19"/>
    </row>
    <row r="20" spans="1:26" x14ac:dyDescent="0.35">
      <c r="A20" s="76" t="s">
        <v>71</v>
      </c>
      <c r="B20" s="76"/>
      <c r="C20" s="75" t="s">
        <v>196</v>
      </c>
      <c r="D20" s="75"/>
      <c r="E20" s="75" t="s">
        <v>13</v>
      </c>
      <c r="F20" s="75"/>
      <c r="G20" s="75">
        <v>410208</v>
      </c>
      <c r="H20" s="75"/>
      <c r="S20" s="48"/>
      <c r="T20" s="48"/>
      <c r="U20" s="48"/>
      <c r="V20" s="48" t="s">
        <v>202</v>
      </c>
      <c r="W20" s="48" t="s">
        <v>219</v>
      </c>
      <c r="X20"/>
      <c r="Y20"/>
      <c r="Z20"/>
    </row>
    <row r="21" spans="1:26" ht="32.25" customHeight="1" x14ac:dyDescent="0.35">
      <c r="A21" s="76" t="s">
        <v>120</v>
      </c>
      <c r="B21" s="76"/>
      <c r="C21" s="75" t="s">
        <v>309</v>
      </c>
      <c r="D21" s="75"/>
      <c r="E21" s="75" t="s">
        <v>14</v>
      </c>
      <c r="F21" s="75"/>
      <c r="G21" s="75" t="s">
        <v>305</v>
      </c>
      <c r="H21" s="75"/>
      <c r="S21" s="48"/>
      <c r="T21" s="48"/>
      <c r="U21" s="48"/>
      <c r="V21" s="48" t="s">
        <v>203</v>
      </c>
      <c r="W21" s="48" t="s">
        <v>220</v>
      </c>
      <c r="X21"/>
      <c r="Y21"/>
      <c r="Z21"/>
    </row>
    <row r="22" spans="1:26" ht="15" customHeight="1" x14ac:dyDescent="0.35">
      <c r="A22" s="99" t="s">
        <v>73</v>
      </c>
      <c r="B22" s="99"/>
      <c r="C22" s="99"/>
      <c r="D22" s="99"/>
      <c r="E22" s="76" t="s">
        <v>15</v>
      </c>
      <c r="F22" s="76"/>
      <c r="G22" s="76"/>
      <c r="H22" s="76"/>
      <c r="S22" s="48"/>
      <c r="T22" s="48"/>
      <c r="U22" s="48"/>
      <c r="V22" s="48" t="s">
        <v>204</v>
      </c>
      <c r="W22" s="48" t="s">
        <v>221</v>
      </c>
      <c r="X22"/>
      <c r="Y22"/>
      <c r="Z22"/>
    </row>
    <row r="23" spans="1:26" ht="18.75" customHeight="1" x14ac:dyDescent="0.35">
      <c r="A23" s="99"/>
      <c r="B23" s="99"/>
      <c r="C23" s="99"/>
      <c r="D23" s="99"/>
      <c r="E23" s="76"/>
      <c r="F23" s="76"/>
      <c r="G23" s="76"/>
      <c r="H23" s="76"/>
      <c r="S23" s="48"/>
      <c r="T23" s="48"/>
      <c r="U23" s="48"/>
      <c r="V23" s="48" t="s">
        <v>205</v>
      </c>
      <c r="W23" s="48" t="s">
        <v>222</v>
      </c>
      <c r="X23"/>
      <c r="Y23"/>
      <c r="Z23"/>
    </row>
    <row r="24" spans="1:26" ht="15" customHeight="1" x14ac:dyDescent="0.35">
      <c r="A24" s="99" t="s">
        <v>16</v>
      </c>
      <c r="B24" s="99"/>
      <c r="C24" s="99"/>
      <c r="D24" s="99"/>
      <c r="E24" s="75" t="s">
        <v>17</v>
      </c>
      <c r="F24" s="75"/>
      <c r="G24" s="75"/>
      <c r="H24" s="75"/>
      <c r="S24" s="48"/>
      <c r="T24" s="48"/>
      <c r="U24" s="48"/>
      <c r="V24" s="48" t="s">
        <v>206</v>
      </c>
      <c r="W24" s="48" t="s">
        <v>223</v>
      </c>
      <c r="X24"/>
      <c r="Y24"/>
      <c r="Z24"/>
    </row>
    <row r="25" spans="1:26" ht="15" customHeight="1" x14ac:dyDescent="0.35">
      <c r="A25" s="103" t="s">
        <v>18</v>
      </c>
      <c r="B25" s="103"/>
      <c r="C25" s="103"/>
      <c r="D25" s="103"/>
      <c r="E25" s="75" t="str">
        <f>IF(AND(G19="Mumbai"),"Upper Class","Middle Class")</f>
        <v>Middle Class</v>
      </c>
      <c r="F25" s="75"/>
      <c r="G25" s="75"/>
      <c r="H25" s="75"/>
      <c r="S25" s="48"/>
      <c r="T25" s="48"/>
      <c r="U25" s="48"/>
      <c r="V25" s="48" t="s">
        <v>207</v>
      </c>
      <c r="W25" s="48" t="s">
        <v>224</v>
      </c>
      <c r="X25"/>
      <c r="Y25"/>
      <c r="Z25"/>
    </row>
    <row r="26" spans="1:26" x14ac:dyDescent="0.35">
      <c r="A26" s="103" t="s">
        <v>19</v>
      </c>
      <c r="B26" s="103"/>
      <c r="C26" s="103"/>
      <c r="D26" s="103"/>
      <c r="E26" s="75" t="s">
        <v>20</v>
      </c>
      <c r="F26" s="75"/>
      <c r="G26" s="75"/>
      <c r="H26" s="75"/>
      <c r="S26" s="48"/>
      <c r="T26" s="48"/>
      <c r="U26" s="48"/>
      <c r="V26" s="48" t="s">
        <v>208</v>
      </c>
      <c r="W26" s="48" t="s">
        <v>225</v>
      </c>
      <c r="X26"/>
      <c r="Y26"/>
      <c r="Z26"/>
    </row>
    <row r="27" spans="1:26" ht="15.75" customHeight="1" x14ac:dyDescent="0.35">
      <c r="A27" s="103" t="s">
        <v>21</v>
      </c>
      <c r="B27" s="103"/>
      <c r="C27" s="103"/>
      <c r="D27" s="103"/>
      <c r="E27" s="75" t="str">
        <f>IF(AND(G19="Mumbai"),"Developed","Developing")</f>
        <v>Developing</v>
      </c>
      <c r="F27" s="75"/>
      <c r="G27" s="75"/>
      <c r="H27" s="75"/>
    </row>
    <row r="28" spans="1:26" x14ac:dyDescent="0.35">
      <c r="A28" s="103" t="s">
        <v>22</v>
      </c>
      <c r="B28" s="103"/>
      <c r="C28" s="103"/>
      <c r="D28" s="103"/>
      <c r="E28" s="75" t="s">
        <v>23</v>
      </c>
      <c r="F28" s="75"/>
      <c r="G28" s="75"/>
      <c r="H28" s="75"/>
    </row>
    <row r="29" spans="1:26" ht="15.75" customHeight="1" x14ac:dyDescent="0.35">
      <c r="A29" s="103" t="s">
        <v>78</v>
      </c>
      <c r="B29" s="103"/>
      <c r="C29" s="103"/>
      <c r="D29" s="103"/>
      <c r="E29" s="75" t="s">
        <v>79</v>
      </c>
      <c r="F29" s="75"/>
      <c r="G29" s="75"/>
      <c r="H29" s="75"/>
    </row>
    <row r="30" spans="1:26" ht="15" customHeight="1" x14ac:dyDescent="0.35">
      <c r="A30" s="103" t="s">
        <v>30</v>
      </c>
      <c r="B30" s="103"/>
      <c r="C30" s="103"/>
      <c r="D30" s="103"/>
      <c r="E30" s="75" t="str">
        <f>IF(AND(ISNUMBER(SEARCH("Flat",D62)),ISNUMBER(SEARCH("Shop",D62)),ISNUMBER(SEARCH("Office",D62))),"Residential + Commercial",IF(AND(ISNUMBER(SEARCH("Flat",D62)),ISNUMBER(SEARCH("Shop",D62))),"Residential + Commercial",IF(AND(ISNUMBER(SEARCH("Flat",D62)),ISNUMBER(SEARCH("Office",D62))),"Residential + Commercial",IF(AND(ISNUMBER(SEARCH("Shop",D62)),ISNUMBER(SEARCH("Office",D62))),"Commercial",IF(ISNUMBER(SEARCH("Shop",D62)),"Commercial",IF(ISNUMBER(SEARCH("Office",D62)),"Commercial",IF(ISNUMBER(SEARCH("Flat",D62)),"Residential")))))))</f>
        <v>Residential + Commercial</v>
      </c>
      <c r="F30" s="75"/>
      <c r="G30" s="75"/>
      <c r="H30" s="75"/>
    </row>
    <row r="31" spans="1:26" ht="15.75" customHeight="1" x14ac:dyDescent="0.35">
      <c r="A31" s="103" t="s">
        <v>90</v>
      </c>
      <c r="B31" s="103"/>
      <c r="C31" s="103"/>
      <c r="D31" s="103"/>
      <c r="E31" s="75" t="s">
        <v>31</v>
      </c>
      <c r="F31" s="75"/>
      <c r="G31" s="75"/>
      <c r="H31" s="75"/>
    </row>
    <row r="32" spans="1:26" s="19" customFormat="1" x14ac:dyDescent="0.35">
      <c r="A32" s="174" t="s">
        <v>91</v>
      </c>
      <c r="B32" s="174"/>
      <c r="C32" s="171" t="s">
        <v>174</v>
      </c>
      <c r="D32" s="172"/>
      <c r="E32" s="173"/>
      <c r="F32" s="171" t="s">
        <v>29</v>
      </c>
      <c r="G32" s="172"/>
      <c r="H32" s="173"/>
      <c r="S32" s="19" t="e">
        <f ca="1">OFFSET(#REF!,1,MATCH($G19,#REF!,0)-1,15,1)</f>
        <v>#REF!</v>
      </c>
    </row>
    <row r="33" spans="1:22" s="19" customFormat="1" x14ac:dyDescent="0.35">
      <c r="A33" s="170" t="s">
        <v>24</v>
      </c>
      <c r="B33" s="170" t="s">
        <v>28</v>
      </c>
      <c r="C33" s="166" t="s">
        <v>311</v>
      </c>
      <c r="D33" s="167"/>
      <c r="E33" s="168"/>
      <c r="F33" s="166" t="s">
        <v>308</v>
      </c>
      <c r="G33" s="167"/>
      <c r="H33" s="168"/>
    </row>
    <row r="34" spans="1:22" x14ac:dyDescent="0.35">
      <c r="A34" s="170" t="s">
        <v>25</v>
      </c>
      <c r="B34" s="170" t="s">
        <v>28</v>
      </c>
      <c r="C34" s="166" t="s">
        <v>312</v>
      </c>
      <c r="D34" s="167"/>
      <c r="E34" s="168"/>
      <c r="F34" s="166" t="s">
        <v>309</v>
      </c>
      <c r="G34" s="167"/>
      <c r="H34" s="168"/>
    </row>
    <row r="35" spans="1:22" s="19" customFormat="1" x14ac:dyDescent="0.35">
      <c r="A35" s="170" t="s">
        <v>27</v>
      </c>
      <c r="B35" s="170" t="s">
        <v>28</v>
      </c>
      <c r="C35" s="166" t="s">
        <v>313</v>
      </c>
      <c r="D35" s="167"/>
      <c r="E35" s="168"/>
      <c r="F35" s="166" t="s">
        <v>310</v>
      </c>
      <c r="G35" s="167"/>
      <c r="H35" s="168"/>
    </row>
    <row r="36" spans="1:22" x14ac:dyDescent="0.35">
      <c r="A36" s="170" t="s">
        <v>26</v>
      </c>
      <c r="B36" s="170" t="s">
        <v>28</v>
      </c>
      <c r="C36" s="166" t="s">
        <v>314</v>
      </c>
      <c r="D36" s="167"/>
      <c r="E36" s="168"/>
      <c r="F36" s="166" t="s">
        <v>308</v>
      </c>
      <c r="G36" s="167"/>
      <c r="H36" s="168"/>
    </row>
    <row r="37" spans="1:22" x14ac:dyDescent="0.35">
      <c r="A37" s="103" t="s">
        <v>280</v>
      </c>
      <c r="B37" s="103"/>
      <c r="C37" s="103"/>
      <c r="D37" s="103"/>
      <c r="E37" s="103"/>
      <c r="F37" s="103"/>
      <c r="G37" s="103"/>
      <c r="H37" s="103"/>
    </row>
    <row r="38" spans="1:22" ht="15.75" customHeight="1" x14ac:dyDescent="0.35">
      <c r="A38" s="103" t="s">
        <v>167</v>
      </c>
      <c r="B38" s="103"/>
      <c r="C38" s="113" t="s">
        <v>304</v>
      </c>
      <c r="D38" s="113"/>
      <c r="E38" s="113"/>
      <c r="F38" s="113"/>
      <c r="G38" s="113"/>
      <c r="H38" s="113"/>
    </row>
    <row r="39" spans="1:22" x14ac:dyDescent="0.35">
      <c r="A39" s="103" t="s">
        <v>163</v>
      </c>
      <c r="B39" s="103"/>
      <c r="C39" s="189" t="s">
        <v>303</v>
      </c>
      <c r="D39" s="75"/>
      <c r="E39" s="75"/>
      <c r="F39" s="75"/>
      <c r="G39" s="75"/>
      <c r="H39" s="75"/>
    </row>
    <row r="40" spans="1:22" x14ac:dyDescent="0.35">
      <c r="A40" s="113" t="s">
        <v>32</v>
      </c>
      <c r="B40" s="113"/>
      <c r="C40" s="113"/>
      <c r="D40" s="113"/>
      <c r="E40" s="113"/>
      <c r="F40" s="113"/>
      <c r="G40" s="113"/>
      <c r="H40" s="113"/>
    </row>
    <row r="41" spans="1:22" x14ac:dyDescent="0.35">
      <c r="A41" s="103" t="s">
        <v>33</v>
      </c>
      <c r="B41" s="103"/>
      <c r="C41" s="103"/>
      <c r="D41" s="103"/>
      <c r="E41" s="175">
        <v>247.42</v>
      </c>
      <c r="F41" s="175"/>
      <c r="G41" s="175"/>
      <c r="H41" s="175"/>
    </row>
    <row r="42" spans="1:22" x14ac:dyDescent="0.35">
      <c r="A42" s="103" t="s">
        <v>34</v>
      </c>
      <c r="B42" s="103"/>
      <c r="C42" s="103"/>
      <c r="D42" s="103"/>
      <c r="E42" s="126">
        <v>1.5</v>
      </c>
      <c r="F42" s="126"/>
      <c r="G42" s="126"/>
      <c r="H42" s="126"/>
      <c r="I42" s="18">
        <f>371.13/E41</f>
        <v>1.5</v>
      </c>
    </row>
    <row r="43" spans="1:22" x14ac:dyDescent="0.35">
      <c r="A43" s="103" t="s">
        <v>35</v>
      </c>
      <c r="B43" s="103"/>
      <c r="C43" s="103"/>
      <c r="D43" s="103"/>
      <c r="E43" s="126">
        <f>E45/E41-E42</f>
        <v>0</v>
      </c>
      <c r="F43" s="126"/>
      <c r="G43" s="126"/>
      <c r="H43" s="126"/>
    </row>
    <row r="44" spans="1:22" x14ac:dyDescent="0.35">
      <c r="A44" s="103" t="s">
        <v>36</v>
      </c>
      <c r="B44" s="103"/>
      <c r="C44" s="103"/>
      <c r="D44" s="103"/>
      <c r="E44" s="126">
        <f>E42+E43</f>
        <v>1.5</v>
      </c>
      <c r="F44" s="126"/>
      <c r="G44" s="126"/>
      <c r="H44" s="126"/>
    </row>
    <row r="45" spans="1:22" x14ac:dyDescent="0.35">
      <c r="A45" s="103" t="s">
        <v>89</v>
      </c>
      <c r="B45" s="103"/>
      <c r="C45" s="103"/>
      <c r="D45" s="103"/>
      <c r="E45" s="178">
        <v>371.13</v>
      </c>
      <c r="F45" s="178"/>
      <c r="G45" s="178"/>
      <c r="H45" s="178"/>
      <c r="I45" s="18">
        <v>371.13</v>
      </c>
    </row>
    <row r="46" spans="1:22" x14ac:dyDescent="0.35">
      <c r="A46" s="76" t="s">
        <v>37</v>
      </c>
      <c r="B46" s="76"/>
      <c r="C46" s="76"/>
      <c r="D46" s="76"/>
      <c r="E46" s="76" t="s">
        <v>119</v>
      </c>
      <c r="F46" s="76"/>
      <c r="G46" s="76"/>
      <c r="H46" s="76"/>
    </row>
    <row r="47" spans="1:22" x14ac:dyDescent="0.35">
      <c r="A47" s="113" t="s">
        <v>38</v>
      </c>
      <c r="B47" s="113"/>
      <c r="C47" s="113"/>
      <c r="D47" s="113"/>
      <c r="E47" s="113"/>
      <c r="F47" s="113"/>
      <c r="G47" s="113"/>
      <c r="H47" s="113"/>
    </row>
    <row r="48" spans="1:22" ht="33.75" customHeight="1" x14ac:dyDescent="0.35">
      <c r="A48" s="100" t="s">
        <v>152</v>
      </c>
      <c r="B48" s="93"/>
      <c r="C48" s="194" t="s">
        <v>268</v>
      </c>
      <c r="D48" s="195"/>
      <c r="E48" s="195"/>
      <c r="F48" s="195"/>
      <c r="G48" s="195"/>
      <c r="H48" s="196"/>
      <c r="R48" t="s">
        <v>253</v>
      </c>
      <c r="S48" t="s">
        <v>173</v>
      </c>
      <c r="T48" t="s">
        <v>179</v>
      </c>
      <c r="U48" t="s">
        <v>194</v>
      </c>
      <c r="V48" t="s">
        <v>189</v>
      </c>
    </row>
    <row r="49" spans="1:24" ht="32.25" customHeight="1" x14ac:dyDescent="0.35">
      <c r="A49" s="100" t="s">
        <v>39</v>
      </c>
      <c r="B49" s="93"/>
      <c r="C49" s="100" t="s">
        <v>339</v>
      </c>
      <c r="D49" s="101"/>
      <c r="E49" s="93"/>
      <c r="F49" s="17" t="s">
        <v>40</v>
      </c>
      <c r="G49" s="92">
        <v>45121</v>
      </c>
      <c r="H49" s="94"/>
      <c r="R49"/>
      <c r="S49" t="s">
        <v>254</v>
      </c>
      <c r="T49" t="s">
        <v>259</v>
      </c>
      <c r="U49" t="s">
        <v>270</v>
      </c>
      <c r="V49" t="s">
        <v>275</v>
      </c>
    </row>
    <row r="50" spans="1:24" ht="32.25" customHeight="1" x14ac:dyDescent="0.35">
      <c r="A50" s="100" t="s">
        <v>41</v>
      </c>
      <c r="B50" s="93"/>
      <c r="C50" s="100" t="str">
        <f>C49</f>
        <v>CIDCO/BP-18502/TPO(NM &amp; K)/2023/11004</v>
      </c>
      <c r="D50" s="101"/>
      <c r="E50" s="93"/>
      <c r="F50" s="17" t="s">
        <v>40</v>
      </c>
      <c r="G50" s="92">
        <f>G49</f>
        <v>45121</v>
      </c>
      <c r="H50" s="94"/>
      <c r="R50"/>
      <c r="S50" t="s">
        <v>255</v>
      </c>
      <c r="T50" t="s">
        <v>260</v>
      </c>
      <c r="U50" t="s">
        <v>268</v>
      </c>
      <c r="V50" t="s">
        <v>276</v>
      </c>
    </row>
    <row r="51" spans="1:24" s="20" customFormat="1" ht="32.25" customHeight="1" x14ac:dyDescent="0.35">
      <c r="A51" s="95" t="s">
        <v>156</v>
      </c>
      <c r="B51" s="96"/>
      <c r="C51" s="100" t="s">
        <v>343</v>
      </c>
      <c r="D51" s="101"/>
      <c r="E51" s="93"/>
      <c r="F51" s="17" t="s">
        <v>40</v>
      </c>
      <c r="G51" s="92">
        <v>45429</v>
      </c>
      <c r="H51" s="94"/>
      <c r="R51"/>
      <c r="S51" t="s">
        <v>256</v>
      </c>
      <c r="T51" t="s">
        <v>261</v>
      </c>
      <c r="U51" t="s">
        <v>258</v>
      </c>
      <c r="V51" t="s">
        <v>277</v>
      </c>
    </row>
    <row r="52" spans="1:24" s="20" customFormat="1" ht="34.5" customHeight="1" x14ac:dyDescent="0.35">
      <c r="A52" s="97"/>
      <c r="B52" s="98"/>
      <c r="C52" s="100" t="s">
        <v>344</v>
      </c>
      <c r="D52" s="101"/>
      <c r="E52" s="101"/>
      <c r="F52" s="101"/>
      <c r="G52" s="101"/>
      <c r="H52" s="93"/>
      <c r="R52"/>
      <c r="S52" t="s">
        <v>257</v>
      </c>
      <c r="T52" t="s">
        <v>264</v>
      </c>
      <c r="U52" t="s">
        <v>271</v>
      </c>
    </row>
    <row r="53" spans="1:24" s="20" customFormat="1" hidden="1" x14ac:dyDescent="0.35">
      <c r="A53" s="117" t="s">
        <v>281</v>
      </c>
      <c r="B53" s="118"/>
      <c r="C53" s="100"/>
      <c r="D53" s="101"/>
      <c r="E53" s="93"/>
      <c r="F53" s="17" t="s">
        <v>40</v>
      </c>
      <c r="G53" s="100"/>
      <c r="H53" s="93"/>
      <c r="R53"/>
      <c r="S53" t="s">
        <v>256</v>
      </c>
      <c r="T53" t="s">
        <v>261</v>
      </c>
      <c r="U53" t="s">
        <v>258</v>
      </c>
      <c r="V53" t="s">
        <v>277</v>
      </c>
    </row>
    <row r="54" spans="1:24" s="20" customFormat="1" ht="32.25" hidden="1" customHeight="1" x14ac:dyDescent="0.35">
      <c r="A54" s="119"/>
      <c r="B54" s="120"/>
      <c r="C54" s="191"/>
      <c r="D54" s="192"/>
      <c r="E54" s="192"/>
      <c r="F54" s="192"/>
      <c r="G54" s="192"/>
      <c r="H54" s="193"/>
      <c r="R54"/>
      <c r="S54" t="s">
        <v>258</v>
      </c>
      <c r="T54" t="s">
        <v>262</v>
      </c>
      <c r="U54" t="s">
        <v>272</v>
      </c>
      <c r="V54" s="18"/>
      <c r="W54" s="18"/>
      <c r="X54" s="18"/>
    </row>
    <row r="55" spans="1:24" s="20" customFormat="1" ht="34.5" hidden="1" customHeight="1" x14ac:dyDescent="0.35">
      <c r="A55" s="117" t="s">
        <v>282</v>
      </c>
      <c r="B55" s="118"/>
      <c r="C55" s="100">
        <f>C54</f>
        <v>0</v>
      </c>
      <c r="D55" s="101"/>
      <c r="E55" s="93"/>
      <c r="F55" s="17" t="s">
        <v>40</v>
      </c>
      <c r="G55" s="100">
        <f>G54</f>
        <v>0</v>
      </c>
      <c r="H55" s="93"/>
      <c r="R55"/>
      <c r="S55" s="18"/>
      <c r="T55" t="s">
        <v>263</v>
      </c>
      <c r="U55" t="s">
        <v>273</v>
      </c>
      <c r="V55" s="18"/>
      <c r="W55" s="18"/>
      <c r="X55" s="18"/>
    </row>
    <row r="56" spans="1:24" s="20" customFormat="1" ht="41.25" hidden="1" customHeight="1" x14ac:dyDescent="0.35">
      <c r="A56" s="119"/>
      <c r="B56" s="120"/>
      <c r="C56" s="100"/>
      <c r="D56" s="101"/>
      <c r="E56" s="101"/>
      <c r="F56" s="101"/>
      <c r="G56" s="101"/>
      <c r="H56" s="93"/>
      <c r="R56"/>
      <c r="S56" s="18"/>
      <c r="T56" t="s">
        <v>265</v>
      </c>
      <c r="U56" t="s">
        <v>274</v>
      </c>
      <c r="V56" s="18"/>
      <c r="W56" s="18"/>
      <c r="X56" s="18"/>
    </row>
    <row r="57" spans="1:24" s="20" customFormat="1" ht="15.75" customHeight="1" x14ac:dyDescent="0.35">
      <c r="A57" s="73" t="s">
        <v>340</v>
      </c>
      <c r="B57" s="121"/>
      <c r="C57" s="100" t="s">
        <v>317</v>
      </c>
      <c r="D57" s="101"/>
      <c r="E57" s="93"/>
      <c r="F57" s="17" t="s">
        <v>40</v>
      </c>
      <c r="G57" s="92">
        <v>44896</v>
      </c>
      <c r="H57" s="93"/>
      <c r="R57"/>
      <c r="S57" s="18"/>
      <c r="T57" t="s">
        <v>266</v>
      </c>
      <c r="U57" s="18" t="s">
        <v>296</v>
      </c>
      <c r="V57" s="18"/>
      <c r="W57" s="18"/>
      <c r="X57" s="18"/>
    </row>
    <row r="58" spans="1:24" s="20" customFormat="1" ht="34.5" customHeight="1" x14ac:dyDescent="0.35">
      <c r="A58" s="122"/>
      <c r="B58" s="123"/>
      <c r="C58" s="99" t="s">
        <v>341</v>
      </c>
      <c r="D58" s="99"/>
      <c r="E58" s="99"/>
      <c r="F58" s="53" t="s">
        <v>316</v>
      </c>
      <c r="G58" s="127">
        <v>47817</v>
      </c>
      <c r="H58" s="99"/>
      <c r="I58" s="20">
        <f>89.17-9.17</f>
        <v>80</v>
      </c>
      <c r="R58"/>
      <c r="S58" s="18"/>
      <c r="T58" t="s">
        <v>267</v>
      </c>
      <c r="U58" s="18"/>
      <c r="V58" s="18"/>
      <c r="W58" s="18"/>
      <c r="X58" s="18"/>
    </row>
    <row r="59" spans="1:24" x14ac:dyDescent="0.35">
      <c r="A59" s="106" t="s">
        <v>42</v>
      </c>
      <c r="B59" s="107"/>
      <c r="C59" s="106" t="s">
        <v>103</v>
      </c>
      <c r="D59" s="108"/>
      <c r="E59" s="107"/>
      <c r="F59" s="40" t="s">
        <v>40</v>
      </c>
      <c r="G59" s="140" t="s">
        <v>28</v>
      </c>
      <c r="H59" s="141"/>
      <c r="R59"/>
      <c r="T59" t="s">
        <v>269</v>
      </c>
    </row>
    <row r="60" spans="1:24" x14ac:dyDescent="0.35">
      <c r="A60" s="114" t="s">
        <v>44</v>
      </c>
      <c r="B60" s="114"/>
      <c r="C60" s="114"/>
      <c r="D60" s="114"/>
      <c r="E60" s="114"/>
      <c r="F60" s="114"/>
      <c r="G60" s="114"/>
      <c r="H60" s="114"/>
      <c r="T60" t="s">
        <v>278</v>
      </c>
    </row>
    <row r="61" spans="1:24" x14ac:dyDescent="0.35">
      <c r="A61" s="99" t="s">
        <v>88</v>
      </c>
      <c r="B61" s="99"/>
      <c r="C61" s="99"/>
      <c r="D61" s="103">
        <f>E45</f>
        <v>371.13</v>
      </c>
      <c r="E61" s="103"/>
      <c r="F61" s="103"/>
      <c r="G61" s="103"/>
      <c r="H61" s="103"/>
      <c r="R61"/>
    </row>
    <row r="62" spans="1:24" x14ac:dyDescent="0.35">
      <c r="A62" s="75" t="s">
        <v>45</v>
      </c>
      <c r="B62" s="76"/>
      <c r="C62" s="76"/>
      <c r="D62" s="139" t="s">
        <v>327</v>
      </c>
      <c r="E62" s="139"/>
      <c r="F62" s="139"/>
      <c r="G62" s="139"/>
      <c r="H62" s="139"/>
      <c r="I62" s="21"/>
      <c r="R62"/>
    </row>
    <row r="63" spans="1:24" x14ac:dyDescent="0.35">
      <c r="A63" s="73" t="s">
        <v>46</v>
      </c>
      <c r="B63" s="74"/>
      <c r="C63" s="121"/>
      <c r="D63" s="150" t="s">
        <v>315</v>
      </c>
      <c r="E63" s="179"/>
      <c r="F63" s="179"/>
      <c r="G63" s="179"/>
      <c r="H63" s="179"/>
      <c r="R63"/>
    </row>
    <row r="64" spans="1:24" ht="15.75" customHeight="1" x14ac:dyDescent="0.35">
      <c r="A64" s="73" t="s">
        <v>86</v>
      </c>
      <c r="B64" s="74"/>
      <c r="C64" s="74"/>
      <c r="D64" s="75" t="s">
        <v>319</v>
      </c>
      <c r="E64" s="76"/>
      <c r="F64" s="76"/>
      <c r="G64" s="76"/>
      <c r="H64" s="76"/>
      <c r="R64"/>
    </row>
    <row r="65" spans="1:19" ht="15.75" customHeight="1" x14ac:dyDescent="0.35">
      <c r="A65" s="103" t="s">
        <v>43</v>
      </c>
      <c r="B65" s="103"/>
      <c r="C65" s="103"/>
      <c r="D65" s="176" t="s">
        <v>318</v>
      </c>
      <c r="E65" s="176"/>
      <c r="F65" s="176"/>
      <c r="G65" s="176"/>
      <c r="H65" s="176"/>
      <c r="J65" s="22"/>
      <c r="K65" s="21"/>
      <c r="N65" s="21"/>
      <c r="S65"/>
    </row>
    <row r="66" spans="1:19" ht="15.75" customHeight="1" x14ac:dyDescent="0.35">
      <c r="A66" s="103" t="s">
        <v>84</v>
      </c>
      <c r="B66" s="103"/>
      <c r="C66" s="103"/>
      <c r="D66" s="177" t="str">
        <f>(IF(G59="NA","60 Years After Completion",IF(G59&lt;&gt;"NA",""&amp;60-ROUNDDOWN((E3-G59)/360,0)&amp;" Years"," ")))</f>
        <v>60 Years After Completion</v>
      </c>
      <c r="E66" s="177"/>
      <c r="F66" s="177"/>
      <c r="G66" s="177"/>
      <c r="H66" s="177"/>
      <c r="N66" s="21"/>
      <c r="S66"/>
    </row>
    <row r="67" spans="1:19" ht="15.75" customHeight="1" x14ac:dyDescent="0.35">
      <c r="A67" s="103" t="s">
        <v>85</v>
      </c>
      <c r="B67" s="103"/>
      <c r="C67" s="103"/>
      <c r="D67" s="99" t="s">
        <v>23</v>
      </c>
      <c r="E67" s="99"/>
      <c r="F67" s="99"/>
      <c r="G67" s="99"/>
      <c r="H67" s="99"/>
      <c r="J67" s="23"/>
      <c r="K67" s="23"/>
      <c r="S67"/>
    </row>
    <row r="68" spans="1:19" x14ac:dyDescent="0.35">
      <c r="A68" s="76" t="s">
        <v>338</v>
      </c>
      <c r="B68" s="76"/>
      <c r="C68" s="76"/>
      <c r="D68" s="75" t="s">
        <v>337</v>
      </c>
      <c r="E68" s="99"/>
      <c r="F68" s="99"/>
      <c r="G68" s="99"/>
      <c r="H68" s="99"/>
      <c r="S68"/>
    </row>
    <row r="69" spans="1:19" x14ac:dyDescent="0.35">
      <c r="A69" s="99" t="s">
        <v>148</v>
      </c>
      <c r="B69" s="99"/>
      <c r="C69" s="99"/>
      <c r="D69" s="99" t="s">
        <v>28</v>
      </c>
      <c r="E69" s="99"/>
      <c r="F69" s="99"/>
      <c r="G69" s="99"/>
      <c r="H69" s="99"/>
      <c r="I69" s="24"/>
      <c r="J69" s="24"/>
      <c r="K69" s="24"/>
      <c r="L69" s="24"/>
      <c r="M69" s="24"/>
      <c r="N69" s="24"/>
    </row>
    <row r="70" spans="1:19" ht="15.75" customHeight="1" x14ac:dyDescent="0.35">
      <c r="A70" s="112" t="s">
        <v>83</v>
      </c>
      <c r="B70" s="112"/>
      <c r="C70" s="112"/>
      <c r="D70" s="150" t="str">
        <f ca="1">(IF(G76&gt;95%,"Nothing",IF(G76&gt;0%,"Cement, Aggregate, Steel, etc",IF(G76=0%,"Work not yet Started"))))</f>
        <v>Cement, Aggregate, Steel, etc</v>
      </c>
      <c r="E70" s="150"/>
      <c r="F70" s="150"/>
      <c r="G70" s="150"/>
      <c r="H70" s="150"/>
      <c r="J70" s="23"/>
      <c r="S70"/>
    </row>
    <row r="71" spans="1:19" ht="33.75" customHeight="1" thickBot="1" x14ac:dyDescent="0.4">
      <c r="A71" s="149" t="s">
        <v>116</v>
      </c>
      <c r="B71" s="149"/>
      <c r="C71" s="149"/>
      <c r="D71" s="150" t="str">
        <f ca="1">(IF(D70="Nothing","Yes",IF(D70="Cement, Aggregate, Steel, etc","Under Construction",IF(D70="Work not yet Started","Work not yet Started"))))</f>
        <v>Under Construction</v>
      </c>
      <c r="E71" s="150"/>
      <c r="F71" s="150" t="str">
        <f ca="1">(IF(D70="Nothing","Yes",IF(D70="Cement, Aggregate, Steel, etc","Under Construction",IF(D70="Work not yet Started","Work not yet Started"))))</f>
        <v>Under Construction</v>
      </c>
      <c r="G71" s="150"/>
      <c r="H71" s="150"/>
      <c r="S71"/>
    </row>
    <row r="72" spans="1:19" ht="15.75" customHeight="1" x14ac:dyDescent="0.35">
      <c r="A72" s="204" t="s">
        <v>138</v>
      </c>
      <c r="B72" s="205"/>
      <c r="C72" s="206" t="str">
        <f>D64</f>
        <v>Gr/Stilt + 1st to 7th Floor</v>
      </c>
      <c r="D72" s="207"/>
      <c r="E72" s="207"/>
      <c r="F72" s="207"/>
      <c r="G72" s="207"/>
      <c r="H72" s="208"/>
      <c r="I72" s="42" t="str">
        <f ca="1">IF(D85=100%,"All work Completed. Possession granted to the Building.",IF(D84=100%,"All work Completed, Waiting for OC",I73&amp;""&amp;I74&amp;""&amp;J73&amp;""&amp;J72&amp;" "&amp;J74))</f>
        <v>Excavation, Plinth, RCC Slab, Brickwork, Internal Plaster, External Plaster Completed, Flooring upto 6 Floor, Painting upto 5 Floor Completed</v>
      </c>
      <c r="J72" s="43" t="str">
        <f ca="1">(IF(C78=(D73+F73+H73),"",IF(C78&gt;0,", RCC upto "&amp;C78&amp;" Slab","")))&amp;(IF(C79=H73,"",IF(C79&gt;0,", Brickwork upto "&amp;C79&amp;" Floor","")))&amp;(IF(C80=H73,"",IF(C80&gt;0,", Internal Plaster upto "&amp;C80&amp;" Floor","")))&amp;(IF(C81=H73,"",IF(C81&gt;0,", External Plaster upto "&amp;C81&amp;" Floor","")))&amp;(IF(C82=H73,"",IF(C82&gt;0,", Flooring upto "&amp;C82&amp;" Floor","")))&amp;(IF(C83=H73,"",IF(C83&gt;0,", Painting upto "&amp;C83&amp;" Floor","")))&amp;(IF(C84=H73,"",IF(C84&gt;0,", Finishing upto "&amp;C84&amp;" Floor","")))&amp;(IF(C85=H73,"",IF(C85&gt;0,", Possession upto "&amp;C85&amp;" Floor","")))</f>
        <v>, Flooring upto 6 Floor, Painting upto 5 Floor</v>
      </c>
      <c r="S72"/>
    </row>
    <row r="73" spans="1:19" x14ac:dyDescent="0.35">
      <c r="A73" s="15" t="s">
        <v>140</v>
      </c>
      <c r="B73" s="46">
        <f>IF(AND(ISNUMBER(SEARCH("1B",C72))),1,IF(AND(ISNUMBER(SEARCH("2B",C72))),2,IF(AND(ISNUMBER(SEARCH("3B",C72))),3,IF(AND(ISNUMBER(SEARCH("4B",C72))),4,IF(ISNUMBER(SEARCH("5B",C72)),5,0)))))</f>
        <v>0</v>
      </c>
      <c r="C73" s="46" t="s">
        <v>69</v>
      </c>
      <c r="D73" s="46">
        <v>1</v>
      </c>
      <c r="E73" s="46" t="s">
        <v>68</v>
      </c>
      <c r="F73" s="46">
        <v>0</v>
      </c>
      <c r="G73" s="46" t="s">
        <v>77</v>
      </c>
      <c r="H73" s="16">
        <f ca="1">--TRIM(RIGHT(SUBSTITUTE(LEFT(C72,_xlfn.AGGREGATE(16,6,FIND({0,1,2,3,4,5,6,7,8,9},C72,ROW(INDIRECT("1:"&amp;LEN(C72)))),1))," ",REPT(" ",LEN(C72))),LEN(C72)))</f>
        <v>7</v>
      </c>
      <c r="I73" s="44" t="str">
        <f ca="1">IF(D76=100%,"Excavation","")&amp;IF(D77=100%,", Plinth","")&amp;IF(D78=100%,", RCC Slab","")&amp;IF(D79=100%,", Brickwork","")&amp;IF(D80=100%,", Internal Plaster","")&amp;IF(D81=100%,", External Plaster","")&amp;IF(D82=100%,", Flooring","")&amp;IF(D83=100%,", Painting","")&amp;IF(D84=100%,", Building common Amenities","")</f>
        <v>Excavation, Plinth, RCC Slab, Brickwork, Internal Plaster, External Plaster</v>
      </c>
      <c r="J73" s="45" t="str">
        <f ca="1">(IF(C76=0,"Work not yet Started.",IF(D76=25%,"Piling work in process",IF(D76=50%,"Excavation work in process",IF(D76=100%,"","0")))))&amp;(IF(C77=0%,"",IF(C77=J78,", Footing work is process",IF(C77=J79,", Footing work Completed",IF(C77=J80,", 1st Basement Completed",IF(C77=J81,", 1st &amp; 2nd Basement Completed",IF(C77=J82,", 1st to 3rd Basement Completed",IF(C77=J83,", 1st to 4th Basement Completed",IF(C77=J84,", Plinth work is process",IF(C77=J85,"","0"))))))))))</f>
        <v/>
      </c>
      <c r="S73"/>
    </row>
    <row r="74" spans="1:19" ht="33" customHeight="1" x14ac:dyDescent="0.35">
      <c r="A74" s="203" t="s">
        <v>87</v>
      </c>
      <c r="B74" s="164"/>
      <c r="C74" s="146" t="str">
        <f ca="1">I72</f>
        <v>Excavation, Plinth, RCC Slab, Brickwork, Internal Plaster, External Plaster Completed, Flooring upto 6 Floor, Painting upto 5 Floor Completed</v>
      </c>
      <c r="D74" s="146"/>
      <c r="E74" s="146"/>
      <c r="F74" s="146"/>
      <c r="G74" s="146"/>
      <c r="H74" s="147"/>
      <c r="I74" s="44" t="str">
        <f ca="1">IF(I73&lt;&gt;""," Completed","")</f>
        <v xml:space="preserve"> Completed</v>
      </c>
      <c r="J74" s="45" t="str">
        <f ca="1">IF(J72&lt;&gt;"","Completed","")</f>
        <v>Completed</v>
      </c>
      <c r="S74"/>
    </row>
    <row r="75" spans="1:19" ht="15.75" customHeight="1" x14ac:dyDescent="0.35">
      <c r="A75" s="115" t="s">
        <v>47</v>
      </c>
      <c r="B75" s="116"/>
      <c r="C75" s="54" t="s">
        <v>137</v>
      </c>
      <c r="D75" s="54" t="s">
        <v>80</v>
      </c>
      <c r="E75" s="148" t="s">
        <v>82</v>
      </c>
      <c r="F75" s="148"/>
      <c r="G75" s="148" t="s">
        <v>81</v>
      </c>
      <c r="H75" s="151"/>
      <c r="I75" s="13" t="s">
        <v>139</v>
      </c>
      <c r="J75" s="25">
        <f ca="1">H73*25%</f>
        <v>1.75</v>
      </c>
      <c r="S75"/>
    </row>
    <row r="76" spans="1:19" x14ac:dyDescent="0.35">
      <c r="A76" s="115" t="s">
        <v>126</v>
      </c>
      <c r="B76" s="116"/>
      <c r="C76" s="54">
        <f ca="1">J77</f>
        <v>7</v>
      </c>
      <c r="D76" s="55">
        <f ca="1">((100/H73)*C76)/100</f>
        <v>1</v>
      </c>
      <c r="E76" s="152">
        <f ca="1">(((C77/H73*10)+(40/(D73+F73+H73)*C78)+(7.5/(H73)*C79)+(7.5/(H73)*C80)+(10/H73*C81)+(10/H73*C82)+(5/H73*C83)+(5/H73*C84)+(5/H73*C85))/100)</f>
        <v>0.87142857142857144</v>
      </c>
      <c r="F76" s="153"/>
      <c r="G76" s="152">
        <f ca="1">((((C76/H73)*20)+((C77/H73)*25)+(30/(H73+F73+D73)*C78)+(5/H73*C79)+(5/H73*C80)+(5/H73*C81)+(5/H73*C82)+(0/H73*C83)+(0/H73*C84)+(5/H73*C85))/100)</f>
        <v>0.94285714285714295</v>
      </c>
      <c r="H76" s="158"/>
      <c r="I76" s="13" t="s">
        <v>98</v>
      </c>
      <c r="J76" s="26">
        <f ca="1">H73*50%</f>
        <v>3.5</v>
      </c>
    </row>
    <row r="77" spans="1:19" x14ac:dyDescent="0.35">
      <c r="A77" s="115" t="s">
        <v>48</v>
      </c>
      <c r="B77" s="116"/>
      <c r="C77" s="54">
        <f ca="1">J85</f>
        <v>7</v>
      </c>
      <c r="D77" s="55">
        <f ca="1">((100/H73)*C77)/100</f>
        <v>1</v>
      </c>
      <c r="E77" s="154"/>
      <c r="F77" s="155"/>
      <c r="G77" s="154"/>
      <c r="H77" s="159"/>
      <c r="I77" s="13" t="s">
        <v>99</v>
      </c>
      <c r="J77" s="26">
        <f ca="1">H73</f>
        <v>7</v>
      </c>
      <c r="S77"/>
    </row>
    <row r="78" spans="1:19" ht="15.75" customHeight="1" x14ac:dyDescent="0.35">
      <c r="A78" s="115" t="s">
        <v>127</v>
      </c>
      <c r="B78" s="116"/>
      <c r="C78" s="54">
        <v>8</v>
      </c>
      <c r="D78" s="55">
        <f ca="1">((100/(D73+F73+H73))*C78)/100</f>
        <v>1</v>
      </c>
      <c r="E78" s="154"/>
      <c r="F78" s="155"/>
      <c r="G78" s="154"/>
      <c r="H78" s="159"/>
      <c r="I78" s="13" t="s">
        <v>100</v>
      </c>
      <c r="J78" s="27">
        <f ca="1">(IF(B73&gt;1,(H73/(B73+2)),H73/4))</f>
        <v>1.75</v>
      </c>
      <c r="S78"/>
    </row>
    <row r="79" spans="1:19" ht="15.75" customHeight="1" x14ac:dyDescent="0.35">
      <c r="A79" s="115" t="s">
        <v>134</v>
      </c>
      <c r="B79" s="116" t="s">
        <v>128</v>
      </c>
      <c r="C79" s="54">
        <v>7</v>
      </c>
      <c r="D79" s="55">
        <f ca="1">((100/H73)*C79)/100</f>
        <v>1</v>
      </c>
      <c r="E79" s="154"/>
      <c r="F79" s="155"/>
      <c r="G79" s="154"/>
      <c r="H79" s="159"/>
      <c r="I79" s="13" t="s">
        <v>101</v>
      </c>
      <c r="J79" s="27">
        <f ca="1">(IF(B73&gt;1,(H73/(B73+2)+J78),H73/4+J78))</f>
        <v>3.5</v>
      </c>
    </row>
    <row r="80" spans="1:19" ht="15.75" customHeight="1" x14ac:dyDescent="0.35">
      <c r="A80" s="115" t="s">
        <v>135</v>
      </c>
      <c r="B80" s="116" t="s">
        <v>128</v>
      </c>
      <c r="C80" s="54">
        <v>7</v>
      </c>
      <c r="D80" s="55">
        <f ca="1">((100/H73)*C80)/100</f>
        <v>1</v>
      </c>
      <c r="E80" s="154"/>
      <c r="F80" s="155"/>
      <c r="G80" s="154"/>
      <c r="H80" s="159"/>
      <c r="I80" s="13" t="s">
        <v>146</v>
      </c>
      <c r="J80" s="27">
        <f>(IF(B73&gt;1,(H73/(B73+2)+J79),0))</f>
        <v>0</v>
      </c>
    </row>
    <row r="81" spans="1:22" ht="15" customHeight="1" x14ac:dyDescent="0.35">
      <c r="A81" s="115" t="s">
        <v>133</v>
      </c>
      <c r="B81" s="116" t="s">
        <v>130</v>
      </c>
      <c r="C81" s="54">
        <v>7</v>
      </c>
      <c r="D81" s="55">
        <f ca="1">((100/(H73))*C81)/100</f>
        <v>1</v>
      </c>
      <c r="E81" s="154"/>
      <c r="F81" s="155"/>
      <c r="G81" s="154"/>
      <c r="H81" s="159"/>
      <c r="I81" s="13" t="s">
        <v>141</v>
      </c>
      <c r="J81" s="27">
        <f>(IF(B73&gt;2,(H73/(B73+2)+J80),0))</f>
        <v>0</v>
      </c>
    </row>
    <row r="82" spans="1:22" ht="15.75" customHeight="1" x14ac:dyDescent="0.35">
      <c r="A82" s="115" t="s">
        <v>129</v>
      </c>
      <c r="B82" s="116" t="s">
        <v>129</v>
      </c>
      <c r="C82" s="54">
        <v>6</v>
      </c>
      <c r="D82" s="55">
        <f ca="1">((100/H73)*C82)/100</f>
        <v>0.85714285714285721</v>
      </c>
      <c r="E82" s="154"/>
      <c r="F82" s="155"/>
      <c r="G82" s="154"/>
      <c r="H82" s="159"/>
      <c r="I82" s="13" t="s">
        <v>142</v>
      </c>
      <c r="J82" s="28">
        <f>(IF(B73&gt;3,(H73/(B73+2)+J81),0))</f>
        <v>0</v>
      </c>
    </row>
    <row r="83" spans="1:22" ht="15.75" customHeight="1" x14ac:dyDescent="0.35">
      <c r="A83" s="115" t="s">
        <v>136</v>
      </c>
      <c r="B83" s="116"/>
      <c r="C83" s="54">
        <v>5</v>
      </c>
      <c r="D83" s="55">
        <f ca="1">((100/H73)*C83)/100</f>
        <v>0.7142857142857143</v>
      </c>
      <c r="E83" s="154"/>
      <c r="F83" s="155"/>
      <c r="G83" s="154"/>
      <c r="H83" s="159"/>
      <c r="I83" s="13" t="s">
        <v>143</v>
      </c>
      <c r="J83" s="27">
        <f>(IF(B73&gt;4,(H73/(B73+2)+J82),0))</f>
        <v>0</v>
      </c>
    </row>
    <row r="84" spans="1:22" ht="15.75" customHeight="1" x14ac:dyDescent="0.35">
      <c r="A84" s="115" t="s">
        <v>131</v>
      </c>
      <c r="B84" s="116" t="s">
        <v>131</v>
      </c>
      <c r="C84" s="54">
        <v>0</v>
      </c>
      <c r="D84" s="55">
        <f ca="1">((100/(H73))*C84)/100</f>
        <v>0</v>
      </c>
      <c r="E84" s="154"/>
      <c r="F84" s="155"/>
      <c r="G84" s="154"/>
      <c r="H84" s="159"/>
      <c r="I84" s="13" t="s">
        <v>147</v>
      </c>
      <c r="J84" s="27">
        <f ca="1">(IF(B73=1,(H73/(B73+3)+J79),IF(B73=0,(H73/4+J79),IF(B73&gt;1,0))))</f>
        <v>5.25</v>
      </c>
    </row>
    <row r="85" spans="1:22" ht="16" thickBot="1" x14ac:dyDescent="0.4">
      <c r="A85" s="161" t="s">
        <v>132</v>
      </c>
      <c r="B85" s="162"/>
      <c r="C85" s="56">
        <v>0</v>
      </c>
      <c r="D85" s="57">
        <f ca="1">((100/(H73))*C85)/100</f>
        <v>0</v>
      </c>
      <c r="E85" s="156"/>
      <c r="F85" s="157"/>
      <c r="G85" s="156"/>
      <c r="H85" s="160"/>
      <c r="I85" s="14" t="s">
        <v>102</v>
      </c>
      <c r="J85" s="29">
        <f ca="1">(IF(B73&gt;1.5,(H73/(B73+2)+J79+MAX(0,J80-J79)+MAX(0,J81-J80)+MAX(0,J82-J81)+MAX(0,J83-J82)+MAX(0,J84-J83)),IF(B73=1,(H73/(B73+3)+J84),IF(B73=0,H73/4+J84))))</f>
        <v>7</v>
      </c>
    </row>
    <row r="86" spans="1:22" x14ac:dyDescent="0.35">
      <c r="A86" s="197" t="s">
        <v>158</v>
      </c>
      <c r="B86" s="197"/>
      <c r="C86" s="197"/>
      <c r="D86" s="197"/>
      <c r="E86" s="197"/>
      <c r="F86" s="186" t="s">
        <v>162</v>
      </c>
      <c r="G86" s="186"/>
      <c r="H86" s="186"/>
      <c r="I86" s="63"/>
      <c r="J86" s="63" t="s">
        <v>332</v>
      </c>
      <c r="K86" s="63" t="s">
        <v>333</v>
      </c>
      <c r="L86" s="63" t="s">
        <v>334</v>
      </c>
      <c r="M86" s="63" t="s">
        <v>335</v>
      </c>
      <c r="R86" t="s">
        <v>253</v>
      </c>
      <c r="S86" t="s">
        <v>173</v>
      </c>
      <c r="T86" t="s">
        <v>179</v>
      </c>
      <c r="U86" t="s">
        <v>194</v>
      </c>
      <c r="V86" t="s">
        <v>189</v>
      </c>
    </row>
    <row r="87" spans="1:22" x14ac:dyDescent="0.35">
      <c r="A87" s="103" t="s">
        <v>160</v>
      </c>
      <c r="B87" s="103"/>
      <c r="C87" s="103"/>
      <c r="D87" s="103"/>
      <c r="E87" s="103"/>
      <c r="F87" s="109">
        <v>5600</v>
      </c>
      <c r="G87" s="109"/>
      <c r="H87" s="109"/>
      <c r="I87" s="66">
        <f>AVERAGE(J87:M87)</f>
        <v>5937.2651562905712</v>
      </c>
      <c r="J87" s="66">
        <f>AVERAGE(J121:J122)</f>
        <v>7349.0606251622839</v>
      </c>
      <c r="K87" s="63">
        <v>6000</v>
      </c>
      <c r="L87" s="63">
        <v>4900</v>
      </c>
      <c r="M87" s="63">
        <v>5500</v>
      </c>
      <c r="R87"/>
      <c r="S87">
        <v>800000</v>
      </c>
      <c r="T87">
        <v>300000</v>
      </c>
      <c r="U87">
        <v>100000</v>
      </c>
      <c r="V87">
        <v>100000</v>
      </c>
    </row>
    <row r="88" spans="1:22" x14ac:dyDescent="0.35">
      <c r="A88" s="103" t="s">
        <v>159</v>
      </c>
      <c r="B88" s="103"/>
      <c r="C88" s="103"/>
      <c r="D88" s="103"/>
      <c r="E88" s="103"/>
      <c r="F88" s="109">
        <v>10000</v>
      </c>
      <c r="G88" s="109"/>
      <c r="H88" s="109"/>
      <c r="I88" s="63"/>
      <c r="J88" s="63"/>
      <c r="K88" s="63"/>
      <c r="L88" s="63"/>
      <c r="M88" s="63"/>
      <c r="R88"/>
      <c r="S88">
        <v>900000</v>
      </c>
      <c r="T88">
        <v>350000</v>
      </c>
      <c r="U88">
        <v>150000</v>
      </c>
      <c r="V88">
        <v>150000</v>
      </c>
    </row>
    <row r="89" spans="1:22" hidden="1" x14ac:dyDescent="0.35">
      <c r="A89" s="103" t="s">
        <v>161</v>
      </c>
      <c r="B89" s="103"/>
      <c r="C89" s="103"/>
      <c r="D89" s="103"/>
      <c r="E89" s="103"/>
      <c r="F89" s="109"/>
      <c r="G89" s="109"/>
      <c r="H89" s="109"/>
      <c r="I89" s="63"/>
      <c r="J89" s="63"/>
      <c r="K89" s="63"/>
      <c r="L89" s="63"/>
      <c r="M89" s="63"/>
      <c r="R89"/>
      <c r="S89">
        <v>1000000</v>
      </c>
      <c r="T89">
        <v>400000</v>
      </c>
      <c r="U89">
        <v>200000</v>
      </c>
      <c r="V89">
        <v>200000</v>
      </c>
    </row>
    <row r="90" spans="1:22" s="30" customFormat="1" hidden="1" x14ac:dyDescent="0.35">
      <c r="A90" s="103" t="s">
        <v>176</v>
      </c>
      <c r="B90" s="103"/>
      <c r="C90" s="103"/>
      <c r="D90" s="103"/>
      <c r="E90" s="103"/>
      <c r="F90" s="109"/>
      <c r="G90" s="109"/>
      <c r="H90" s="109"/>
      <c r="I90" s="64"/>
      <c r="J90" s="64"/>
      <c r="K90" s="64"/>
      <c r="L90" s="64"/>
      <c r="M90" s="64"/>
      <c r="R90"/>
      <c r="S90">
        <v>1100000</v>
      </c>
      <c r="T90">
        <v>500000</v>
      </c>
      <c r="U90">
        <v>250000</v>
      </c>
      <c r="V90" s="20">
        <v>250000</v>
      </c>
    </row>
    <row r="91" spans="1:22" s="30" customFormat="1" x14ac:dyDescent="0.35">
      <c r="A91" s="103" t="s">
        <v>92</v>
      </c>
      <c r="B91" s="103"/>
      <c r="C91" s="103"/>
      <c r="D91" s="103"/>
      <c r="E91" s="103"/>
      <c r="F91" s="109">
        <v>200000</v>
      </c>
      <c r="G91" s="109"/>
      <c r="H91" s="109"/>
      <c r="I91" s="64"/>
      <c r="J91" s="64"/>
      <c r="K91" s="64"/>
      <c r="L91" s="64"/>
      <c r="M91" s="64"/>
      <c r="R91"/>
      <c r="S91">
        <v>1200000</v>
      </c>
      <c r="T91">
        <v>600000</v>
      </c>
      <c r="U91">
        <v>300000</v>
      </c>
      <c r="V91">
        <v>300000</v>
      </c>
    </row>
    <row r="92" spans="1:22" s="30" customFormat="1" hidden="1" x14ac:dyDescent="0.35">
      <c r="A92" s="103" t="s">
        <v>93</v>
      </c>
      <c r="B92" s="103"/>
      <c r="C92" s="103"/>
      <c r="D92" s="103"/>
      <c r="E92" s="103"/>
      <c r="F92" s="109"/>
      <c r="G92" s="109"/>
      <c r="H92" s="109"/>
      <c r="I92" s="64"/>
      <c r="J92" s="64"/>
      <c r="K92" s="64"/>
      <c r="L92" s="64"/>
      <c r="M92" s="64"/>
      <c r="R92"/>
      <c r="S92">
        <v>1300000</v>
      </c>
      <c r="T92">
        <v>700000</v>
      </c>
      <c r="U92">
        <v>350000</v>
      </c>
      <c r="V92" s="20">
        <v>400000</v>
      </c>
    </row>
    <row r="93" spans="1:22" s="30" customFormat="1" hidden="1" x14ac:dyDescent="0.35">
      <c r="A93" s="103" t="s">
        <v>94</v>
      </c>
      <c r="B93" s="103"/>
      <c r="C93" s="103"/>
      <c r="D93" s="103"/>
      <c r="E93" s="103"/>
      <c r="F93" s="109"/>
      <c r="G93" s="109"/>
      <c r="H93" s="109"/>
      <c r="I93" s="64"/>
      <c r="J93" s="64"/>
      <c r="K93" s="64"/>
      <c r="L93" s="64"/>
      <c r="M93" s="64"/>
      <c r="R93"/>
      <c r="S93">
        <v>1400000</v>
      </c>
      <c r="T93">
        <v>800000</v>
      </c>
      <c r="U93">
        <v>400000</v>
      </c>
      <c r="V93"/>
    </row>
    <row r="94" spans="1:22" s="30" customFormat="1" hidden="1" x14ac:dyDescent="0.35">
      <c r="A94" s="103" t="s">
        <v>95</v>
      </c>
      <c r="B94" s="103"/>
      <c r="C94" s="103"/>
      <c r="D94" s="103"/>
      <c r="E94" s="103"/>
      <c r="F94" s="109"/>
      <c r="G94" s="109"/>
      <c r="H94" s="109"/>
      <c r="I94" s="64"/>
      <c r="J94" s="64"/>
      <c r="K94" s="64"/>
      <c r="L94" s="64"/>
      <c r="M94" s="64"/>
      <c r="R94"/>
      <c r="S94">
        <v>1500000</v>
      </c>
      <c r="T94">
        <v>900000</v>
      </c>
      <c r="U94">
        <v>500000</v>
      </c>
      <c r="V94" s="20"/>
    </row>
    <row r="95" spans="1:22" s="30" customFormat="1" x14ac:dyDescent="0.35">
      <c r="A95" s="103" t="s">
        <v>96</v>
      </c>
      <c r="B95" s="103"/>
      <c r="C95" s="103"/>
      <c r="D95" s="103"/>
      <c r="E95" s="103"/>
      <c r="F95" s="109">
        <v>50000</v>
      </c>
      <c r="G95" s="109"/>
      <c r="H95" s="109"/>
      <c r="I95" s="64"/>
      <c r="J95" s="64"/>
      <c r="K95" s="64"/>
      <c r="L95" s="64"/>
      <c r="M95" s="64"/>
      <c r="R95"/>
      <c r="S95">
        <v>1600000</v>
      </c>
      <c r="T95">
        <v>1000000</v>
      </c>
      <c r="U95">
        <v>600000</v>
      </c>
      <c r="V95"/>
    </row>
    <row r="96" spans="1:22" s="30" customFormat="1" hidden="1" x14ac:dyDescent="0.35">
      <c r="A96" s="103" t="s">
        <v>97</v>
      </c>
      <c r="B96" s="103"/>
      <c r="C96" s="103"/>
      <c r="D96" s="103"/>
      <c r="E96" s="103"/>
      <c r="F96" s="109"/>
      <c r="G96" s="109"/>
      <c r="H96" s="109"/>
      <c r="I96" s="64"/>
      <c r="J96" s="64"/>
      <c r="K96" s="64"/>
      <c r="L96" s="64"/>
      <c r="M96" s="64"/>
      <c r="R96"/>
      <c r="S96">
        <v>1700000</v>
      </c>
      <c r="T96"/>
      <c r="U96"/>
      <c r="V96" s="20"/>
    </row>
    <row r="97" spans="1:22" x14ac:dyDescent="0.35">
      <c r="A97" s="103" t="s">
        <v>49</v>
      </c>
      <c r="B97" s="103"/>
      <c r="C97" s="103"/>
      <c r="D97" s="103"/>
      <c r="E97" s="103"/>
      <c r="F97" s="109">
        <v>300000</v>
      </c>
      <c r="G97" s="109"/>
      <c r="H97" s="109"/>
      <c r="I97" s="63"/>
      <c r="J97" s="63"/>
      <c r="K97" s="63"/>
      <c r="L97" s="63"/>
      <c r="M97" s="63"/>
      <c r="R97"/>
      <c r="S97">
        <v>1800000</v>
      </c>
      <c r="T97"/>
      <c r="U97"/>
    </row>
    <row r="98" spans="1:22" s="31" customFormat="1" x14ac:dyDescent="0.35">
      <c r="A98" s="113" t="s">
        <v>50</v>
      </c>
      <c r="B98" s="113"/>
      <c r="C98" s="113"/>
      <c r="D98" s="113"/>
      <c r="E98" s="113"/>
      <c r="F98" s="109">
        <f>F87*0.8</f>
        <v>4480</v>
      </c>
      <c r="G98" s="109"/>
      <c r="H98" s="109"/>
      <c r="I98" s="65"/>
      <c r="J98" s="65"/>
      <c r="K98" s="65"/>
      <c r="L98" s="65"/>
      <c r="M98" s="65"/>
      <c r="R98" s="18"/>
      <c r="S98" s="18"/>
      <c r="T98"/>
      <c r="U98"/>
      <c r="V98" s="18"/>
    </row>
    <row r="99" spans="1:22" s="32" customFormat="1" ht="15.75" customHeight="1" x14ac:dyDescent="0.35">
      <c r="A99" s="138" t="s">
        <v>72</v>
      </c>
      <c r="B99" s="138"/>
      <c r="C99" s="138"/>
      <c r="D99" s="138"/>
      <c r="E99" s="138"/>
      <c r="F99" s="138"/>
      <c r="G99" s="138"/>
      <c r="H99" s="138"/>
      <c r="R99"/>
      <c r="S99" s="18"/>
      <c r="T99"/>
      <c r="U99"/>
      <c r="V99" s="18"/>
    </row>
    <row r="100" spans="1:22" s="32" customFormat="1" ht="15.75" customHeight="1" x14ac:dyDescent="0.35">
      <c r="A100" s="81" t="s">
        <v>51</v>
      </c>
      <c r="B100" s="81"/>
      <c r="C100" s="111" t="s">
        <v>75</v>
      </c>
      <c r="D100" s="111"/>
      <c r="E100" s="110" t="s">
        <v>52</v>
      </c>
      <c r="F100" s="110"/>
      <c r="G100" s="81" t="s">
        <v>53</v>
      </c>
      <c r="H100" s="81"/>
      <c r="R100"/>
      <c r="S100" s="18"/>
      <c r="T100"/>
      <c r="U100" s="18"/>
      <c r="V100" s="18"/>
    </row>
    <row r="101" spans="1:22" s="32" customFormat="1" x14ac:dyDescent="0.35">
      <c r="A101" s="188" t="s">
        <v>321</v>
      </c>
      <c r="B101" s="188"/>
      <c r="C101" s="128">
        <f>COUNT(F113)</f>
        <v>1</v>
      </c>
      <c r="D101" s="129"/>
      <c r="E101" s="128">
        <f>SUM(F113)</f>
        <v>170.78162399999999</v>
      </c>
      <c r="F101" s="129"/>
      <c r="G101" s="128">
        <f>SUM(H113)</f>
        <v>256.172436</v>
      </c>
      <c r="H101" s="129"/>
      <c r="R101"/>
      <c r="S101" s="18"/>
      <c r="T101"/>
      <c r="U101" s="18"/>
      <c r="V101" s="18"/>
    </row>
    <row r="102" spans="1:22" s="32" customFormat="1" x14ac:dyDescent="0.35">
      <c r="A102" s="138" t="s">
        <v>151</v>
      </c>
      <c r="B102" s="138"/>
      <c r="C102" s="201">
        <f>SUM(C101)</f>
        <v>1</v>
      </c>
      <c r="D102" s="111"/>
      <c r="E102" s="202">
        <f>SUM(E101)</f>
        <v>170.78162399999999</v>
      </c>
      <c r="F102" s="110"/>
      <c r="G102" s="81">
        <f>SUM(G101)</f>
        <v>256.172436</v>
      </c>
      <c r="H102" s="81"/>
      <c r="R102"/>
      <c r="S102" s="18"/>
      <c r="T102"/>
      <c r="U102" s="18"/>
      <c r="V102" s="18"/>
    </row>
    <row r="103" spans="1:22" s="32" customFormat="1" x14ac:dyDescent="0.35">
      <c r="A103" s="138" t="s">
        <v>67</v>
      </c>
      <c r="B103" s="138"/>
      <c r="C103" s="138"/>
      <c r="D103" s="138"/>
      <c r="E103" s="138"/>
      <c r="F103" s="138"/>
      <c r="G103" s="138"/>
      <c r="H103" s="138"/>
      <c r="T103"/>
    </row>
    <row r="104" spans="1:22" s="32" customFormat="1" ht="15.75" customHeight="1" x14ac:dyDescent="0.35">
      <c r="A104" s="81" t="s">
        <v>51</v>
      </c>
      <c r="B104" s="81"/>
      <c r="C104" s="111" t="s">
        <v>75</v>
      </c>
      <c r="D104" s="111"/>
      <c r="E104" s="110" t="s">
        <v>52</v>
      </c>
      <c r="F104" s="110"/>
      <c r="G104" s="81" t="s">
        <v>53</v>
      </c>
      <c r="H104" s="81"/>
      <c r="T104"/>
    </row>
    <row r="105" spans="1:22" s="32" customFormat="1" x14ac:dyDescent="0.35">
      <c r="A105" s="187" t="s">
        <v>326</v>
      </c>
      <c r="B105" s="187"/>
      <c r="C105" s="180">
        <f>COUNT(F121:F122)+COUNT(F124:F125)*3</f>
        <v>8</v>
      </c>
      <c r="D105" s="180"/>
      <c r="E105" s="180">
        <f>SUM(F121:F122)+SUM(F124:F125)*3</f>
        <v>3053.3377679999999</v>
      </c>
      <c r="F105" s="180"/>
      <c r="G105" s="180">
        <f>SUM(H121:H122)+SUM(H124:H125)*3</f>
        <v>4580.006652</v>
      </c>
      <c r="H105" s="180"/>
      <c r="T105"/>
    </row>
    <row r="106" spans="1:22" s="32" customFormat="1" ht="16" thickBot="1" x14ac:dyDescent="0.4">
      <c r="A106" s="198" t="s">
        <v>151</v>
      </c>
      <c r="B106" s="198"/>
      <c r="C106" s="130">
        <f>SUM(C105)</f>
        <v>8</v>
      </c>
      <c r="D106" s="131"/>
      <c r="E106" s="199">
        <f>SUM(E105)</f>
        <v>3053.3377679999999</v>
      </c>
      <c r="F106" s="200"/>
      <c r="G106" s="199">
        <f>SUM(G105)</f>
        <v>4580.006652</v>
      </c>
      <c r="H106" s="199"/>
    </row>
    <row r="107" spans="1:22" s="32" customFormat="1" ht="16" thickBot="1" x14ac:dyDescent="0.4">
      <c r="A107" s="132" t="s">
        <v>168</v>
      </c>
      <c r="B107" s="133"/>
      <c r="C107" s="134">
        <f>C102+C106</f>
        <v>9</v>
      </c>
      <c r="D107" s="134"/>
      <c r="E107" s="135">
        <f>E102+E106</f>
        <v>3224.1193920000001</v>
      </c>
      <c r="F107" s="135"/>
      <c r="G107" s="135">
        <f>G102+G106</f>
        <v>4836.1790879999999</v>
      </c>
      <c r="H107" s="190"/>
    </row>
    <row r="108" spans="1:22" s="31" customFormat="1" x14ac:dyDescent="0.35">
      <c r="A108" s="137" t="s">
        <v>54</v>
      </c>
      <c r="B108" s="137"/>
      <c r="C108" s="137"/>
      <c r="D108" s="137"/>
      <c r="E108" s="137"/>
      <c r="F108" s="137"/>
      <c r="G108" s="137"/>
      <c r="H108" s="137"/>
      <c r="T108" s="32"/>
    </row>
    <row r="109" spans="1:22" x14ac:dyDescent="0.35">
      <c r="A109" s="102" t="s">
        <v>175</v>
      </c>
      <c r="B109" s="102"/>
      <c r="C109" s="102"/>
      <c r="D109" s="102"/>
      <c r="E109" s="102"/>
      <c r="F109" s="102"/>
      <c r="G109" s="102"/>
      <c r="H109" s="102"/>
      <c r="T109" s="32"/>
    </row>
    <row r="110" spans="1:22" ht="47.25" customHeight="1" x14ac:dyDescent="0.35">
      <c r="A110" s="79" t="s">
        <v>328</v>
      </c>
      <c r="B110" s="79" t="s">
        <v>177</v>
      </c>
      <c r="C110" s="79" t="s">
        <v>55</v>
      </c>
      <c r="D110" s="79" t="s">
        <v>232</v>
      </c>
      <c r="E110" s="184" t="s">
        <v>157</v>
      </c>
      <c r="F110" s="79" t="s">
        <v>56</v>
      </c>
      <c r="G110" s="184" t="s">
        <v>57</v>
      </c>
      <c r="H110" s="59" t="s">
        <v>149</v>
      </c>
      <c r="T110" s="32"/>
    </row>
    <row r="111" spans="1:22" s="34" customFormat="1" x14ac:dyDescent="0.35">
      <c r="A111" s="80"/>
      <c r="B111" s="80"/>
      <c r="C111" s="80"/>
      <c r="D111" s="80"/>
      <c r="E111" s="185"/>
      <c r="F111" s="80"/>
      <c r="G111" s="185"/>
      <c r="H111" s="60">
        <v>0.5</v>
      </c>
      <c r="T111" s="31"/>
    </row>
    <row r="112" spans="1:22" s="34" customFormat="1" x14ac:dyDescent="0.35">
      <c r="A112" s="181" t="s">
        <v>320</v>
      </c>
      <c r="B112" s="182"/>
      <c r="C112" s="182"/>
      <c r="D112" s="182"/>
      <c r="E112" s="182"/>
      <c r="F112" s="182"/>
      <c r="G112" s="182"/>
      <c r="H112" s="183"/>
      <c r="J112" s="58">
        <v>10.763999999999999</v>
      </c>
      <c r="T112" s="18"/>
    </row>
    <row r="113" spans="1:20" s="34" customFormat="1" ht="15.75" customHeight="1" x14ac:dyDescent="0.35">
      <c r="A113" s="104">
        <v>1</v>
      </c>
      <c r="B113" s="105"/>
      <c r="C113" s="61" t="s">
        <v>321</v>
      </c>
      <c r="D113" s="62">
        <f>(15.866)*10.764</f>
        <v>170.78162399999999</v>
      </c>
      <c r="E113" s="61">
        <v>0</v>
      </c>
      <c r="F113" s="61">
        <f>D113+(IF(E113&lt;201,E113,IF(E113&lt;301,E113/2,E113/3)))</f>
        <v>170.78162399999999</v>
      </c>
      <c r="G113" s="61">
        <v>0</v>
      </c>
      <c r="H113" s="61">
        <f>(F113+(IF(G113&lt;101,G113,IF(G113&lt;201,G113/2,IF(G113&lt;=301,G113/3,G113/4)))))*(($H$111)+1)</f>
        <v>256.172436</v>
      </c>
      <c r="I113" s="33">
        <f>5.65*3.15</f>
        <v>17.797499999999999</v>
      </c>
      <c r="L113" s="68"/>
      <c r="M113" s="68"/>
      <c r="N113" s="33"/>
      <c r="T113" s="18"/>
    </row>
    <row r="114" spans="1:20" s="34" customFormat="1" ht="15.75" hidden="1" customHeight="1" x14ac:dyDescent="0.35">
      <c r="A114" s="104">
        <f>A113+1</f>
        <v>2</v>
      </c>
      <c r="B114" s="105"/>
      <c r="C114" s="61"/>
      <c r="D114" s="61"/>
      <c r="E114" s="61">
        <v>0</v>
      </c>
      <c r="F114" s="61">
        <f t="shared" ref="F114:F116" si="0">D114+(IF(E114&lt;201,E114,IF(E114&lt;301,E114/2,E114/3)))</f>
        <v>0</v>
      </c>
      <c r="G114" s="61">
        <v>0</v>
      </c>
      <c r="H114" s="61">
        <f t="shared" ref="H114:H116" si="1">(F114+(IF(G114&lt;101,G114,IF(G114&lt;201,G114/2,IF(G114&lt;=301,G114/3,G114/4)))))*(($H$111)+1)</f>
        <v>0</v>
      </c>
      <c r="I114" s="33"/>
      <c r="L114" s="68"/>
      <c r="M114" s="68"/>
      <c r="N114" s="33"/>
    </row>
    <row r="115" spans="1:20" s="34" customFormat="1" ht="15.75" hidden="1" customHeight="1" x14ac:dyDescent="0.35">
      <c r="A115" s="104">
        <f>A114+1</f>
        <v>3</v>
      </c>
      <c r="B115" s="105"/>
      <c r="C115" s="61"/>
      <c r="D115" s="61"/>
      <c r="E115" s="61">
        <v>0</v>
      </c>
      <c r="F115" s="61">
        <f t="shared" si="0"/>
        <v>0</v>
      </c>
      <c r="G115" s="61">
        <v>0</v>
      </c>
      <c r="H115" s="61">
        <f t="shared" si="1"/>
        <v>0</v>
      </c>
      <c r="I115" s="33"/>
      <c r="L115" s="68"/>
      <c r="M115" s="68"/>
      <c r="N115" s="33"/>
    </row>
    <row r="116" spans="1:20" s="34" customFormat="1" ht="15.75" hidden="1" customHeight="1" x14ac:dyDescent="0.35">
      <c r="A116" s="104">
        <f>A115+1</f>
        <v>4</v>
      </c>
      <c r="B116" s="105"/>
      <c r="C116" s="61"/>
      <c r="D116" s="61"/>
      <c r="E116" s="61">
        <v>0</v>
      </c>
      <c r="F116" s="61">
        <f t="shared" si="0"/>
        <v>0</v>
      </c>
      <c r="G116" s="61">
        <v>0</v>
      </c>
      <c r="H116" s="61">
        <f t="shared" si="1"/>
        <v>0</v>
      </c>
      <c r="I116" s="33"/>
      <c r="L116" s="68"/>
      <c r="M116" s="68"/>
      <c r="N116" s="33"/>
    </row>
    <row r="117" spans="1:20" s="34" customFormat="1" x14ac:dyDescent="0.35">
      <c r="A117" s="104"/>
      <c r="B117" s="136"/>
      <c r="C117" s="136"/>
      <c r="D117" s="136"/>
      <c r="E117" s="136"/>
      <c r="F117" s="136"/>
      <c r="G117" s="136"/>
      <c r="H117" s="105"/>
      <c r="I117" s="33"/>
      <c r="N117" s="33"/>
    </row>
    <row r="118" spans="1:20" ht="47.25" customHeight="1" x14ac:dyDescent="0.35">
      <c r="A118" s="82" t="s">
        <v>330</v>
      </c>
      <c r="B118" s="79" t="s">
        <v>178</v>
      </c>
      <c r="C118" s="79" t="s">
        <v>55</v>
      </c>
      <c r="D118" s="79" t="s">
        <v>232</v>
      </c>
      <c r="E118" s="79" t="s">
        <v>325</v>
      </c>
      <c r="F118" s="79" t="s">
        <v>56</v>
      </c>
      <c r="G118" s="184" t="s">
        <v>57</v>
      </c>
      <c r="H118" s="59" t="s">
        <v>149</v>
      </c>
      <c r="I118" s="33"/>
      <c r="T118" s="34"/>
    </row>
    <row r="119" spans="1:20" s="34" customFormat="1" x14ac:dyDescent="0.35">
      <c r="A119" s="83"/>
      <c r="B119" s="80"/>
      <c r="C119" s="80"/>
      <c r="D119" s="80"/>
      <c r="E119" s="80"/>
      <c r="F119" s="80"/>
      <c r="G119" s="185"/>
      <c r="H119" s="60">
        <v>0.5</v>
      </c>
      <c r="I119" s="33"/>
    </row>
    <row r="120" spans="1:20" s="34" customFormat="1" x14ac:dyDescent="0.35">
      <c r="A120" s="84" t="s">
        <v>322</v>
      </c>
      <c r="B120" s="84"/>
      <c r="C120" s="84"/>
      <c r="D120" s="84"/>
      <c r="E120" s="84"/>
      <c r="F120" s="84"/>
      <c r="G120" s="84"/>
      <c r="H120" s="84"/>
      <c r="I120" s="33"/>
      <c r="L120" s="68"/>
      <c r="M120" s="68"/>
    </row>
    <row r="121" spans="1:20" s="34" customFormat="1" x14ac:dyDescent="0.35">
      <c r="A121" s="69">
        <v>1</v>
      </c>
      <c r="B121" s="69"/>
      <c r="C121" s="39" t="s">
        <v>324</v>
      </c>
      <c r="D121" s="58">
        <f>(29.7)*10.764</f>
        <v>319.69079999999997</v>
      </c>
      <c r="E121" s="58">
        <f>(0.75*(2.7+2.7+2.1))*10.764</f>
        <v>60.547499999999999</v>
      </c>
      <c r="F121" s="39">
        <f>D121+E121</f>
        <v>380.23829999999998</v>
      </c>
      <c r="G121" s="39">
        <v>0</v>
      </c>
      <c r="H121" s="39">
        <f>F121*(($H$119)+1)+(IF(G121&lt;101,G121,IF(G121&lt;201,G121/2,IF(G121&lt;=301,G121/3,G121/4))))</f>
        <v>570.35744999999997</v>
      </c>
      <c r="I121" s="33">
        <f>2.7*4.15+2.1*2.1+3*2.7+1.79*1.1+0.9*1.8+1.5*0.9</f>
        <v>28.654000000000007</v>
      </c>
      <c r="J121" s="33">
        <f>4416000/H121</f>
        <v>7742.5130503686769</v>
      </c>
      <c r="N121" s="33"/>
    </row>
    <row r="122" spans="1:20" s="34" customFormat="1" x14ac:dyDescent="0.35">
      <c r="A122" s="69">
        <f>A121+1</f>
        <v>2</v>
      </c>
      <c r="B122" s="69"/>
      <c r="C122" s="39" t="s">
        <v>324</v>
      </c>
      <c r="D122" s="58">
        <f>(29.478)*10.764</f>
        <v>317.30119200000001</v>
      </c>
      <c r="E122" s="58">
        <f>(0.75*(3.65+1.8+2.7))*10.764</f>
        <v>65.79495</v>
      </c>
      <c r="F122" s="39">
        <f>D122+E122</f>
        <v>383.09614199999999</v>
      </c>
      <c r="G122" s="39">
        <v>0</v>
      </c>
      <c r="H122" s="39">
        <f>F122*(($H$119)+1)+(IF(G122&lt;101,G122,IF(G122&lt;201,G122/2,IF(G122&lt;=301,G122/3,G122/4))))</f>
        <v>574.64421300000004</v>
      </c>
      <c r="I122" s="33"/>
      <c r="J122" s="33">
        <f>3997000/H122</f>
        <v>6955.608199955891</v>
      </c>
      <c r="N122" s="33"/>
    </row>
    <row r="123" spans="1:20" s="34" customFormat="1" x14ac:dyDescent="0.35">
      <c r="A123" s="70" t="s">
        <v>323</v>
      </c>
      <c r="B123" s="71"/>
      <c r="C123" s="71"/>
      <c r="D123" s="71"/>
      <c r="E123" s="71"/>
      <c r="F123" s="71"/>
      <c r="G123" s="71"/>
      <c r="H123" s="72"/>
      <c r="I123" s="33"/>
    </row>
    <row r="124" spans="1:20" s="34" customFormat="1" ht="15.75" customHeight="1" x14ac:dyDescent="0.35">
      <c r="A124" s="77">
        <v>1</v>
      </c>
      <c r="B124" s="78"/>
      <c r="C124" s="39" t="s">
        <v>324</v>
      </c>
      <c r="D124" s="58">
        <f>(29.7)*10.764</f>
        <v>319.69079999999997</v>
      </c>
      <c r="E124" s="58">
        <f>(0.75*(2.7+2.7+2.1))*10.764</f>
        <v>60.547499999999999</v>
      </c>
      <c r="F124" s="39">
        <f>D124+E124</f>
        <v>380.23829999999998</v>
      </c>
      <c r="G124" s="39">
        <v>0</v>
      </c>
      <c r="H124" s="39">
        <f>F124*(($H$119)+1)+(IF(G124&lt;101,G124,IF(G124&lt;201,G124/2,IF(G124&lt;=301,G124/3,G124/4))))</f>
        <v>570.35744999999997</v>
      </c>
      <c r="I124" s="67">
        <f>735/F124</f>
        <v>1.9329983328875604</v>
      </c>
      <c r="J124" s="34">
        <f>5500*735</f>
        <v>4042500</v>
      </c>
      <c r="K124" s="34">
        <f>3300000/H124</f>
        <v>5785.8453501396361</v>
      </c>
    </row>
    <row r="125" spans="1:20" s="34" customFormat="1" ht="15.75" customHeight="1" x14ac:dyDescent="0.35">
      <c r="A125" s="77">
        <v>2</v>
      </c>
      <c r="B125" s="78"/>
      <c r="C125" s="39" t="s">
        <v>324</v>
      </c>
      <c r="D125" s="58">
        <f>(29.478)*10.764</f>
        <v>317.30119200000001</v>
      </c>
      <c r="E125" s="58">
        <f>(0.75*(3.65+1.8+2.7))*10.764</f>
        <v>65.79495</v>
      </c>
      <c r="F125" s="39">
        <f>D125+E125</f>
        <v>383.09614199999999</v>
      </c>
      <c r="G125" s="39">
        <v>0</v>
      </c>
      <c r="H125" s="39">
        <f>F125*(($H$119)+1)+(IF(G125&lt;101,G125,IF(G125&lt;201,G125/2,IF(G125&lt;=301,G125/3,G125/4))))</f>
        <v>574.64421300000004</v>
      </c>
      <c r="I125" s="33"/>
      <c r="K125" s="34">
        <f>3300000/H125</f>
        <v>5742.6837777969577</v>
      </c>
    </row>
    <row r="126" spans="1:20" s="34" customFormat="1" hidden="1" x14ac:dyDescent="0.35">
      <c r="A126" s="70" t="s">
        <v>117</v>
      </c>
      <c r="B126" s="71"/>
      <c r="C126" s="71"/>
      <c r="D126" s="71"/>
      <c r="E126" s="71"/>
      <c r="F126" s="71"/>
      <c r="G126" s="71"/>
      <c r="H126" s="72"/>
      <c r="J126" s="33"/>
    </row>
    <row r="127" spans="1:20" s="34" customFormat="1" ht="15.75" hidden="1" customHeight="1" x14ac:dyDescent="0.35">
      <c r="A127" s="77">
        <v>1</v>
      </c>
      <c r="B127" s="78"/>
      <c r="C127" s="39"/>
      <c r="D127" s="39"/>
      <c r="E127" s="39">
        <v>0</v>
      </c>
      <c r="F127" s="39">
        <f>D127+E127</f>
        <v>0</v>
      </c>
      <c r="G127" s="39">
        <v>0</v>
      </c>
      <c r="H127" s="39">
        <f>F127*(($H$119)+1)+(IF(G127&lt;101,G127,IF(G127&lt;201,G127/2,IF(G127&lt;=301,G127/3,G127/4))))</f>
        <v>0</v>
      </c>
      <c r="I127" s="33"/>
      <c r="L127" s="68"/>
      <c r="M127" s="68"/>
      <c r="N127" s="33"/>
      <c r="T127" s="18"/>
    </row>
    <row r="128" spans="1:20" s="34" customFormat="1" ht="15.75" hidden="1" customHeight="1" x14ac:dyDescent="0.35">
      <c r="A128" s="77">
        <f>A127+1</f>
        <v>2</v>
      </c>
      <c r="B128" s="78"/>
      <c r="C128" s="39"/>
      <c r="D128" s="39"/>
      <c r="E128" s="39">
        <v>0</v>
      </c>
      <c r="F128" s="39">
        <f>D128+E128</f>
        <v>0</v>
      </c>
      <c r="G128" s="39">
        <v>0</v>
      </c>
      <c r="H128" s="39">
        <f>F128*(($H$119)+1)+(IF(G128&lt;101,G128,IF(G128&lt;201,G128/2,IF(G128&lt;=301,G128/3,G128/4))))</f>
        <v>0</v>
      </c>
      <c r="I128" s="33"/>
      <c r="L128" s="68"/>
      <c r="M128" s="68"/>
      <c r="N128" s="33"/>
    </row>
    <row r="129" spans="1:14" s="34" customFormat="1" ht="15.75" hidden="1" customHeight="1" x14ac:dyDescent="0.35">
      <c r="A129" s="77">
        <f>A128+1</f>
        <v>3</v>
      </c>
      <c r="B129" s="78"/>
      <c r="C129" s="39"/>
      <c r="D129" s="39"/>
      <c r="E129" s="39">
        <v>0</v>
      </c>
      <c r="F129" s="39">
        <f>D129+E129</f>
        <v>0</v>
      </c>
      <c r="G129" s="39">
        <v>0</v>
      </c>
      <c r="H129" s="39">
        <f>F129*(($H$119)+1)+(IF(G129&lt;101,G129,IF(G129&lt;201,G129/2,IF(G129&lt;=301,G129/3,G129/4))))</f>
        <v>0</v>
      </c>
      <c r="I129" s="33"/>
      <c r="L129" s="68"/>
      <c r="M129" s="68"/>
      <c r="N129" s="33"/>
    </row>
    <row r="130" spans="1:14" s="34" customFormat="1" ht="15.75" hidden="1" customHeight="1" x14ac:dyDescent="0.35">
      <c r="A130" s="77">
        <f>A129+1</f>
        <v>4</v>
      </c>
      <c r="B130" s="78"/>
      <c r="C130" s="39"/>
      <c r="D130" s="39"/>
      <c r="E130" s="39">
        <v>0</v>
      </c>
      <c r="F130" s="39">
        <f>D130+E130</f>
        <v>0</v>
      </c>
      <c r="G130" s="39">
        <v>0</v>
      </c>
      <c r="H130" s="39">
        <f>F130*(($H$119)+1)+(IF(G130&lt;101,G130,IF(G130&lt;201,G130/2,IF(G130&lt;=301,G130/3,G130/4))))</f>
        <v>0</v>
      </c>
      <c r="I130" s="33"/>
      <c r="L130" s="68"/>
      <c r="M130" s="68"/>
      <c r="N130" s="33"/>
    </row>
    <row r="131" spans="1:14" s="34" customFormat="1" hidden="1" x14ac:dyDescent="0.35">
      <c r="A131" s="144" t="s">
        <v>118</v>
      </c>
      <c r="B131" s="144"/>
      <c r="C131" s="144"/>
      <c r="D131" s="144"/>
      <c r="E131" s="144"/>
      <c r="F131" s="144"/>
      <c r="G131" s="144"/>
      <c r="H131" s="144"/>
      <c r="I131" s="33"/>
      <c r="L131" s="68"/>
      <c r="M131" s="68"/>
    </row>
    <row r="132" spans="1:14" s="34" customFormat="1" hidden="1" x14ac:dyDescent="0.35">
      <c r="A132" s="69">
        <f>LEFT(A131,SUM(LEN(A131)-LEN(SUBSTITUTE(A131,{"0","1","2","3","4","5","6","7","8","9"},""))))*100+1</f>
        <v>201</v>
      </c>
      <c r="B132" s="69"/>
      <c r="C132" s="39"/>
      <c r="D132" s="39"/>
      <c r="E132" s="39">
        <v>0</v>
      </c>
      <c r="F132" s="39">
        <f>D132+E132</f>
        <v>0</v>
      </c>
      <c r="G132" s="39">
        <v>0</v>
      </c>
      <c r="H132" s="39">
        <f>F132*(($H$119)+1)+(IF(G132&lt;101,G132,IF(G132&lt;201,G132/2,IF(G132&lt;=301,G132/3,G132/4))))</f>
        <v>0</v>
      </c>
      <c r="I132" s="33"/>
      <c r="N132" s="33"/>
    </row>
    <row r="133" spans="1:14" s="34" customFormat="1" hidden="1" x14ac:dyDescent="0.35">
      <c r="A133" s="69">
        <f>A132+1</f>
        <v>202</v>
      </c>
      <c r="B133" s="69"/>
      <c r="C133" s="39"/>
      <c r="D133" s="39"/>
      <c r="E133" s="39">
        <v>0</v>
      </c>
      <c r="F133" s="39">
        <f>D133+E133</f>
        <v>0</v>
      </c>
      <c r="G133" s="39">
        <v>0</v>
      </c>
      <c r="H133" s="39">
        <f>F133*(($H$119)+1)+(IF(G133&lt;101,G133,IF(G133&lt;201,G133/2,IF(G133&lt;=301,G133/3,G133/4))))</f>
        <v>0</v>
      </c>
      <c r="I133" s="33"/>
      <c r="N133" s="33"/>
    </row>
    <row r="134" spans="1:14" s="34" customFormat="1" hidden="1" x14ac:dyDescent="0.35">
      <c r="A134" s="69">
        <f>A133+1</f>
        <v>203</v>
      </c>
      <c r="B134" s="69"/>
      <c r="C134" s="39"/>
      <c r="D134" s="39"/>
      <c r="E134" s="39">
        <v>0</v>
      </c>
      <c r="F134" s="39">
        <f>D134+E134</f>
        <v>0</v>
      </c>
      <c r="G134" s="39">
        <v>0</v>
      </c>
      <c r="H134" s="39">
        <f>F134*(($H$119)+1)+(IF(G134&lt;101,G134,IF(G134&lt;201,G134/2,IF(G134&lt;=301,G134/3,G134/4))))</f>
        <v>0</v>
      </c>
      <c r="I134" s="33"/>
      <c r="N134" s="33"/>
    </row>
    <row r="135" spans="1:14" s="34" customFormat="1" hidden="1" x14ac:dyDescent="0.35">
      <c r="A135" s="69">
        <f>A134+1</f>
        <v>204</v>
      </c>
      <c r="B135" s="69"/>
      <c r="C135" s="39"/>
      <c r="D135" s="39"/>
      <c r="E135" s="39">
        <v>0</v>
      </c>
      <c r="F135" s="39">
        <f>D135+E135</f>
        <v>0</v>
      </c>
      <c r="G135" s="39">
        <v>0</v>
      </c>
      <c r="H135" s="39">
        <f>F135*(($H$119)+1)+(IF(G135&lt;101,G135,IF(G135&lt;201,G135/2,IF(G135&lt;=301,G135/3,G135/4))))</f>
        <v>0</v>
      </c>
      <c r="I135" s="33"/>
      <c r="N135" s="33"/>
    </row>
    <row r="136" spans="1:14" s="34" customFormat="1" hidden="1" x14ac:dyDescent="0.35">
      <c r="A136" s="69">
        <f>A135+1</f>
        <v>205</v>
      </c>
      <c r="B136" s="69"/>
      <c r="C136" s="39"/>
      <c r="D136" s="39"/>
      <c r="E136" s="39">
        <v>0</v>
      </c>
      <c r="F136" s="39">
        <f>D136+E136</f>
        <v>0</v>
      </c>
      <c r="G136" s="39">
        <v>0</v>
      </c>
      <c r="H136" s="39">
        <f>F136*(($H$119)+1)+(IF(G136&lt;101,G136,IF(G136&lt;201,G136/2,IF(G136&lt;=301,G136/3,G136/4))))</f>
        <v>0</v>
      </c>
      <c r="I136" s="33"/>
      <c r="N136" s="33"/>
    </row>
    <row r="137" spans="1:14" s="34" customFormat="1" ht="15.75" hidden="1" customHeight="1" x14ac:dyDescent="0.35">
      <c r="A137" s="70" t="s">
        <v>150</v>
      </c>
      <c r="B137" s="71"/>
      <c r="C137" s="71"/>
      <c r="D137" s="71"/>
      <c r="E137" s="71"/>
      <c r="F137" s="71"/>
      <c r="G137" s="71"/>
      <c r="H137" s="72"/>
      <c r="I137" s="33"/>
    </row>
    <row r="138" spans="1:14" s="34" customFormat="1" ht="15.75" hidden="1" customHeight="1" x14ac:dyDescent="0.35">
      <c r="A138" s="77" t="str">
        <f ca="1">(SUMPRODUCT(MID(0&amp;(LEFT(A137,SUM(LEN(A137)-LEN(SUBSTITUTE(A137,{"0","1","2"},""))))), LARGE(INDEX(ISNUMBER(--MID((LEFT(A137,SUM(LEN(A137)-LEN(SUBSTITUTE(A137,{"0","1","2"},""))))), ROW(INDIRECT("1:"&amp;LEN((LEFT(A137,SUM(LEN(A137)-LEN(SUBSTITUTE(A137,{"0","1","2"},"")))))))), 1)) * ROW(INDIRECT("1:"&amp;LEN((LEFT(A137,SUM(LEN(A137)-LEN(SUBSTITUTE(A137,{"0","1","2"},"")))))))), 0), ROW(INDIRECT("1:"&amp;LEN((LEFT(A137,SUM(LEN(A137)-LEN(SUBSTITUTE(A137,{"0","1","2"},"")))))))))+1, 1) * 10^ROW(INDIRECT("1:"&amp;LEN((LEFT(A137,SUM(LEN(A137)-LEN(SUBSTITUTE(A137,{"0","1","2"},""))))))))/10))*100+1&amp;""&amp;" ,.., "&amp;""&amp;(SUMPRODUCT(MID(0&amp;(--TRIM(RIGHT(SUBSTITUTE(LEFT(A137,_xlfn.AGGREGATE(16,6,FIND({0,1,2,3,4,5,6,7,8,9},A137,ROW(INDIRECT("1:"&amp;LEN(A137)))),1))," ",REPT(" ",LEN(A137))),LEN(A137)))), LARGE(INDEX(ISNUMBER(--MID((--TRIM(RIGHT(SUBSTITUTE(LEFT(A137,_xlfn.AGGREGATE(16,6,FIND({0,1,2,3,4,5,6,7,8,9},A137,ROW(INDIRECT("1:"&amp;LEN(A137)))),1))," ",REPT(" ",LEN(A137))),LEN(A137)))), ROW(INDIRECT("1:"&amp;LEN((--TRIM(RIGHT(SUBSTITUTE(LEFT(A137,_xlfn.AGGREGATE(16,6,FIND({0,1,2,3,4,5,6,7,8,9},A137,ROW(INDIRECT("1:"&amp;LEN(A137)))),1))," ",REPT(" ",LEN(A137))),LEN(A137))))))), 1)) * ROW(INDIRECT("1:"&amp;LEN((--TRIM(RIGHT(SUBSTITUTE(LEFT(A137,_xlfn.AGGREGATE(16,6,FIND({0,1,2,3,4,5,6,7,8,9},A137,ROW(INDIRECT("1:"&amp;LEN(A137)))),1))," ",REPT(" ",LEN(A137))),LEN(A137))))))), 0), ROW(INDIRECT("1:"&amp;LEN((--TRIM(RIGHT(SUBSTITUTE(LEFT(A137,_xlfn.AGGREGATE(16,6,FIND({0,1,2,3,4,5,6,7,8,9},A137,ROW(INDIRECT("1:"&amp;LEN(A137)))),1))," ",REPT(" ",LEN(A137))),LEN(A137))))))))+1, 1) * 10^ROW(INDIRECT("1:"&amp;LEN((--TRIM(RIGHT(SUBSTITUTE(LEFT(A137,_xlfn.AGGREGATE(16,6,FIND({0,1,2,3,4,5,6,7,8,9},A137,ROW(INDIRECT("1:"&amp;LEN(A137)))),1))," ",REPT(" ",LEN(A137))),LEN(A137)))))))/10))*100+1</f>
        <v>301 ,.., 1501</v>
      </c>
      <c r="B138" s="78"/>
      <c r="C138" s="39"/>
      <c r="D138" s="39"/>
      <c r="E138" s="39">
        <v>0</v>
      </c>
      <c r="F138" s="39">
        <f>D138+E138</f>
        <v>0</v>
      </c>
      <c r="G138" s="39">
        <v>0</v>
      </c>
      <c r="H138" s="39">
        <f>F138*(($H$119)+1)+(IF(G138&lt;101,G138,IF(G138&lt;201,G138/2,IF(G138&lt;=301,G138/3,G138/4))))</f>
        <v>0</v>
      </c>
      <c r="I138" s="33"/>
    </row>
    <row r="139" spans="1:14" s="34" customFormat="1" ht="15.75" hidden="1" customHeight="1" x14ac:dyDescent="0.35">
      <c r="A139" s="77" t="str">
        <f ca="1">(SUMPRODUCT(MID(0&amp;(LEFT(A138,SUM(LEN(A138)-LEN(SUBSTITUTE(A138,{"0","1","2"},""))))), LARGE(INDEX(ISNUMBER(--MID((LEFT(A138,SUM(LEN(A138)-LEN(SUBSTITUTE(A138,{"0","1","2"},""))))), ROW(INDIRECT("1:"&amp;LEN((LEFT(A138,SUM(LEN(A138)-LEN(SUBSTITUTE(A138,{"0","1","2"},"")))))))), 1)) * ROW(INDIRECT("1:"&amp;LEN((LEFT(A138,SUM(LEN(A138)-LEN(SUBSTITUTE(A138,{"0","1","2"},"")))))))), 0), ROW(INDIRECT("1:"&amp;LEN((LEFT(A138,SUM(LEN(A138)-LEN(SUBSTITUTE(A138,{"0","1","2"},"")))))))))+1, 1) * 10^ROW(INDIRECT("1:"&amp;LEN((LEFT(A138,SUM(LEN(A138)-LEN(SUBSTITUTE(A138,{"0","1","2"},""))))))))/10))*1+1&amp;""&amp;" ,.., "&amp;""&amp;(SUMPRODUCT(MID(0&amp;(--TRIM(RIGHT(SUBSTITUTE(LEFT(A138,_xlfn.AGGREGATE(16,6,FIND({0,1,2,3,4,5,6,7,8,9},A138,ROW(INDIRECT("1:"&amp;LEN(A138)))),1))," ",REPT(" ",LEN(A138))),LEN(A138)))), LARGE(INDEX(ISNUMBER(--MID((--TRIM(RIGHT(SUBSTITUTE(LEFT(A138,_xlfn.AGGREGATE(16,6,FIND({0,1,2,3,4,5,6,7,8,9},A138,ROW(INDIRECT("1:"&amp;LEN(A138)))),1))," ",REPT(" ",LEN(A138))),LEN(A138)))), ROW(INDIRECT("1:"&amp;LEN((--TRIM(RIGHT(SUBSTITUTE(LEFT(A138,_xlfn.AGGREGATE(16,6,FIND({0,1,2,3,4,5,6,7,8,9},A138,ROW(INDIRECT("1:"&amp;LEN(A138)))),1))," ",REPT(" ",LEN(A138))),LEN(A138))))))), 1)) * ROW(INDIRECT("1:"&amp;LEN((--TRIM(RIGHT(SUBSTITUTE(LEFT(A138,_xlfn.AGGREGATE(16,6,FIND({0,1,2,3,4,5,6,7,8,9},A138,ROW(INDIRECT("1:"&amp;LEN(A138)))),1))," ",REPT(" ",LEN(A138))),LEN(A138))))))), 0), ROW(INDIRECT("1:"&amp;LEN((--TRIM(RIGHT(SUBSTITUTE(LEFT(A138,_xlfn.AGGREGATE(16,6,FIND({0,1,2,3,4,5,6,7,8,9},A138,ROW(INDIRECT("1:"&amp;LEN(A138)))),1))," ",REPT(" ",LEN(A138))),LEN(A138))))))))+1, 1) * 10^ROW(INDIRECT("1:"&amp;LEN((--TRIM(RIGHT(SUBSTITUTE(LEFT(A138,_xlfn.AGGREGATE(16,6,FIND({0,1,2,3,4,5,6,7,8,9},A138,ROW(INDIRECT("1:"&amp;LEN(A138)))),1))," ",REPT(" ",LEN(A138))),LEN(A138)))))))/10))*1+1</f>
        <v>302 ,.., 1502</v>
      </c>
      <c r="B139" s="78"/>
      <c r="C139" s="39"/>
      <c r="D139" s="39"/>
      <c r="E139" s="39">
        <v>0</v>
      </c>
      <c r="F139" s="39">
        <f>D139+E139</f>
        <v>0</v>
      </c>
      <c r="G139" s="39">
        <v>0</v>
      </c>
      <c r="H139" s="39">
        <f>F139*(($H$119)+1)+(IF(G139&lt;101,G139,IF(G139&lt;201,G139/2,IF(G139&lt;=301,G139/3,G139/4))))</f>
        <v>0</v>
      </c>
      <c r="I139" s="33"/>
    </row>
    <row r="140" spans="1:14" s="34" customFormat="1" ht="15.75" hidden="1" customHeight="1" x14ac:dyDescent="0.35">
      <c r="A140" s="77" t="str">
        <f ca="1">(SUMPRODUCT(MID(0&amp;(LEFT(A139,SUM(LEN(A139)-LEN(SUBSTITUTE(A139,{"0","1","2"},""))))), LARGE(INDEX(ISNUMBER(--MID((LEFT(A139,SUM(LEN(A139)-LEN(SUBSTITUTE(A139,{"0","1","2"},""))))), ROW(INDIRECT("1:"&amp;LEN((LEFT(A139,SUM(LEN(A139)-LEN(SUBSTITUTE(A139,{"0","1","2"},"")))))))), 1)) * ROW(INDIRECT("1:"&amp;LEN((LEFT(A139,SUM(LEN(A139)-LEN(SUBSTITUTE(A139,{"0","1","2"},"")))))))), 0), ROW(INDIRECT("1:"&amp;LEN((LEFT(A139,SUM(LEN(A139)-LEN(SUBSTITUTE(A139,{"0","1","2"},"")))))))))+1, 1) * 10^ROW(INDIRECT("1:"&amp;LEN((LEFT(A139,SUM(LEN(A139)-LEN(SUBSTITUTE(A139,{"0","1","2"},""))))))))/10))*1+1&amp;""&amp;" ,.., "&amp;""&amp;(SUMPRODUCT(MID(0&amp;(--TRIM(RIGHT(SUBSTITUTE(LEFT(A139,_xlfn.AGGREGATE(16,6,FIND({0,1,2,3,4,5,6,7,8,9},A139,ROW(INDIRECT("1:"&amp;LEN(A139)))),1))," ",REPT(" ",LEN(A139))),LEN(A139)))), LARGE(INDEX(ISNUMBER(--MID((--TRIM(RIGHT(SUBSTITUTE(LEFT(A139,_xlfn.AGGREGATE(16,6,FIND({0,1,2,3,4,5,6,7,8,9},A139,ROW(INDIRECT("1:"&amp;LEN(A139)))),1))," ",REPT(" ",LEN(A139))),LEN(A139)))), ROW(INDIRECT("1:"&amp;LEN((--TRIM(RIGHT(SUBSTITUTE(LEFT(A139,_xlfn.AGGREGATE(16,6,FIND({0,1,2,3,4,5,6,7,8,9},A139,ROW(INDIRECT("1:"&amp;LEN(A139)))),1))," ",REPT(" ",LEN(A139))),LEN(A139))))))), 1)) * ROW(INDIRECT("1:"&amp;LEN((--TRIM(RIGHT(SUBSTITUTE(LEFT(A139,_xlfn.AGGREGATE(16,6,FIND({0,1,2,3,4,5,6,7,8,9},A139,ROW(INDIRECT("1:"&amp;LEN(A139)))),1))," ",REPT(" ",LEN(A139))),LEN(A139))))))), 0), ROW(INDIRECT("1:"&amp;LEN((--TRIM(RIGHT(SUBSTITUTE(LEFT(A139,_xlfn.AGGREGATE(16,6,FIND({0,1,2,3,4,5,6,7,8,9},A139,ROW(INDIRECT("1:"&amp;LEN(A139)))),1))," ",REPT(" ",LEN(A139))),LEN(A139))))))))+1, 1) * 10^ROW(INDIRECT("1:"&amp;LEN((--TRIM(RIGHT(SUBSTITUTE(LEFT(A139,_xlfn.AGGREGATE(16,6,FIND({0,1,2,3,4,5,6,7,8,9},A139,ROW(INDIRECT("1:"&amp;LEN(A139)))),1))," ",REPT(" ",LEN(A139))),LEN(A139)))))))/10))*1+1</f>
        <v>303 ,.., 1503</v>
      </c>
      <c r="B140" s="78"/>
      <c r="C140" s="39"/>
      <c r="D140" s="39"/>
      <c r="E140" s="39">
        <v>0</v>
      </c>
      <c r="F140" s="39">
        <f>D140+E140</f>
        <v>0</v>
      </c>
      <c r="G140" s="39">
        <v>0</v>
      </c>
      <c r="H140" s="39">
        <f>F140*(($H$119)+1)+(IF(G140&lt;101,G140,IF(G140&lt;201,G140/2,IF(G140&lt;=301,G140/3,G140/4))))</f>
        <v>0</v>
      </c>
      <c r="I140" s="33"/>
    </row>
    <row r="141" spans="1:14" s="34" customFormat="1" ht="15.75" hidden="1" customHeight="1" x14ac:dyDescent="0.35">
      <c r="A141" s="77" t="str">
        <f ca="1">(SUMPRODUCT(MID(0&amp;(LEFT(A140,SUM(LEN(A140)-LEN(SUBSTITUTE(A140,{"0","1","2"},""))))), LARGE(INDEX(ISNUMBER(--MID((LEFT(A140,SUM(LEN(A140)-LEN(SUBSTITUTE(A140,{"0","1","2"},""))))), ROW(INDIRECT("1:"&amp;LEN((LEFT(A140,SUM(LEN(A140)-LEN(SUBSTITUTE(A140,{"0","1","2"},"")))))))), 1)) * ROW(INDIRECT("1:"&amp;LEN((LEFT(A140,SUM(LEN(A140)-LEN(SUBSTITUTE(A140,{"0","1","2"},"")))))))), 0), ROW(INDIRECT("1:"&amp;LEN((LEFT(A140,SUM(LEN(A140)-LEN(SUBSTITUTE(A140,{"0","1","2"},"")))))))))+1, 1) * 10^ROW(INDIRECT("1:"&amp;LEN((LEFT(A140,SUM(LEN(A140)-LEN(SUBSTITUTE(A140,{"0","1","2"},""))))))))/10))*1+1&amp;""&amp;" ,.., "&amp;""&amp;(SUMPRODUCT(MID(0&amp;(--TRIM(RIGHT(SUBSTITUTE(LEFT(A140,_xlfn.AGGREGATE(16,6,FIND({0,1,2,3,4,5,6,7,8,9},A140,ROW(INDIRECT("1:"&amp;LEN(A140)))),1))," ",REPT(" ",LEN(A140))),LEN(A140)))), LARGE(INDEX(ISNUMBER(--MID((--TRIM(RIGHT(SUBSTITUTE(LEFT(A140,_xlfn.AGGREGATE(16,6,FIND({0,1,2,3,4,5,6,7,8,9},A140,ROW(INDIRECT("1:"&amp;LEN(A140)))),1))," ",REPT(" ",LEN(A140))),LEN(A140)))), ROW(INDIRECT("1:"&amp;LEN((--TRIM(RIGHT(SUBSTITUTE(LEFT(A140,_xlfn.AGGREGATE(16,6,FIND({0,1,2,3,4,5,6,7,8,9},A140,ROW(INDIRECT("1:"&amp;LEN(A140)))),1))," ",REPT(" ",LEN(A140))),LEN(A140))))))), 1)) * ROW(INDIRECT("1:"&amp;LEN((--TRIM(RIGHT(SUBSTITUTE(LEFT(A140,_xlfn.AGGREGATE(16,6,FIND({0,1,2,3,4,5,6,7,8,9},A140,ROW(INDIRECT("1:"&amp;LEN(A140)))),1))," ",REPT(" ",LEN(A140))),LEN(A140))))))), 0), ROW(INDIRECT("1:"&amp;LEN((--TRIM(RIGHT(SUBSTITUTE(LEFT(A140,_xlfn.AGGREGATE(16,6,FIND({0,1,2,3,4,5,6,7,8,9},A140,ROW(INDIRECT("1:"&amp;LEN(A140)))),1))," ",REPT(" ",LEN(A140))),LEN(A140))))))))+1, 1) * 10^ROW(INDIRECT("1:"&amp;LEN((--TRIM(RIGHT(SUBSTITUTE(LEFT(A140,_xlfn.AGGREGATE(16,6,FIND({0,1,2,3,4,5,6,7,8,9},A140,ROW(INDIRECT("1:"&amp;LEN(A140)))),1))," ",REPT(" ",LEN(A140))),LEN(A140)))))))/10))*1+1</f>
        <v>304 ,.., 1504</v>
      </c>
      <c r="B141" s="78"/>
      <c r="C141" s="39"/>
      <c r="D141" s="39"/>
      <c r="E141" s="39">
        <v>0</v>
      </c>
      <c r="F141" s="39">
        <f>D141+E141</f>
        <v>0</v>
      </c>
      <c r="G141" s="39">
        <v>0</v>
      </c>
      <c r="H141" s="39">
        <f>F141*(($H$119)+1)+(IF(G141&lt;101,G141,IF(G141&lt;201,G141/2,IF(G141&lt;=301,G141/3,G141/4))))</f>
        <v>0</v>
      </c>
      <c r="I141" s="33"/>
    </row>
    <row r="142" spans="1:14" s="34" customFormat="1" ht="15.75" hidden="1" customHeight="1" x14ac:dyDescent="0.35">
      <c r="A142" s="77" t="str">
        <f ca="1">(SUMPRODUCT(MID(0&amp;(LEFT(A141,SUM(LEN(A141)-LEN(SUBSTITUTE(A141,{"0","1","2"},""))))), LARGE(INDEX(ISNUMBER(--MID((LEFT(A141,SUM(LEN(A141)-LEN(SUBSTITUTE(A141,{"0","1","2"},""))))), ROW(INDIRECT("1:"&amp;LEN((LEFT(A141,SUM(LEN(A141)-LEN(SUBSTITUTE(A141,{"0","1","2"},"")))))))), 1)) * ROW(INDIRECT("1:"&amp;LEN((LEFT(A141,SUM(LEN(A141)-LEN(SUBSTITUTE(A141,{"0","1","2"},"")))))))), 0), ROW(INDIRECT("1:"&amp;LEN((LEFT(A141,SUM(LEN(A141)-LEN(SUBSTITUTE(A141,{"0","1","2"},"")))))))))+1, 1) * 10^ROW(INDIRECT("1:"&amp;LEN((LEFT(A141,SUM(LEN(A141)-LEN(SUBSTITUTE(A141,{"0","1","2"},""))))))))/10))*1+1&amp;""&amp;" ,.., "&amp;""&amp;(SUMPRODUCT(MID(0&amp;(--TRIM(RIGHT(SUBSTITUTE(LEFT(A141,_xlfn.AGGREGATE(16,6,FIND({0,1,2,3,4,5,6,7,8,9},A141,ROW(INDIRECT("1:"&amp;LEN(A141)))),1))," ",REPT(" ",LEN(A141))),LEN(A141)))), LARGE(INDEX(ISNUMBER(--MID((--TRIM(RIGHT(SUBSTITUTE(LEFT(A141,_xlfn.AGGREGATE(16,6,FIND({0,1,2,3,4,5,6,7,8,9},A141,ROW(INDIRECT("1:"&amp;LEN(A141)))),1))," ",REPT(" ",LEN(A141))),LEN(A141)))), ROW(INDIRECT("1:"&amp;LEN((--TRIM(RIGHT(SUBSTITUTE(LEFT(A141,_xlfn.AGGREGATE(16,6,FIND({0,1,2,3,4,5,6,7,8,9},A141,ROW(INDIRECT("1:"&amp;LEN(A141)))),1))," ",REPT(" ",LEN(A141))),LEN(A141))))))), 1)) * ROW(INDIRECT("1:"&amp;LEN((--TRIM(RIGHT(SUBSTITUTE(LEFT(A141,_xlfn.AGGREGATE(16,6,FIND({0,1,2,3,4,5,6,7,8,9},A141,ROW(INDIRECT("1:"&amp;LEN(A141)))),1))," ",REPT(" ",LEN(A141))),LEN(A141))))))), 0), ROW(INDIRECT("1:"&amp;LEN((--TRIM(RIGHT(SUBSTITUTE(LEFT(A141,_xlfn.AGGREGATE(16,6,FIND({0,1,2,3,4,5,6,7,8,9},A141,ROW(INDIRECT("1:"&amp;LEN(A141)))),1))," ",REPT(" ",LEN(A141))),LEN(A141))))))))+1, 1) * 10^ROW(INDIRECT("1:"&amp;LEN((--TRIM(RIGHT(SUBSTITUTE(LEFT(A141,_xlfn.AGGREGATE(16,6,FIND({0,1,2,3,4,5,6,7,8,9},A141,ROW(INDIRECT("1:"&amp;LEN(A141)))),1))," ",REPT(" ",LEN(A141))),LEN(A141)))))))/10))*1+1</f>
        <v>305 ,.., 1505</v>
      </c>
      <c r="B142" s="78"/>
      <c r="C142" s="39"/>
      <c r="D142" s="39"/>
      <c r="E142" s="39">
        <v>0</v>
      </c>
      <c r="F142" s="39">
        <f>D142+E142</f>
        <v>0</v>
      </c>
      <c r="G142" s="39">
        <v>0</v>
      </c>
      <c r="H142" s="39">
        <f>F142*(($H$119)+1)+(IF(G142&lt;101,G142,IF(G142&lt;201,G142/2,IF(G142&lt;=301,G142/3,G142/4))))</f>
        <v>0</v>
      </c>
      <c r="I142" s="33"/>
    </row>
    <row r="143" spans="1:14" s="34" customFormat="1" hidden="1" x14ac:dyDescent="0.35">
      <c r="A143" s="70" t="s">
        <v>144</v>
      </c>
      <c r="B143" s="71"/>
      <c r="C143" s="71"/>
      <c r="D143" s="71"/>
      <c r="E143" s="71"/>
      <c r="F143" s="71"/>
      <c r="G143" s="71"/>
      <c r="H143" s="72"/>
      <c r="I143" s="33"/>
    </row>
    <row r="144" spans="1:14" s="34" customFormat="1" ht="15.75" hidden="1" customHeight="1" x14ac:dyDescent="0.35">
      <c r="A144" s="77" t="str">
        <f ca="1">(SUMPRODUCT(MID(0&amp;(LEFT(A143,SUM(LEN(A143)-LEN(SUBSTITUTE(A143,{"0","1","2"},""))))), LARGE(INDEX(ISNUMBER(--MID((LEFT(A143,SUM(LEN(A143)-LEN(SUBSTITUTE(A143,{"0","1","2"},""))))), ROW(INDIRECT("1:"&amp;LEN((LEFT(A143,SUM(LEN(A143)-LEN(SUBSTITUTE(A143,{"0","1","2"},"")))))))), 1)) * ROW(INDIRECT("1:"&amp;LEN((LEFT(A143,SUM(LEN(A143)-LEN(SUBSTITUTE(A143,{"0","1","2"},"")))))))), 0), ROW(INDIRECT("1:"&amp;LEN((LEFT(A143,SUM(LEN(A143)-LEN(SUBSTITUTE(A143,{"0","1","2"},"")))))))))+1, 1) * 10^ROW(INDIRECT("1:"&amp;LEN((LEFT(A143,SUM(LEN(A143)-LEN(SUBSTITUTE(A143,{"0","1","2"},""))))))))/10))*100+1&amp;""&amp;" to "&amp;""&amp;(SUMPRODUCT(MID(0&amp;(--TRIM(RIGHT(SUBSTITUTE(LEFT(A143,_xlfn.AGGREGATE(16,6,FIND({0,1,2,3,4,5,6,7,8,9},A143,ROW(INDIRECT("1:"&amp;LEN(A143)))),1))," ",REPT(" ",LEN(A143))),LEN(A143)))), LARGE(INDEX(ISNUMBER(--MID((--TRIM(RIGHT(SUBSTITUTE(LEFT(A143,_xlfn.AGGREGATE(16,6,FIND({0,1,2,3,4,5,6,7,8,9},A143,ROW(INDIRECT("1:"&amp;LEN(A143)))),1))," ",REPT(" ",LEN(A143))),LEN(A143)))), ROW(INDIRECT("1:"&amp;LEN((--TRIM(RIGHT(SUBSTITUTE(LEFT(A143,_xlfn.AGGREGATE(16,6,FIND({0,1,2,3,4,5,6,7,8,9},A143,ROW(INDIRECT("1:"&amp;LEN(A143)))),1))," ",REPT(" ",LEN(A143))),LEN(A143))))))), 1)) * ROW(INDIRECT("1:"&amp;LEN((--TRIM(RIGHT(SUBSTITUTE(LEFT(A143,_xlfn.AGGREGATE(16,6,FIND({0,1,2,3,4,5,6,7,8,9},A143,ROW(INDIRECT("1:"&amp;LEN(A143)))),1))," ",REPT(" ",LEN(A143))),LEN(A143))))))), 0), ROW(INDIRECT("1:"&amp;LEN((--TRIM(RIGHT(SUBSTITUTE(LEFT(A143,_xlfn.AGGREGATE(16,6,FIND({0,1,2,3,4,5,6,7,8,9},A143,ROW(INDIRECT("1:"&amp;LEN(A143)))),1))," ",REPT(" ",LEN(A143))),LEN(A143))))))))+1, 1) * 10^ROW(INDIRECT("1:"&amp;LEN((--TRIM(RIGHT(SUBSTITUTE(LEFT(A143,_xlfn.AGGREGATE(16,6,FIND({0,1,2,3,4,5,6,7,8,9},A143,ROW(INDIRECT("1:"&amp;LEN(A143)))),1))," ",REPT(" ",LEN(A143))),LEN(A143)))))))/10))*100+1</f>
        <v>201 to 501</v>
      </c>
      <c r="B144" s="78"/>
      <c r="C144" s="39"/>
      <c r="D144" s="39"/>
      <c r="E144" s="39">
        <v>0</v>
      </c>
      <c r="F144" s="39">
        <f>D144+E144</f>
        <v>0</v>
      </c>
      <c r="G144" s="39">
        <v>0</v>
      </c>
      <c r="H144" s="39">
        <f>F144*(($H$119)+1)+(IF(G144&lt;101,G144,IF(G144&lt;201,G144/2,IF(G144&lt;=301,G144/3,G144/4))))</f>
        <v>0</v>
      </c>
      <c r="I144" s="33"/>
    </row>
    <row r="145" spans="1:20" s="34" customFormat="1" ht="15.75" hidden="1" customHeight="1" x14ac:dyDescent="0.35">
      <c r="A145" s="77" t="str">
        <f ca="1">(SUMPRODUCT(MID(0&amp;(LEFT(A144,SUM(LEN(A144)-LEN(SUBSTITUTE(A144,{"0","1","2"},""))))), LARGE(INDEX(ISNUMBER(--MID((LEFT(A144,SUM(LEN(A144)-LEN(SUBSTITUTE(A144,{"0","1","2"},""))))), ROW(INDIRECT("1:"&amp;LEN((LEFT(A144,SUM(LEN(A144)-LEN(SUBSTITUTE(A144,{"0","1","2"},"")))))))), 1)) * ROW(INDIRECT("1:"&amp;LEN((LEFT(A144,SUM(LEN(A144)-LEN(SUBSTITUTE(A144,{"0","1","2"},"")))))))), 0), ROW(INDIRECT("1:"&amp;LEN((LEFT(A144,SUM(LEN(A144)-LEN(SUBSTITUTE(A144,{"0","1","2"},"")))))))))+1, 1) * 10^ROW(INDIRECT("1:"&amp;LEN((LEFT(A144,SUM(LEN(A144)-LEN(SUBSTITUTE(A144,{"0","1","2"},""))))))))/10))*1+1&amp;""&amp;" to "&amp;""&amp;(SUMPRODUCT(MID(0&amp;(--TRIM(RIGHT(SUBSTITUTE(LEFT(A144,_xlfn.AGGREGATE(16,6,FIND({0,1,2,3,4,5,6,7,8,9},A144,ROW(INDIRECT("1:"&amp;LEN(A144)))),1))," ",REPT(" ",LEN(A144))),LEN(A144)))), LARGE(INDEX(ISNUMBER(--MID((--TRIM(RIGHT(SUBSTITUTE(LEFT(A144,_xlfn.AGGREGATE(16,6,FIND({0,1,2,3,4,5,6,7,8,9},A144,ROW(INDIRECT("1:"&amp;LEN(A144)))),1))," ",REPT(" ",LEN(A144))),LEN(A144)))), ROW(INDIRECT("1:"&amp;LEN((--TRIM(RIGHT(SUBSTITUTE(LEFT(A144,_xlfn.AGGREGATE(16,6,FIND({0,1,2,3,4,5,6,7,8,9},A144,ROW(INDIRECT("1:"&amp;LEN(A144)))),1))," ",REPT(" ",LEN(A144))),LEN(A144))))))), 1)) * ROW(INDIRECT("1:"&amp;LEN((--TRIM(RIGHT(SUBSTITUTE(LEFT(A144,_xlfn.AGGREGATE(16,6,FIND({0,1,2,3,4,5,6,7,8,9},A144,ROW(INDIRECT("1:"&amp;LEN(A144)))),1))," ",REPT(" ",LEN(A144))),LEN(A144))))))), 0), ROW(INDIRECT("1:"&amp;LEN((--TRIM(RIGHT(SUBSTITUTE(LEFT(A144,_xlfn.AGGREGATE(16,6,FIND({0,1,2,3,4,5,6,7,8,9},A144,ROW(INDIRECT("1:"&amp;LEN(A144)))),1))," ",REPT(" ",LEN(A144))),LEN(A144))))))))+1, 1) * 10^ROW(INDIRECT("1:"&amp;LEN((--TRIM(RIGHT(SUBSTITUTE(LEFT(A144,_xlfn.AGGREGATE(16,6,FIND({0,1,2,3,4,5,6,7,8,9},A144,ROW(INDIRECT("1:"&amp;LEN(A144)))),1))," ",REPT(" ",LEN(A144))),LEN(A144)))))))/10))*1+1</f>
        <v>202 to 502</v>
      </c>
      <c r="B145" s="78"/>
      <c r="C145" s="39"/>
      <c r="D145" s="39"/>
      <c r="E145" s="39">
        <v>0</v>
      </c>
      <c r="F145" s="39">
        <f>D145+E145</f>
        <v>0</v>
      </c>
      <c r="G145" s="39">
        <v>0</v>
      </c>
      <c r="H145" s="39">
        <f>F145*(($H$119)+1)+(IF(G145&lt;101,G145,IF(G145&lt;201,G145/2,IF(G145&lt;=301,G145/3,G145/4))))</f>
        <v>0</v>
      </c>
      <c r="I145" s="33"/>
    </row>
    <row r="146" spans="1:20" s="34" customFormat="1" ht="15.75" hidden="1" customHeight="1" x14ac:dyDescent="0.35">
      <c r="A146" s="77" t="str">
        <f ca="1">(SUMPRODUCT(MID(0&amp;(LEFT(A145,SUM(LEN(A145)-LEN(SUBSTITUTE(A145,{"0","1","2"},""))))), LARGE(INDEX(ISNUMBER(--MID((LEFT(A145,SUM(LEN(A145)-LEN(SUBSTITUTE(A145,{"0","1","2"},""))))), ROW(INDIRECT("1:"&amp;LEN((LEFT(A145,SUM(LEN(A145)-LEN(SUBSTITUTE(A145,{"0","1","2"},"")))))))), 1)) * ROW(INDIRECT("1:"&amp;LEN((LEFT(A145,SUM(LEN(A145)-LEN(SUBSTITUTE(A145,{"0","1","2"},"")))))))), 0), ROW(INDIRECT("1:"&amp;LEN((LEFT(A145,SUM(LEN(A145)-LEN(SUBSTITUTE(A145,{"0","1","2"},"")))))))))+1, 1) * 10^ROW(INDIRECT("1:"&amp;LEN((LEFT(A145,SUM(LEN(A145)-LEN(SUBSTITUTE(A145,{"0","1","2"},""))))))))/10))*1+1&amp;""&amp;" to "&amp;""&amp;(SUMPRODUCT(MID(0&amp;(--TRIM(RIGHT(SUBSTITUTE(LEFT(A145,_xlfn.AGGREGATE(16,6,FIND({0,1,2,3,4,5,6,7,8,9},A145,ROW(INDIRECT("1:"&amp;LEN(A145)))),1))," ",REPT(" ",LEN(A145))),LEN(A145)))), LARGE(INDEX(ISNUMBER(--MID((--TRIM(RIGHT(SUBSTITUTE(LEFT(A145,_xlfn.AGGREGATE(16,6,FIND({0,1,2,3,4,5,6,7,8,9},A145,ROW(INDIRECT("1:"&amp;LEN(A145)))),1))," ",REPT(" ",LEN(A145))),LEN(A145)))), ROW(INDIRECT("1:"&amp;LEN((--TRIM(RIGHT(SUBSTITUTE(LEFT(A145,_xlfn.AGGREGATE(16,6,FIND({0,1,2,3,4,5,6,7,8,9},A145,ROW(INDIRECT("1:"&amp;LEN(A145)))),1))," ",REPT(" ",LEN(A145))),LEN(A145))))))), 1)) * ROW(INDIRECT("1:"&amp;LEN((--TRIM(RIGHT(SUBSTITUTE(LEFT(A145,_xlfn.AGGREGATE(16,6,FIND({0,1,2,3,4,5,6,7,8,9},A145,ROW(INDIRECT("1:"&amp;LEN(A145)))),1))," ",REPT(" ",LEN(A145))),LEN(A145))))))), 0), ROW(INDIRECT("1:"&amp;LEN((--TRIM(RIGHT(SUBSTITUTE(LEFT(A145,_xlfn.AGGREGATE(16,6,FIND({0,1,2,3,4,5,6,7,8,9},A145,ROW(INDIRECT("1:"&amp;LEN(A145)))),1))," ",REPT(" ",LEN(A145))),LEN(A145))))))))+1, 1) * 10^ROW(INDIRECT("1:"&amp;LEN((--TRIM(RIGHT(SUBSTITUTE(LEFT(A145,_xlfn.AGGREGATE(16,6,FIND({0,1,2,3,4,5,6,7,8,9},A145,ROW(INDIRECT("1:"&amp;LEN(A145)))),1))," ",REPT(" ",LEN(A145))),LEN(A145)))))))/10))*1+1</f>
        <v>203 to 503</v>
      </c>
      <c r="B146" s="78"/>
      <c r="C146" s="39"/>
      <c r="D146" s="39"/>
      <c r="E146" s="39">
        <v>0</v>
      </c>
      <c r="F146" s="39">
        <f>D146+E146</f>
        <v>0</v>
      </c>
      <c r="G146" s="39">
        <v>0</v>
      </c>
      <c r="H146" s="39">
        <f>F146*(($H$119)+1)+(IF(G146&lt;101,G146,IF(G146&lt;201,G146/2,IF(G146&lt;=301,G146/3,G146/4))))</f>
        <v>0</v>
      </c>
      <c r="I146" s="33"/>
    </row>
    <row r="147" spans="1:20" s="34" customFormat="1" ht="15.75" hidden="1" customHeight="1" x14ac:dyDescent="0.35">
      <c r="A147" s="77" t="str">
        <f ca="1">(SUMPRODUCT(MID(0&amp;(LEFT(A146,SUM(LEN(A146)-LEN(SUBSTITUTE(A146,{"0","1","2"},""))))), LARGE(INDEX(ISNUMBER(--MID((LEFT(A146,SUM(LEN(A146)-LEN(SUBSTITUTE(A146,{"0","1","2"},""))))), ROW(INDIRECT("1:"&amp;LEN((LEFT(A146,SUM(LEN(A146)-LEN(SUBSTITUTE(A146,{"0","1","2"},"")))))))), 1)) * ROW(INDIRECT("1:"&amp;LEN((LEFT(A146,SUM(LEN(A146)-LEN(SUBSTITUTE(A146,{"0","1","2"},"")))))))), 0), ROW(INDIRECT("1:"&amp;LEN((LEFT(A146,SUM(LEN(A146)-LEN(SUBSTITUTE(A146,{"0","1","2"},"")))))))))+1, 1) * 10^ROW(INDIRECT("1:"&amp;LEN((LEFT(A146,SUM(LEN(A146)-LEN(SUBSTITUTE(A146,{"0","1","2"},""))))))))/10))*1+1&amp;""&amp;" to "&amp;""&amp;(SUMPRODUCT(MID(0&amp;(--TRIM(RIGHT(SUBSTITUTE(LEFT(A146,_xlfn.AGGREGATE(16,6,FIND({0,1,2,3,4,5,6,7,8,9},A146,ROW(INDIRECT("1:"&amp;LEN(A146)))),1))," ",REPT(" ",LEN(A146))),LEN(A146)))), LARGE(INDEX(ISNUMBER(--MID((--TRIM(RIGHT(SUBSTITUTE(LEFT(A146,_xlfn.AGGREGATE(16,6,FIND({0,1,2,3,4,5,6,7,8,9},A146,ROW(INDIRECT("1:"&amp;LEN(A146)))),1))," ",REPT(" ",LEN(A146))),LEN(A146)))), ROW(INDIRECT("1:"&amp;LEN((--TRIM(RIGHT(SUBSTITUTE(LEFT(A146,_xlfn.AGGREGATE(16,6,FIND({0,1,2,3,4,5,6,7,8,9},A146,ROW(INDIRECT("1:"&amp;LEN(A146)))),1))," ",REPT(" ",LEN(A146))),LEN(A146))))))), 1)) * ROW(INDIRECT("1:"&amp;LEN((--TRIM(RIGHT(SUBSTITUTE(LEFT(A146,_xlfn.AGGREGATE(16,6,FIND({0,1,2,3,4,5,6,7,8,9},A146,ROW(INDIRECT("1:"&amp;LEN(A146)))),1))," ",REPT(" ",LEN(A146))),LEN(A146))))))), 0), ROW(INDIRECT("1:"&amp;LEN((--TRIM(RIGHT(SUBSTITUTE(LEFT(A146,_xlfn.AGGREGATE(16,6,FIND({0,1,2,3,4,5,6,7,8,9},A146,ROW(INDIRECT("1:"&amp;LEN(A146)))),1))," ",REPT(" ",LEN(A146))),LEN(A146))))))))+1, 1) * 10^ROW(INDIRECT("1:"&amp;LEN((--TRIM(RIGHT(SUBSTITUTE(LEFT(A146,_xlfn.AGGREGATE(16,6,FIND({0,1,2,3,4,5,6,7,8,9},A146,ROW(INDIRECT("1:"&amp;LEN(A146)))),1))," ",REPT(" ",LEN(A146))),LEN(A146)))))))/10))*1+1</f>
        <v>204 to 504</v>
      </c>
      <c r="B147" s="78"/>
      <c r="C147" s="39"/>
      <c r="D147" s="39"/>
      <c r="E147" s="39">
        <v>0</v>
      </c>
      <c r="F147" s="39">
        <f>D147+E147</f>
        <v>0</v>
      </c>
      <c r="G147" s="39">
        <v>0</v>
      </c>
      <c r="H147" s="39">
        <f>F147*(($H$119)+1)+(IF(G147&lt;101,G147,IF(G147&lt;201,G147/2,IF(G147&lt;=301,G147/3,G147/4))))</f>
        <v>0</v>
      </c>
      <c r="I147" s="33"/>
    </row>
    <row r="148" spans="1:20" s="34" customFormat="1" ht="15.75" hidden="1" customHeight="1" x14ac:dyDescent="0.35">
      <c r="A148" s="77" t="str">
        <f ca="1">(SUMPRODUCT(MID(0&amp;(LEFT(A147,SUM(LEN(A147)-LEN(SUBSTITUTE(A147,{"0","1","2"},""))))), LARGE(INDEX(ISNUMBER(--MID((LEFT(A147,SUM(LEN(A147)-LEN(SUBSTITUTE(A147,{"0","1","2"},""))))), ROW(INDIRECT("1:"&amp;LEN((LEFT(A147,SUM(LEN(A147)-LEN(SUBSTITUTE(A147,{"0","1","2"},"")))))))), 1)) * ROW(INDIRECT("1:"&amp;LEN((LEFT(A147,SUM(LEN(A147)-LEN(SUBSTITUTE(A147,{"0","1","2"},"")))))))), 0), ROW(INDIRECT("1:"&amp;LEN((LEFT(A147,SUM(LEN(A147)-LEN(SUBSTITUTE(A147,{"0","1","2"},"")))))))))+1, 1) * 10^ROW(INDIRECT("1:"&amp;LEN((LEFT(A147,SUM(LEN(A147)-LEN(SUBSTITUTE(A147,{"0","1","2"},""))))))))/10))*1+1&amp;""&amp;" to "&amp;""&amp;(SUMPRODUCT(MID(0&amp;(--TRIM(RIGHT(SUBSTITUTE(LEFT(A147,_xlfn.AGGREGATE(16,6,FIND({0,1,2,3,4,5,6,7,8,9},A147,ROW(INDIRECT("1:"&amp;LEN(A147)))),1))," ",REPT(" ",LEN(A147))),LEN(A147)))), LARGE(INDEX(ISNUMBER(--MID((--TRIM(RIGHT(SUBSTITUTE(LEFT(A147,_xlfn.AGGREGATE(16,6,FIND({0,1,2,3,4,5,6,7,8,9},A147,ROW(INDIRECT("1:"&amp;LEN(A147)))),1))," ",REPT(" ",LEN(A147))),LEN(A147)))), ROW(INDIRECT("1:"&amp;LEN((--TRIM(RIGHT(SUBSTITUTE(LEFT(A147,_xlfn.AGGREGATE(16,6,FIND({0,1,2,3,4,5,6,7,8,9},A147,ROW(INDIRECT("1:"&amp;LEN(A147)))),1))," ",REPT(" ",LEN(A147))),LEN(A147))))))), 1)) * ROW(INDIRECT("1:"&amp;LEN((--TRIM(RIGHT(SUBSTITUTE(LEFT(A147,_xlfn.AGGREGATE(16,6,FIND({0,1,2,3,4,5,6,7,8,9},A147,ROW(INDIRECT("1:"&amp;LEN(A147)))),1))," ",REPT(" ",LEN(A147))),LEN(A147))))))), 0), ROW(INDIRECT("1:"&amp;LEN((--TRIM(RIGHT(SUBSTITUTE(LEFT(A147,_xlfn.AGGREGATE(16,6,FIND({0,1,2,3,4,5,6,7,8,9},A147,ROW(INDIRECT("1:"&amp;LEN(A147)))),1))," ",REPT(" ",LEN(A147))),LEN(A147))))))))+1, 1) * 10^ROW(INDIRECT("1:"&amp;LEN((--TRIM(RIGHT(SUBSTITUTE(LEFT(A147,_xlfn.AGGREGATE(16,6,FIND({0,1,2,3,4,5,6,7,8,9},A147,ROW(INDIRECT("1:"&amp;LEN(A147)))),1))," ",REPT(" ",LEN(A147))),LEN(A147)))))))/10))*1+1</f>
        <v>205 to 505</v>
      </c>
      <c r="B148" s="78"/>
      <c r="C148" s="39"/>
      <c r="D148" s="39"/>
      <c r="E148" s="39">
        <v>0</v>
      </c>
      <c r="F148" s="39">
        <f>D148+E148</f>
        <v>0</v>
      </c>
      <c r="G148" s="39">
        <v>0</v>
      </c>
      <c r="H148" s="39">
        <f>F148*(($H$119)+1)+(IF(G148&lt;101,G148,IF(G148&lt;201,G148/2,IF(G148&lt;=301,G148/3,G148/4))))</f>
        <v>0</v>
      </c>
      <c r="I148" s="33"/>
    </row>
    <row r="149" spans="1:20" s="34" customFormat="1" hidden="1" x14ac:dyDescent="0.35">
      <c r="A149" s="70" t="s">
        <v>145</v>
      </c>
      <c r="B149" s="71"/>
      <c r="C149" s="71"/>
      <c r="D149" s="71"/>
      <c r="E149" s="71"/>
      <c r="F149" s="71"/>
      <c r="G149" s="71"/>
      <c r="H149" s="72"/>
      <c r="I149" s="33"/>
    </row>
    <row r="150" spans="1:20" s="34" customFormat="1" ht="15.75" hidden="1" customHeight="1" x14ac:dyDescent="0.35">
      <c r="A150" s="77" t="str">
        <f ca="1">(SUMPRODUCT(MID(0&amp;(LEFT(A149,SUM(LEN(A149)-LEN(SUBSTITUTE(A149,{"0","1","2"},""))))), LARGE(INDEX(ISNUMBER(--MID((LEFT(A149,SUM(LEN(A149)-LEN(SUBSTITUTE(A149,{"0","1","2"},""))))), ROW(INDIRECT("1:"&amp;LEN((LEFT(A149,SUM(LEN(A149)-LEN(SUBSTITUTE(A149,{"0","1","2"},"")))))))), 1)) * ROW(INDIRECT("1:"&amp;LEN((LEFT(A149,SUM(LEN(A149)-LEN(SUBSTITUTE(A149,{"0","1","2"},"")))))))), 0), ROW(INDIRECT("1:"&amp;LEN((LEFT(A149,SUM(LEN(A149)-LEN(SUBSTITUTE(A149,{"0","1","2"},"")))))))))+1, 1) * 10^ROW(INDIRECT("1:"&amp;LEN((LEFT(A149,SUM(LEN(A149)-LEN(SUBSTITUTE(A149,{"0","1","2"},""))))))))/10))*100+1&amp;""&amp;" &amp; "&amp;""&amp;(SUMPRODUCT(MID(0&amp;(--TRIM(RIGHT(SUBSTITUTE(LEFT(A149,_xlfn.AGGREGATE(16,6,FIND({0,1,2,3,4,5,6,7,8,9},A149,ROW(INDIRECT("1:"&amp;LEN(A149)))),1))," ",REPT(" ",LEN(A149))),LEN(A149)))), LARGE(INDEX(ISNUMBER(--MID((--TRIM(RIGHT(SUBSTITUTE(LEFT(A149,_xlfn.AGGREGATE(16,6,FIND({0,1,2,3,4,5,6,7,8,9},A149,ROW(INDIRECT("1:"&amp;LEN(A149)))),1))," ",REPT(" ",LEN(A149))),LEN(A149)))), ROW(INDIRECT("1:"&amp;LEN((--TRIM(RIGHT(SUBSTITUTE(LEFT(A149,_xlfn.AGGREGATE(16,6,FIND({0,1,2,3,4,5,6,7,8,9},A149,ROW(INDIRECT("1:"&amp;LEN(A149)))),1))," ",REPT(" ",LEN(A149))),LEN(A149))))))), 1)) * ROW(INDIRECT("1:"&amp;LEN((--TRIM(RIGHT(SUBSTITUTE(LEFT(A149,_xlfn.AGGREGATE(16,6,FIND({0,1,2,3,4,5,6,7,8,9},A149,ROW(INDIRECT("1:"&amp;LEN(A149)))),1))," ",REPT(" ",LEN(A149))),LEN(A149))))))), 0), ROW(INDIRECT("1:"&amp;LEN((--TRIM(RIGHT(SUBSTITUTE(LEFT(A149,_xlfn.AGGREGATE(16,6,FIND({0,1,2,3,4,5,6,7,8,9},A149,ROW(INDIRECT("1:"&amp;LEN(A149)))),1))," ",REPT(" ",LEN(A149))),LEN(A149))))))))+1, 1) * 10^ROW(INDIRECT("1:"&amp;LEN((--TRIM(RIGHT(SUBSTITUTE(LEFT(A149,_xlfn.AGGREGATE(16,6,FIND({0,1,2,3,4,5,6,7,8,9},A149,ROW(INDIRECT("1:"&amp;LEN(A149)))),1))," ",REPT(" ",LEN(A149))),LEN(A149)))))))/10))*100+1</f>
        <v>201 &amp; 501</v>
      </c>
      <c r="B150" s="78"/>
      <c r="C150" s="39"/>
      <c r="D150" s="39"/>
      <c r="E150" s="39">
        <v>0</v>
      </c>
      <c r="F150" s="39">
        <f>D150+E150</f>
        <v>0</v>
      </c>
      <c r="G150" s="39">
        <v>0</v>
      </c>
      <c r="H150" s="39">
        <f>F150*(($H$119)+1)+(IF(G150&lt;101,G150,IF(G150&lt;201,G150/2,IF(G150&lt;=301,G150/3,G150/4))))</f>
        <v>0</v>
      </c>
      <c r="I150" s="33"/>
    </row>
    <row r="151" spans="1:20" s="34" customFormat="1" ht="15.75" hidden="1" customHeight="1" x14ac:dyDescent="0.35">
      <c r="A151" s="77" t="str">
        <f ca="1">(SUMPRODUCT(MID(0&amp;(LEFT(A150,SUM(LEN(A150)-LEN(SUBSTITUTE(A150,{"0","1","2"},""))))), LARGE(INDEX(ISNUMBER(--MID((LEFT(A150,SUM(LEN(A150)-LEN(SUBSTITUTE(A150,{"0","1","2"},""))))), ROW(INDIRECT("1:"&amp;LEN((LEFT(A150,SUM(LEN(A150)-LEN(SUBSTITUTE(A150,{"0","1","2"},"")))))))), 1)) * ROW(INDIRECT("1:"&amp;LEN((LEFT(A150,SUM(LEN(A150)-LEN(SUBSTITUTE(A150,{"0","1","2"},"")))))))), 0), ROW(INDIRECT("1:"&amp;LEN((LEFT(A150,SUM(LEN(A150)-LEN(SUBSTITUTE(A150,{"0","1","2"},"")))))))))+1, 1) * 10^ROW(INDIRECT("1:"&amp;LEN((LEFT(A150,SUM(LEN(A150)-LEN(SUBSTITUTE(A150,{"0","1","2"},""))))))))/10))*1+1&amp;""&amp;" &amp; "&amp;""&amp;(SUMPRODUCT(MID(0&amp;(--TRIM(RIGHT(SUBSTITUTE(LEFT(A150,_xlfn.AGGREGATE(16,6,FIND({0,1,2,3,4,5,6,7,8,9},A150,ROW(INDIRECT("1:"&amp;LEN(A150)))),1))," ",REPT(" ",LEN(A150))),LEN(A150)))), LARGE(INDEX(ISNUMBER(--MID((--TRIM(RIGHT(SUBSTITUTE(LEFT(A150,_xlfn.AGGREGATE(16,6,FIND({0,1,2,3,4,5,6,7,8,9},A150,ROW(INDIRECT("1:"&amp;LEN(A150)))),1))," ",REPT(" ",LEN(A150))),LEN(A150)))), ROW(INDIRECT("1:"&amp;LEN((--TRIM(RIGHT(SUBSTITUTE(LEFT(A150,_xlfn.AGGREGATE(16,6,FIND({0,1,2,3,4,5,6,7,8,9},A150,ROW(INDIRECT("1:"&amp;LEN(A150)))),1))," ",REPT(" ",LEN(A150))),LEN(A150))))))), 1)) * ROW(INDIRECT("1:"&amp;LEN((--TRIM(RIGHT(SUBSTITUTE(LEFT(A150,_xlfn.AGGREGATE(16,6,FIND({0,1,2,3,4,5,6,7,8,9},A150,ROW(INDIRECT("1:"&amp;LEN(A150)))),1))," ",REPT(" ",LEN(A150))),LEN(A150))))))), 0), ROW(INDIRECT("1:"&amp;LEN((--TRIM(RIGHT(SUBSTITUTE(LEFT(A150,_xlfn.AGGREGATE(16,6,FIND({0,1,2,3,4,5,6,7,8,9},A150,ROW(INDIRECT("1:"&amp;LEN(A150)))),1))," ",REPT(" ",LEN(A150))),LEN(A150))))))))+1, 1) * 10^ROW(INDIRECT("1:"&amp;LEN((--TRIM(RIGHT(SUBSTITUTE(LEFT(A150,_xlfn.AGGREGATE(16,6,FIND({0,1,2,3,4,5,6,7,8,9},A150,ROW(INDIRECT("1:"&amp;LEN(A150)))),1))," ",REPT(" ",LEN(A150))),LEN(A150)))))))/10))*1+1</f>
        <v>202 &amp; 502</v>
      </c>
      <c r="B151" s="78"/>
      <c r="C151" s="39"/>
      <c r="D151" s="39"/>
      <c r="E151" s="39">
        <v>0</v>
      </c>
      <c r="F151" s="39">
        <f>D151+E151</f>
        <v>0</v>
      </c>
      <c r="G151" s="39">
        <v>0</v>
      </c>
      <c r="H151" s="39">
        <f>F151*(($H$119)+1)+(IF(G151&lt;101,G151,IF(G151&lt;201,G151/2,IF(G151&lt;=301,G151/3,G151/4))))</f>
        <v>0</v>
      </c>
      <c r="I151" s="33"/>
    </row>
    <row r="152" spans="1:20" s="34" customFormat="1" ht="15.75" hidden="1" customHeight="1" x14ac:dyDescent="0.35">
      <c r="A152" s="77" t="str">
        <f ca="1">(SUMPRODUCT(MID(0&amp;(LEFT(A151,SUM(LEN(A151)-LEN(SUBSTITUTE(A151,{"0","1","2"},""))))), LARGE(INDEX(ISNUMBER(--MID((LEFT(A151,SUM(LEN(A151)-LEN(SUBSTITUTE(A151,{"0","1","2"},""))))), ROW(INDIRECT("1:"&amp;LEN((LEFT(A151,SUM(LEN(A151)-LEN(SUBSTITUTE(A151,{"0","1","2"},"")))))))), 1)) * ROW(INDIRECT("1:"&amp;LEN((LEFT(A151,SUM(LEN(A151)-LEN(SUBSTITUTE(A151,{"0","1","2"},"")))))))), 0), ROW(INDIRECT("1:"&amp;LEN((LEFT(A151,SUM(LEN(A151)-LEN(SUBSTITUTE(A151,{"0","1","2"},"")))))))))+1, 1) * 10^ROW(INDIRECT("1:"&amp;LEN((LEFT(A151,SUM(LEN(A151)-LEN(SUBSTITUTE(A151,{"0","1","2"},""))))))))/10))*1+1&amp;""&amp;" &amp; "&amp;""&amp;(SUMPRODUCT(MID(0&amp;(--TRIM(RIGHT(SUBSTITUTE(LEFT(A151,_xlfn.AGGREGATE(16,6,FIND({0,1,2,3,4,5,6,7,8,9},A151,ROW(INDIRECT("1:"&amp;LEN(A151)))),1))," ",REPT(" ",LEN(A151))),LEN(A151)))), LARGE(INDEX(ISNUMBER(--MID((--TRIM(RIGHT(SUBSTITUTE(LEFT(A151,_xlfn.AGGREGATE(16,6,FIND({0,1,2,3,4,5,6,7,8,9},A151,ROW(INDIRECT("1:"&amp;LEN(A151)))),1))," ",REPT(" ",LEN(A151))),LEN(A151)))), ROW(INDIRECT("1:"&amp;LEN((--TRIM(RIGHT(SUBSTITUTE(LEFT(A151,_xlfn.AGGREGATE(16,6,FIND({0,1,2,3,4,5,6,7,8,9},A151,ROW(INDIRECT("1:"&amp;LEN(A151)))),1))," ",REPT(" ",LEN(A151))),LEN(A151))))))), 1)) * ROW(INDIRECT("1:"&amp;LEN((--TRIM(RIGHT(SUBSTITUTE(LEFT(A151,_xlfn.AGGREGATE(16,6,FIND({0,1,2,3,4,5,6,7,8,9},A151,ROW(INDIRECT("1:"&amp;LEN(A151)))),1))," ",REPT(" ",LEN(A151))),LEN(A151))))))), 0), ROW(INDIRECT("1:"&amp;LEN((--TRIM(RIGHT(SUBSTITUTE(LEFT(A151,_xlfn.AGGREGATE(16,6,FIND({0,1,2,3,4,5,6,7,8,9},A151,ROW(INDIRECT("1:"&amp;LEN(A151)))),1))," ",REPT(" ",LEN(A151))),LEN(A151))))))))+1, 1) * 10^ROW(INDIRECT("1:"&amp;LEN((--TRIM(RIGHT(SUBSTITUTE(LEFT(A151,_xlfn.AGGREGATE(16,6,FIND({0,1,2,3,4,5,6,7,8,9},A151,ROW(INDIRECT("1:"&amp;LEN(A151)))),1))," ",REPT(" ",LEN(A151))),LEN(A151)))))))/10))*1+1</f>
        <v>203 &amp; 503</v>
      </c>
      <c r="B152" s="78"/>
      <c r="C152" s="39"/>
      <c r="D152" s="39"/>
      <c r="E152" s="39">
        <v>0</v>
      </c>
      <c r="F152" s="39">
        <f>D152+E152</f>
        <v>0</v>
      </c>
      <c r="G152" s="39">
        <v>0</v>
      </c>
      <c r="H152" s="39">
        <f>F152*(($H$119)+1)+(IF(G152&lt;101,G152,IF(G152&lt;201,G152/2,IF(G152&lt;=301,G152/3,G152/4))))</f>
        <v>0</v>
      </c>
      <c r="I152" s="33"/>
    </row>
    <row r="153" spans="1:20" s="34" customFormat="1" ht="15.75" hidden="1" customHeight="1" x14ac:dyDescent="0.35">
      <c r="A153" s="77" t="str">
        <f ca="1">(SUMPRODUCT(MID(0&amp;(LEFT(A152,SUM(LEN(A152)-LEN(SUBSTITUTE(A152,{"0","1","2"},""))))), LARGE(INDEX(ISNUMBER(--MID((LEFT(A152,SUM(LEN(A152)-LEN(SUBSTITUTE(A152,{"0","1","2"},""))))), ROW(INDIRECT("1:"&amp;LEN((LEFT(A152,SUM(LEN(A152)-LEN(SUBSTITUTE(A152,{"0","1","2"},"")))))))), 1)) * ROW(INDIRECT("1:"&amp;LEN((LEFT(A152,SUM(LEN(A152)-LEN(SUBSTITUTE(A152,{"0","1","2"},"")))))))), 0), ROW(INDIRECT("1:"&amp;LEN((LEFT(A152,SUM(LEN(A152)-LEN(SUBSTITUTE(A152,{"0","1","2"},"")))))))))+1, 1) * 10^ROW(INDIRECT("1:"&amp;LEN((LEFT(A152,SUM(LEN(A152)-LEN(SUBSTITUTE(A152,{"0","1","2"},""))))))))/10))*1+1&amp;""&amp;" &amp; "&amp;""&amp;(SUMPRODUCT(MID(0&amp;(--TRIM(RIGHT(SUBSTITUTE(LEFT(A152,_xlfn.AGGREGATE(16,6,FIND({0,1,2,3,4,5,6,7,8,9},A152,ROW(INDIRECT("1:"&amp;LEN(A152)))),1))," ",REPT(" ",LEN(A152))),LEN(A152)))), LARGE(INDEX(ISNUMBER(--MID((--TRIM(RIGHT(SUBSTITUTE(LEFT(A152,_xlfn.AGGREGATE(16,6,FIND({0,1,2,3,4,5,6,7,8,9},A152,ROW(INDIRECT("1:"&amp;LEN(A152)))),1))," ",REPT(" ",LEN(A152))),LEN(A152)))), ROW(INDIRECT("1:"&amp;LEN((--TRIM(RIGHT(SUBSTITUTE(LEFT(A152,_xlfn.AGGREGATE(16,6,FIND({0,1,2,3,4,5,6,7,8,9},A152,ROW(INDIRECT("1:"&amp;LEN(A152)))),1))," ",REPT(" ",LEN(A152))),LEN(A152))))))), 1)) * ROW(INDIRECT("1:"&amp;LEN((--TRIM(RIGHT(SUBSTITUTE(LEFT(A152,_xlfn.AGGREGATE(16,6,FIND({0,1,2,3,4,5,6,7,8,9},A152,ROW(INDIRECT("1:"&amp;LEN(A152)))),1))," ",REPT(" ",LEN(A152))),LEN(A152))))))), 0), ROW(INDIRECT("1:"&amp;LEN((--TRIM(RIGHT(SUBSTITUTE(LEFT(A152,_xlfn.AGGREGATE(16,6,FIND({0,1,2,3,4,5,6,7,8,9},A152,ROW(INDIRECT("1:"&amp;LEN(A152)))),1))," ",REPT(" ",LEN(A152))),LEN(A152))))))))+1, 1) * 10^ROW(INDIRECT("1:"&amp;LEN((--TRIM(RIGHT(SUBSTITUTE(LEFT(A152,_xlfn.AGGREGATE(16,6,FIND({0,1,2,3,4,5,6,7,8,9},A152,ROW(INDIRECT("1:"&amp;LEN(A152)))),1))," ",REPT(" ",LEN(A152))),LEN(A152)))))))/10))*1+1</f>
        <v>204 &amp; 504</v>
      </c>
      <c r="B153" s="78"/>
      <c r="C153" s="39"/>
      <c r="D153" s="39"/>
      <c r="E153" s="39">
        <v>0</v>
      </c>
      <c r="F153" s="39">
        <f>D153+E153</f>
        <v>0</v>
      </c>
      <c r="G153" s="39">
        <v>0</v>
      </c>
      <c r="H153" s="39">
        <f>F153*(($H$119)+1)+(IF(G153&lt;101,G153,IF(G153&lt;201,G153/2,IF(G153&lt;=301,G153/3,G153/4))))</f>
        <v>0</v>
      </c>
      <c r="I153" s="33"/>
    </row>
    <row r="154" spans="1:20" s="34" customFormat="1" ht="15.75" hidden="1" customHeight="1" x14ac:dyDescent="0.35">
      <c r="A154" s="77" t="str">
        <f ca="1">(SUMPRODUCT(MID(0&amp;(LEFT(A153,SUM(LEN(A153)-LEN(SUBSTITUTE(A153,{"0","1","2"},""))))), LARGE(INDEX(ISNUMBER(--MID((LEFT(A153,SUM(LEN(A153)-LEN(SUBSTITUTE(A153,{"0","1","2"},""))))), ROW(INDIRECT("1:"&amp;LEN((LEFT(A153,SUM(LEN(A153)-LEN(SUBSTITUTE(A153,{"0","1","2"},"")))))))), 1)) * ROW(INDIRECT("1:"&amp;LEN((LEFT(A153,SUM(LEN(A153)-LEN(SUBSTITUTE(A153,{"0","1","2"},"")))))))), 0), ROW(INDIRECT("1:"&amp;LEN((LEFT(A153,SUM(LEN(A153)-LEN(SUBSTITUTE(A153,{"0","1","2"},"")))))))))+1, 1) * 10^ROW(INDIRECT("1:"&amp;LEN((LEFT(A153,SUM(LEN(A153)-LEN(SUBSTITUTE(A153,{"0","1","2"},""))))))))/10))*1+1&amp;""&amp;" &amp; "&amp;""&amp;(SUMPRODUCT(MID(0&amp;(--TRIM(RIGHT(SUBSTITUTE(LEFT(A153,_xlfn.AGGREGATE(16,6,FIND({0,1,2,3,4,5,6,7,8,9},A153,ROW(INDIRECT("1:"&amp;LEN(A153)))),1))," ",REPT(" ",LEN(A153))),LEN(A153)))), LARGE(INDEX(ISNUMBER(--MID((--TRIM(RIGHT(SUBSTITUTE(LEFT(A153,_xlfn.AGGREGATE(16,6,FIND({0,1,2,3,4,5,6,7,8,9},A153,ROW(INDIRECT("1:"&amp;LEN(A153)))),1))," ",REPT(" ",LEN(A153))),LEN(A153)))), ROW(INDIRECT("1:"&amp;LEN((--TRIM(RIGHT(SUBSTITUTE(LEFT(A153,_xlfn.AGGREGATE(16,6,FIND({0,1,2,3,4,5,6,7,8,9},A153,ROW(INDIRECT("1:"&amp;LEN(A153)))),1))," ",REPT(" ",LEN(A153))),LEN(A153))))))), 1)) * ROW(INDIRECT("1:"&amp;LEN((--TRIM(RIGHT(SUBSTITUTE(LEFT(A153,_xlfn.AGGREGATE(16,6,FIND({0,1,2,3,4,5,6,7,8,9},A153,ROW(INDIRECT("1:"&amp;LEN(A153)))),1))," ",REPT(" ",LEN(A153))),LEN(A153))))))), 0), ROW(INDIRECT("1:"&amp;LEN((--TRIM(RIGHT(SUBSTITUTE(LEFT(A153,_xlfn.AGGREGATE(16,6,FIND({0,1,2,3,4,5,6,7,8,9},A153,ROW(INDIRECT("1:"&amp;LEN(A153)))),1))," ",REPT(" ",LEN(A153))),LEN(A153))))))))+1, 1) * 10^ROW(INDIRECT("1:"&amp;LEN((--TRIM(RIGHT(SUBSTITUTE(LEFT(A153,_xlfn.AGGREGATE(16,6,FIND({0,1,2,3,4,5,6,7,8,9},A153,ROW(INDIRECT("1:"&amp;LEN(A153)))),1))," ",REPT(" ",LEN(A153))),LEN(A153)))))))/10))*1+1</f>
        <v>205 &amp; 505</v>
      </c>
      <c r="B154" s="78"/>
      <c r="C154" s="39"/>
      <c r="D154" s="39"/>
      <c r="E154" s="39">
        <v>0</v>
      </c>
      <c r="F154" s="39">
        <f>D154+E154</f>
        <v>0</v>
      </c>
      <c r="G154" s="39">
        <v>0</v>
      </c>
      <c r="H154" s="39">
        <f>F154*(($H$119)+1)+(IF(G154&lt;101,G154,IF(G154&lt;201,G154/2,IF(G154&lt;=301,G154/3,G154/4))))</f>
        <v>0</v>
      </c>
      <c r="I154" s="33"/>
    </row>
    <row r="155" spans="1:20" s="32" customFormat="1" x14ac:dyDescent="0.35">
      <c r="A155" s="91" t="s">
        <v>65</v>
      </c>
      <c r="B155" s="91"/>
      <c r="C155" s="91"/>
      <c r="D155" s="91"/>
      <c r="E155" s="91"/>
      <c r="F155" s="91"/>
      <c r="G155" s="91"/>
      <c r="H155" s="91"/>
      <c r="T155" s="34"/>
    </row>
    <row r="156" spans="1:20" s="32" customFormat="1" x14ac:dyDescent="0.35">
      <c r="A156" s="41" t="s">
        <v>154</v>
      </c>
      <c r="B156" s="85" t="s">
        <v>342</v>
      </c>
      <c r="C156" s="86"/>
      <c r="D156" s="86"/>
      <c r="E156" s="86"/>
      <c r="F156" s="86"/>
      <c r="G156" s="86"/>
      <c r="H156" s="87"/>
      <c r="T156" s="34"/>
    </row>
    <row r="157" spans="1:20" s="32" customFormat="1" x14ac:dyDescent="0.35">
      <c r="A157" s="41" t="s">
        <v>154</v>
      </c>
      <c r="B157" s="85" t="str">
        <f>(IF(H118="Saleable area Loading :","We have considered Saleable area of Flats as per our Calculation.","We considered Saleable area of Flat as per Builder area Sheet."))</f>
        <v>We have considered Saleable area of Flats as per our Calculation.</v>
      </c>
      <c r="C157" s="86"/>
      <c r="D157" s="86"/>
      <c r="E157" s="86"/>
      <c r="F157" s="86"/>
      <c r="G157" s="86"/>
      <c r="H157" s="87"/>
      <c r="T157" s="34"/>
    </row>
    <row r="158" spans="1:20" s="32" customFormat="1" x14ac:dyDescent="0.35">
      <c r="A158" s="41" t="s">
        <v>154</v>
      </c>
      <c r="B158" s="85" t="str">
        <f>(IF(H110="Saleable area Loading :","We have considered Saleable area of Commercial as per our Calculation.","We considered Saleable area of Commercial as per Builder area Sheet."))</f>
        <v>We have considered Saleable area of Commercial as per our Calculation.</v>
      </c>
      <c r="C158" s="86"/>
      <c r="D158" s="86"/>
      <c r="E158" s="86"/>
      <c r="F158" s="86"/>
      <c r="G158" s="86"/>
      <c r="H158" s="87"/>
    </row>
    <row r="159" spans="1:20" s="32" customFormat="1" x14ac:dyDescent="0.35">
      <c r="A159" s="41" t="s">
        <v>154</v>
      </c>
      <c r="B159" s="88" t="s">
        <v>121</v>
      </c>
      <c r="C159" s="89"/>
      <c r="D159" s="89"/>
      <c r="E159" s="89"/>
      <c r="F159" s="89"/>
      <c r="G159" s="89"/>
      <c r="H159" s="90"/>
    </row>
    <row r="160" spans="1:20" s="32" customFormat="1" x14ac:dyDescent="0.35">
      <c r="A160" s="41" t="s">
        <v>154</v>
      </c>
      <c r="B160" s="88" t="s">
        <v>329</v>
      </c>
      <c r="C160" s="89"/>
      <c r="D160" s="89"/>
      <c r="E160" s="89"/>
      <c r="F160" s="89"/>
      <c r="G160" s="89"/>
      <c r="H160" s="90"/>
    </row>
    <row r="161" spans="1:20" s="32" customFormat="1" x14ac:dyDescent="0.35">
      <c r="A161" s="41" t="s">
        <v>154</v>
      </c>
      <c r="B161" s="88" t="s">
        <v>153</v>
      </c>
      <c r="C161" s="89"/>
      <c r="D161" s="89"/>
      <c r="E161" s="89"/>
      <c r="F161" s="89"/>
      <c r="G161" s="89"/>
      <c r="H161" s="90"/>
    </row>
    <row r="162" spans="1:20" s="32" customFormat="1" x14ac:dyDescent="0.35">
      <c r="A162" s="41" t="s">
        <v>154</v>
      </c>
      <c r="B162" s="88" t="s">
        <v>122</v>
      </c>
      <c r="C162" s="89"/>
      <c r="D162" s="89"/>
      <c r="E162" s="89"/>
      <c r="F162" s="89"/>
      <c r="G162" s="89"/>
      <c r="H162" s="90"/>
    </row>
    <row r="163" spans="1:20" s="32" customFormat="1" ht="34.5" customHeight="1" x14ac:dyDescent="0.35">
      <c r="A163" s="41" t="s">
        <v>154</v>
      </c>
      <c r="B163" s="88" t="s">
        <v>155</v>
      </c>
      <c r="C163" s="89"/>
      <c r="D163" s="89"/>
      <c r="E163" s="89"/>
      <c r="F163" s="89"/>
      <c r="G163" s="89"/>
      <c r="H163" s="90"/>
    </row>
    <row r="164" spans="1:20" s="32" customFormat="1" x14ac:dyDescent="0.35">
      <c r="A164" s="41" t="s">
        <v>154</v>
      </c>
      <c r="B164" s="88" t="s">
        <v>123</v>
      </c>
      <c r="C164" s="89"/>
      <c r="D164" s="89"/>
      <c r="E164" s="89"/>
      <c r="F164" s="89"/>
      <c r="G164" s="89"/>
      <c r="H164" s="90"/>
    </row>
    <row r="165" spans="1:20" s="32" customFormat="1" hidden="1" x14ac:dyDescent="0.35">
      <c r="A165" s="41" t="s">
        <v>154</v>
      </c>
      <c r="B165" s="88" t="s">
        <v>331</v>
      </c>
      <c r="C165" s="89"/>
      <c r="D165" s="89"/>
      <c r="E165" s="89"/>
      <c r="F165" s="89"/>
      <c r="G165" s="89"/>
      <c r="H165" s="90"/>
    </row>
    <row r="166" spans="1:20" s="32" customFormat="1" x14ac:dyDescent="0.35">
      <c r="A166" s="41" t="s">
        <v>154</v>
      </c>
      <c r="B166" s="88" t="s">
        <v>345</v>
      </c>
      <c r="C166" s="89"/>
      <c r="D166" s="89"/>
      <c r="E166" s="89"/>
      <c r="F166" s="89"/>
      <c r="G166" s="89"/>
      <c r="H166" s="90"/>
    </row>
    <row r="167" spans="1:20" s="32" customFormat="1" x14ac:dyDescent="0.35">
      <c r="A167" s="41" t="s">
        <v>154</v>
      </c>
      <c r="B167" s="88" t="s">
        <v>350</v>
      </c>
      <c r="C167" s="89"/>
      <c r="D167" s="89"/>
      <c r="E167" s="89"/>
      <c r="F167" s="89"/>
      <c r="G167" s="89"/>
      <c r="H167" s="90"/>
    </row>
    <row r="168" spans="1:20" x14ac:dyDescent="0.35">
      <c r="A168" s="114" t="s">
        <v>58</v>
      </c>
      <c r="B168" s="114"/>
      <c r="C168" s="114"/>
      <c r="D168" s="114"/>
      <c r="E168" s="114"/>
      <c r="F168" s="114"/>
      <c r="G168" s="114"/>
      <c r="H168" s="114"/>
      <c r="J168" s="18" t="s">
        <v>348</v>
      </c>
      <c r="T168" s="32"/>
    </row>
    <row r="169" spans="1:20" x14ac:dyDescent="0.35">
      <c r="A169" s="103" t="s">
        <v>59</v>
      </c>
      <c r="B169" s="103"/>
      <c r="C169" s="103"/>
      <c r="D169" s="103"/>
      <c r="E169" s="103"/>
      <c r="F169" s="103"/>
      <c r="G169" s="103"/>
      <c r="H169" s="103"/>
      <c r="T169" s="32"/>
    </row>
    <row r="170" spans="1:20" ht="15.75" customHeight="1" x14ac:dyDescent="0.35">
      <c r="A170" s="145" t="s">
        <v>60</v>
      </c>
      <c r="B170" s="145"/>
      <c r="C170" s="145"/>
      <c r="D170" s="145"/>
      <c r="E170" s="145"/>
      <c r="F170" s="145"/>
      <c r="G170" s="145"/>
      <c r="H170" s="145"/>
      <c r="T170" s="32"/>
    </row>
    <row r="171" spans="1:20" x14ac:dyDescent="0.35">
      <c r="A171" s="103" t="s">
        <v>61</v>
      </c>
      <c r="B171" s="103"/>
      <c r="C171" s="103"/>
      <c r="D171" s="103"/>
      <c r="E171" s="103"/>
      <c r="F171" s="103"/>
      <c r="G171" s="103"/>
      <c r="H171" s="103"/>
    </row>
    <row r="172" spans="1:20" x14ac:dyDescent="0.35">
      <c r="A172" s="103" t="s">
        <v>62</v>
      </c>
      <c r="B172" s="103"/>
      <c r="C172" s="103"/>
      <c r="D172" s="103"/>
      <c r="E172" s="103"/>
      <c r="F172" s="103"/>
      <c r="G172" s="103"/>
      <c r="H172" s="103"/>
    </row>
    <row r="173" spans="1:20" x14ac:dyDescent="0.35">
      <c r="A173" s="103" t="s">
        <v>124</v>
      </c>
      <c r="B173" s="103"/>
      <c r="C173" s="103"/>
      <c r="D173" s="103"/>
      <c r="E173" s="103"/>
      <c r="F173" s="103"/>
      <c r="G173" s="103"/>
      <c r="H173" s="103"/>
    </row>
    <row r="174" spans="1:20" ht="34" customHeight="1" x14ac:dyDescent="0.35">
      <c r="A174" s="75" t="s">
        <v>125</v>
      </c>
      <c r="B174" s="75"/>
      <c r="C174" s="75"/>
      <c r="D174" s="75"/>
      <c r="E174" s="75"/>
      <c r="F174" s="75"/>
      <c r="G174" s="75"/>
      <c r="H174" s="75"/>
    </row>
    <row r="175" spans="1:20" x14ac:dyDescent="0.35">
      <c r="A175" s="143" t="s">
        <v>74</v>
      </c>
      <c r="B175" s="143"/>
      <c r="C175" s="143" t="s">
        <v>346</v>
      </c>
      <c r="D175" s="143"/>
      <c r="E175" s="143" t="s">
        <v>104</v>
      </c>
      <c r="F175" s="143"/>
      <c r="G175" s="143" t="s">
        <v>349</v>
      </c>
      <c r="H175" s="143"/>
    </row>
    <row r="176" spans="1:20" x14ac:dyDescent="0.35">
      <c r="A176" s="142" t="s">
        <v>76</v>
      </c>
      <c r="B176" s="142"/>
      <c r="C176" s="142"/>
      <c r="D176" s="142"/>
      <c r="E176" s="142"/>
      <c r="F176" s="142"/>
      <c r="G176" s="142"/>
      <c r="H176" s="142"/>
    </row>
    <row r="177" spans="1:8" x14ac:dyDescent="0.35">
      <c r="A177" s="142"/>
      <c r="B177" s="142"/>
      <c r="C177" s="142"/>
      <c r="D177" s="142"/>
      <c r="E177" s="142"/>
      <c r="F177" s="142"/>
      <c r="G177" s="142"/>
      <c r="H177" s="142"/>
    </row>
    <row r="178" spans="1:8" x14ac:dyDescent="0.35">
      <c r="A178" s="142"/>
      <c r="B178" s="142"/>
      <c r="C178" s="142"/>
      <c r="D178" s="142"/>
      <c r="E178" s="142"/>
      <c r="F178" s="142"/>
      <c r="G178" s="142"/>
      <c r="H178" s="142"/>
    </row>
    <row r="179" spans="1:8" x14ac:dyDescent="0.35">
      <c r="A179" s="142"/>
      <c r="B179" s="142"/>
      <c r="C179" s="142"/>
      <c r="D179" s="142"/>
      <c r="E179" s="142"/>
      <c r="F179" s="142"/>
      <c r="G179" s="142"/>
      <c r="H179" s="142"/>
    </row>
    <row r="180" spans="1:8" x14ac:dyDescent="0.35">
      <c r="A180" s="35" t="s">
        <v>63</v>
      </c>
      <c r="B180" s="36"/>
      <c r="C180" s="36"/>
      <c r="D180" s="35" t="str">
        <f>E9</f>
        <v>Sara Corner</v>
      </c>
      <c r="F180" s="36"/>
      <c r="G180" s="36"/>
      <c r="H180" s="36"/>
    </row>
    <row r="181" spans="1:8" x14ac:dyDescent="0.35">
      <c r="A181" s="36"/>
      <c r="B181" s="36"/>
      <c r="C181" s="36"/>
      <c r="D181" s="36"/>
      <c r="E181" s="36"/>
      <c r="F181" s="36"/>
      <c r="G181" s="36"/>
      <c r="H181" s="36"/>
    </row>
    <row r="182" spans="1:8" x14ac:dyDescent="0.35">
      <c r="A182" s="36"/>
      <c r="B182" s="36"/>
      <c r="C182" s="36"/>
      <c r="D182" s="36"/>
      <c r="E182" s="36"/>
      <c r="F182" s="36"/>
      <c r="G182" s="36"/>
      <c r="H182" s="36"/>
    </row>
    <row r="183" spans="1:8" ht="15" customHeight="1" x14ac:dyDescent="0.35"/>
    <row r="223" spans="1:1" x14ac:dyDescent="0.35">
      <c r="A223" s="38" t="s">
        <v>165</v>
      </c>
    </row>
    <row r="266" spans="1:1" x14ac:dyDescent="0.35">
      <c r="A266" s="38" t="s">
        <v>64</v>
      </c>
    </row>
  </sheetData>
  <mergeCells count="319">
    <mergeCell ref="D110:D111"/>
    <mergeCell ref="A90:E90"/>
    <mergeCell ref="A89:E89"/>
    <mergeCell ref="A86:E86"/>
    <mergeCell ref="F90:H90"/>
    <mergeCell ref="G110:G111"/>
    <mergeCell ref="A145:B145"/>
    <mergeCell ref="A78:B78"/>
    <mergeCell ref="A91:E91"/>
    <mergeCell ref="A106:B106"/>
    <mergeCell ref="E106:F106"/>
    <mergeCell ref="A96:E96"/>
    <mergeCell ref="G106:H106"/>
    <mergeCell ref="A102:B102"/>
    <mergeCell ref="C102:D102"/>
    <mergeCell ref="E102:F102"/>
    <mergeCell ref="L131:M131"/>
    <mergeCell ref="A136:B136"/>
    <mergeCell ref="A133:B133"/>
    <mergeCell ref="A134:B134"/>
    <mergeCell ref="A144:B144"/>
    <mergeCell ref="A39:B39"/>
    <mergeCell ref="C39:H39"/>
    <mergeCell ref="F110:F111"/>
    <mergeCell ref="C101:D101"/>
    <mergeCell ref="E101:F101"/>
    <mergeCell ref="B110:B111"/>
    <mergeCell ref="A110:A111"/>
    <mergeCell ref="C118:C119"/>
    <mergeCell ref="G118:G119"/>
    <mergeCell ref="L130:M130"/>
    <mergeCell ref="L127:M127"/>
    <mergeCell ref="A128:B128"/>
    <mergeCell ref="G107:H107"/>
    <mergeCell ref="L128:M128"/>
    <mergeCell ref="A129:B129"/>
    <mergeCell ref="L129:M129"/>
    <mergeCell ref="C54:H54"/>
    <mergeCell ref="A130:B130"/>
    <mergeCell ref="A135:B135"/>
    <mergeCell ref="A38:B38"/>
    <mergeCell ref="C38:H38"/>
    <mergeCell ref="A45:D45"/>
    <mergeCell ref="A46:D46"/>
    <mergeCell ref="A47:H47"/>
    <mergeCell ref="D63:H63"/>
    <mergeCell ref="A63:C63"/>
    <mergeCell ref="A44:D44"/>
    <mergeCell ref="L116:M116"/>
    <mergeCell ref="L115:M115"/>
    <mergeCell ref="L114:M114"/>
    <mergeCell ref="L113:M113"/>
    <mergeCell ref="A83:B83"/>
    <mergeCell ref="C105:D105"/>
    <mergeCell ref="E105:F105"/>
    <mergeCell ref="G105:H105"/>
    <mergeCell ref="A87:E87"/>
    <mergeCell ref="A112:H112"/>
    <mergeCell ref="E110:E111"/>
    <mergeCell ref="F91:H91"/>
    <mergeCell ref="G102:H102"/>
    <mergeCell ref="A115:B115"/>
    <mergeCell ref="A92:E92"/>
    <mergeCell ref="F92:H92"/>
    <mergeCell ref="A41:D41"/>
    <mergeCell ref="E41:H41"/>
    <mergeCell ref="A40:H40"/>
    <mergeCell ref="A65:C65"/>
    <mergeCell ref="A66:C66"/>
    <mergeCell ref="D65:H65"/>
    <mergeCell ref="D66:H66"/>
    <mergeCell ref="A43:D43"/>
    <mergeCell ref="E43:H43"/>
    <mergeCell ref="E44:H44"/>
    <mergeCell ref="E45:H45"/>
    <mergeCell ref="E46:H46"/>
    <mergeCell ref="C56:H56"/>
    <mergeCell ref="A48:B48"/>
    <mergeCell ref="C48:H48"/>
    <mergeCell ref="E27:H27"/>
    <mergeCell ref="C32:E32"/>
    <mergeCell ref="F35:H35"/>
    <mergeCell ref="F32:H32"/>
    <mergeCell ref="A33:B33"/>
    <mergeCell ref="A32:B32"/>
    <mergeCell ref="C33:E33"/>
    <mergeCell ref="A34:B34"/>
    <mergeCell ref="A37:H37"/>
    <mergeCell ref="A36:B36"/>
    <mergeCell ref="C36:E36"/>
    <mergeCell ref="E20:F20"/>
    <mergeCell ref="G20:H20"/>
    <mergeCell ref="A21:B21"/>
    <mergeCell ref="C21:D21"/>
    <mergeCell ref="E21:F21"/>
    <mergeCell ref="G21:H21"/>
    <mergeCell ref="F33:H33"/>
    <mergeCell ref="F34:H34"/>
    <mergeCell ref="F36:H36"/>
    <mergeCell ref="E26:H26"/>
    <mergeCell ref="A28:D28"/>
    <mergeCell ref="E28:H28"/>
    <mergeCell ref="A25:D25"/>
    <mergeCell ref="E25:H25"/>
    <mergeCell ref="A29:D29"/>
    <mergeCell ref="E29:H29"/>
    <mergeCell ref="A26:D26"/>
    <mergeCell ref="A35:B35"/>
    <mergeCell ref="C35:E35"/>
    <mergeCell ref="A30:D30"/>
    <mergeCell ref="E30:H30"/>
    <mergeCell ref="A31:D31"/>
    <mergeCell ref="E31:H31"/>
    <mergeCell ref="A27:D27"/>
    <mergeCell ref="E13:H13"/>
    <mergeCell ref="A14:D14"/>
    <mergeCell ref="A11:D11"/>
    <mergeCell ref="E11:H11"/>
    <mergeCell ref="A22:D23"/>
    <mergeCell ref="E22:H23"/>
    <mergeCell ref="E14:H14"/>
    <mergeCell ref="A15:B15"/>
    <mergeCell ref="C15:H15"/>
    <mergeCell ref="C16:H16"/>
    <mergeCell ref="A17:B17"/>
    <mergeCell ref="C17:H17"/>
    <mergeCell ref="A12:D12"/>
    <mergeCell ref="E12:H12"/>
    <mergeCell ref="A16:B16"/>
    <mergeCell ref="A13:D13"/>
    <mergeCell ref="A18:B18"/>
    <mergeCell ref="C18:D18"/>
    <mergeCell ref="E18:F18"/>
    <mergeCell ref="G18:H18"/>
    <mergeCell ref="A19:B19"/>
    <mergeCell ref="C19:D19"/>
    <mergeCell ref="E19:F19"/>
    <mergeCell ref="G19:H1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26:H126"/>
    <mergeCell ref="A141:B141"/>
    <mergeCell ref="A138:B138"/>
    <mergeCell ref="A127:B127"/>
    <mergeCell ref="A139:B139"/>
    <mergeCell ref="A80:B80"/>
    <mergeCell ref="A67:C67"/>
    <mergeCell ref="D67:H67"/>
    <mergeCell ref="C74:H74"/>
    <mergeCell ref="A77:B77"/>
    <mergeCell ref="A79:B79"/>
    <mergeCell ref="E75:F75"/>
    <mergeCell ref="A68:C68"/>
    <mergeCell ref="D68:H68"/>
    <mergeCell ref="A71:C71"/>
    <mergeCell ref="D71:H71"/>
    <mergeCell ref="A69:C69"/>
    <mergeCell ref="D70:H70"/>
    <mergeCell ref="A76:B76"/>
    <mergeCell ref="G75:H75"/>
    <mergeCell ref="E76:F85"/>
    <mergeCell ref="G76:H85"/>
    <mergeCell ref="A84:B84"/>
    <mergeCell ref="A85:B85"/>
    <mergeCell ref="A176:H179"/>
    <mergeCell ref="A175:B175"/>
    <mergeCell ref="E175:F175"/>
    <mergeCell ref="C175:D175"/>
    <mergeCell ref="G175:H175"/>
    <mergeCell ref="A131:H131"/>
    <mergeCell ref="A140:B140"/>
    <mergeCell ref="A171:H171"/>
    <mergeCell ref="A174:H174"/>
    <mergeCell ref="A172:H172"/>
    <mergeCell ref="A168:H168"/>
    <mergeCell ref="A142:B142"/>
    <mergeCell ref="A169:H169"/>
    <mergeCell ref="B163:H163"/>
    <mergeCell ref="A146:B146"/>
    <mergeCell ref="A173:H173"/>
    <mergeCell ref="A170:H170"/>
    <mergeCell ref="A132:B132"/>
    <mergeCell ref="B166:H166"/>
    <mergeCell ref="B165:H165"/>
    <mergeCell ref="B164:H164"/>
    <mergeCell ref="B162:H162"/>
    <mergeCell ref="B167:H167"/>
    <mergeCell ref="B161:H161"/>
    <mergeCell ref="E118:E119"/>
    <mergeCell ref="F87:H87"/>
    <mergeCell ref="G101:H101"/>
    <mergeCell ref="F93:H93"/>
    <mergeCell ref="C100:D100"/>
    <mergeCell ref="C106:D106"/>
    <mergeCell ref="A113:B113"/>
    <mergeCell ref="A107:B107"/>
    <mergeCell ref="C107:D107"/>
    <mergeCell ref="E107:F107"/>
    <mergeCell ref="A116:B116"/>
    <mergeCell ref="A117:H117"/>
    <mergeCell ref="E104:F104"/>
    <mergeCell ref="A108:H108"/>
    <mergeCell ref="A99:H99"/>
    <mergeCell ref="A97:E97"/>
    <mergeCell ref="A94:E94"/>
    <mergeCell ref="F89:H89"/>
    <mergeCell ref="A93:E93"/>
    <mergeCell ref="A105:B105"/>
    <mergeCell ref="A101:B101"/>
    <mergeCell ref="A103:H103"/>
    <mergeCell ref="G104:H104"/>
    <mergeCell ref="F88:H88"/>
    <mergeCell ref="I14:P14"/>
    <mergeCell ref="F96:H96"/>
    <mergeCell ref="F94:H94"/>
    <mergeCell ref="E42:H42"/>
    <mergeCell ref="A49:B49"/>
    <mergeCell ref="A50:B50"/>
    <mergeCell ref="A42:D42"/>
    <mergeCell ref="C49:E49"/>
    <mergeCell ref="G49:H49"/>
    <mergeCell ref="G51:H51"/>
    <mergeCell ref="G58:H58"/>
    <mergeCell ref="C52:H52"/>
    <mergeCell ref="A82:B82"/>
    <mergeCell ref="A75:B75"/>
    <mergeCell ref="A62:C62"/>
    <mergeCell ref="D62:H62"/>
    <mergeCell ref="G59:H59"/>
    <mergeCell ref="A53:B54"/>
    <mergeCell ref="C53:E53"/>
    <mergeCell ref="C34:E34"/>
    <mergeCell ref="A24:D24"/>
    <mergeCell ref="E24:H24"/>
    <mergeCell ref="A20:B20"/>
    <mergeCell ref="C20:D20"/>
    <mergeCell ref="D69:H69"/>
    <mergeCell ref="A70:C70"/>
    <mergeCell ref="F97:H97"/>
    <mergeCell ref="A98:E98"/>
    <mergeCell ref="F98:H98"/>
    <mergeCell ref="A60:H60"/>
    <mergeCell ref="A61:C61"/>
    <mergeCell ref="A81:B81"/>
    <mergeCell ref="G53:H53"/>
    <mergeCell ref="A55:B56"/>
    <mergeCell ref="C55:E55"/>
    <mergeCell ref="G55:H55"/>
    <mergeCell ref="A57:B58"/>
    <mergeCell ref="C57:E57"/>
    <mergeCell ref="F86:H86"/>
    <mergeCell ref="A88:E88"/>
    <mergeCell ref="A74:B74"/>
    <mergeCell ref="A72:B72"/>
    <mergeCell ref="C72:H72"/>
    <mergeCell ref="B156:H156"/>
    <mergeCell ref="B157:H157"/>
    <mergeCell ref="B159:H159"/>
    <mergeCell ref="B160:H160"/>
    <mergeCell ref="A155:H155"/>
    <mergeCell ref="G57:H57"/>
    <mergeCell ref="G50:H50"/>
    <mergeCell ref="A51:B52"/>
    <mergeCell ref="A137:H137"/>
    <mergeCell ref="C58:E58"/>
    <mergeCell ref="C51:E51"/>
    <mergeCell ref="C50:E50"/>
    <mergeCell ref="B158:H158"/>
    <mergeCell ref="A109:H109"/>
    <mergeCell ref="G100:H100"/>
    <mergeCell ref="A95:E95"/>
    <mergeCell ref="A114:B114"/>
    <mergeCell ref="A59:B59"/>
    <mergeCell ref="C59:E59"/>
    <mergeCell ref="D61:H61"/>
    <mergeCell ref="F95:H95"/>
    <mergeCell ref="E100:F100"/>
    <mergeCell ref="A100:B100"/>
    <mergeCell ref="C104:D104"/>
    <mergeCell ref="L120:M120"/>
    <mergeCell ref="A121:B121"/>
    <mergeCell ref="A122:B122"/>
    <mergeCell ref="A123:H123"/>
    <mergeCell ref="A64:C64"/>
    <mergeCell ref="D64:H64"/>
    <mergeCell ref="A151:B151"/>
    <mergeCell ref="A154:B154"/>
    <mergeCell ref="A153:B153"/>
    <mergeCell ref="A147:B147"/>
    <mergeCell ref="A148:B148"/>
    <mergeCell ref="A143:H143"/>
    <mergeCell ref="A152:B152"/>
    <mergeCell ref="A149:H149"/>
    <mergeCell ref="A150:B150"/>
    <mergeCell ref="C110:C111"/>
    <mergeCell ref="A104:B104"/>
    <mergeCell ref="A118:A119"/>
    <mergeCell ref="F118:F119"/>
    <mergeCell ref="A124:B124"/>
    <mergeCell ref="B118:B119"/>
    <mergeCell ref="D118:D119"/>
    <mergeCell ref="A125:B125"/>
    <mergeCell ref="A120:H120"/>
  </mergeCells>
  <dataValidations count="14">
    <dataValidation type="list" allowBlank="1" showInputMessage="1" showErrorMessage="1" sqref="E5:H5">
      <formula1>OFFSET($L$3,1,MATCH($E4,$L$3:$P$3,0)-1,10,1)</formula1>
    </dataValidation>
    <dataValidation type="list" allowBlank="1" showInputMessage="1" showErrorMessage="1" sqref="A16:B16">
      <formula1>"CTS No,Survey No,Plot No,Gut No,FP No,"</formula1>
    </dataValidation>
    <dataValidation type="list" allowBlank="1" showInputMessage="1" showErrorMessage="1" sqref="G19:H19">
      <formula1>#REF!</formula1>
    </dataValidation>
    <dataValidation type="list" allowBlank="1" showInputMessage="1" showErrorMessage="1" sqref="E110:E111">
      <formula1>"Attached Loft area,Attached Otla area,Attached Mezzanine area"</formula1>
    </dataValidation>
    <dataValidation type="list" allowBlank="1" showInputMessage="1" showErrorMessage="1" sqref="F86:H86">
      <formula1>"On Saleable Area,On Builtup Area,On Carpet Area,On Plot Area"</formula1>
    </dataValidation>
    <dataValidation type="list" allowBlank="1" showInputMessage="1" showErrorMessage="1" sqref="F97:H97">
      <formula1>OFFSET($S$86,1,MATCH($G19,$S$86:$W$86,0)-1,15,1)</formula1>
    </dataValidation>
    <dataValidation type="list" allowBlank="1" showInputMessage="1" showErrorMessage="1" sqref="B110:B111">
      <formula1>"Shop No. (Sale Plan),Sale / Rehab,Sale / Mhada"</formula1>
    </dataValidation>
    <dataValidation type="list" allowBlank="1" showInputMessage="1" showErrorMessage="1" sqref="B118:B119">
      <formula1>"Flat No. (Sale Plan),Sale / Rehab,Sale / Mhada"</formula1>
    </dataValidation>
    <dataValidation type="list" allowBlank="1" showInputMessage="1" showErrorMessage="1" sqref="E118:E119">
      <formula1>"Fungible area,Balcony Area,Chajja Area,Cornice Area,AP Area,WS Area"</formula1>
    </dataValidation>
    <dataValidation type="list" allowBlank="1" showInputMessage="1" showErrorMessage="1" sqref="H111 H119">
      <formula1>".45,.50,.55,.60"</formula1>
    </dataValidation>
    <dataValidation type="list" allowBlank="1" showInputMessage="1" showErrorMessage="1" sqref="E4:H4">
      <formula1>$L$3:$P$3</formula1>
    </dataValidation>
    <dataValidation type="list" allowBlank="1" showInputMessage="1" showErrorMessage="1" sqref="C48:H48">
      <formula1>OFFSET($S$48,1,MATCH($G19,$S$48:$W$48,0)-1,15,1)</formula1>
    </dataValidation>
    <dataValidation type="whole" allowBlank="1" showInputMessage="1" showErrorMessage="1" sqref="C81">
      <formula1>0</formula1>
      <formula2>H73</formula2>
    </dataValidation>
    <dataValidation type="list" allowBlank="1" showInputMessage="1" showErrorMessage="1" sqref="C20:D20">
      <formula1>OFFSET(#REF!,1,MATCH($G19,#REF!,0)-1,15,1)</formula1>
    </dataValidation>
  </dataValidations>
  <hyperlinks>
    <hyperlink ref="C39"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1" max="16383" man="1"/>
    <brk id="179" max="16383" man="1"/>
    <brk id="222" max="16383" man="1"/>
    <brk id="265"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9" sqref="C9"/>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09" t="s">
        <v>105</v>
      </c>
      <c r="C3" s="209"/>
      <c r="D3" s="209"/>
      <c r="E3" s="209"/>
      <c r="F3" s="209"/>
      <c r="G3" s="209"/>
      <c r="H3" s="209"/>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7"/>
      <c r="C4" s="47" t="s">
        <v>11</v>
      </c>
      <c r="D4" s="48" t="s">
        <v>179</v>
      </c>
      <c r="E4" s="48" t="s">
        <v>189</v>
      </c>
      <c r="F4" s="48" t="s">
        <v>173</v>
      </c>
      <c r="G4" s="48" t="s">
        <v>194</v>
      </c>
      <c r="H4" s="48" t="s">
        <v>212</v>
      </c>
      <c r="J4" t="s">
        <v>194</v>
      </c>
      <c r="K4" t="s">
        <v>210</v>
      </c>
    </row>
    <row r="5" spans="2:11" x14ac:dyDescent="0.35">
      <c r="B5" s="47"/>
      <c r="C5" s="47"/>
      <c r="D5" s="48" t="s">
        <v>180</v>
      </c>
      <c r="E5" s="48" t="s">
        <v>187</v>
      </c>
      <c r="F5" s="48" t="s">
        <v>209</v>
      </c>
      <c r="G5" s="48" t="s">
        <v>195</v>
      </c>
      <c r="H5" s="48" t="s">
        <v>213</v>
      </c>
    </row>
    <row r="6" spans="2:11" x14ac:dyDescent="0.35">
      <c r="B6" s="47"/>
      <c r="C6" s="47"/>
      <c r="D6" s="48" t="s">
        <v>181</v>
      </c>
      <c r="E6" s="48" t="s">
        <v>188</v>
      </c>
      <c r="F6" s="48" t="s">
        <v>210</v>
      </c>
      <c r="G6" s="48" t="s">
        <v>196</v>
      </c>
      <c r="H6" s="48" t="s">
        <v>226</v>
      </c>
    </row>
    <row r="7" spans="2:11" x14ac:dyDescent="0.35">
      <c r="B7" s="47"/>
      <c r="C7" s="47"/>
      <c r="D7" s="48" t="s">
        <v>182</v>
      </c>
      <c r="E7" s="48" t="s">
        <v>190</v>
      </c>
      <c r="F7" s="48" t="s">
        <v>211</v>
      </c>
      <c r="G7" s="48" t="s">
        <v>197</v>
      </c>
      <c r="H7" s="48" t="s">
        <v>214</v>
      </c>
    </row>
    <row r="8" spans="2:11" x14ac:dyDescent="0.35">
      <c r="B8" s="47"/>
      <c r="C8" s="47"/>
      <c r="D8" s="48" t="s">
        <v>183</v>
      </c>
      <c r="E8" s="48" t="s">
        <v>191</v>
      </c>
      <c r="F8" s="48"/>
      <c r="G8" s="48" t="s">
        <v>198</v>
      </c>
      <c r="H8" s="48" t="s">
        <v>215</v>
      </c>
    </row>
    <row r="9" spans="2:11" x14ac:dyDescent="0.35">
      <c r="B9" s="47"/>
      <c r="C9" s="47"/>
      <c r="D9" s="48" t="s">
        <v>184</v>
      </c>
      <c r="E9" s="48" t="s">
        <v>189</v>
      </c>
      <c r="F9" s="48"/>
      <c r="G9" s="48" t="s">
        <v>199</v>
      </c>
      <c r="H9" s="48" t="s">
        <v>216</v>
      </c>
    </row>
    <row r="10" spans="2:11" x14ac:dyDescent="0.35">
      <c r="B10" s="47"/>
      <c r="C10" s="47"/>
      <c r="D10" s="48" t="s">
        <v>185</v>
      </c>
      <c r="E10" s="48" t="s">
        <v>192</v>
      </c>
      <c r="F10" s="48"/>
      <c r="G10" s="48" t="s">
        <v>200</v>
      </c>
      <c r="H10" s="48" t="s">
        <v>217</v>
      </c>
    </row>
    <row r="11" spans="2:11" x14ac:dyDescent="0.35">
      <c r="B11" s="47"/>
      <c r="C11" s="47"/>
      <c r="D11" s="48" t="s">
        <v>186</v>
      </c>
      <c r="E11" s="48" t="s">
        <v>193</v>
      </c>
      <c r="F11" s="48"/>
      <c r="G11" s="48" t="s">
        <v>201</v>
      </c>
      <c r="H11" s="48" t="s">
        <v>218</v>
      </c>
    </row>
    <row r="12" spans="2:11" x14ac:dyDescent="0.35">
      <c r="B12" s="47"/>
      <c r="C12" s="47"/>
      <c r="D12" s="48"/>
      <c r="E12" s="48"/>
      <c r="F12" s="48"/>
      <c r="G12" s="48" t="s">
        <v>202</v>
      </c>
      <c r="H12" s="48" t="s">
        <v>219</v>
      </c>
    </row>
    <row r="13" spans="2:11" x14ac:dyDescent="0.35">
      <c r="B13" s="47"/>
      <c r="C13" s="47"/>
      <c r="D13" s="48"/>
      <c r="E13" s="48"/>
      <c r="F13" s="48"/>
      <c r="G13" s="48" t="s">
        <v>203</v>
      </c>
      <c r="H13" s="48" t="s">
        <v>220</v>
      </c>
    </row>
    <row r="14" spans="2:11" x14ac:dyDescent="0.35">
      <c r="B14" s="47"/>
      <c r="C14" s="47"/>
      <c r="D14" s="48"/>
      <c r="E14" s="48"/>
      <c r="F14" s="48"/>
      <c r="G14" s="48" t="s">
        <v>204</v>
      </c>
      <c r="H14" s="48" t="s">
        <v>221</v>
      </c>
    </row>
    <row r="15" spans="2:11" x14ac:dyDescent="0.35">
      <c r="B15" s="47"/>
      <c r="C15" s="47"/>
      <c r="D15" s="48"/>
      <c r="E15" s="48"/>
      <c r="F15" s="48"/>
      <c r="G15" s="48" t="s">
        <v>205</v>
      </c>
      <c r="H15" s="48" t="s">
        <v>222</v>
      </c>
    </row>
    <row r="16" spans="2:11" x14ac:dyDescent="0.35">
      <c r="B16" s="47"/>
      <c r="C16" s="47"/>
      <c r="D16" s="48"/>
      <c r="E16" s="48"/>
      <c r="F16" s="48"/>
      <c r="G16" s="48" t="s">
        <v>206</v>
      </c>
      <c r="H16" s="48" t="s">
        <v>223</v>
      </c>
    </row>
    <row r="17" spans="2:8" x14ac:dyDescent="0.35">
      <c r="B17" s="47"/>
      <c r="C17" s="47"/>
      <c r="D17" s="48"/>
      <c r="E17" s="48"/>
      <c r="F17" s="48"/>
      <c r="G17" s="48" t="s">
        <v>207</v>
      </c>
      <c r="H17" s="48" t="s">
        <v>224</v>
      </c>
    </row>
    <row r="18" spans="2:8" x14ac:dyDescent="0.35">
      <c r="B18" s="47"/>
      <c r="C18" s="47"/>
      <c r="D18" s="48"/>
      <c r="E18" s="48"/>
      <c r="F18" s="48"/>
      <c r="G18" s="48" t="s">
        <v>208</v>
      </c>
      <c r="H18" s="48" t="s">
        <v>225</v>
      </c>
    </row>
    <row r="24" spans="2:8" x14ac:dyDescent="0.35">
      <c r="C24" t="s">
        <v>171</v>
      </c>
    </row>
    <row r="25" spans="2:8" x14ac:dyDescent="0.35">
      <c r="C25" t="s">
        <v>227</v>
      </c>
    </row>
    <row r="26" spans="2:8" x14ac:dyDescent="0.35">
      <c r="C26" t="s">
        <v>228</v>
      </c>
    </row>
    <row r="27" spans="2:8" x14ac:dyDescent="0.35">
      <c r="C27" t="s">
        <v>229</v>
      </c>
    </row>
    <row r="28" spans="2:8" x14ac:dyDescent="0.35">
      <c r="C28" t="s">
        <v>230</v>
      </c>
    </row>
    <row r="29" spans="2:8" x14ac:dyDescent="0.35">
      <c r="C29" t="s">
        <v>231</v>
      </c>
    </row>
    <row r="30" spans="2:8" x14ac:dyDescent="0.35">
      <c r="C30" t="s">
        <v>171</v>
      </c>
    </row>
    <row r="33" spans="3:11" x14ac:dyDescent="0.35">
      <c r="J33">
        <v>1</v>
      </c>
      <c r="K33">
        <v>2</v>
      </c>
    </row>
    <row r="34" spans="3:11" x14ac:dyDescent="0.35">
      <c r="C34" s="49" t="s">
        <v>236</v>
      </c>
      <c r="D34" s="48" t="s">
        <v>234</v>
      </c>
      <c r="E34" s="48" t="s">
        <v>239</v>
      </c>
      <c r="F34" s="48" t="s">
        <v>237</v>
      </c>
      <c r="G34" s="48" t="s">
        <v>238</v>
      </c>
      <c r="H34" s="48" t="s">
        <v>240</v>
      </c>
      <c r="J34" t="s">
        <v>194</v>
      </c>
      <c r="K34" t="s">
        <v>210</v>
      </c>
    </row>
    <row r="35" spans="3:11" x14ac:dyDescent="0.35">
      <c r="C35" s="47" t="s">
        <v>235</v>
      </c>
      <c r="D35" s="48" t="s">
        <v>172</v>
      </c>
      <c r="E35" s="48" t="s">
        <v>244</v>
      </c>
      <c r="F35" s="48" t="s">
        <v>246</v>
      </c>
      <c r="G35" s="48" t="s">
        <v>248</v>
      </c>
      <c r="H35" s="48"/>
    </row>
    <row r="36" spans="3:11" x14ac:dyDescent="0.35">
      <c r="C36" s="47"/>
      <c r="D36" s="48" t="s">
        <v>241</v>
      </c>
      <c r="E36" s="48" t="s">
        <v>245</v>
      </c>
      <c r="F36" s="48" t="s">
        <v>247</v>
      </c>
      <c r="G36" s="48" t="s">
        <v>249</v>
      </c>
      <c r="H36" s="48"/>
    </row>
    <row r="37" spans="3:11" x14ac:dyDescent="0.35">
      <c r="C37" s="47"/>
      <c r="D37" s="48" t="s">
        <v>242</v>
      </c>
      <c r="E37" s="48"/>
      <c r="F37" s="48"/>
      <c r="G37" s="48" t="s">
        <v>250</v>
      </c>
      <c r="H37" s="48"/>
    </row>
    <row r="38" spans="3:11" x14ac:dyDescent="0.35">
      <c r="C38" s="47"/>
      <c r="D38" s="48" t="s">
        <v>243</v>
      </c>
      <c r="E38" s="48"/>
      <c r="F38" s="48"/>
      <c r="G38" s="48" t="s">
        <v>250</v>
      </c>
      <c r="H38" s="48"/>
    </row>
    <row r="39" spans="3:11" x14ac:dyDescent="0.35">
      <c r="C39" s="47"/>
      <c r="D39" s="48"/>
      <c r="E39" s="48"/>
      <c r="F39" s="48"/>
      <c r="G39" s="48" t="s">
        <v>251</v>
      </c>
      <c r="H39" s="48"/>
    </row>
    <row r="40" spans="3:11" x14ac:dyDescent="0.35">
      <c r="C40" s="47"/>
      <c r="D40" s="48"/>
      <c r="E40" s="48"/>
      <c r="F40" s="48"/>
      <c r="G40" s="48" t="s">
        <v>252</v>
      </c>
      <c r="H40" s="48"/>
    </row>
    <row r="41" spans="3:11" x14ac:dyDescent="0.35">
      <c r="C41" s="47"/>
      <c r="D41" s="48"/>
      <c r="E41" s="48"/>
      <c r="F41" s="48"/>
      <c r="G41" s="48"/>
      <c r="H41" s="48"/>
    </row>
    <row r="43" spans="3:11" x14ac:dyDescent="0.35">
      <c r="C43" t="s">
        <v>253</v>
      </c>
    </row>
    <row r="44" spans="3:11" x14ac:dyDescent="0.35">
      <c r="C44" t="s">
        <v>173</v>
      </c>
      <c r="D44" t="s">
        <v>254</v>
      </c>
    </row>
    <row r="45" spans="3:11" x14ac:dyDescent="0.35">
      <c r="D45" t="s">
        <v>255</v>
      </c>
    </row>
    <row r="46" spans="3:11" x14ac:dyDescent="0.35">
      <c r="D46" t="s">
        <v>256</v>
      </c>
    </row>
    <row r="47" spans="3:11" x14ac:dyDescent="0.35">
      <c r="D47" t="s">
        <v>257</v>
      </c>
    </row>
    <row r="48" spans="3:11" x14ac:dyDescent="0.35">
      <c r="D48" t="s">
        <v>258</v>
      </c>
    </row>
    <row r="49" spans="3:4" x14ac:dyDescent="0.35">
      <c r="C49" t="s">
        <v>179</v>
      </c>
      <c r="D49" t="s">
        <v>259</v>
      </c>
    </row>
    <row r="50" spans="3:4" x14ac:dyDescent="0.35">
      <c r="D50" t="s">
        <v>260</v>
      </c>
    </row>
    <row r="51" spans="3:4" x14ac:dyDescent="0.35">
      <c r="D51" t="s">
        <v>261</v>
      </c>
    </row>
    <row r="52" spans="3:4" x14ac:dyDescent="0.35">
      <c r="D52" t="s">
        <v>264</v>
      </c>
    </row>
    <row r="53" spans="3:4" x14ac:dyDescent="0.35">
      <c r="D53" t="s">
        <v>262</v>
      </c>
    </row>
    <row r="54" spans="3:4" x14ac:dyDescent="0.35">
      <c r="D54" t="s">
        <v>263</v>
      </c>
    </row>
    <row r="55" spans="3:4" x14ac:dyDescent="0.35">
      <c r="D55" t="s">
        <v>265</v>
      </c>
    </row>
    <row r="56" spans="3:4" x14ac:dyDescent="0.35">
      <c r="D56" t="s">
        <v>266</v>
      </c>
    </row>
    <row r="57" spans="3:4" x14ac:dyDescent="0.35">
      <c r="D57" t="s">
        <v>267</v>
      </c>
    </row>
    <row r="58" spans="3:4" x14ac:dyDescent="0.35">
      <c r="D58" t="s">
        <v>269</v>
      </c>
    </row>
    <row r="59" spans="3:4" x14ac:dyDescent="0.35">
      <c r="D59" t="s">
        <v>278</v>
      </c>
    </row>
    <row r="60" spans="3:4" x14ac:dyDescent="0.35">
      <c r="C60" t="s">
        <v>194</v>
      </c>
      <c r="D60" t="s">
        <v>270</v>
      </c>
    </row>
    <row r="61" spans="3:4" x14ac:dyDescent="0.35">
      <c r="D61" t="s">
        <v>268</v>
      </c>
    </row>
    <row r="62" spans="3:4" x14ac:dyDescent="0.35">
      <c r="D62" t="s">
        <v>258</v>
      </c>
    </row>
    <row r="63" spans="3:4" x14ac:dyDescent="0.35">
      <c r="D63" t="s">
        <v>271</v>
      </c>
    </row>
    <row r="64" spans="3:4" x14ac:dyDescent="0.35">
      <c r="D64" t="s">
        <v>272</v>
      </c>
    </row>
    <row r="65" spans="3:4" x14ac:dyDescent="0.35">
      <c r="D65" t="s">
        <v>273</v>
      </c>
    </row>
    <row r="66" spans="3:4" x14ac:dyDescent="0.35">
      <c r="D66" t="s">
        <v>274</v>
      </c>
    </row>
    <row r="67" spans="3:4" x14ac:dyDescent="0.35">
      <c r="C67" t="s">
        <v>189</v>
      </c>
      <c r="D67" t="s">
        <v>275</v>
      </c>
    </row>
    <row r="68" spans="3:4" x14ac:dyDescent="0.35">
      <c r="D68" t="s">
        <v>276</v>
      </c>
    </row>
    <row r="69" spans="3:4" x14ac:dyDescent="0.3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4.5" x14ac:dyDescent="0.35"/>
  <cols>
    <col min="2" max="2" width="3" bestFit="1" customWidth="1"/>
    <col min="3" max="3" width="130" customWidth="1"/>
  </cols>
  <sheetData>
    <row r="2" spans="2:3" ht="15" customHeight="1" x14ac:dyDescent="0.35">
      <c r="B2" s="50">
        <v>1</v>
      </c>
      <c r="C2" s="52" t="s">
        <v>283</v>
      </c>
    </row>
    <row r="3" spans="2:3" x14ac:dyDescent="0.35">
      <c r="B3" s="50">
        <v>2</v>
      </c>
      <c r="C3" s="51" t="s">
        <v>284</v>
      </c>
    </row>
    <row r="4" spans="2:3" x14ac:dyDescent="0.35">
      <c r="B4" s="50">
        <v>3</v>
      </c>
      <c r="C4" s="50" t="s">
        <v>285</v>
      </c>
    </row>
    <row r="5" spans="2:3" x14ac:dyDescent="0.35">
      <c r="B5" s="50">
        <v>4</v>
      </c>
      <c r="C5" s="51" t="s">
        <v>286</v>
      </c>
    </row>
    <row r="6" spans="2:3" x14ac:dyDescent="0.35">
      <c r="B6" s="50">
        <v>5</v>
      </c>
      <c r="C6" s="50" t="s">
        <v>287</v>
      </c>
    </row>
    <row r="7" spans="2:3" ht="29" x14ac:dyDescent="0.35">
      <c r="B7" s="50">
        <v>6</v>
      </c>
      <c r="C7" s="51" t="s">
        <v>288</v>
      </c>
    </row>
    <row r="8" spans="2:3" ht="72.5" x14ac:dyDescent="0.35">
      <c r="B8" s="50">
        <v>7</v>
      </c>
      <c r="C8" s="51" t="s">
        <v>289</v>
      </c>
    </row>
    <row r="9" spans="2:3" x14ac:dyDescent="0.35">
      <c r="B9" s="50">
        <v>8</v>
      </c>
      <c r="C9" s="50" t="s">
        <v>290</v>
      </c>
    </row>
    <row r="10" spans="2:3" x14ac:dyDescent="0.35">
      <c r="B10" s="50">
        <v>9</v>
      </c>
      <c r="C10" s="50" t="s">
        <v>291</v>
      </c>
    </row>
    <row r="11" spans="2:3" x14ac:dyDescent="0.35">
      <c r="B11" s="50">
        <v>10</v>
      </c>
      <c r="C11" s="50" t="s">
        <v>292</v>
      </c>
    </row>
    <row r="12" spans="2:3" x14ac:dyDescent="0.35">
      <c r="B12" s="50">
        <v>11</v>
      </c>
      <c r="C12" s="50" t="s">
        <v>293</v>
      </c>
    </row>
    <row r="13" spans="2:3" x14ac:dyDescent="0.35">
      <c r="B13" s="50">
        <v>12</v>
      </c>
      <c r="C13" s="50" t="s">
        <v>294</v>
      </c>
    </row>
    <row r="14" spans="2:3" x14ac:dyDescent="0.35">
      <c r="B14" s="50">
        <v>13</v>
      </c>
      <c r="C14" s="50" t="s">
        <v>295</v>
      </c>
    </row>
    <row r="15" spans="2:3" x14ac:dyDescent="0.35">
      <c r="B15" s="50">
        <v>14</v>
      </c>
      <c r="C15" s="50"/>
    </row>
    <row r="16" spans="2:3" x14ac:dyDescent="0.35">
      <c r="B16" s="50">
        <v>15</v>
      </c>
      <c r="C16" s="50"/>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2025-04-08T19:32:03Z</cp:lastPrinted>
  <dcterms:created xsi:type="dcterms:W3CDTF">2019-07-16T09:29:46Z</dcterms:created>
  <dcterms:modified xsi:type="dcterms:W3CDTF">2025-07-14T17:39:45Z</dcterms:modified>
</cp:coreProperties>
</file>