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July 2025\15-07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Report!$A$1:$H$450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18" i="1" l="1"/>
  <c r="C103" i="1"/>
  <c r="J108" i="1" l="1"/>
  <c r="J107" i="1"/>
  <c r="J106" i="1"/>
  <c r="J111" i="1" s="1"/>
  <c r="J105" i="1"/>
  <c r="J242" i="1" l="1"/>
  <c r="D270" i="1"/>
  <c r="F270" i="1" s="1"/>
  <c r="J270" i="1" s="1"/>
  <c r="D269" i="1"/>
  <c r="F269" i="1" s="1"/>
  <c r="J269" i="1" s="1"/>
  <c r="J268" i="1"/>
  <c r="D267" i="1"/>
  <c r="F267" i="1" s="1"/>
  <c r="J267" i="1" s="1"/>
  <c r="D266" i="1"/>
  <c r="F266" i="1" s="1"/>
  <c r="J266" i="1" s="1"/>
  <c r="A266" i="1"/>
  <c r="A267" i="1" s="1"/>
  <c r="A268" i="1" s="1"/>
  <c r="A269" i="1" s="1"/>
  <c r="A270" i="1" s="1"/>
  <c r="G265" i="1"/>
  <c r="G266" i="1" s="1"/>
  <c r="G267" i="1" s="1"/>
  <c r="G268" i="1" s="1"/>
  <c r="G270" i="1" s="1"/>
  <c r="D265" i="1"/>
  <c r="F265" i="1" s="1"/>
  <c r="J264" i="1"/>
  <c r="D259" i="1"/>
  <c r="F259" i="1" s="1"/>
  <c r="J259" i="1" s="1"/>
  <c r="D263" i="1"/>
  <c r="F263" i="1" s="1"/>
  <c r="J263" i="1" s="1"/>
  <c r="D262" i="1"/>
  <c r="F262" i="1" s="1"/>
  <c r="J262" i="1" s="1"/>
  <c r="J261" i="1"/>
  <c r="J260" i="1"/>
  <c r="A259" i="1"/>
  <c r="A260" i="1" s="1"/>
  <c r="A261" i="1" s="1"/>
  <c r="A262" i="1" s="1"/>
  <c r="A263" i="1" s="1"/>
  <c r="G258" i="1"/>
  <c r="G259" i="1" s="1"/>
  <c r="G260" i="1" s="1"/>
  <c r="G261" i="1" s="1"/>
  <c r="G263" i="1" s="1"/>
  <c r="D258" i="1"/>
  <c r="F258" i="1" s="1"/>
  <c r="J257" i="1"/>
  <c r="D256" i="1"/>
  <c r="F256" i="1" s="1"/>
  <c r="J256" i="1" s="1"/>
  <c r="D255" i="1"/>
  <c r="F255" i="1" s="1"/>
  <c r="J255" i="1" s="1"/>
  <c r="D254" i="1"/>
  <c r="F254" i="1" s="1"/>
  <c r="J254" i="1" s="1"/>
  <c r="D253" i="1"/>
  <c r="F253" i="1" s="1"/>
  <c r="J253" i="1" s="1"/>
  <c r="D252" i="1"/>
  <c r="F252" i="1" s="1"/>
  <c r="J252" i="1" s="1"/>
  <c r="D251" i="1"/>
  <c r="F251" i="1" s="1"/>
  <c r="A252" i="1"/>
  <c r="A253" i="1" s="1"/>
  <c r="A254" i="1" s="1"/>
  <c r="A255" i="1" s="1"/>
  <c r="A256" i="1" s="1"/>
  <c r="G251" i="1"/>
  <c r="G252" i="1" s="1"/>
  <c r="G253" i="1" s="1"/>
  <c r="G254" i="1" s="1"/>
  <c r="G256" i="1" s="1"/>
  <c r="J250" i="1"/>
  <c r="D248" i="1"/>
  <c r="F248" i="1" s="1"/>
  <c r="J248" i="1" s="1"/>
  <c r="D240" i="1"/>
  <c r="F240" i="1" s="1"/>
  <c r="J240" i="1" s="1"/>
  <c r="K203" i="1"/>
  <c r="I265" i="1" l="1"/>
  <c r="J265" i="1"/>
  <c r="J258" i="1"/>
  <c r="I258" i="1"/>
  <c r="J251" i="1"/>
  <c r="I251" i="1"/>
  <c r="I248" i="1"/>
  <c r="J173" i="1"/>
  <c r="J174" i="1"/>
  <c r="J178" i="1"/>
  <c r="J179" i="1"/>
  <c r="J181" i="1"/>
  <c r="J185" i="1"/>
  <c r="J188" i="1"/>
  <c r="J189" i="1"/>
  <c r="J190" i="1"/>
  <c r="J191" i="1"/>
  <c r="J198" i="1"/>
  <c r="J199" i="1"/>
  <c r="J208" i="1"/>
  <c r="J209" i="1"/>
  <c r="J212" i="1"/>
  <c r="J213" i="1"/>
  <c r="J218" i="1"/>
  <c r="J227" i="1"/>
  <c r="J228" i="1"/>
  <c r="J229" i="1"/>
  <c r="J230" i="1"/>
  <c r="J235" i="1"/>
  <c r="J243" i="1"/>
  <c r="J246" i="1"/>
  <c r="J247" i="1"/>
  <c r="D249" i="1" l="1"/>
  <c r="F249" i="1" s="1"/>
  <c r="D245" i="1"/>
  <c r="F245" i="1" s="1"/>
  <c r="J245" i="1" s="1"/>
  <c r="D244" i="1"/>
  <c r="F244" i="1" s="1"/>
  <c r="J244" i="1" s="1"/>
  <c r="D241" i="1"/>
  <c r="F241" i="1" s="1"/>
  <c r="J241" i="1" s="1"/>
  <c r="D239" i="1"/>
  <c r="F239" i="1" s="1"/>
  <c r="J239" i="1" s="1"/>
  <c r="D238" i="1"/>
  <c r="D237" i="1"/>
  <c r="F237" i="1" s="1"/>
  <c r="J237" i="1" s="1"/>
  <c r="D236" i="1"/>
  <c r="F236" i="1" s="1"/>
  <c r="D234" i="1"/>
  <c r="F234" i="1" s="1"/>
  <c r="J234" i="1" s="1"/>
  <c r="D233" i="1"/>
  <c r="F233" i="1" s="1"/>
  <c r="J233" i="1" s="1"/>
  <c r="D232" i="1"/>
  <c r="F232" i="1" s="1"/>
  <c r="J232" i="1" s="1"/>
  <c r="D231" i="1"/>
  <c r="D226" i="1"/>
  <c r="F226" i="1" s="1"/>
  <c r="J226" i="1" s="1"/>
  <c r="D225" i="1"/>
  <c r="F225" i="1" s="1"/>
  <c r="J225" i="1" s="1"/>
  <c r="D224" i="1"/>
  <c r="F224" i="1" s="1"/>
  <c r="J224" i="1" s="1"/>
  <c r="D223" i="1"/>
  <c r="F223" i="1" s="1"/>
  <c r="J223" i="1" s="1"/>
  <c r="D221" i="1"/>
  <c r="F221" i="1" s="1"/>
  <c r="J221" i="1" s="1"/>
  <c r="D220" i="1"/>
  <c r="F220" i="1" s="1"/>
  <c r="J220" i="1" s="1"/>
  <c r="D219" i="1"/>
  <c r="F219" i="1" s="1"/>
  <c r="J219" i="1" s="1"/>
  <c r="D217" i="1"/>
  <c r="F217" i="1" s="1"/>
  <c r="J217" i="1" s="1"/>
  <c r="D216" i="1"/>
  <c r="F216" i="1" s="1"/>
  <c r="J216" i="1" s="1"/>
  <c r="D215" i="1"/>
  <c r="D214" i="1"/>
  <c r="F214" i="1" s="1"/>
  <c r="J214" i="1" s="1"/>
  <c r="D211" i="1"/>
  <c r="F211" i="1" s="1"/>
  <c r="J211" i="1" s="1"/>
  <c r="D210" i="1"/>
  <c r="F210" i="1" s="1"/>
  <c r="J210" i="1" s="1"/>
  <c r="D207" i="1"/>
  <c r="F207" i="1" s="1"/>
  <c r="J207" i="1" s="1"/>
  <c r="D206" i="1"/>
  <c r="F206" i="1" s="1"/>
  <c r="J206" i="1" s="1"/>
  <c r="D205" i="1"/>
  <c r="F205" i="1" s="1"/>
  <c r="J205" i="1" s="1"/>
  <c r="D204" i="1"/>
  <c r="F204" i="1" s="1"/>
  <c r="J204" i="1" s="1"/>
  <c r="D203" i="1"/>
  <c r="F203" i="1" s="1"/>
  <c r="D202" i="1"/>
  <c r="F202" i="1" s="1"/>
  <c r="J202" i="1" s="1"/>
  <c r="D201" i="1"/>
  <c r="F201" i="1" s="1"/>
  <c r="J201" i="1" s="1"/>
  <c r="D200" i="1"/>
  <c r="F200" i="1" s="1"/>
  <c r="J200" i="1" s="1"/>
  <c r="D197" i="1"/>
  <c r="F197" i="1" s="1"/>
  <c r="J197" i="1" s="1"/>
  <c r="D196" i="1"/>
  <c r="F196" i="1" s="1"/>
  <c r="J196" i="1" s="1"/>
  <c r="D195" i="1"/>
  <c r="F195" i="1" s="1"/>
  <c r="J195" i="1" s="1"/>
  <c r="D194" i="1"/>
  <c r="F194" i="1" s="1"/>
  <c r="J194" i="1" s="1"/>
  <c r="D193" i="1"/>
  <c r="F193" i="1" s="1"/>
  <c r="J193" i="1" s="1"/>
  <c r="D192" i="1"/>
  <c r="D187" i="1"/>
  <c r="F187" i="1" s="1"/>
  <c r="J187" i="1" s="1"/>
  <c r="D186" i="1"/>
  <c r="F186" i="1" s="1"/>
  <c r="J186" i="1" s="1"/>
  <c r="D184" i="1"/>
  <c r="F184" i="1" s="1"/>
  <c r="J184" i="1" s="1"/>
  <c r="D183" i="1"/>
  <c r="F183" i="1" s="1"/>
  <c r="J183" i="1" s="1"/>
  <c r="D182" i="1"/>
  <c r="F182" i="1" s="1"/>
  <c r="J182" i="1" s="1"/>
  <c r="D180" i="1"/>
  <c r="F180" i="1" s="1"/>
  <c r="J180" i="1" s="1"/>
  <c r="D177" i="1"/>
  <c r="D176" i="1"/>
  <c r="F176" i="1" s="1"/>
  <c r="J176" i="1" s="1"/>
  <c r="D175" i="1"/>
  <c r="F175" i="1" s="1"/>
  <c r="J175" i="1" s="1"/>
  <c r="D172" i="1"/>
  <c r="F172" i="1" s="1"/>
  <c r="D171" i="1"/>
  <c r="F171" i="1" s="1"/>
  <c r="D170" i="1"/>
  <c r="F170" i="1" s="1"/>
  <c r="J170" i="1" s="1"/>
  <c r="D169" i="1"/>
  <c r="F169" i="1" s="1"/>
  <c r="D168" i="1"/>
  <c r="F168" i="1" s="1"/>
  <c r="D167" i="1"/>
  <c r="F167" i="1" s="1"/>
  <c r="J165" i="1"/>
  <c r="A245" i="1"/>
  <c r="A246" i="1" s="1"/>
  <c r="G244" i="1"/>
  <c r="G245" i="1" s="1"/>
  <c r="G246" i="1" s="1"/>
  <c r="G247" i="1" s="1"/>
  <c r="G249" i="1" s="1"/>
  <c r="F238" i="1"/>
  <c r="J238" i="1" s="1"/>
  <c r="A237" i="1"/>
  <c r="A238" i="1" s="1"/>
  <c r="G236" i="1"/>
  <c r="G237" i="1" s="1"/>
  <c r="G238" i="1" s="1"/>
  <c r="G239" i="1" s="1"/>
  <c r="G241" i="1" s="1"/>
  <c r="F276" i="1"/>
  <c r="D222" i="1"/>
  <c r="F222" i="1" s="1"/>
  <c r="J222" i="1" s="1"/>
  <c r="A220" i="1"/>
  <c r="A221" i="1" s="1"/>
  <c r="A222" i="1" s="1"/>
  <c r="A223" i="1" s="1"/>
  <c r="A224" i="1" s="1"/>
  <c r="A225" i="1" s="1"/>
  <c r="A226" i="1" s="1"/>
  <c r="G219" i="1"/>
  <c r="F215" i="1"/>
  <c r="J215" i="1" s="1"/>
  <c r="A211" i="1"/>
  <c r="A212" i="1" s="1"/>
  <c r="A213" i="1" s="1"/>
  <c r="A214" i="1" s="1"/>
  <c r="A215" i="1" s="1"/>
  <c r="A216" i="1" s="1"/>
  <c r="A217" i="1" s="1"/>
  <c r="G210" i="1"/>
  <c r="F192" i="1"/>
  <c r="A192" i="1"/>
  <c r="A193" i="1" s="1"/>
  <c r="A194" i="1" s="1"/>
  <c r="A195" i="1" s="1"/>
  <c r="A196" i="1" s="1"/>
  <c r="A197" i="1" s="1"/>
  <c r="A198" i="1" s="1"/>
  <c r="G191" i="1"/>
  <c r="A201" i="1"/>
  <c r="A202" i="1" s="1"/>
  <c r="A203" i="1" s="1"/>
  <c r="A204" i="1" s="1"/>
  <c r="A205" i="1" s="1"/>
  <c r="A206" i="1" s="1"/>
  <c r="A207" i="1" s="1"/>
  <c r="G200" i="1"/>
  <c r="A231" i="1"/>
  <c r="A232" i="1" s="1"/>
  <c r="A233" i="1" s="1"/>
  <c r="A234" i="1" s="1"/>
  <c r="G230" i="1"/>
  <c r="A183" i="1"/>
  <c r="A184" i="1" s="1"/>
  <c r="A185" i="1" s="1"/>
  <c r="A186" i="1" s="1"/>
  <c r="A187" i="1" s="1"/>
  <c r="G182" i="1"/>
  <c r="F177" i="1"/>
  <c r="J177" i="1" s="1"/>
  <c r="A176" i="1"/>
  <c r="A177" i="1" s="1"/>
  <c r="A178" i="1" s="1"/>
  <c r="A179" i="1" s="1"/>
  <c r="A180" i="1" s="1"/>
  <c r="G175" i="1"/>
  <c r="J169" i="1"/>
  <c r="J167" i="1"/>
  <c r="A168" i="1"/>
  <c r="A169" i="1" s="1"/>
  <c r="A170" i="1" s="1"/>
  <c r="A171" i="1" s="1"/>
  <c r="A172" i="1" s="1"/>
  <c r="G167" i="1"/>
  <c r="E148" i="1" l="1"/>
  <c r="E147" i="1"/>
  <c r="G148" i="1"/>
  <c r="E149" i="1"/>
  <c r="C149" i="1"/>
  <c r="G147" i="1"/>
  <c r="A247" i="1"/>
  <c r="A248" i="1" s="1"/>
  <c r="A249" i="1" s="1"/>
  <c r="A239" i="1"/>
  <c r="A240" i="1" s="1"/>
  <c r="A241" i="1" s="1"/>
  <c r="J172" i="1"/>
  <c r="I172" i="1"/>
  <c r="J249" i="1"/>
  <c r="I249" i="1"/>
  <c r="J236" i="1"/>
  <c r="I236" i="1"/>
  <c r="C148" i="1"/>
  <c r="J192" i="1"/>
  <c r="C147" i="1"/>
  <c r="J171" i="1"/>
  <c r="I171" i="1"/>
  <c r="F231" i="1"/>
  <c r="G149" i="1" s="1"/>
  <c r="J203" i="1"/>
  <c r="I203" i="1"/>
  <c r="C14" i="1"/>
  <c r="G150" i="1" l="1"/>
  <c r="E150" i="1"/>
  <c r="C150" i="1"/>
  <c r="J231" i="1"/>
  <c r="E29" i="1"/>
  <c r="F273" i="1" l="1"/>
  <c r="F274" i="1"/>
  <c r="F275" i="1"/>
  <c r="F272" i="1"/>
  <c r="A273" i="1"/>
  <c r="A274" i="1" s="1"/>
  <c r="A275" i="1" s="1"/>
  <c r="A276" i="1" s="1"/>
  <c r="G272" i="1"/>
  <c r="G273" i="1" s="1"/>
  <c r="G274" i="1" s="1"/>
  <c r="G275" i="1" s="1"/>
  <c r="G276" i="1" s="1"/>
  <c r="F139" i="1" l="1"/>
  <c r="F157" i="1" l="1"/>
  <c r="F158" i="1"/>
  <c r="F159" i="1"/>
  <c r="F156" i="1"/>
  <c r="B304" i="1" l="1"/>
  <c r="A296" i="1"/>
  <c r="A284" i="1"/>
  <c r="A290" i="1"/>
  <c r="F300" i="1" l="1"/>
  <c r="F299" i="1"/>
  <c r="F298" i="1"/>
  <c r="F297" i="1"/>
  <c r="F296" i="1"/>
  <c r="F294" i="1"/>
  <c r="F293" i="1"/>
  <c r="F292" i="1"/>
  <c r="F291" i="1"/>
  <c r="F290" i="1"/>
  <c r="F288" i="1"/>
  <c r="F287" i="1"/>
  <c r="F286" i="1"/>
  <c r="F285" i="1"/>
  <c r="F284" i="1"/>
  <c r="F282" i="1"/>
  <c r="F281" i="1"/>
  <c r="F279" i="1"/>
  <c r="F278" i="1"/>
  <c r="F280" i="1"/>
  <c r="A291" i="1"/>
  <c r="A285" i="1"/>
  <c r="A297" i="1"/>
  <c r="B305" i="1" l="1"/>
  <c r="A286" i="1"/>
  <c r="A292" i="1"/>
  <c r="A298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327" i="1"/>
  <c r="G296" i="1"/>
  <c r="G297" i="1" s="1"/>
  <c r="G298" i="1" s="1"/>
  <c r="G299" i="1" s="1"/>
  <c r="G300" i="1" s="1"/>
  <c r="G290" i="1"/>
  <c r="G291" i="1" s="1"/>
  <c r="G292" i="1" s="1"/>
  <c r="G293" i="1" s="1"/>
  <c r="G294" i="1" s="1"/>
  <c r="G284" i="1"/>
  <c r="G285" i="1" s="1"/>
  <c r="G286" i="1" s="1"/>
  <c r="G287" i="1" s="1"/>
  <c r="G288" i="1" s="1"/>
  <c r="G278" i="1"/>
  <c r="G279" i="1" s="1"/>
  <c r="G280" i="1" s="1"/>
  <c r="G281" i="1" s="1"/>
  <c r="G282" i="1" s="1"/>
  <c r="A278" i="1"/>
  <c r="A279" i="1" s="1"/>
  <c r="A280" i="1" s="1"/>
  <c r="A281" i="1" s="1"/>
  <c r="A282" i="1" s="1"/>
  <c r="A157" i="1"/>
  <c r="A158" i="1" s="1"/>
  <c r="A159" i="1" s="1"/>
  <c r="G156" i="1"/>
  <c r="G157" i="1" s="1"/>
  <c r="G158" i="1" s="1"/>
  <c r="G159" i="1" s="1"/>
  <c r="J123" i="1"/>
  <c r="J122" i="1"/>
  <c r="J121" i="1"/>
  <c r="J120" i="1"/>
  <c r="C112" i="1"/>
  <c r="J94" i="1"/>
  <c r="J93" i="1"/>
  <c r="J92" i="1"/>
  <c r="J91" i="1"/>
  <c r="J80" i="1"/>
  <c r="J79" i="1"/>
  <c r="J78" i="1"/>
  <c r="J77" i="1"/>
  <c r="C69" i="1"/>
  <c r="D56" i="1"/>
  <c r="C49" i="1"/>
  <c r="E42" i="1"/>
  <c r="E43" i="1" s="1"/>
  <c r="E26" i="1"/>
  <c r="E24" i="1"/>
  <c r="E7" i="1"/>
  <c r="E3" i="1"/>
  <c r="A299" i="1"/>
  <c r="H113" i="1"/>
  <c r="H70" i="1"/>
  <c r="H84" i="1"/>
  <c r="A293" i="1"/>
  <c r="A287" i="1"/>
  <c r="D63" i="1" l="1"/>
  <c r="D94" i="1"/>
  <c r="D95" i="1"/>
  <c r="D96" i="1"/>
  <c r="D90" i="1"/>
  <c r="D91" i="1"/>
  <c r="D92" i="1"/>
  <c r="D93" i="1"/>
  <c r="J83" i="1"/>
  <c r="J85" i="1" s="1"/>
  <c r="D82" i="1"/>
  <c r="D80" i="1"/>
  <c r="D79" i="1"/>
  <c r="D78" i="1"/>
  <c r="D76" i="1"/>
  <c r="J69" i="1"/>
  <c r="D81" i="1"/>
  <c r="D77" i="1"/>
  <c r="J73" i="1"/>
  <c r="J74" i="1"/>
  <c r="C73" i="1" s="1"/>
  <c r="J72" i="1"/>
  <c r="J75" i="1"/>
  <c r="J76" i="1" s="1"/>
  <c r="J81" i="1" s="1"/>
  <c r="J82" i="1" s="1"/>
  <c r="C74" i="1" s="1"/>
  <c r="J112" i="1"/>
  <c r="J114" i="1" s="1"/>
  <c r="J116" i="1"/>
  <c r="D125" i="1"/>
  <c r="D123" i="1"/>
  <c r="D121" i="1"/>
  <c r="D119" i="1"/>
  <c r="J117" i="1"/>
  <c r="C116" i="1" s="1"/>
  <c r="J115" i="1"/>
  <c r="J118" i="1"/>
  <c r="J119" i="1" s="1"/>
  <c r="D124" i="1"/>
  <c r="D122" i="1"/>
  <c r="D120" i="1"/>
  <c r="J89" i="1"/>
  <c r="J90" i="1" s="1"/>
  <c r="J95" i="1" s="1"/>
  <c r="J96" i="1" s="1"/>
  <c r="C88" i="1" s="1"/>
  <c r="J87" i="1"/>
  <c r="J88" i="1"/>
  <c r="C87" i="1" s="1"/>
  <c r="J86" i="1"/>
  <c r="A288" i="1"/>
  <c r="A300" i="1"/>
  <c r="A294" i="1"/>
  <c r="G87" i="1" l="1"/>
  <c r="J124" i="1"/>
  <c r="D118" i="1"/>
  <c r="D116" i="1"/>
  <c r="D89" i="1"/>
  <c r="D75" i="1"/>
  <c r="J71" i="1"/>
  <c r="E73" i="1"/>
  <c r="D74" i="1"/>
  <c r="G73" i="1"/>
  <c r="D67" i="1" s="1"/>
  <c r="D68" i="1" s="1"/>
  <c r="D73" i="1"/>
  <c r="E87" i="1"/>
  <c r="D88" i="1"/>
  <c r="D87" i="1"/>
  <c r="J84" i="1" s="1"/>
  <c r="H98" i="1"/>
  <c r="D109" i="1" l="1"/>
  <c r="D107" i="1"/>
  <c r="D105" i="1"/>
  <c r="D103" i="1"/>
  <c r="J101" i="1"/>
  <c r="J97" i="1"/>
  <c r="J99" i="1" s="1"/>
  <c r="J102" i="1"/>
  <c r="C101" i="1" s="1"/>
  <c r="D101" i="1" s="1"/>
  <c r="J100" i="1"/>
  <c r="D110" i="1"/>
  <c r="D108" i="1"/>
  <c r="D106" i="1"/>
  <c r="D104" i="1"/>
  <c r="J103" i="1"/>
  <c r="J104" i="1" s="1"/>
  <c r="J109" i="1" s="1"/>
  <c r="J110" i="1" s="1"/>
  <c r="C102" i="1" s="1"/>
  <c r="J125" i="1"/>
  <c r="C117" i="1" s="1"/>
  <c r="I70" i="1"/>
  <c r="J70" i="1"/>
  <c r="I84" i="1"/>
  <c r="F68" i="1"/>
  <c r="E101" i="1" l="1"/>
  <c r="E111" i="1" s="1"/>
  <c r="D102" i="1"/>
  <c r="I98" i="1" s="1"/>
  <c r="G101" i="1"/>
  <c r="H111" i="1" s="1"/>
  <c r="J98" i="1"/>
  <c r="E116" i="1"/>
  <c r="G116" i="1"/>
  <c r="D117" i="1"/>
  <c r="I113" i="1" s="1"/>
  <c r="I114" i="1" s="1"/>
  <c r="J113" i="1"/>
  <c r="I71" i="1"/>
  <c r="I69" i="1" s="1"/>
  <c r="C71" i="1" s="1"/>
  <c r="I85" i="1"/>
  <c r="I83" i="1" s="1"/>
  <c r="C85" i="1" s="1"/>
  <c r="I99" i="1" l="1"/>
  <c r="I97" i="1" s="1"/>
  <c r="C99" i="1" s="1"/>
  <c r="I112" i="1"/>
  <c r="C114" i="1" s="1"/>
</calcChain>
</file>

<file path=xl/sharedStrings.xml><?xml version="1.0" encoding="utf-8"?>
<sst xmlns="http://schemas.openxmlformats.org/spreadsheetml/2006/main" count="435" uniqueCount="255">
  <si>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</si>
  <si>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</si>
  <si>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</si>
  <si>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</si>
  <si>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</si>
  <si>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</si>
  <si>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</si>
  <si>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</si>
  <si>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</si>
  <si>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</si>
  <si>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</si>
  <si>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</si>
  <si>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</si>
  <si>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</si>
  <si>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</si>
  <si>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</si>
  <si>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</si>
  <si>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</si>
  <si>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</si>
  <si>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</si>
  <si>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</si>
  <si>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</si>
  <si>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</si>
  <si>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</si>
  <si>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</si>
  <si>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</si>
  <si>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</si>
  <si>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</si>
  <si>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</si>
  <si>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</si>
  <si>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</si>
  <si>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</si>
  <si>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</si>
  <si>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</si>
  <si>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</si>
  <si>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</si>
  <si>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</si>
  <si>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</si>
  <si>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</si>
  <si>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</si>
  <si>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</si>
  <si>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</si>
  <si>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</si>
  <si>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</si>
  <si>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</si>
  <si>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</si>
  <si>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</si>
  <si>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</si>
  <si>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</si>
  <si>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</si>
  <si>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</si>
  <si>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</si>
  <si>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</si>
  <si>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</si>
  <si>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</si>
  <si>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</si>
  <si>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</si>
  <si>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</si>
  <si>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</si>
  <si>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</si>
  <si>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</si>
  <si>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</si>
  <si>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</si>
  <si>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</si>
  <si>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</si>
  <si>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</si>
  <si>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</si>
  <si>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</si>
  <si>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</si>
  <si>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</si>
  <si>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</si>
  <si>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</si>
  <si>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</si>
  <si>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</si>
  <si>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</si>
  <si>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</si>
  <si>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</si>
  <si>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</si>
  <si>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</si>
  <si>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</si>
  <si>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</si>
  <si>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</si>
  <si>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</si>
  <si>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</si>
  <si>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</si>
  <si>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</si>
  <si>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</si>
  <si>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</si>
  <si>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</si>
  <si>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</si>
  <si>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</si>
  <si>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</si>
  <si>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</si>
  <si>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</si>
  <si>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</si>
  <si>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</si>
  <si>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</si>
  <si>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</si>
  <si>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</si>
  <si>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</si>
  <si>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</si>
  <si>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</si>
  <si>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</si>
  <si>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</si>
  <si>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</si>
  <si>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</si>
  <si>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</si>
  <si>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</si>
  <si>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</si>
  <si>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</si>
  <si>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</si>
  <si>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</si>
  <si>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</si>
  <si>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</si>
  <si>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</si>
  <si>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</si>
  <si>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</si>
  <si>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</si>
  <si>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</si>
  <si>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</si>
  <si>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</si>
  <si>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</si>
  <si>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</si>
  <si>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</si>
  <si>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2nd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</si>
  <si>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</si>
  <si>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</si>
  <si>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</si>
  <si>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</si>
  <si>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</si>
  <si>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</si>
  <si>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</si>
  <si>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</si>
  <si>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</si>
  <si>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</si>
  <si>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</si>
  <si>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</si>
  <si>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</si>
  <si>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</si>
  <si>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</si>
  <si>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</si>
  <si>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</si>
  <si>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</si>
  <si>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</si>
  <si>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</si>
  <si>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</si>
  <si>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</si>
  <si>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</si>
  <si>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</si>
  <si>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</si>
  <si>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</si>
  <si>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</si>
  <si>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</si>
  <si>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</si>
  <si>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2nd &amp; 5th Floor</t>
  </si>
  <si>
    <t>Basement 1</t>
  </si>
  <si>
    <t>Plinth in process</t>
  </si>
  <si>
    <t xml:space="preserve">Violations Observed if any : </t>
  </si>
  <si>
    <t>Saleable area Loading :</t>
  </si>
  <si>
    <t>3rd, 5th, 7th, 9th, 11th, 13th, 15th Floor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</si>
  <si>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</si>
  <si>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</si>
  <si>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</si>
  <si>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</si>
  <si>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</si>
  <si>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</si>
  <si>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</si>
  <si>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</si>
  <si>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</si>
  <si>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</si>
  <si>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</si>
  <si>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</si>
  <si>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</si>
  <si>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</si>
  <si>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</si>
  <si>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</si>
  <si>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</si>
  <si>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</si>
  <si>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>Axis Goregaon</t>
  </si>
  <si>
    <t>Shraddha Landmark Private Limited</t>
  </si>
  <si>
    <t>Shraddha Vardaan</t>
  </si>
  <si>
    <t>Approved Plans, CC, Sale Plans</t>
  </si>
  <si>
    <t>P51800028936</t>
  </si>
  <si>
    <t>Subhash Road</t>
  </si>
  <si>
    <t>Punjabi Colony</t>
  </si>
  <si>
    <t>Bhandup West</t>
  </si>
  <si>
    <t>Kanjur</t>
  </si>
  <si>
    <t>Mumbai</t>
  </si>
  <si>
    <t>Kurla</t>
  </si>
  <si>
    <t>Janteshwar Society</t>
  </si>
  <si>
    <t>CTS No</t>
  </si>
  <si>
    <t>1.1KM from Bhandup Railway Station</t>
  </si>
  <si>
    <t>https://goo.gl/maps/6tRoVKJkjoGfxY2WA</t>
  </si>
  <si>
    <t>S/PVT/0121/20150107/AP</t>
  </si>
  <si>
    <t>Building No.3 A Wing = G + 2P + 1st to 37th Floor</t>
  </si>
  <si>
    <t>Building No.3 B Wing = G + 2P + 1st to 37th Floor</t>
  </si>
  <si>
    <t>As per RERA - 31/12/2027</t>
  </si>
  <si>
    <t>Wing A</t>
  </si>
  <si>
    <t>Ground Floor &amp; 1st Podium Floor For Parking</t>
  </si>
  <si>
    <t>1st to 5th, 7th to 12th, 14th to 19th, 21st to 26th, 28th to 33rd,
35th to 37th Floor For Residential</t>
  </si>
  <si>
    <t>6th, 13th, 20th &amp; 27th Floor (Part Refuge Area)</t>
  </si>
  <si>
    <t>Refuge Area</t>
  </si>
  <si>
    <t>34th Floor (Part Refuge Area)</t>
  </si>
  <si>
    <t>Service Floor Above 22nd floor</t>
  </si>
  <si>
    <t>Society Office</t>
  </si>
  <si>
    <t>2nd Podium Floor For Part Residential &amp; Part Amenities</t>
  </si>
  <si>
    <t>Wing C</t>
  </si>
  <si>
    <t>Wing B</t>
  </si>
  <si>
    <t>6th, 13th &amp; 20th Floor (Part Refuge Area)</t>
  </si>
  <si>
    <t>Fitness Center, Mandir, Terrace Lawn, Kids Play Area, Indoor Games</t>
  </si>
  <si>
    <t>373A/37F(Pt), 373A/37G(Pt), 374, 375,…., 401, 401/1 to 4, 402, 402/1 to 4 &amp; Existing Building Name - Janta Market SRA chs Ltd and Janteshwar SRA chs Ltd</t>
  </si>
  <si>
    <t>Wing A, B &amp; C</t>
  </si>
  <si>
    <t>Mateshwari Mandir/Hall</t>
  </si>
  <si>
    <t>Prasad CHS</t>
  </si>
  <si>
    <t>Gagangiri CHS</t>
  </si>
  <si>
    <t>3 Wings</t>
  </si>
  <si>
    <t>Slum Rehabilitation Authority (SRA)</t>
  </si>
  <si>
    <t>We considered Gross carpet area = Net carpet.</t>
  </si>
  <si>
    <t>Layout Plan :</t>
  </si>
  <si>
    <t>Building No.3 C Wing = G + 2P + 1st to 37th Floor</t>
  </si>
  <si>
    <t>rate sheet</t>
  </si>
  <si>
    <t>builder</t>
  </si>
  <si>
    <t>CA - 20000</t>
  </si>
  <si>
    <t>visitor</t>
  </si>
  <si>
    <t>market</t>
  </si>
  <si>
    <t>Latitude, Longitude</t>
  </si>
  <si>
    <t>Nainesh Tambe</t>
  </si>
  <si>
    <t>13400 to 14500</t>
  </si>
  <si>
    <t xml:space="preserve">Sanket </t>
  </si>
  <si>
    <t>Verbal</t>
  </si>
  <si>
    <t>Office No. 1031, Wing J, Akshar Business Park, Plot No. 03 Sector 25, Near APMC Market, 
Vashi, Navi Mumbai, Maharashtra 400703 TEL: 022-46090378/79/8
E mail : vsjcapf@gmail.com. Web site : www.vsjadon.com</t>
  </si>
  <si>
    <t>S/PVT/0120/20150107/AP</t>
  </si>
  <si>
    <t>Building No.3 (A, B &amp; C Wing) = G + 2P + 1st to 37th Floor</t>
  </si>
  <si>
    <t>Ground Floor, 1st &amp; 2nd Podium Floor For Parking &amp; Meter Room</t>
  </si>
  <si>
    <t>Fitness Center</t>
  </si>
  <si>
    <t>1st to 5th, 7th to 12th, 14th to 19th &amp; 21st to 25th Floor For Residential</t>
  </si>
  <si>
    <t>26th, 28th to 33rd, 35th to 37th Floor</t>
  </si>
  <si>
    <t>27th Floor (Part Refuge Area)</t>
  </si>
  <si>
    <t>Sale Building No. 3</t>
  </si>
  <si>
    <t>Sale Building No.3</t>
  </si>
  <si>
    <t>Flats - 723</t>
  </si>
  <si>
    <t>We have updated Approved Layout plan, Floor plan &amp; CC for Wing A, B &amp; C (on 19/08/2023).</t>
  </si>
  <si>
    <t>Miss. Rupali Joshi 7304984349</t>
  </si>
  <si>
    <t>Average Part I &amp; II
Building No.3 B Wing</t>
  </si>
  <si>
    <t xml:space="preserve">Part II (Flat No. 5, 6, 7 &amp; 8) Building No.3 B Wing = G + 2P + 1st to 37th Floor
</t>
  </si>
  <si>
    <t>Part I (Flat No. 1, 2, 3 &amp; 4) Building No.3 B Wing = G + 2P + 1st to 37th Floor</t>
  </si>
  <si>
    <t>This C.C  is further granted for brick work for 8th to 14th upper floors of wing 'C' of sale building No-3 as per approved amended plans dated 12/08/2022</t>
  </si>
  <si>
    <t>This CC is further extended from 15th floor to 37th upper floors including LMR &amp; OHWT of wing A and from Gr + 1st &amp; 2nd Podium floor + 1st to 13th upper floors balance portion marked as A-B-C-D-E-F-G &amp; 14th to 37th floor upper floors including LMR &amp; OHWT of wing B of sale Building No-3 as per approved amended plans dated 12/08/2022.</t>
  </si>
  <si>
    <t>We have updated Approved CC for Wing C (on 23/04/2024).</t>
  </si>
  <si>
    <t>19.144147,72.930748</t>
  </si>
  <si>
    <t>Construction work goes beyond approved CC permission for Wing C. Please provide revised approved CC.</t>
  </si>
  <si>
    <t>Pooja</t>
  </si>
  <si>
    <t>As per the visit dated 03/01/2024 and the builder letter, we have abserved that Wing B construction is done in parts.</t>
  </si>
  <si>
    <t>Building No.3 Wing A, B &amp; C = Construction work is in process at the time of Visit. Internal photographs was not allowed.</t>
  </si>
  <si>
    <t>Mr Ajit jadhav (Site engineer) 9664360712 &amp; Rupali 7304984349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</si>
</sst>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29">
    <xf numFmtId="0" fontId="0" fillId="0" borderId="0" xfId="0"/>
    <xf numFmtId="0" fontId="5" fillId="0" borderId="0" xfId="4" applyFont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Fill="1" applyBorder="1" applyProtection="1">
      <protection hidden="1"/>
    </xf>
    <xf numFmtId="0" fontId="17" fillId="0" borderId="11" xfId="0" applyFont="1" applyFill="1" applyBorder="1" applyProtection="1">
      <protection hidden="1"/>
    </xf>
    <xf numFmtId="0" fontId="12" fillId="0" borderId="4" xfId="1" applyFont="1" applyFill="1" applyBorder="1" applyAlignment="1" applyProtection="1">
      <alignment horizontal="center" vertical="top"/>
      <protection locked="0"/>
    </xf>
    <xf numFmtId="0" fontId="12" fillId="0" borderId="5" xfId="1" applyFont="1" applyFill="1" applyBorder="1" applyAlignment="1" applyProtection="1">
      <alignment horizontal="center" vertical="top"/>
      <protection locked="0"/>
    </xf>
    <xf numFmtId="0" fontId="6" fillId="0" borderId="1" xfId="1" applyFont="1" applyFill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 applyFill="1"/>
    <xf numFmtId="0" fontId="15" fillId="0" borderId="0" xfId="1" applyFont="1" applyFill="1"/>
    <xf numFmtId="0" fontId="12" fillId="0" borderId="0" xfId="1" applyFont="1" applyFill="1"/>
    <xf numFmtId="1" fontId="7" fillId="0" borderId="0" xfId="1" applyNumberFormat="1" applyFont="1" applyFill="1"/>
    <xf numFmtId="0" fontId="7" fillId="0" borderId="0" xfId="1" applyNumberFormat="1" applyFont="1" applyFill="1"/>
    <xf numFmtId="14" fontId="7" fillId="0" borderId="0" xfId="1" applyNumberFormat="1" applyFont="1" applyFill="1"/>
    <xf numFmtId="0" fontId="7" fillId="0" borderId="0" xfId="1" applyFont="1" applyFill="1" applyProtection="1">
      <protection hidden="1"/>
    </xf>
    <xf numFmtId="0" fontId="23" fillId="0" borderId="0" xfId="1" applyFont="1" applyFill="1"/>
    <xf numFmtId="0" fontId="7" fillId="0" borderId="10" xfId="1" applyFont="1" applyFill="1" applyBorder="1"/>
    <xf numFmtId="0" fontId="17" fillId="0" borderId="10" xfId="0" applyNumberFormat="1" applyFont="1" applyFill="1" applyBorder="1" applyProtection="1">
      <protection hidden="1"/>
    </xf>
    <xf numFmtId="1" fontId="0" fillId="0" borderId="10" xfId="0" applyNumberFormat="1" applyFill="1" applyBorder="1"/>
    <xf numFmtId="1" fontId="0" fillId="0" borderId="10" xfId="0" applyNumberFormat="1" applyFill="1" applyBorder="1" applyAlignment="1">
      <alignment horizontal="right"/>
    </xf>
    <xf numFmtId="1" fontId="0" fillId="0" borderId="12" xfId="0" applyNumberFormat="1" applyFill="1" applyBorder="1"/>
    <xf numFmtId="0" fontId="16" fillId="0" borderId="0" xfId="1" applyFont="1" applyFill="1"/>
    <xf numFmtId="0" fontId="6" fillId="0" borderId="0" xfId="2" applyFont="1" applyFill="1"/>
    <xf numFmtId="0" fontId="7" fillId="0" borderId="0" xfId="0" applyFont="1" applyFill="1" applyAlignment="1">
      <alignment horizontal="center" vertical="center"/>
    </xf>
    <xf numFmtId="1" fontId="7" fillId="0" borderId="0" xfId="1" applyNumberFormat="1" applyFont="1" applyFill="1" applyAlignment="1">
      <alignment horizontal="center" vertical="center"/>
    </xf>
    <xf numFmtId="0" fontId="7" fillId="0" borderId="0" xfId="1" applyNumberFormat="1" applyFont="1" applyFill="1" applyAlignment="1">
      <alignment horizontal="center" vertical="center"/>
    </xf>
    <xf numFmtId="0" fontId="8" fillId="0" borderId="0" xfId="1" applyFont="1" applyFill="1" applyBorder="1" applyAlignment="1" applyProtection="1">
      <alignment vertical="top"/>
      <protection locked="0"/>
    </xf>
    <xf numFmtId="0" fontId="8" fillId="0" borderId="0" xfId="1" applyFont="1" applyFill="1" applyBorder="1" applyAlignment="1" applyProtection="1">
      <alignment vertical="top" wrapText="1"/>
      <protection locked="0"/>
    </xf>
    <xf numFmtId="0" fontId="7" fillId="0" borderId="0" xfId="1" applyFont="1" applyFill="1" applyProtection="1">
      <protection locked="0"/>
    </xf>
    <xf numFmtId="0" fontId="10" fillId="0" borderId="0" xfId="1" applyFont="1" applyFill="1" applyProtection="1"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3" xfId="1" applyNumberFormat="1" applyFont="1" applyFill="1" applyBorder="1" applyAlignment="1" applyProtection="1">
      <alignment horizontal="center" vertical="top" wrapText="1"/>
      <protection locked="0"/>
    </xf>
    <xf numFmtId="0" fontId="7" fillId="0" borderId="1" xfId="1" applyFont="1" applyFill="1" applyBorder="1" applyAlignment="1" applyProtection="1">
      <alignment horizontal="center" vertical="top" wrapText="1"/>
      <protection locked="0"/>
    </xf>
    <xf numFmtId="0" fontId="7" fillId="0" borderId="7" xfId="1" applyFont="1" applyFill="1" applyBorder="1" applyAlignment="1" applyProtection="1">
      <alignment horizontal="center" vertical="top" wrapText="1"/>
      <protection locked="0"/>
    </xf>
    <xf numFmtId="0" fontId="8" fillId="0" borderId="1" xfId="1" applyFont="1" applyFill="1" applyBorder="1" applyAlignment="1" applyProtection="1">
      <alignment vertical="top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>
      <alignment horizontal="center" vertical="center"/>
    </xf>
    <xf numFmtId="0" fontId="24" fillId="2" borderId="30" xfId="0" applyFont="1" applyFill="1" applyBorder="1"/>
    <xf numFmtId="0" fontId="25" fillId="0" borderId="31" xfId="0" applyFont="1" applyFill="1" applyBorder="1"/>
    <xf numFmtId="0" fontId="25" fillId="0" borderId="1" xfId="0" applyFont="1" applyFill="1" applyBorder="1"/>
    <xf numFmtId="0" fontId="25" fillId="0" borderId="5" xfId="0" applyFont="1" applyFill="1" applyBorder="1"/>
    <xf numFmtId="0" fontId="7" fillId="0" borderId="0" xfId="1" applyFont="1" applyFill="1" applyAlignment="1">
      <alignment horizontal="center" vertical="center"/>
    </xf>
    <xf numFmtId="0" fontId="12" fillId="0" borderId="1" xfId="1" applyFont="1" applyFill="1" applyBorder="1" applyAlignment="1" applyProtection="1">
      <alignment horizontal="center" vertical="top"/>
      <protection locked="0"/>
    </xf>
    <xf numFmtId="1" fontId="7" fillId="0" borderId="1" xfId="1" applyNumberFormat="1" applyFont="1" applyFill="1" applyBorder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168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1" xfId="1" applyNumberFormat="1" applyFont="1" applyFill="1" applyBorder="1" applyAlignment="1">
      <alignment horizontal="center" vertical="center"/>
    </xf>
    <xf numFmtId="1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1" xfId="1" applyNumberFormat="1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>
      <alignment horizontal="center" vertical="center"/>
    </xf>
    <xf numFmtId="0" fontId="7" fillId="2" borderId="0" xfId="1" applyFont="1" applyFill="1"/>
    <xf numFmtId="14" fontId="7" fillId="2" borderId="0" xfId="1" applyNumberFormat="1" applyFont="1" applyFill="1"/>
    <xf numFmtId="1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17" fillId="0" borderId="0" xfId="0" applyFont="1" applyFill="1" applyBorder="1" applyAlignment="1" applyProtection="1">
      <alignment vertical="center"/>
      <protection hidden="1"/>
    </xf>
    <xf numFmtId="1" fontId="0" fillId="0" borderId="10" xfId="0" applyNumberFormat="1" applyFill="1" applyBorder="1" applyAlignment="1">
      <alignment vertical="center"/>
    </xf>
    <xf numFmtId="0" fontId="7" fillId="0" borderId="0" xfId="1" applyFont="1" applyFill="1" applyAlignment="1">
      <alignment vertical="center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24" fillId="2" borderId="15" xfId="0" applyFont="1" applyFill="1" applyBorder="1"/>
    <xf numFmtId="0" fontId="25" fillId="0" borderId="9" xfId="0" applyFont="1" applyFill="1" applyBorder="1"/>
    <xf numFmtId="9" fontId="7" fillId="3" borderId="16" xfId="8" applyFont="1" applyFill="1" applyBorder="1" applyAlignment="1" applyProtection="1">
      <alignment horizontal="center" vertical="center" wrapText="1"/>
      <protection locked="0"/>
    </xf>
    <xf numFmtId="1" fontId="8" fillId="0" borderId="8" xfId="0" applyNumberFormat="1" applyFont="1" applyFill="1" applyBorder="1" applyAlignment="1" applyProtection="1">
      <alignment vertical="top" wrapText="1"/>
      <protection locked="0"/>
    </xf>
    <xf numFmtId="1" fontId="8" fillId="0" borderId="21" xfId="0" applyNumberFormat="1" applyFont="1" applyFill="1" applyBorder="1" applyAlignment="1" applyProtection="1">
      <alignment vertical="top" wrapText="1"/>
      <protection locked="0"/>
    </xf>
    <xf numFmtId="1" fontId="8" fillId="0" borderId="9" xfId="0" applyNumberFormat="1" applyFont="1" applyFill="1" applyBorder="1" applyAlignment="1" applyProtection="1">
      <alignment vertical="top" wrapText="1"/>
      <protection locked="0"/>
    </xf>
    <xf numFmtId="1" fontId="12" fillId="0" borderId="17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18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25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26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19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20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>
      <alignment horizontal="center" vertical="center"/>
    </xf>
    <xf numFmtId="168" fontId="12" fillId="0" borderId="17" xfId="1" applyNumberFormat="1" applyFont="1" applyFill="1" applyBorder="1" applyAlignment="1" applyProtection="1">
      <alignment horizontal="center" vertical="center" wrapText="1"/>
      <protection locked="0"/>
    </xf>
    <xf numFmtId="168" fontId="12" fillId="0" borderId="24" xfId="1" applyNumberFormat="1" applyFont="1" applyFill="1" applyBorder="1" applyAlignment="1" applyProtection="1">
      <alignment horizontal="center" vertical="center" wrapText="1"/>
      <protection locked="0"/>
    </xf>
    <xf numFmtId="168" fontId="12" fillId="0" borderId="18" xfId="1" applyNumberFormat="1" applyFont="1" applyFill="1" applyBorder="1" applyAlignment="1" applyProtection="1">
      <alignment horizontal="center" vertical="center" wrapText="1"/>
      <protection locked="0"/>
    </xf>
    <xf numFmtId="168" fontId="12" fillId="0" borderId="19" xfId="1" applyNumberFormat="1" applyFont="1" applyFill="1" applyBorder="1" applyAlignment="1" applyProtection="1">
      <alignment horizontal="center" vertical="center" wrapText="1"/>
      <protection locked="0"/>
    </xf>
    <xf numFmtId="168" fontId="12" fillId="0" borderId="2" xfId="1" applyNumberFormat="1" applyFont="1" applyFill="1" applyBorder="1" applyAlignment="1" applyProtection="1">
      <alignment horizontal="center" vertical="center" wrapText="1"/>
      <protection locked="0"/>
    </xf>
    <xf numFmtId="168" fontId="12" fillId="0" borderId="20" xfId="1" applyNumberFormat="1" applyFont="1" applyFill="1" applyBorder="1" applyAlignment="1" applyProtection="1">
      <alignment horizontal="center" vertical="center" wrapText="1"/>
      <protection locked="0"/>
    </xf>
    <xf numFmtId="1" fontId="13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13" fillId="0" borderId="21" xfId="1" applyNumberFormat="1" applyFont="1" applyFill="1" applyBorder="1" applyAlignment="1" applyProtection="1">
      <alignment horizontal="center" vertical="center" wrapText="1"/>
      <protection locked="0"/>
    </xf>
    <xf numFmtId="1" fontId="13" fillId="0" borderId="9" xfId="1" applyNumberFormat="1" applyFont="1" applyFill="1" applyBorder="1" applyAlignment="1" applyProtection="1">
      <alignment horizontal="center" vertical="center" wrapText="1"/>
      <protection locked="0"/>
    </xf>
    <xf numFmtId="168" fontId="12" fillId="0" borderId="8" xfId="1" applyNumberFormat="1" applyFont="1" applyFill="1" applyBorder="1" applyAlignment="1" applyProtection="1">
      <alignment horizontal="center" vertical="center" wrapText="1"/>
      <protection locked="0"/>
    </xf>
    <xf numFmtId="168" fontId="12" fillId="0" borderId="21" xfId="1" applyNumberFormat="1" applyFont="1" applyFill="1" applyBorder="1" applyAlignment="1" applyProtection="1">
      <alignment horizontal="center" vertical="center" wrapText="1"/>
      <protection locked="0"/>
    </xf>
    <xf numFmtId="168" fontId="12" fillId="0" borderId="9" xfId="1" applyNumberFormat="1" applyFont="1" applyFill="1" applyBorder="1" applyAlignment="1" applyProtection="1">
      <alignment horizontal="center" vertical="center" wrapText="1"/>
      <protection locked="0"/>
    </xf>
    <xf numFmtId="168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13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" applyFont="1" applyFill="1" applyBorder="1" applyAlignment="1" applyProtection="1">
      <alignment horizontal="left" vertical="top"/>
      <protection locked="0"/>
    </xf>
    <xf numFmtId="1" fontId="8" fillId="0" borderId="33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34" xfId="0" applyNumberFormat="1" applyFont="1" applyFill="1" applyBorder="1" applyAlignment="1" applyProtection="1">
      <alignment horizontal="center" vertical="center" wrapText="1"/>
      <protection locked="0"/>
    </xf>
    <xf numFmtId="1" fontId="10" fillId="0" borderId="34" xfId="0" applyNumberFormat="1" applyFont="1" applyFill="1" applyBorder="1" applyAlignment="1" applyProtection="1">
      <alignment horizontal="center" vertical="top" wrapText="1"/>
      <protection locked="0"/>
    </xf>
    <xf numFmtId="0" fontId="10" fillId="0" borderId="34" xfId="0" applyFont="1" applyFill="1" applyBorder="1" applyAlignment="1" applyProtection="1">
      <alignment horizontal="center" vertical="top" wrapText="1"/>
      <protection locked="0"/>
    </xf>
    <xf numFmtId="0" fontId="7" fillId="0" borderId="3" xfId="0" applyFont="1" applyFill="1" applyBorder="1" applyAlignment="1" applyProtection="1">
      <alignment horizontal="center" vertical="center"/>
      <protection locked="0"/>
    </xf>
    <xf numFmtId="1" fontId="7" fillId="0" borderId="3" xfId="0" applyNumberFormat="1" applyFont="1" applyFill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7" xfId="1" applyNumberFormat="1" applyFont="1" applyFill="1" applyBorder="1" applyAlignment="1" applyProtection="1">
      <alignment horizontal="center" vertical="top" wrapText="1"/>
      <protection locked="0"/>
    </xf>
    <xf numFmtId="1" fontId="8" fillId="0" borderId="19" xfId="1" applyNumberFormat="1" applyFont="1" applyFill="1" applyBorder="1" applyAlignment="1" applyProtection="1">
      <alignment horizontal="center" vertical="top" wrapText="1"/>
      <protection locked="0"/>
    </xf>
    <xf numFmtId="0" fontId="10" fillId="0" borderId="35" xfId="0" applyFont="1" applyFill="1" applyBorder="1" applyAlignment="1" applyProtection="1">
      <alignment horizontal="center" vertical="top" wrapText="1"/>
      <protection locked="0"/>
    </xf>
    <xf numFmtId="0" fontId="7" fillId="0" borderId="1" xfId="0" applyFont="1" applyFill="1" applyBorder="1" applyAlignment="1" applyProtection="1">
      <alignment horizontal="center" vertical="top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0" fontId="12" fillId="0" borderId="8" xfId="1" applyFont="1" applyFill="1" applyBorder="1" applyAlignment="1" applyProtection="1">
      <alignment horizontal="left" vertical="top" wrapText="1"/>
      <protection locked="0"/>
    </xf>
    <xf numFmtId="0" fontId="12" fillId="0" borderId="9" xfId="1" applyFont="1" applyFill="1" applyBorder="1" applyAlignment="1" applyProtection="1">
      <alignment horizontal="left" vertical="top" wrapText="1"/>
      <protection locked="0"/>
    </xf>
    <xf numFmtId="0" fontId="13" fillId="0" borderId="8" xfId="1" applyFont="1" applyFill="1" applyBorder="1" applyAlignment="1" applyProtection="1">
      <alignment horizontal="left" vertical="top"/>
      <protection locked="0"/>
    </xf>
    <xf numFmtId="0" fontId="13" fillId="0" borderId="21" xfId="1" applyFont="1" applyFill="1" applyBorder="1" applyAlignment="1" applyProtection="1">
      <alignment horizontal="left" vertical="top"/>
      <protection locked="0"/>
    </xf>
    <xf numFmtId="0" fontId="13" fillId="0" borderId="9" xfId="1" applyFont="1" applyFill="1" applyBorder="1" applyAlignment="1" applyProtection="1">
      <alignment horizontal="left" vertical="top"/>
      <protection locked="0"/>
    </xf>
    <xf numFmtId="0" fontId="7" fillId="0" borderId="4" xfId="1" applyFont="1" applyFill="1" applyBorder="1" applyAlignment="1" applyProtection="1">
      <alignment horizontal="center" vertical="top" wrapText="1"/>
      <protection locked="0"/>
    </xf>
    <xf numFmtId="0" fontId="7" fillId="0" borderId="1" xfId="1" applyFont="1" applyFill="1" applyBorder="1" applyAlignment="1" applyProtection="1">
      <alignment horizontal="center" vertical="top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1" fontId="8" fillId="0" borderId="3" xfId="1" applyNumberFormat="1" applyFont="1" applyFill="1" applyBorder="1" applyAlignment="1" applyProtection="1">
      <alignment horizontal="center" vertical="top" wrapText="1"/>
      <protection locked="0"/>
    </xf>
    <xf numFmtId="1" fontId="8" fillId="0" borderId="16" xfId="1" applyNumberFormat="1" applyFont="1" applyFill="1" applyBorder="1" applyAlignment="1" applyProtection="1">
      <alignment horizontal="center" vertical="top" wrapText="1"/>
      <protection locked="0"/>
    </xf>
    <xf numFmtId="0" fontId="13" fillId="0" borderId="4" xfId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left" vertical="top" wrapText="1"/>
      <protection locked="0"/>
    </xf>
    <xf numFmtId="0" fontId="13" fillId="0" borderId="5" xfId="1" applyFont="1" applyFill="1" applyBorder="1" applyAlignment="1" applyProtection="1">
      <alignment horizontal="left" vertical="top" wrapText="1"/>
      <protection locked="0"/>
    </xf>
    <xf numFmtId="0" fontId="7" fillId="0" borderId="5" xfId="1" applyFont="1" applyFill="1" applyBorder="1" applyAlignment="1" applyProtection="1">
      <alignment horizontal="center" vertical="top" wrapText="1"/>
      <protection locked="0"/>
    </xf>
    <xf numFmtId="0" fontId="8" fillId="0" borderId="16" xfId="1" applyFont="1" applyFill="1" applyBorder="1" applyAlignment="1" applyProtection="1">
      <alignment horizontal="left" vertical="top"/>
      <protection locked="0"/>
    </xf>
    <xf numFmtId="9" fontId="7" fillId="0" borderId="18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9" xfId="8" applyFont="1" applyFill="1" applyBorder="1" applyAlignment="1" applyProtection="1">
      <alignment horizontal="center" vertical="center" wrapText="1"/>
      <protection locked="0"/>
    </xf>
    <xf numFmtId="0" fontId="8" fillId="0" borderId="16" xfId="1" applyFont="1" applyFill="1" applyBorder="1" applyAlignment="1" applyProtection="1">
      <alignment horizontal="center" vertical="top"/>
      <protection locked="0"/>
    </xf>
    <xf numFmtId="0" fontId="7" fillId="0" borderId="6" xfId="1" applyFont="1" applyFill="1" applyBorder="1" applyAlignment="1" applyProtection="1">
      <alignment horizontal="center" vertical="top" wrapText="1"/>
      <protection locked="0"/>
    </xf>
    <xf numFmtId="0" fontId="7" fillId="0" borderId="7" xfId="1" applyFont="1" applyFill="1" applyBorder="1" applyAlignment="1" applyProtection="1">
      <alignment horizontal="center" vertical="top" wrapText="1"/>
      <protection locked="0"/>
    </xf>
    <xf numFmtId="1" fontId="13" fillId="0" borderId="1" xfId="0" applyNumberFormat="1" applyFont="1" applyFill="1" applyBorder="1" applyAlignment="1" applyProtection="1">
      <alignment horizontal="left" vertical="top" wrapText="1"/>
      <protection locked="0"/>
    </xf>
    <xf numFmtId="1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1" fontId="8" fillId="0" borderId="1" xfId="0" applyNumberFormat="1" applyFont="1" applyFill="1" applyBorder="1" applyAlignment="1" applyProtection="1">
      <alignment horizontal="center" vertical="top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1" fontId="7" fillId="0" borderId="1" xfId="0" applyNumberFormat="1" applyFont="1" applyFill="1" applyBorder="1" applyAlignment="1" applyProtection="1">
      <alignment horizontal="center" vertical="top" wrapText="1"/>
      <protection locked="0"/>
    </xf>
    <xf numFmtId="1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1" applyFont="1" applyFill="1" applyBorder="1" applyAlignment="1" applyProtection="1">
      <alignment horizontal="left"/>
      <protection locked="0"/>
    </xf>
    <xf numFmtId="0" fontId="13" fillId="0" borderId="22" xfId="1" applyFont="1" applyFill="1" applyBorder="1" applyAlignment="1" applyProtection="1">
      <alignment horizontal="left" vertical="top" wrapText="1"/>
      <protection locked="0"/>
    </xf>
    <xf numFmtId="0" fontId="13" fillId="0" borderId="15" xfId="1" applyFont="1" applyFill="1" applyBorder="1" applyAlignment="1" applyProtection="1">
      <alignment horizontal="left" vertical="top" wrapText="1"/>
      <protection locked="0"/>
    </xf>
    <xf numFmtId="0" fontId="13" fillId="0" borderId="19" xfId="1" applyFont="1" applyFill="1" applyBorder="1" applyAlignment="1" applyProtection="1">
      <alignment horizontal="left" vertical="top" wrapText="1"/>
      <protection locked="0"/>
    </xf>
    <xf numFmtId="0" fontId="13" fillId="0" borderId="2" xfId="1" applyFont="1" applyFill="1" applyBorder="1" applyAlignment="1" applyProtection="1">
      <alignment horizontal="left" vertical="top" wrapText="1"/>
      <protection locked="0"/>
    </xf>
    <xf numFmtId="0" fontId="13" fillId="0" borderId="36" xfId="1" applyFont="1" applyFill="1" applyBorder="1" applyAlignment="1" applyProtection="1">
      <alignment horizontal="left" vertical="top" wrapText="1"/>
      <protection locked="0"/>
    </xf>
    <xf numFmtId="1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2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4" fillId="0" borderId="3" xfId="1" applyNumberFormat="1" applyFont="1" applyFill="1" applyBorder="1" applyAlignment="1" applyProtection="1">
      <alignment horizontal="center" vertical="top" wrapText="1"/>
      <protection locked="0"/>
    </xf>
    <xf numFmtId="1" fontId="4" fillId="0" borderId="16" xfId="1" applyNumberFormat="1" applyFont="1" applyFill="1" applyBorder="1" applyAlignment="1" applyProtection="1">
      <alignment horizontal="center" vertical="top" wrapText="1"/>
      <protection locked="0"/>
    </xf>
    <xf numFmtId="1" fontId="8" fillId="0" borderId="18" xfId="1" applyNumberFormat="1" applyFont="1" applyFill="1" applyBorder="1" applyAlignment="1" applyProtection="1">
      <alignment horizontal="center" vertical="top" wrapText="1"/>
      <protection locked="0"/>
    </xf>
    <xf numFmtId="1" fontId="8" fillId="0" borderId="20" xfId="1" applyNumberFormat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2" fontId="6" fillId="0" borderId="1" xfId="1" applyNumberFormat="1" applyFont="1" applyFill="1" applyBorder="1" applyAlignment="1" applyProtection="1">
      <alignment horizontal="left" vertical="top" wrapText="1"/>
      <protection locked="0"/>
    </xf>
    <xf numFmtId="0" fontId="8" fillId="0" borderId="1" xfId="1" applyFont="1" applyFill="1" applyBorder="1" applyAlignment="1" applyProtection="1">
      <alignment horizontal="left" vertical="top"/>
      <protection locked="0"/>
    </xf>
    <xf numFmtId="0" fontId="6" fillId="0" borderId="1" xfId="1" applyFont="1" applyFill="1" applyBorder="1" applyAlignment="1" applyProtection="1">
      <alignment horizontal="left" vertical="top" wrapText="1"/>
      <protection locked="0"/>
    </xf>
    <xf numFmtId="1" fontId="6" fillId="0" borderId="1" xfId="1" applyNumberFormat="1" applyFont="1" applyFill="1" applyBorder="1" applyAlignment="1" applyProtection="1">
      <alignment horizontal="left" vertical="top" wrapText="1"/>
      <protection locked="0"/>
    </xf>
    <xf numFmtId="164" fontId="6" fillId="0" borderId="1" xfId="1" applyNumberFormat="1" applyFont="1" applyFill="1" applyBorder="1" applyAlignment="1" applyProtection="1">
      <alignment horizontal="left" vertical="top"/>
      <protection locked="0"/>
    </xf>
    <xf numFmtId="2" fontId="6" fillId="0" borderId="1" xfId="1" applyNumberFormat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Fill="1" applyBorder="1" applyAlignment="1" applyProtection="1">
      <alignment horizontal="center"/>
      <protection locked="0"/>
    </xf>
    <xf numFmtId="0" fontId="12" fillId="0" borderId="1" xfId="1" applyFont="1" applyFill="1" applyBorder="1" applyAlignment="1" applyProtection="1">
      <alignment horizontal="left"/>
      <protection locked="0"/>
    </xf>
    <xf numFmtId="14" fontId="12" fillId="0" borderId="1" xfId="1" applyNumberFormat="1" applyFont="1" applyFill="1" applyBorder="1" applyAlignment="1" applyProtection="1">
      <alignment horizontal="left" vertical="top"/>
      <protection locked="0"/>
    </xf>
    <xf numFmtId="0" fontId="11" fillId="0" borderId="1" xfId="1" applyFont="1" applyFill="1" applyBorder="1" applyAlignment="1" applyProtection="1">
      <alignment horizontal="center" vertical="top" wrapText="1"/>
      <protection locked="0"/>
    </xf>
    <xf numFmtId="0" fontId="8" fillId="0" borderId="1" xfId="1" applyFont="1" applyFill="1" applyBorder="1" applyAlignment="1" applyProtection="1">
      <alignment horizontal="center" vertical="top"/>
      <protection locked="0"/>
    </xf>
    <xf numFmtId="0" fontId="12" fillId="0" borderId="3" xfId="1" applyFont="1" applyFill="1" applyBorder="1" applyAlignment="1" applyProtection="1">
      <alignment horizontal="left" vertical="top" wrapText="1"/>
      <protection locked="0"/>
    </xf>
    <xf numFmtId="0" fontId="12" fillId="0" borderId="3" xfId="1" applyFont="1" applyFill="1" applyBorder="1" applyAlignment="1" applyProtection="1">
      <alignment horizontal="left" vertical="top"/>
      <protection locked="0"/>
    </xf>
    <xf numFmtId="0" fontId="12" fillId="0" borderId="17" xfId="1" applyFont="1" applyFill="1" applyBorder="1" applyAlignment="1" applyProtection="1">
      <alignment horizontal="left" vertical="top" wrapText="1"/>
      <protection locked="0"/>
    </xf>
    <xf numFmtId="0" fontId="12" fillId="0" borderId="24" xfId="1" applyFont="1" applyFill="1" applyBorder="1" applyAlignment="1" applyProtection="1">
      <alignment horizontal="left" vertical="top" wrapText="1"/>
      <protection locked="0"/>
    </xf>
    <xf numFmtId="0" fontId="12" fillId="0" borderId="18" xfId="1" applyFont="1" applyFill="1" applyBorder="1" applyAlignment="1" applyProtection="1">
      <alignment horizontal="left" vertical="top" wrapText="1"/>
      <protection locked="0"/>
    </xf>
    <xf numFmtId="14" fontId="6" fillId="0" borderId="8" xfId="1" applyNumberFormat="1" applyFont="1" applyFill="1" applyBorder="1" applyAlignment="1" applyProtection="1">
      <alignment horizontal="left" vertical="top" wrapText="1"/>
      <protection locked="0"/>
    </xf>
    <xf numFmtId="14" fontId="6" fillId="0" borderId="9" xfId="1" applyNumberFormat="1" applyFont="1" applyFill="1" applyBorder="1" applyAlignment="1" applyProtection="1">
      <alignment horizontal="left" vertical="top" wrapText="1"/>
      <protection locked="0"/>
    </xf>
    <xf numFmtId="0" fontId="6" fillId="0" borderId="17" xfId="1" applyFont="1" applyFill="1" applyBorder="1" applyAlignment="1" applyProtection="1">
      <alignment horizontal="left" vertical="top" wrapText="1"/>
      <protection locked="0"/>
    </xf>
    <xf numFmtId="0" fontId="6" fillId="0" borderId="18" xfId="1" applyFont="1" applyFill="1" applyBorder="1" applyAlignment="1" applyProtection="1">
      <alignment horizontal="left" vertical="top" wrapText="1"/>
      <protection locked="0"/>
    </xf>
    <xf numFmtId="0" fontId="6" fillId="0" borderId="19" xfId="1" applyFont="1" applyFill="1" applyBorder="1" applyAlignment="1" applyProtection="1">
      <alignment horizontal="left" vertical="top" wrapText="1"/>
      <protection locked="0"/>
    </xf>
    <xf numFmtId="0" fontId="6" fillId="0" borderId="20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horizontal="center" vertical="top" wrapText="1"/>
      <protection locked="0"/>
    </xf>
    <xf numFmtId="0" fontId="14" fillId="0" borderId="1" xfId="1" applyFont="1" applyFill="1" applyBorder="1" applyAlignment="1" applyProtection="1">
      <alignment horizontal="center" vertical="top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 applyAlignment="1" applyProtection="1">
      <alignment vertical="top"/>
      <protection locked="0"/>
    </xf>
    <xf numFmtId="1" fontId="6" fillId="0" borderId="1" xfId="0" applyNumberFormat="1" applyFont="1" applyFill="1" applyBorder="1" applyAlignment="1" applyProtection="1">
      <alignment horizontal="center" vertical="top" wrapText="1"/>
      <protection locked="0"/>
    </xf>
    <xf numFmtId="1" fontId="13" fillId="0" borderId="8" xfId="0" applyNumberFormat="1" applyFont="1" applyFill="1" applyBorder="1" applyAlignment="1" applyProtection="1">
      <alignment vertical="top" wrapText="1"/>
      <protection locked="0"/>
    </xf>
    <xf numFmtId="1" fontId="13" fillId="0" borderId="21" xfId="0" applyNumberFormat="1" applyFont="1" applyFill="1" applyBorder="1" applyAlignment="1" applyProtection="1">
      <alignment vertical="top" wrapText="1"/>
      <protection locked="0"/>
    </xf>
    <xf numFmtId="1" fontId="13" fillId="0" borderId="9" xfId="0" applyNumberFormat="1" applyFont="1" applyFill="1" applyBorder="1" applyAlignment="1" applyProtection="1">
      <alignment vertical="top" wrapText="1"/>
      <protection locked="0"/>
    </xf>
    <xf numFmtId="0" fontId="10" fillId="0" borderId="34" xfId="0" applyFont="1" applyFill="1" applyBorder="1" applyAlignment="1" applyProtection="1">
      <alignment horizontal="center" vertical="center"/>
      <protection locked="0"/>
    </xf>
    <xf numFmtId="0" fontId="6" fillId="0" borderId="8" xfId="1" applyFont="1" applyFill="1" applyBorder="1" applyAlignment="1" applyProtection="1">
      <alignment horizontal="left" vertical="top" wrapText="1"/>
      <protection locked="0"/>
    </xf>
    <xf numFmtId="0" fontId="6" fillId="0" borderId="9" xfId="1" applyFont="1" applyFill="1" applyBorder="1" applyAlignment="1" applyProtection="1">
      <alignment horizontal="left" vertical="top" wrapText="1"/>
      <protection locked="0"/>
    </xf>
    <xf numFmtId="0" fontId="6" fillId="0" borderId="21" xfId="1" applyFont="1" applyFill="1" applyBorder="1" applyAlignment="1" applyProtection="1">
      <alignment horizontal="left" vertical="top" wrapText="1"/>
      <protection locked="0"/>
    </xf>
    <xf numFmtId="0" fontId="8" fillId="0" borderId="8" xfId="1" applyFont="1" applyFill="1" applyBorder="1" applyAlignment="1" applyProtection="1">
      <alignment horizontal="left" vertical="top" wrapText="1"/>
      <protection locked="0"/>
    </xf>
    <xf numFmtId="0" fontId="8" fillId="0" borderId="9" xfId="1" applyFont="1" applyFill="1" applyBorder="1" applyAlignment="1" applyProtection="1">
      <alignment horizontal="left" vertical="top" wrapText="1"/>
      <protection locked="0"/>
    </xf>
    <xf numFmtId="0" fontId="8" fillId="0" borderId="21" xfId="1" applyFont="1" applyFill="1" applyBorder="1" applyAlignment="1" applyProtection="1">
      <alignment horizontal="left" vertical="top" wrapText="1"/>
      <protection locked="0"/>
    </xf>
    <xf numFmtId="0" fontId="8" fillId="0" borderId="8" xfId="1" applyFont="1" applyFill="1" applyBorder="1" applyAlignment="1" applyProtection="1">
      <alignment horizontal="left" vertical="top"/>
      <protection locked="0"/>
    </xf>
    <xf numFmtId="0" fontId="8" fillId="0" borderId="9" xfId="1" applyFont="1" applyFill="1" applyBorder="1" applyAlignment="1" applyProtection="1">
      <alignment horizontal="left" vertical="top"/>
      <protection locked="0"/>
    </xf>
    <xf numFmtId="0" fontId="6" fillId="0" borderId="1" xfId="1" applyFont="1" applyFill="1" applyBorder="1" applyAlignment="1" applyProtection="1">
      <alignment vertical="top"/>
      <protection locked="0"/>
    </xf>
    <xf numFmtId="0" fontId="13" fillId="0" borderId="13" xfId="1" applyFont="1" applyFill="1" applyBorder="1" applyAlignment="1" applyProtection="1">
      <alignment horizontal="left" vertical="top" wrapText="1"/>
      <protection locked="0"/>
    </xf>
    <xf numFmtId="0" fontId="13" fillId="0" borderId="14" xfId="1" applyFont="1" applyFill="1" applyBorder="1" applyAlignment="1" applyProtection="1">
      <alignment horizontal="left" vertical="top" wrapText="1"/>
      <protection locked="0"/>
    </xf>
    <xf numFmtId="0" fontId="13" fillId="0" borderId="23" xfId="1" applyFont="1" applyFill="1" applyBorder="1" applyAlignment="1" applyProtection="1">
      <alignment horizontal="left" vertical="top" wrapText="1"/>
      <protection locked="0"/>
    </xf>
    <xf numFmtId="0" fontId="7" fillId="3" borderId="37" xfId="1" applyFont="1" applyFill="1" applyBorder="1" applyAlignment="1" applyProtection="1">
      <alignment horizontal="center" vertical="center" wrapText="1"/>
      <protection locked="0"/>
    </xf>
    <xf numFmtId="0" fontId="7" fillId="3" borderId="16" xfId="1" applyFont="1" applyFill="1" applyBorder="1" applyAlignment="1" applyProtection="1">
      <alignment horizontal="center" vertical="center" wrapText="1"/>
      <protection locked="0"/>
    </xf>
    <xf numFmtId="9" fontId="7" fillId="3" borderId="16" xfId="8" applyFont="1" applyFill="1" applyBorder="1" applyAlignment="1" applyProtection="1">
      <alignment horizontal="center" vertical="center" wrapText="1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78442</xdr:colOff>
      <xdr:row>371</xdr:row>
      <xdr:rowOff>11206</xdr:rowOff>
    </xdr:from>
    <xdr:to>
      <xdr:col>6</xdr:col>
      <xdr:colOff>750795</xdr:colOff>
      <xdr:row>405</xdr:row>
      <xdr:rowOff>11207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39221" y="60931985"/>
          <a:ext cx="6858000" cy="51435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347386</xdr:colOff>
      <xdr:row>409</xdr:row>
      <xdr:rowOff>44822</xdr:rowOff>
    </xdr:from>
    <xdr:to>
      <xdr:col>7</xdr:col>
      <xdr:colOff>542368</xdr:colOff>
      <xdr:row>427</xdr:row>
      <xdr:rowOff>71716</xdr:rowOff>
    </xdr:to>
    <xdr:pic>
      <xdr:nvPicPr>
        <xdr:cNvPr id="8" name="Picture 7"/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b="14286"/>
        <a:stretch/>
      </xdr:blipFill>
      <xdr:spPr>
        <a:xfrm>
          <a:off x="347386" y="68983410"/>
          <a:ext cx="6324600" cy="36576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347386</xdr:colOff>
      <xdr:row>428</xdr:row>
      <xdr:rowOff>22410</xdr:rowOff>
    </xdr:from>
    <xdr:to>
      <xdr:col>7</xdr:col>
      <xdr:colOff>542368</xdr:colOff>
      <xdr:row>449</xdr:row>
      <xdr:rowOff>53788</xdr:rowOff>
    </xdr:to>
    <xdr:pic>
      <xdr:nvPicPr>
        <xdr:cNvPr id="9" name="Picture 8"/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47386" y="72793410"/>
          <a:ext cx="6324600" cy="42672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oneCellAnchor>
    <xdr:from>
      <xdr:col>2</xdr:col>
      <xdr:colOff>515471</xdr:colOff>
      <xdr:row>376</xdr:row>
      <xdr:rowOff>134470</xdr:rowOff>
    </xdr:from>
    <xdr:ext cx="952633" cy="405432"/>
    <xdr:sp macro="" textlink="">
      <xdr:nvSpPr>
        <xdr:cNvPr id="15" name="TextBox 14"/>
        <xdr:cNvSpPr txBox="1"/>
      </xdr:nvSpPr>
      <xdr:spPr>
        <a:xfrm>
          <a:off x="2196353" y="61206529"/>
          <a:ext cx="952633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2000" b="1">
              <a:solidFill>
                <a:srgbClr val="FF0000"/>
              </a:solidFill>
            </a:rPr>
            <a:t>Wing A</a:t>
          </a:r>
        </a:p>
      </xdr:txBody>
    </xdr:sp>
    <xdr:clientData/>
  </xdr:oneCellAnchor>
  <xdr:twoCellAnchor>
    <xdr:from>
      <xdr:col>3</xdr:col>
      <xdr:colOff>82924</xdr:colOff>
      <xdr:row>378</xdr:row>
      <xdr:rowOff>138954</xdr:rowOff>
    </xdr:from>
    <xdr:to>
      <xdr:col>3</xdr:col>
      <xdr:colOff>224117</xdr:colOff>
      <xdr:row>380</xdr:row>
      <xdr:rowOff>179294</xdr:rowOff>
    </xdr:to>
    <xdr:cxnSp macro="">
      <xdr:nvCxnSpPr>
        <xdr:cNvPr id="16" name="Straight Arrow Connector 15"/>
        <xdr:cNvCxnSpPr/>
      </xdr:nvCxnSpPr>
      <xdr:spPr>
        <a:xfrm>
          <a:off x="2682689" y="61614425"/>
          <a:ext cx="141193" cy="443751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oneCellAnchor>
    <xdr:from>
      <xdr:col>4</xdr:col>
      <xdr:colOff>208430</xdr:colOff>
      <xdr:row>373</xdr:row>
      <xdr:rowOff>40341</xdr:rowOff>
    </xdr:from>
    <xdr:ext cx="940963" cy="405432"/>
    <xdr:sp macro="" textlink="">
      <xdr:nvSpPr>
        <xdr:cNvPr id="19" name="TextBox 18"/>
        <xdr:cNvSpPr txBox="1"/>
      </xdr:nvSpPr>
      <xdr:spPr>
        <a:xfrm>
          <a:off x="3816724" y="60507282"/>
          <a:ext cx="940963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2000" b="1">
              <a:solidFill>
                <a:srgbClr val="FF0000"/>
              </a:solidFill>
            </a:rPr>
            <a:t>Wing B</a:t>
          </a:r>
        </a:p>
      </xdr:txBody>
    </xdr:sp>
    <xdr:clientData/>
  </xdr:oneCellAnchor>
  <xdr:twoCellAnchor>
    <xdr:from>
      <xdr:col>4</xdr:col>
      <xdr:colOff>694765</xdr:colOff>
      <xdr:row>375</xdr:row>
      <xdr:rowOff>89649</xdr:rowOff>
    </xdr:from>
    <xdr:to>
      <xdr:col>4</xdr:col>
      <xdr:colOff>705971</xdr:colOff>
      <xdr:row>378</xdr:row>
      <xdr:rowOff>112058</xdr:rowOff>
    </xdr:to>
    <xdr:cxnSp macro="">
      <xdr:nvCxnSpPr>
        <xdr:cNvPr id="20" name="Straight Arrow Connector 19"/>
        <xdr:cNvCxnSpPr/>
      </xdr:nvCxnSpPr>
      <xdr:spPr>
        <a:xfrm>
          <a:off x="4303059" y="60960002"/>
          <a:ext cx="11206" cy="627527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oneCellAnchor>
    <xdr:from>
      <xdr:col>5</xdr:col>
      <xdr:colOff>573742</xdr:colOff>
      <xdr:row>380</xdr:row>
      <xdr:rowOff>103094</xdr:rowOff>
    </xdr:from>
    <xdr:ext cx="932948" cy="405432"/>
    <xdr:sp macro="" textlink="">
      <xdr:nvSpPr>
        <xdr:cNvPr id="22" name="TextBox 21"/>
        <xdr:cNvSpPr txBox="1"/>
      </xdr:nvSpPr>
      <xdr:spPr>
        <a:xfrm>
          <a:off x="5022477" y="61981976"/>
          <a:ext cx="932948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2000" b="1">
              <a:solidFill>
                <a:srgbClr val="FF0000"/>
              </a:solidFill>
            </a:rPr>
            <a:t>Wing C</a:t>
          </a:r>
        </a:p>
      </xdr:txBody>
    </xdr:sp>
    <xdr:clientData/>
  </xdr:oneCellAnchor>
  <xdr:twoCellAnchor>
    <xdr:from>
      <xdr:col>5</xdr:col>
      <xdr:colOff>425824</xdr:colOff>
      <xdr:row>382</xdr:row>
      <xdr:rowOff>118784</xdr:rowOff>
    </xdr:from>
    <xdr:to>
      <xdr:col>6</xdr:col>
      <xdr:colOff>129989</xdr:colOff>
      <xdr:row>384</xdr:row>
      <xdr:rowOff>0</xdr:rowOff>
    </xdr:to>
    <xdr:cxnSp macro="">
      <xdr:nvCxnSpPr>
        <xdr:cNvPr id="23" name="Straight Arrow Connector 22"/>
        <xdr:cNvCxnSpPr/>
      </xdr:nvCxnSpPr>
      <xdr:spPr>
        <a:xfrm flipH="1">
          <a:off x="4874559" y="62401078"/>
          <a:ext cx="544606" cy="284628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463550</xdr:colOff>
      <xdr:row>328</xdr:row>
      <xdr:rowOff>44450</xdr:rowOff>
    </xdr:from>
    <xdr:to>
      <xdr:col>10</xdr:col>
      <xdr:colOff>255150</xdr:colOff>
      <xdr:row>330</xdr:row>
      <xdr:rowOff>93886</xdr:rowOff>
    </xdr:to>
    <xdr:sp macro="" textlink="">
      <xdr:nvSpPr>
        <xdr:cNvPr id="26" name="TextBox 25"/>
        <xdr:cNvSpPr txBox="1"/>
      </xdr:nvSpPr>
      <xdr:spPr>
        <a:xfrm>
          <a:off x="8528050" y="60432950"/>
          <a:ext cx="59170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IN" sz="1100" b="0" cap="none" spc="0">
              <a:ln w="0"/>
              <a:solidFill>
                <a:schemeClr val="tx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Wing B</a:t>
          </a:r>
          <a:br>
            <a:rPr lang="en-IN" sz="1100" b="0" cap="none" spc="0">
              <a:ln w="0"/>
              <a:solidFill>
                <a:schemeClr val="tx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</a:br>
          <a:r>
            <a:rPr lang="en-IN" sz="1100" b="0" cap="none" spc="0">
              <a:ln w="0"/>
              <a:solidFill>
                <a:schemeClr val="tx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Part</a:t>
          </a:r>
          <a:r>
            <a:rPr lang="en-IN" sz="1100" b="0" cap="none" spc="0" baseline="0">
              <a:ln w="0"/>
              <a:solidFill>
                <a:schemeClr val="tx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II</a:t>
          </a:r>
          <a:endParaRPr lang="en-IN" sz="1100" b="0" cap="none" spc="0">
            <a:ln w="0"/>
            <a:solidFill>
              <a:schemeClr val="tx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twoCellAnchor>
  <xdr:twoCellAnchor>
    <xdr:from>
      <xdr:col>10</xdr:col>
      <xdr:colOff>406400</xdr:colOff>
      <xdr:row>326</xdr:row>
      <xdr:rowOff>0</xdr:rowOff>
    </xdr:from>
    <xdr:to>
      <xdr:col>11</xdr:col>
      <xdr:colOff>259962</xdr:colOff>
      <xdr:row>327</xdr:row>
      <xdr:rowOff>67710</xdr:rowOff>
    </xdr:to>
    <xdr:sp macro="" textlink="">
      <xdr:nvSpPr>
        <xdr:cNvPr id="28" name="TextBox 27"/>
        <xdr:cNvSpPr txBox="1"/>
      </xdr:nvSpPr>
      <xdr:spPr>
        <a:xfrm>
          <a:off x="9271000" y="59994800"/>
          <a:ext cx="5901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IN" sz="1100" b="0" cap="none" spc="0">
              <a:ln w="0"/>
              <a:solidFill>
                <a:schemeClr val="tx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Wing C</a:t>
          </a:r>
        </a:p>
      </xdr:txBody>
    </xdr:sp>
    <xdr:clientData/>
  </xdr:twoCellAnchor>
  <xdr:twoCellAnchor>
    <xdr:from>
      <xdr:col>10</xdr:col>
      <xdr:colOff>540497</xdr:colOff>
      <xdr:row>327</xdr:row>
      <xdr:rowOff>67710</xdr:rowOff>
    </xdr:from>
    <xdr:to>
      <xdr:col>10</xdr:col>
      <xdr:colOff>701481</xdr:colOff>
      <xdr:row>328</xdr:row>
      <xdr:rowOff>90264</xdr:rowOff>
    </xdr:to>
    <xdr:cxnSp macro="">
      <xdr:nvCxnSpPr>
        <xdr:cNvPr id="30" name="Straight Arrow Connector 29"/>
        <xdr:cNvCxnSpPr>
          <a:stCxn id="28" idx="2"/>
        </xdr:cNvCxnSpPr>
      </xdr:nvCxnSpPr>
      <xdr:spPr>
        <a:xfrm flipH="1">
          <a:off x="9405097" y="60259360"/>
          <a:ext cx="160984" cy="219404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365855</xdr:colOff>
      <xdr:row>332</xdr:row>
      <xdr:rowOff>0</xdr:rowOff>
    </xdr:from>
    <xdr:to>
      <xdr:col>12</xdr:col>
      <xdr:colOff>220955</xdr:colOff>
      <xdr:row>334</xdr:row>
      <xdr:rowOff>43086</xdr:rowOff>
    </xdr:to>
    <xdr:sp macro="" textlink="">
      <xdr:nvSpPr>
        <xdr:cNvPr id="29" name="TextBox 28"/>
        <xdr:cNvSpPr txBox="1"/>
      </xdr:nvSpPr>
      <xdr:spPr>
        <a:xfrm>
          <a:off x="9967055" y="61366400"/>
          <a:ext cx="59170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IN" sz="1100" b="0" cap="none" spc="0">
              <a:ln w="0"/>
              <a:solidFill>
                <a:schemeClr val="tx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Wing B</a:t>
          </a:r>
          <a:br>
            <a:rPr lang="en-IN" sz="1100" b="0" cap="none" spc="0">
              <a:ln w="0"/>
              <a:solidFill>
                <a:schemeClr val="tx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</a:br>
          <a:r>
            <a:rPr lang="en-IN" sz="1100" b="0" cap="none" spc="0">
              <a:ln w="0"/>
              <a:solidFill>
                <a:schemeClr val="tx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Part</a:t>
          </a:r>
          <a:r>
            <a:rPr lang="en-IN" sz="1100" b="0" cap="none" spc="0" baseline="0">
              <a:ln w="0"/>
              <a:solidFill>
                <a:schemeClr val="tx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I</a:t>
          </a:r>
          <a:endParaRPr lang="en-IN" sz="1100" b="0" cap="none" spc="0">
            <a:ln w="0"/>
            <a:solidFill>
              <a:schemeClr val="tx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twoCellAnchor>
  <xdr:twoCellAnchor>
    <xdr:from>
      <xdr:col>11</xdr:col>
      <xdr:colOff>661705</xdr:colOff>
      <xdr:row>334</xdr:row>
      <xdr:rowOff>43086</xdr:rowOff>
    </xdr:from>
    <xdr:to>
      <xdr:col>11</xdr:col>
      <xdr:colOff>730250</xdr:colOff>
      <xdr:row>335</xdr:row>
      <xdr:rowOff>171450</xdr:rowOff>
    </xdr:to>
    <xdr:cxnSp macro="">
      <xdr:nvCxnSpPr>
        <xdr:cNvPr id="31" name="Straight Arrow Connector 30"/>
        <xdr:cNvCxnSpPr>
          <a:stCxn id="29" idx="2"/>
        </xdr:cNvCxnSpPr>
      </xdr:nvCxnSpPr>
      <xdr:spPr>
        <a:xfrm>
          <a:off x="10262905" y="61803186"/>
          <a:ext cx="68545" cy="325214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124555</xdr:colOff>
      <xdr:row>332</xdr:row>
      <xdr:rowOff>95250</xdr:rowOff>
    </xdr:from>
    <xdr:to>
      <xdr:col>12</xdr:col>
      <xdr:colOff>716255</xdr:colOff>
      <xdr:row>334</xdr:row>
      <xdr:rowOff>138336</xdr:rowOff>
    </xdr:to>
    <xdr:sp macro="" textlink="">
      <xdr:nvSpPr>
        <xdr:cNvPr id="32" name="TextBox 31"/>
        <xdr:cNvSpPr txBox="1"/>
      </xdr:nvSpPr>
      <xdr:spPr>
        <a:xfrm>
          <a:off x="10462355" y="61461650"/>
          <a:ext cx="59170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IN" sz="1100" b="0" cap="none" spc="0">
              <a:ln w="0"/>
              <a:solidFill>
                <a:schemeClr val="tx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Wing B</a:t>
          </a:r>
          <a:br>
            <a:rPr lang="en-IN" sz="1100" b="0" cap="none" spc="0">
              <a:ln w="0"/>
              <a:solidFill>
                <a:schemeClr val="tx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</a:br>
          <a:r>
            <a:rPr lang="en-IN" sz="1100" b="0" cap="none" spc="0">
              <a:ln w="0"/>
              <a:solidFill>
                <a:schemeClr val="tx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Part</a:t>
          </a:r>
          <a:r>
            <a:rPr lang="en-IN" sz="1100" b="0" cap="none" spc="0" baseline="0">
              <a:ln w="0"/>
              <a:solidFill>
                <a:schemeClr val="tx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II</a:t>
          </a:r>
          <a:endParaRPr lang="en-IN" sz="1100" b="0" cap="none" spc="0">
            <a:ln w="0"/>
            <a:solidFill>
              <a:schemeClr val="tx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twoCellAnchor>
  <xdr:twoCellAnchor>
    <xdr:from>
      <xdr:col>12</xdr:col>
      <xdr:colOff>349250</xdr:colOff>
      <xdr:row>334</xdr:row>
      <xdr:rowOff>146050</xdr:rowOff>
    </xdr:from>
    <xdr:to>
      <xdr:col>12</xdr:col>
      <xdr:colOff>400050</xdr:colOff>
      <xdr:row>335</xdr:row>
      <xdr:rowOff>165100</xdr:rowOff>
    </xdr:to>
    <xdr:cxnSp macro="">
      <xdr:nvCxnSpPr>
        <xdr:cNvPr id="33" name="Straight Arrow Connector 32"/>
        <xdr:cNvCxnSpPr/>
      </xdr:nvCxnSpPr>
      <xdr:spPr>
        <a:xfrm>
          <a:off x="10687050" y="61906150"/>
          <a:ext cx="50800" cy="2159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473805</xdr:colOff>
      <xdr:row>332</xdr:row>
      <xdr:rowOff>120650</xdr:rowOff>
    </xdr:from>
    <xdr:to>
      <xdr:col>14</xdr:col>
      <xdr:colOff>187667</xdr:colOff>
      <xdr:row>333</xdr:row>
      <xdr:rowOff>188360</xdr:rowOff>
    </xdr:to>
    <xdr:sp macro="" textlink="">
      <xdr:nvSpPr>
        <xdr:cNvPr id="34" name="TextBox 33"/>
        <xdr:cNvSpPr txBox="1"/>
      </xdr:nvSpPr>
      <xdr:spPr>
        <a:xfrm>
          <a:off x="11637105" y="61487050"/>
          <a:ext cx="5901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IN" sz="1100" b="0" cap="none" spc="0">
              <a:ln w="0"/>
              <a:solidFill>
                <a:schemeClr val="tx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Wing C</a:t>
          </a:r>
        </a:p>
      </xdr:txBody>
    </xdr:sp>
    <xdr:clientData/>
  </xdr:twoCellAnchor>
  <xdr:twoCellAnchor>
    <xdr:from>
      <xdr:col>13</xdr:col>
      <xdr:colOff>438150</xdr:colOff>
      <xdr:row>333</xdr:row>
      <xdr:rowOff>188360</xdr:rowOff>
    </xdr:from>
    <xdr:to>
      <xdr:col>13</xdr:col>
      <xdr:colOff>768886</xdr:colOff>
      <xdr:row>336</xdr:row>
      <xdr:rowOff>95250</xdr:rowOff>
    </xdr:to>
    <xdr:cxnSp macro="">
      <xdr:nvCxnSpPr>
        <xdr:cNvPr id="36" name="Straight Arrow Connector 35"/>
        <xdr:cNvCxnSpPr>
          <a:stCxn id="34" idx="2"/>
        </xdr:cNvCxnSpPr>
      </xdr:nvCxnSpPr>
      <xdr:spPr>
        <a:xfrm flipH="1">
          <a:off x="11601450" y="61751610"/>
          <a:ext cx="330736" cy="49744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332</xdr:row>
      <xdr:rowOff>12700</xdr:rowOff>
    </xdr:from>
    <xdr:to>
      <xdr:col>8</xdr:col>
      <xdr:colOff>590162</xdr:colOff>
      <xdr:row>333</xdr:row>
      <xdr:rowOff>80410</xdr:rowOff>
    </xdr:to>
    <xdr:sp macro="" textlink="">
      <xdr:nvSpPr>
        <xdr:cNvPr id="37" name="TextBox 36"/>
        <xdr:cNvSpPr txBox="1"/>
      </xdr:nvSpPr>
      <xdr:spPr>
        <a:xfrm>
          <a:off x="6845300" y="61379100"/>
          <a:ext cx="5901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IN" sz="1100" b="0" cap="none" spc="0">
              <a:ln w="0"/>
              <a:solidFill>
                <a:schemeClr val="tx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Wing A</a:t>
          </a:r>
        </a:p>
      </xdr:txBody>
    </xdr:sp>
    <xdr:clientData/>
  </xdr:twoCellAnchor>
  <xdr:twoCellAnchor>
    <xdr:from>
      <xdr:col>8</xdr:col>
      <xdr:colOff>134097</xdr:colOff>
      <xdr:row>333</xdr:row>
      <xdr:rowOff>80410</xdr:rowOff>
    </xdr:from>
    <xdr:to>
      <xdr:col>8</xdr:col>
      <xdr:colOff>295081</xdr:colOff>
      <xdr:row>334</xdr:row>
      <xdr:rowOff>102964</xdr:rowOff>
    </xdr:to>
    <xdr:cxnSp macro="">
      <xdr:nvCxnSpPr>
        <xdr:cNvPr id="48" name="Straight Arrow Connector 47"/>
        <xdr:cNvCxnSpPr>
          <a:stCxn id="37" idx="2"/>
        </xdr:cNvCxnSpPr>
      </xdr:nvCxnSpPr>
      <xdr:spPr>
        <a:xfrm flipH="1">
          <a:off x="6979397" y="61643660"/>
          <a:ext cx="160984" cy="219404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127000</xdr:colOff>
      <xdr:row>327</xdr:row>
      <xdr:rowOff>101600</xdr:rowOff>
    </xdr:from>
    <xdr:to>
      <xdr:col>7</xdr:col>
      <xdr:colOff>729907</xdr:colOff>
      <xdr:row>358</xdr:row>
      <xdr:rowOff>131407</xdr:rowOff>
    </xdr:to>
    <xdr:grpSp>
      <xdr:nvGrpSpPr>
        <xdr:cNvPr id="4" name="Group 3"/>
        <xdr:cNvGrpSpPr/>
      </xdr:nvGrpSpPr>
      <xdr:grpSpPr>
        <a:xfrm>
          <a:off x="127000" y="60490100"/>
          <a:ext cx="6578257" cy="6125807"/>
          <a:chOff x="127000" y="60490100"/>
          <a:chExt cx="6578257" cy="6125807"/>
        </a:xfrm>
      </xdr:grpSpPr>
      <xdr:pic>
        <xdr:nvPicPr>
          <xdr:cNvPr id="52" name="Picture 51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161963" y="64563907"/>
            <a:ext cx="1543294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3" name="Picture 52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82856" y="60496450"/>
            <a:ext cx="2978285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4" name="Picture 53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05119" y="60496450"/>
            <a:ext cx="2978285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5" name="Picture 54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05321" y="64563907"/>
            <a:ext cx="1543294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6" name="Picture 55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83642" y="64563907"/>
            <a:ext cx="1543294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7" name="Picture 56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7000" y="64563907"/>
            <a:ext cx="1543294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58" name="TextBox 57"/>
          <xdr:cNvSpPr txBox="1"/>
        </xdr:nvSpPr>
        <xdr:spPr>
          <a:xfrm>
            <a:off x="954356" y="60521850"/>
            <a:ext cx="590162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100" b="0" cap="none" spc="0">
                <a:ln w="0"/>
                <a:solidFill>
                  <a:schemeClr val="tx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Wing A</a:t>
            </a:r>
          </a:p>
        </xdr:txBody>
      </xdr:sp>
      <xdr:cxnSp macro="">
        <xdr:nvCxnSpPr>
          <xdr:cNvPr id="59" name="Straight Arrow Connector 58"/>
          <xdr:cNvCxnSpPr>
            <a:stCxn id="58" idx="2"/>
          </xdr:cNvCxnSpPr>
        </xdr:nvCxnSpPr>
        <xdr:spPr>
          <a:xfrm flipH="1">
            <a:off x="1088453" y="60786410"/>
            <a:ext cx="160984" cy="219404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60" name="TextBox 59"/>
          <xdr:cNvSpPr txBox="1"/>
        </xdr:nvSpPr>
        <xdr:spPr>
          <a:xfrm>
            <a:off x="1354406" y="60490100"/>
            <a:ext cx="591700" cy="436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100" b="0" cap="none" spc="0">
                <a:ln w="0"/>
                <a:solidFill>
                  <a:schemeClr val="tx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Wing B</a:t>
            </a:r>
            <a:br>
              <a:rPr lang="en-IN" sz="1100" b="0" cap="none" spc="0">
                <a:ln w="0"/>
                <a:solidFill>
                  <a:schemeClr val="tx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</a:br>
            <a:r>
              <a:rPr lang="en-IN" sz="1100" b="0" cap="none" spc="0">
                <a:ln w="0"/>
                <a:solidFill>
                  <a:schemeClr val="tx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Part</a:t>
            </a:r>
            <a:r>
              <a:rPr lang="en-IN" sz="1100" b="0" cap="none" spc="0" baseline="0">
                <a:ln w="0"/>
                <a:solidFill>
                  <a:schemeClr val="tx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 I</a:t>
            </a:r>
            <a:endParaRPr lang="en-IN" sz="1100" b="0" cap="none" spc="0">
              <a:ln w="0"/>
              <a:solidFill>
                <a:schemeClr val="tx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  <xdr:cxnSp macro="">
        <xdr:nvCxnSpPr>
          <xdr:cNvPr id="61" name="Straight Arrow Connector 60"/>
          <xdr:cNvCxnSpPr>
            <a:stCxn id="60" idx="2"/>
          </xdr:cNvCxnSpPr>
        </xdr:nvCxnSpPr>
        <xdr:spPr>
          <a:xfrm>
            <a:off x="1650256" y="60926886"/>
            <a:ext cx="64244" cy="242664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62" name="TextBox 61"/>
          <xdr:cNvSpPr txBox="1"/>
        </xdr:nvSpPr>
        <xdr:spPr>
          <a:xfrm>
            <a:off x="4502069" y="61283850"/>
            <a:ext cx="591700" cy="436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100" b="0" cap="none" spc="0">
                <a:ln w="0"/>
                <a:solidFill>
                  <a:schemeClr val="tx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Wing B</a:t>
            </a:r>
            <a:br>
              <a:rPr lang="en-IN" sz="1100" b="0" cap="none" spc="0">
                <a:ln w="0"/>
                <a:solidFill>
                  <a:schemeClr val="tx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</a:br>
            <a:r>
              <a:rPr lang="en-IN" sz="1100" b="0" cap="none" spc="0">
                <a:ln w="0"/>
                <a:solidFill>
                  <a:schemeClr val="tx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Part</a:t>
            </a:r>
            <a:r>
              <a:rPr lang="en-IN" sz="1100" b="0" cap="none" spc="0" baseline="0">
                <a:ln w="0"/>
                <a:solidFill>
                  <a:schemeClr val="tx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 II</a:t>
            </a:r>
            <a:endParaRPr lang="en-IN" sz="1100" b="0" cap="none" spc="0">
              <a:ln w="0"/>
              <a:solidFill>
                <a:schemeClr val="tx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  <xdr:cxnSp macro="">
        <xdr:nvCxnSpPr>
          <xdr:cNvPr id="63" name="Straight Arrow Connector 62"/>
          <xdr:cNvCxnSpPr/>
        </xdr:nvCxnSpPr>
        <xdr:spPr>
          <a:xfrm>
            <a:off x="4726764" y="61728350"/>
            <a:ext cx="50800" cy="215900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64" name="TextBox 63"/>
          <xdr:cNvSpPr txBox="1"/>
        </xdr:nvSpPr>
        <xdr:spPr>
          <a:xfrm>
            <a:off x="5299724" y="60598050"/>
            <a:ext cx="590162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100" b="0" cap="none" spc="0">
                <a:ln w="0"/>
                <a:solidFill>
                  <a:schemeClr val="tx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Wing C</a:t>
            </a:r>
          </a:p>
        </xdr:txBody>
      </xdr:sp>
      <xdr:cxnSp macro="">
        <xdr:nvCxnSpPr>
          <xdr:cNvPr id="65" name="Straight Arrow Connector 64"/>
          <xdr:cNvCxnSpPr>
            <a:stCxn id="64" idx="2"/>
          </xdr:cNvCxnSpPr>
        </xdr:nvCxnSpPr>
        <xdr:spPr>
          <a:xfrm>
            <a:off x="5594805" y="60862610"/>
            <a:ext cx="69395" cy="319640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6</xdr:col>
      <xdr:colOff>916641</xdr:colOff>
      <xdr:row>30</xdr:row>
      <xdr:rowOff>161027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82706" y="2678206"/>
          <a:ext cx="7315200" cy="320902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6tRoVKJkjoGfxY2WA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408"/>
  <sheetViews>
    <sheetView tabSelected="1" view="pageBreakPreview" zoomScaleNormal="100" zoomScaleSheetLayoutView="100" zoomScalePageLayoutView="85" workbookViewId="0">
      <selection activeCell="E9" sqref="E9:H9"/>
    </sheetView>
  </sheetViews>
  <sheetFormatPr defaultColWidth="9.1796875" defaultRowHeight="15.5" x14ac:dyDescent="0.35"/>
  <cols>
    <col min="1" max="1" width="11.453125" style="43" customWidth="1"/>
    <col min="2" max="2" width="12" style="43" customWidth="1"/>
    <col min="3" max="3" width="12.7265625" style="43" customWidth="1"/>
    <col min="4" max="4" width="14.1796875" style="43" customWidth="1"/>
    <col min="5" max="7" width="11.7265625" style="43" customWidth="1"/>
    <col min="8" max="8" width="12.453125" style="43" customWidth="1"/>
    <col min="9" max="9" width="17.453125" style="23" customWidth="1"/>
    <col min="10" max="10" width="11.453125" style="23" customWidth="1"/>
    <col min="11" max="11" width="10.54296875" style="23" bestFit="1" customWidth="1"/>
    <col min="12" max="12" width="10.54296875" style="23" customWidth="1"/>
    <col min="13" max="13" width="11.81640625" style="23" customWidth="1"/>
    <col min="14" max="14" width="12.54296875" style="23" customWidth="1"/>
    <col min="15" max="15" width="9.81640625" style="23" customWidth="1"/>
    <col min="16" max="16" width="11.7265625" style="23" customWidth="1"/>
    <col min="17" max="247" width="9.1796875" style="23"/>
    <col min="248" max="248" width="8.7265625" style="23" customWidth="1"/>
    <col min="249" max="249" width="9.81640625" style="23" customWidth="1"/>
    <col min="250" max="250" width="14.453125" style="23" customWidth="1"/>
    <col min="251" max="251" width="7.26953125" style="23" customWidth="1"/>
    <col min="252" max="252" width="5.54296875" style="23" customWidth="1"/>
    <col min="253" max="253" width="9" style="23" customWidth="1"/>
    <col min="254" max="255" width="9.81640625" style="23" customWidth="1"/>
    <col min="256" max="256" width="11.1796875" style="23" customWidth="1"/>
    <col min="257" max="257" width="2.81640625" style="23" customWidth="1"/>
    <col min="258" max="258" width="3.54296875" style="23" customWidth="1"/>
    <col min="259" max="503" width="9.1796875" style="23"/>
    <col min="504" max="504" width="8.7265625" style="23" customWidth="1"/>
    <col min="505" max="505" width="9.81640625" style="23" customWidth="1"/>
    <col min="506" max="506" width="14.453125" style="23" customWidth="1"/>
    <col min="507" max="507" width="7.26953125" style="23" customWidth="1"/>
    <col min="508" max="508" width="5.54296875" style="23" customWidth="1"/>
    <col min="509" max="509" width="9" style="23" customWidth="1"/>
    <col min="510" max="511" width="9.81640625" style="23" customWidth="1"/>
    <col min="512" max="512" width="11.1796875" style="23" customWidth="1"/>
    <col min="513" max="513" width="2.81640625" style="23" customWidth="1"/>
    <col min="514" max="514" width="3.54296875" style="23" customWidth="1"/>
    <col min="515" max="759" width="9.1796875" style="23"/>
    <col min="760" max="760" width="8.7265625" style="23" customWidth="1"/>
    <col min="761" max="761" width="9.81640625" style="23" customWidth="1"/>
    <col min="762" max="762" width="14.453125" style="23" customWidth="1"/>
    <col min="763" max="763" width="7.26953125" style="23" customWidth="1"/>
    <col min="764" max="764" width="5.54296875" style="23" customWidth="1"/>
    <col min="765" max="765" width="9" style="23" customWidth="1"/>
    <col min="766" max="767" width="9.81640625" style="23" customWidth="1"/>
    <col min="768" max="768" width="11.1796875" style="23" customWidth="1"/>
    <col min="769" max="769" width="2.81640625" style="23" customWidth="1"/>
    <col min="770" max="770" width="3.54296875" style="23" customWidth="1"/>
    <col min="771" max="1015" width="9.1796875" style="23"/>
    <col min="1016" max="1016" width="8.7265625" style="23" customWidth="1"/>
    <col min="1017" max="1017" width="9.81640625" style="23" customWidth="1"/>
    <col min="1018" max="1018" width="14.453125" style="23" customWidth="1"/>
    <col min="1019" max="1019" width="7.26953125" style="23" customWidth="1"/>
    <col min="1020" max="1020" width="5.54296875" style="23" customWidth="1"/>
    <col min="1021" max="1021" width="9" style="23" customWidth="1"/>
    <col min="1022" max="1023" width="9.81640625" style="23" customWidth="1"/>
    <col min="1024" max="1024" width="11.1796875" style="23" customWidth="1"/>
    <col min="1025" max="1025" width="2.81640625" style="23" customWidth="1"/>
    <col min="1026" max="1026" width="3.54296875" style="23" customWidth="1"/>
    <col min="1027" max="1271" width="9.1796875" style="23"/>
    <col min="1272" max="1272" width="8.7265625" style="23" customWidth="1"/>
    <col min="1273" max="1273" width="9.81640625" style="23" customWidth="1"/>
    <col min="1274" max="1274" width="14.453125" style="23" customWidth="1"/>
    <col min="1275" max="1275" width="7.26953125" style="23" customWidth="1"/>
    <col min="1276" max="1276" width="5.54296875" style="23" customWidth="1"/>
    <col min="1277" max="1277" width="9" style="23" customWidth="1"/>
    <col min="1278" max="1279" width="9.81640625" style="23" customWidth="1"/>
    <col min="1280" max="1280" width="11.1796875" style="23" customWidth="1"/>
    <col min="1281" max="1281" width="2.81640625" style="23" customWidth="1"/>
    <col min="1282" max="1282" width="3.54296875" style="23" customWidth="1"/>
    <col min="1283" max="1527" width="9.1796875" style="23"/>
    <col min="1528" max="1528" width="8.7265625" style="23" customWidth="1"/>
    <col min="1529" max="1529" width="9.81640625" style="23" customWidth="1"/>
    <col min="1530" max="1530" width="14.453125" style="23" customWidth="1"/>
    <col min="1531" max="1531" width="7.26953125" style="23" customWidth="1"/>
    <col min="1532" max="1532" width="5.54296875" style="23" customWidth="1"/>
    <col min="1533" max="1533" width="9" style="23" customWidth="1"/>
    <col min="1534" max="1535" width="9.81640625" style="23" customWidth="1"/>
    <col min="1536" max="1536" width="11.1796875" style="23" customWidth="1"/>
    <col min="1537" max="1537" width="2.81640625" style="23" customWidth="1"/>
    <col min="1538" max="1538" width="3.54296875" style="23" customWidth="1"/>
    <col min="1539" max="1783" width="9.1796875" style="23"/>
    <col min="1784" max="1784" width="8.7265625" style="23" customWidth="1"/>
    <col min="1785" max="1785" width="9.81640625" style="23" customWidth="1"/>
    <col min="1786" max="1786" width="14.453125" style="23" customWidth="1"/>
    <col min="1787" max="1787" width="7.26953125" style="23" customWidth="1"/>
    <col min="1788" max="1788" width="5.54296875" style="23" customWidth="1"/>
    <col min="1789" max="1789" width="9" style="23" customWidth="1"/>
    <col min="1790" max="1791" width="9.81640625" style="23" customWidth="1"/>
    <col min="1792" max="1792" width="11.1796875" style="23" customWidth="1"/>
    <col min="1793" max="1793" width="2.81640625" style="23" customWidth="1"/>
    <col min="1794" max="1794" width="3.54296875" style="23" customWidth="1"/>
    <col min="1795" max="2039" width="9.1796875" style="23"/>
    <col min="2040" max="2040" width="8.7265625" style="23" customWidth="1"/>
    <col min="2041" max="2041" width="9.81640625" style="23" customWidth="1"/>
    <col min="2042" max="2042" width="14.453125" style="23" customWidth="1"/>
    <col min="2043" max="2043" width="7.26953125" style="23" customWidth="1"/>
    <col min="2044" max="2044" width="5.54296875" style="23" customWidth="1"/>
    <col min="2045" max="2045" width="9" style="23" customWidth="1"/>
    <col min="2046" max="2047" width="9.81640625" style="23" customWidth="1"/>
    <col min="2048" max="2048" width="11.1796875" style="23" customWidth="1"/>
    <col min="2049" max="2049" width="2.81640625" style="23" customWidth="1"/>
    <col min="2050" max="2050" width="3.54296875" style="23" customWidth="1"/>
    <col min="2051" max="2295" width="9.1796875" style="23"/>
    <col min="2296" max="2296" width="8.7265625" style="23" customWidth="1"/>
    <col min="2297" max="2297" width="9.81640625" style="23" customWidth="1"/>
    <col min="2298" max="2298" width="14.453125" style="23" customWidth="1"/>
    <col min="2299" max="2299" width="7.26953125" style="23" customWidth="1"/>
    <col min="2300" max="2300" width="5.54296875" style="23" customWidth="1"/>
    <col min="2301" max="2301" width="9" style="23" customWidth="1"/>
    <col min="2302" max="2303" width="9.81640625" style="23" customWidth="1"/>
    <col min="2304" max="2304" width="11.1796875" style="23" customWidth="1"/>
    <col min="2305" max="2305" width="2.81640625" style="23" customWidth="1"/>
    <col min="2306" max="2306" width="3.54296875" style="23" customWidth="1"/>
    <col min="2307" max="2551" width="9.1796875" style="23"/>
    <col min="2552" max="2552" width="8.7265625" style="23" customWidth="1"/>
    <col min="2553" max="2553" width="9.81640625" style="23" customWidth="1"/>
    <col min="2554" max="2554" width="14.453125" style="23" customWidth="1"/>
    <col min="2555" max="2555" width="7.26953125" style="23" customWidth="1"/>
    <col min="2556" max="2556" width="5.54296875" style="23" customWidth="1"/>
    <col min="2557" max="2557" width="9" style="23" customWidth="1"/>
    <col min="2558" max="2559" width="9.81640625" style="23" customWidth="1"/>
    <col min="2560" max="2560" width="11.1796875" style="23" customWidth="1"/>
    <col min="2561" max="2561" width="2.81640625" style="23" customWidth="1"/>
    <col min="2562" max="2562" width="3.54296875" style="23" customWidth="1"/>
    <col min="2563" max="2807" width="9.1796875" style="23"/>
    <col min="2808" max="2808" width="8.7265625" style="23" customWidth="1"/>
    <col min="2809" max="2809" width="9.81640625" style="23" customWidth="1"/>
    <col min="2810" max="2810" width="14.453125" style="23" customWidth="1"/>
    <col min="2811" max="2811" width="7.26953125" style="23" customWidth="1"/>
    <col min="2812" max="2812" width="5.54296875" style="23" customWidth="1"/>
    <col min="2813" max="2813" width="9" style="23" customWidth="1"/>
    <col min="2814" max="2815" width="9.81640625" style="23" customWidth="1"/>
    <col min="2816" max="2816" width="11.1796875" style="23" customWidth="1"/>
    <col min="2817" max="2817" width="2.81640625" style="23" customWidth="1"/>
    <col min="2818" max="2818" width="3.54296875" style="23" customWidth="1"/>
    <col min="2819" max="3063" width="9.1796875" style="23"/>
    <col min="3064" max="3064" width="8.7265625" style="23" customWidth="1"/>
    <col min="3065" max="3065" width="9.81640625" style="23" customWidth="1"/>
    <col min="3066" max="3066" width="14.453125" style="23" customWidth="1"/>
    <col min="3067" max="3067" width="7.26953125" style="23" customWidth="1"/>
    <col min="3068" max="3068" width="5.54296875" style="23" customWidth="1"/>
    <col min="3069" max="3069" width="9" style="23" customWidth="1"/>
    <col min="3070" max="3071" width="9.81640625" style="23" customWidth="1"/>
    <col min="3072" max="3072" width="11.1796875" style="23" customWidth="1"/>
    <col min="3073" max="3073" width="2.81640625" style="23" customWidth="1"/>
    <col min="3074" max="3074" width="3.54296875" style="23" customWidth="1"/>
    <col min="3075" max="3319" width="9.1796875" style="23"/>
    <col min="3320" max="3320" width="8.7265625" style="23" customWidth="1"/>
    <col min="3321" max="3321" width="9.81640625" style="23" customWidth="1"/>
    <col min="3322" max="3322" width="14.453125" style="23" customWidth="1"/>
    <col min="3323" max="3323" width="7.26953125" style="23" customWidth="1"/>
    <col min="3324" max="3324" width="5.54296875" style="23" customWidth="1"/>
    <col min="3325" max="3325" width="9" style="23" customWidth="1"/>
    <col min="3326" max="3327" width="9.81640625" style="23" customWidth="1"/>
    <col min="3328" max="3328" width="11.1796875" style="23" customWidth="1"/>
    <col min="3329" max="3329" width="2.81640625" style="23" customWidth="1"/>
    <col min="3330" max="3330" width="3.54296875" style="23" customWidth="1"/>
    <col min="3331" max="3575" width="9.1796875" style="23"/>
    <col min="3576" max="3576" width="8.7265625" style="23" customWidth="1"/>
    <col min="3577" max="3577" width="9.81640625" style="23" customWidth="1"/>
    <col min="3578" max="3578" width="14.453125" style="23" customWidth="1"/>
    <col min="3579" max="3579" width="7.26953125" style="23" customWidth="1"/>
    <col min="3580" max="3580" width="5.54296875" style="23" customWidth="1"/>
    <col min="3581" max="3581" width="9" style="23" customWidth="1"/>
    <col min="3582" max="3583" width="9.81640625" style="23" customWidth="1"/>
    <col min="3584" max="3584" width="11.1796875" style="23" customWidth="1"/>
    <col min="3585" max="3585" width="2.81640625" style="23" customWidth="1"/>
    <col min="3586" max="3586" width="3.54296875" style="23" customWidth="1"/>
    <col min="3587" max="3831" width="9.1796875" style="23"/>
    <col min="3832" max="3832" width="8.7265625" style="23" customWidth="1"/>
    <col min="3833" max="3833" width="9.81640625" style="23" customWidth="1"/>
    <col min="3834" max="3834" width="14.453125" style="23" customWidth="1"/>
    <col min="3835" max="3835" width="7.26953125" style="23" customWidth="1"/>
    <col min="3836" max="3836" width="5.54296875" style="23" customWidth="1"/>
    <col min="3837" max="3837" width="9" style="23" customWidth="1"/>
    <col min="3838" max="3839" width="9.81640625" style="23" customWidth="1"/>
    <col min="3840" max="3840" width="11.1796875" style="23" customWidth="1"/>
    <col min="3841" max="3841" width="2.81640625" style="23" customWidth="1"/>
    <col min="3842" max="3842" width="3.54296875" style="23" customWidth="1"/>
    <col min="3843" max="4087" width="9.1796875" style="23"/>
    <col min="4088" max="4088" width="8.7265625" style="23" customWidth="1"/>
    <col min="4089" max="4089" width="9.81640625" style="23" customWidth="1"/>
    <col min="4090" max="4090" width="14.453125" style="23" customWidth="1"/>
    <col min="4091" max="4091" width="7.26953125" style="23" customWidth="1"/>
    <col min="4092" max="4092" width="5.54296875" style="23" customWidth="1"/>
    <col min="4093" max="4093" width="9" style="23" customWidth="1"/>
    <col min="4094" max="4095" width="9.81640625" style="23" customWidth="1"/>
    <col min="4096" max="4096" width="11.1796875" style="23" customWidth="1"/>
    <col min="4097" max="4097" width="2.81640625" style="23" customWidth="1"/>
    <col min="4098" max="4098" width="3.54296875" style="23" customWidth="1"/>
    <col min="4099" max="4343" width="9.1796875" style="23"/>
    <col min="4344" max="4344" width="8.7265625" style="23" customWidth="1"/>
    <col min="4345" max="4345" width="9.81640625" style="23" customWidth="1"/>
    <col min="4346" max="4346" width="14.453125" style="23" customWidth="1"/>
    <col min="4347" max="4347" width="7.26953125" style="23" customWidth="1"/>
    <col min="4348" max="4348" width="5.54296875" style="23" customWidth="1"/>
    <col min="4349" max="4349" width="9" style="23" customWidth="1"/>
    <col min="4350" max="4351" width="9.81640625" style="23" customWidth="1"/>
    <col min="4352" max="4352" width="11.1796875" style="23" customWidth="1"/>
    <col min="4353" max="4353" width="2.81640625" style="23" customWidth="1"/>
    <col min="4354" max="4354" width="3.54296875" style="23" customWidth="1"/>
    <col min="4355" max="4599" width="9.1796875" style="23"/>
    <col min="4600" max="4600" width="8.7265625" style="23" customWidth="1"/>
    <col min="4601" max="4601" width="9.81640625" style="23" customWidth="1"/>
    <col min="4602" max="4602" width="14.453125" style="23" customWidth="1"/>
    <col min="4603" max="4603" width="7.26953125" style="23" customWidth="1"/>
    <col min="4604" max="4604" width="5.54296875" style="23" customWidth="1"/>
    <col min="4605" max="4605" width="9" style="23" customWidth="1"/>
    <col min="4606" max="4607" width="9.81640625" style="23" customWidth="1"/>
    <col min="4608" max="4608" width="11.1796875" style="23" customWidth="1"/>
    <col min="4609" max="4609" width="2.81640625" style="23" customWidth="1"/>
    <col min="4610" max="4610" width="3.54296875" style="23" customWidth="1"/>
    <col min="4611" max="4855" width="9.1796875" style="23"/>
    <col min="4856" max="4856" width="8.7265625" style="23" customWidth="1"/>
    <col min="4857" max="4857" width="9.81640625" style="23" customWidth="1"/>
    <col min="4858" max="4858" width="14.453125" style="23" customWidth="1"/>
    <col min="4859" max="4859" width="7.26953125" style="23" customWidth="1"/>
    <col min="4860" max="4860" width="5.54296875" style="23" customWidth="1"/>
    <col min="4861" max="4861" width="9" style="23" customWidth="1"/>
    <col min="4862" max="4863" width="9.81640625" style="23" customWidth="1"/>
    <col min="4864" max="4864" width="11.1796875" style="23" customWidth="1"/>
    <col min="4865" max="4865" width="2.81640625" style="23" customWidth="1"/>
    <col min="4866" max="4866" width="3.54296875" style="23" customWidth="1"/>
    <col min="4867" max="5111" width="9.1796875" style="23"/>
    <col min="5112" max="5112" width="8.7265625" style="23" customWidth="1"/>
    <col min="5113" max="5113" width="9.81640625" style="23" customWidth="1"/>
    <col min="5114" max="5114" width="14.453125" style="23" customWidth="1"/>
    <col min="5115" max="5115" width="7.26953125" style="23" customWidth="1"/>
    <col min="5116" max="5116" width="5.54296875" style="23" customWidth="1"/>
    <col min="5117" max="5117" width="9" style="23" customWidth="1"/>
    <col min="5118" max="5119" width="9.81640625" style="23" customWidth="1"/>
    <col min="5120" max="5120" width="11.1796875" style="23" customWidth="1"/>
    <col min="5121" max="5121" width="2.81640625" style="23" customWidth="1"/>
    <col min="5122" max="5122" width="3.54296875" style="23" customWidth="1"/>
    <col min="5123" max="5367" width="9.1796875" style="23"/>
    <col min="5368" max="5368" width="8.7265625" style="23" customWidth="1"/>
    <col min="5369" max="5369" width="9.81640625" style="23" customWidth="1"/>
    <col min="5370" max="5370" width="14.453125" style="23" customWidth="1"/>
    <col min="5371" max="5371" width="7.26953125" style="23" customWidth="1"/>
    <col min="5372" max="5372" width="5.54296875" style="23" customWidth="1"/>
    <col min="5373" max="5373" width="9" style="23" customWidth="1"/>
    <col min="5374" max="5375" width="9.81640625" style="23" customWidth="1"/>
    <col min="5376" max="5376" width="11.1796875" style="23" customWidth="1"/>
    <col min="5377" max="5377" width="2.81640625" style="23" customWidth="1"/>
    <col min="5378" max="5378" width="3.54296875" style="23" customWidth="1"/>
    <col min="5379" max="5623" width="9.1796875" style="23"/>
    <col min="5624" max="5624" width="8.7265625" style="23" customWidth="1"/>
    <col min="5625" max="5625" width="9.81640625" style="23" customWidth="1"/>
    <col min="5626" max="5626" width="14.453125" style="23" customWidth="1"/>
    <col min="5627" max="5627" width="7.26953125" style="23" customWidth="1"/>
    <col min="5628" max="5628" width="5.54296875" style="23" customWidth="1"/>
    <col min="5629" max="5629" width="9" style="23" customWidth="1"/>
    <col min="5630" max="5631" width="9.81640625" style="23" customWidth="1"/>
    <col min="5632" max="5632" width="11.1796875" style="23" customWidth="1"/>
    <col min="5633" max="5633" width="2.81640625" style="23" customWidth="1"/>
    <col min="5634" max="5634" width="3.54296875" style="23" customWidth="1"/>
    <col min="5635" max="5879" width="9.1796875" style="23"/>
    <col min="5880" max="5880" width="8.7265625" style="23" customWidth="1"/>
    <col min="5881" max="5881" width="9.81640625" style="23" customWidth="1"/>
    <col min="5882" max="5882" width="14.453125" style="23" customWidth="1"/>
    <col min="5883" max="5883" width="7.26953125" style="23" customWidth="1"/>
    <col min="5884" max="5884" width="5.54296875" style="23" customWidth="1"/>
    <col min="5885" max="5885" width="9" style="23" customWidth="1"/>
    <col min="5886" max="5887" width="9.81640625" style="23" customWidth="1"/>
    <col min="5888" max="5888" width="11.1796875" style="23" customWidth="1"/>
    <col min="5889" max="5889" width="2.81640625" style="23" customWidth="1"/>
    <col min="5890" max="5890" width="3.54296875" style="23" customWidth="1"/>
    <col min="5891" max="6135" width="9.1796875" style="23"/>
    <col min="6136" max="6136" width="8.7265625" style="23" customWidth="1"/>
    <col min="6137" max="6137" width="9.81640625" style="23" customWidth="1"/>
    <col min="6138" max="6138" width="14.453125" style="23" customWidth="1"/>
    <col min="6139" max="6139" width="7.26953125" style="23" customWidth="1"/>
    <col min="6140" max="6140" width="5.54296875" style="23" customWidth="1"/>
    <col min="6141" max="6141" width="9" style="23" customWidth="1"/>
    <col min="6142" max="6143" width="9.81640625" style="23" customWidth="1"/>
    <col min="6144" max="6144" width="11.1796875" style="23" customWidth="1"/>
    <col min="6145" max="6145" width="2.81640625" style="23" customWidth="1"/>
    <col min="6146" max="6146" width="3.54296875" style="23" customWidth="1"/>
    <col min="6147" max="6391" width="9.1796875" style="23"/>
    <col min="6392" max="6392" width="8.7265625" style="23" customWidth="1"/>
    <col min="6393" max="6393" width="9.81640625" style="23" customWidth="1"/>
    <col min="6394" max="6394" width="14.453125" style="23" customWidth="1"/>
    <col min="6395" max="6395" width="7.26953125" style="23" customWidth="1"/>
    <col min="6396" max="6396" width="5.54296875" style="23" customWidth="1"/>
    <col min="6397" max="6397" width="9" style="23" customWidth="1"/>
    <col min="6398" max="6399" width="9.81640625" style="23" customWidth="1"/>
    <col min="6400" max="6400" width="11.1796875" style="23" customWidth="1"/>
    <col min="6401" max="6401" width="2.81640625" style="23" customWidth="1"/>
    <col min="6402" max="6402" width="3.54296875" style="23" customWidth="1"/>
    <col min="6403" max="6647" width="9.1796875" style="23"/>
    <col min="6648" max="6648" width="8.7265625" style="23" customWidth="1"/>
    <col min="6649" max="6649" width="9.81640625" style="23" customWidth="1"/>
    <col min="6650" max="6650" width="14.453125" style="23" customWidth="1"/>
    <col min="6651" max="6651" width="7.26953125" style="23" customWidth="1"/>
    <col min="6652" max="6652" width="5.54296875" style="23" customWidth="1"/>
    <col min="6653" max="6653" width="9" style="23" customWidth="1"/>
    <col min="6654" max="6655" width="9.81640625" style="23" customWidth="1"/>
    <col min="6656" max="6656" width="11.1796875" style="23" customWidth="1"/>
    <col min="6657" max="6657" width="2.81640625" style="23" customWidth="1"/>
    <col min="6658" max="6658" width="3.54296875" style="23" customWidth="1"/>
    <col min="6659" max="6903" width="9.1796875" style="23"/>
    <col min="6904" max="6904" width="8.7265625" style="23" customWidth="1"/>
    <col min="6905" max="6905" width="9.81640625" style="23" customWidth="1"/>
    <col min="6906" max="6906" width="14.453125" style="23" customWidth="1"/>
    <col min="6907" max="6907" width="7.26953125" style="23" customWidth="1"/>
    <col min="6908" max="6908" width="5.54296875" style="23" customWidth="1"/>
    <col min="6909" max="6909" width="9" style="23" customWidth="1"/>
    <col min="6910" max="6911" width="9.81640625" style="23" customWidth="1"/>
    <col min="6912" max="6912" width="11.1796875" style="23" customWidth="1"/>
    <col min="6913" max="6913" width="2.81640625" style="23" customWidth="1"/>
    <col min="6914" max="6914" width="3.54296875" style="23" customWidth="1"/>
    <col min="6915" max="7159" width="9.1796875" style="23"/>
    <col min="7160" max="7160" width="8.7265625" style="23" customWidth="1"/>
    <col min="7161" max="7161" width="9.81640625" style="23" customWidth="1"/>
    <col min="7162" max="7162" width="14.453125" style="23" customWidth="1"/>
    <col min="7163" max="7163" width="7.26953125" style="23" customWidth="1"/>
    <col min="7164" max="7164" width="5.54296875" style="23" customWidth="1"/>
    <col min="7165" max="7165" width="9" style="23" customWidth="1"/>
    <col min="7166" max="7167" width="9.81640625" style="23" customWidth="1"/>
    <col min="7168" max="7168" width="11.1796875" style="23" customWidth="1"/>
    <col min="7169" max="7169" width="2.81640625" style="23" customWidth="1"/>
    <col min="7170" max="7170" width="3.54296875" style="23" customWidth="1"/>
    <col min="7171" max="7415" width="9.1796875" style="23"/>
    <col min="7416" max="7416" width="8.7265625" style="23" customWidth="1"/>
    <col min="7417" max="7417" width="9.81640625" style="23" customWidth="1"/>
    <col min="7418" max="7418" width="14.453125" style="23" customWidth="1"/>
    <col min="7419" max="7419" width="7.26953125" style="23" customWidth="1"/>
    <col min="7420" max="7420" width="5.54296875" style="23" customWidth="1"/>
    <col min="7421" max="7421" width="9" style="23" customWidth="1"/>
    <col min="7422" max="7423" width="9.81640625" style="23" customWidth="1"/>
    <col min="7424" max="7424" width="11.1796875" style="23" customWidth="1"/>
    <col min="7425" max="7425" width="2.81640625" style="23" customWidth="1"/>
    <col min="7426" max="7426" width="3.54296875" style="23" customWidth="1"/>
    <col min="7427" max="7671" width="9.1796875" style="23"/>
    <col min="7672" max="7672" width="8.7265625" style="23" customWidth="1"/>
    <col min="7673" max="7673" width="9.81640625" style="23" customWidth="1"/>
    <col min="7674" max="7674" width="14.453125" style="23" customWidth="1"/>
    <col min="7675" max="7675" width="7.26953125" style="23" customWidth="1"/>
    <col min="7676" max="7676" width="5.54296875" style="23" customWidth="1"/>
    <col min="7677" max="7677" width="9" style="23" customWidth="1"/>
    <col min="7678" max="7679" width="9.81640625" style="23" customWidth="1"/>
    <col min="7680" max="7680" width="11.1796875" style="23" customWidth="1"/>
    <col min="7681" max="7681" width="2.81640625" style="23" customWidth="1"/>
    <col min="7682" max="7682" width="3.54296875" style="23" customWidth="1"/>
    <col min="7683" max="7927" width="9.1796875" style="23"/>
    <col min="7928" max="7928" width="8.7265625" style="23" customWidth="1"/>
    <col min="7929" max="7929" width="9.81640625" style="23" customWidth="1"/>
    <col min="7930" max="7930" width="14.453125" style="23" customWidth="1"/>
    <col min="7931" max="7931" width="7.26953125" style="23" customWidth="1"/>
    <col min="7932" max="7932" width="5.54296875" style="23" customWidth="1"/>
    <col min="7933" max="7933" width="9" style="23" customWidth="1"/>
    <col min="7934" max="7935" width="9.81640625" style="23" customWidth="1"/>
    <col min="7936" max="7936" width="11.1796875" style="23" customWidth="1"/>
    <col min="7937" max="7937" width="2.81640625" style="23" customWidth="1"/>
    <col min="7938" max="7938" width="3.54296875" style="23" customWidth="1"/>
    <col min="7939" max="8183" width="9.1796875" style="23"/>
    <col min="8184" max="8184" width="8.7265625" style="23" customWidth="1"/>
    <col min="8185" max="8185" width="9.81640625" style="23" customWidth="1"/>
    <col min="8186" max="8186" width="14.453125" style="23" customWidth="1"/>
    <col min="8187" max="8187" width="7.26953125" style="23" customWidth="1"/>
    <col min="8188" max="8188" width="5.54296875" style="23" customWidth="1"/>
    <col min="8189" max="8189" width="9" style="23" customWidth="1"/>
    <col min="8190" max="8191" width="9.81640625" style="23" customWidth="1"/>
    <col min="8192" max="8192" width="11.1796875" style="23" customWidth="1"/>
    <col min="8193" max="8193" width="2.81640625" style="23" customWidth="1"/>
    <col min="8194" max="8194" width="3.54296875" style="23" customWidth="1"/>
    <col min="8195" max="8439" width="9.1796875" style="23"/>
    <col min="8440" max="8440" width="8.7265625" style="23" customWidth="1"/>
    <col min="8441" max="8441" width="9.81640625" style="23" customWidth="1"/>
    <col min="8442" max="8442" width="14.453125" style="23" customWidth="1"/>
    <col min="8443" max="8443" width="7.26953125" style="23" customWidth="1"/>
    <col min="8444" max="8444" width="5.54296875" style="23" customWidth="1"/>
    <col min="8445" max="8445" width="9" style="23" customWidth="1"/>
    <col min="8446" max="8447" width="9.81640625" style="23" customWidth="1"/>
    <col min="8448" max="8448" width="11.1796875" style="23" customWidth="1"/>
    <col min="8449" max="8449" width="2.81640625" style="23" customWidth="1"/>
    <col min="8450" max="8450" width="3.54296875" style="23" customWidth="1"/>
    <col min="8451" max="8695" width="9.1796875" style="23"/>
    <col min="8696" max="8696" width="8.7265625" style="23" customWidth="1"/>
    <col min="8697" max="8697" width="9.81640625" style="23" customWidth="1"/>
    <col min="8698" max="8698" width="14.453125" style="23" customWidth="1"/>
    <col min="8699" max="8699" width="7.26953125" style="23" customWidth="1"/>
    <col min="8700" max="8700" width="5.54296875" style="23" customWidth="1"/>
    <col min="8701" max="8701" width="9" style="23" customWidth="1"/>
    <col min="8702" max="8703" width="9.81640625" style="23" customWidth="1"/>
    <col min="8704" max="8704" width="11.1796875" style="23" customWidth="1"/>
    <col min="8705" max="8705" width="2.81640625" style="23" customWidth="1"/>
    <col min="8706" max="8706" width="3.54296875" style="23" customWidth="1"/>
    <col min="8707" max="8951" width="9.1796875" style="23"/>
    <col min="8952" max="8952" width="8.7265625" style="23" customWidth="1"/>
    <col min="8953" max="8953" width="9.81640625" style="23" customWidth="1"/>
    <col min="8954" max="8954" width="14.453125" style="23" customWidth="1"/>
    <col min="8955" max="8955" width="7.26953125" style="23" customWidth="1"/>
    <col min="8956" max="8956" width="5.54296875" style="23" customWidth="1"/>
    <col min="8957" max="8957" width="9" style="23" customWidth="1"/>
    <col min="8958" max="8959" width="9.81640625" style="23" customWidth="1"/>
    <col min="8960" max="8960" width="11.1796875" style="23" customWidth="1"/>
    <col min="8961" max="8961" width="2.81640625" style="23" customWidth="1"/>
    <col min="8962" max="8962" width="3.54296875" style="23" customWidth="1"/>
    <col min="8963" max="9207" width="9.1796875" style="23"/>
    <col min="9208" max="9208" width="8.7265625" style="23" customWidth="1"/>
    <col min="9209" max="9209" width="9.81640625" style="23" customWidth="1"/>
    <col min="9210" max="9210" width="14.453125" style="23" customWidth="1"/>
    <col min="9211" max="9211" width="7.26953125" style="23" customWidth="1"/>
    <col min="9212" max="9212" width="5.54296875" style="23" customWidth="1"/>
    <col min="9213" max="9213" width="9" style="23" customWidth="1"/>
    <col min="9214" max="9215" width="9.81640625" style="23" customWidth="1"/>
    <col min="9216" max="9216" width="11.1796875" style="23" customWidth="1"/>
    <col min="9217" max="9217" width="2.81640625" style="23" customWidth="1"/>
    <col min="9218" max="9218" width="3.54296875" style="23" customWidth="1"/>
    <col min="9219" max="9463" width="9.1796875" style="23"/>
    <col min="9464" max="9464" width="8.7265625" style="23" customWidth="1"/>
    <col min="9465" max="9465" width="9.81640625" style="23" customWidth="1"/>
    <col min="9466" max="9466" width="14.453125" style="23" customWidth="1"/>
    <col min="9467" max="9467" width="7.26953125" style="23" customWidth="1"/>
    <col min="9468" max="9468" width="5.54296875" style="23" customWidth="1"/>
    <col min="9469" max="9469" width="9" style="23" customWidth="1"/>
    <col min="9470" max="9471" width="9.81640625" style="23" customWidth="1"/>
    <col min="9472" max="9472" width="11.1796875" style="23" customWidth="1"/>
    <col min="9473" max="9473" width="2.81640625" style="23" customWidth="1"/>
    <col min="9474" max="9474" width="3.54296875" style="23" customWidth="1"/>
    <col min="9475" max="9719" width="9.1796875" style="23"/>
    <col min="9720" max="9720" width="8.7265625" style="23" customWidth="1"/>
    <col min="9721" max="9721" width="9.81640625" style="23" customWidth="1"/>
    <col min="9722" max="9722" width="14.453125" style="23" customWidth="1"/>
    <col min="9723" max="9723" width="7.26953125" style="23" customWidth="1"/>
    <col min="9724" max="9724" width="5.54296875" style="23" customWidth="1"/>
    <col min="9725" max="9725" width="9" style="23" customWidth="1"/>
    <col min="9726" max="9727" width="9.81640625" style="23" customWidth="1"/>
    <col min="9728" max="9728" width="11.1796875" style="23" customWidth="1"/>
    <col min="9729" max="9729" width="2.81640625" style="23" customWidth="1"/>
    <col min="9730" max="9730" width="3.54296875" style="23" customWidth="1"/>
    <col min="9731" max="9975" width="9.1796875" style="23"/>
    <col min="9976" max="9976" width="8.7265625" style="23" customWidth="1"/>
    <col min="9977" max="9977" width="9.81640625" style="23" customWidth="1"/>
    <col min="9978" max="9978" width="14.453125" style="23" customWidth="1"/>
    <col min="9979" max="9979" width="7.26953125" style="23" customWidth="1"/>
    <col min="9980" max="9980" width="5.54296875" style="23" customWidth="1"/>
    <col min="9981" max="9981" width="9" style="23" customWidth="1"/>
    <col min="9982" max="9983" width="9.81640625" style="23" customWidth="1"/>
    <col min="9984" max="9984" width="11.1796875" style="23" customWidth="1"/>
    <col min="9985" max="9985" width="2.81640625" style="23" customWidth="1"/>
    <col min="9986" max="9986" width="3.54296875" style="23" customWidth="1"/>
    <col min="9987" max="10231" width="9.1796875" style="23"/>
    <col min="10232" max="10232" width="8.7265625" style="23" customWidth="1"/>
    <col min="10233" max="10233" width="9.81640625" style="23" customWidth="1"/>
    <col min="10234" max="10234" width="14.453125" style="23" customWidth="1"/>
    <col min="10235" max="10235" width="7.26953125" style="23" customWidth="1"/>
    <col min="10236" max="10236" width="5.54296875" style="23" customWidth="1"/>
    <col min="10237" max="10237" width="9" style="23" customWidth="1"/>
    <col min="10238" max="10239" width="9.81640625" style="23" customWidth="1"/>
    <col min="10240" max="10240" width="11.1796875" style="23" customWidth="1"/>
    <col min="10241" max="10241" width="2.81640625" style="23" customWidth="1"/>
    <col min="10242" max="10242" width="3.54296875" style="23" customWidth="1"/>
    <col min="10243" max="10487" width="9.1796875" style="23"/>
    <col min="10488" max="10488" width="8.7265625" style="23" customWidth="1"/>
    <col min="10489" max="10489" width="9.81640625" style="23" customWidth="1"/>
    <col min="10490" max="10490" width="14.453125" style="23" customWidth="1"/>
    <col min="10491" max="10491" width="7.26953125" style="23" customWidth="1"/>
    <col min="10492" max="10492" width="5.54296875" style="23" customWidth="1"/>
    <col min="10493" max="10493" width="9" style="23" customWidth="1"/>
    <col min="10494" max="10495" width="9.81640625" style="23" customWidth="1"/>
    <col min="10496" max="10496" width="11.1796875" style="23" customWidth="1"/>
    <col min="10497" max="10497" width="2.81640625" style="23" customWidth="1"/>
    <col min="10498" max="10498" width="3.54296875" style="23" customWidth="1"/>
    <col min="10499" max="10743" width="9.1796875" style="23"/>
    <col min="10744" max="10744" width="8.7265625" style="23" customWidth="1"/>
    <col min="10745" max="10745" width="9.81640625" style="23" customWidth="1"/>
    <col min="10746" max="10746" width="14.453125" style="23" customWidth="1"/>
    <col min="10747" max="10747" width="7.26953125" style="23" customWidth="1"/>
    <col min="10748" max="10748" width="5.54296875" style="23" customWidth="1"/>
    <col min="10749" max="10749" width="9" style="23" customWidth="1"/>
    <col min="10750" max="10751" width="9.81640625" style="23" customWidth="1"/>
    <col min="10752" max="10752" width="11.1796875" style="23" customWidth="1"/>
    <col min="10753" max="10753" width="2.81640625" style="23" customWidth="1"/>
    <col min="10754" max="10754" width="3.54296875" style="23" customWidth="1"/>
    <col min="10755" max="10999" width="9.1796875" style="23"/>
    <col min="11000" max="11000" width="8.7265625" style="23" customWidth="1"/>
    <col min="11001" max="11001" width="9.81640625" style="23" customWidth="1"/>
    <col min="11002" max="11002" width="14.453125" style="23" customWidth="1"/>
    <col min="11003" max="11003" width="7.26953125" style="23" customWidth="1"/>
    <col min="11004" max="11004" width="5.54296875" style="23" customWidth="1"/>
    <col min="11005" max="11005" width="9" style="23" customWidth="1"/>
    <col min="11006" max="11007" width="9.81640625" style="23" customWidth="1"/>
    <col min="11008" max="11008" width="11.1796875" style="23" customWidth="1"/>
    <col min="11009" max="11009" width="2.81640625" style="23" customWidth="1"/>
    <col min="11010" max="11010" width="3.54296875" style="23" customWidth="1"/>
    <col min="11011" max="11255" width="9.1796875" style="23"/>
    <col min="11256" max="11256" width="8.7265625" style="23" customWidth="1"/>
    <col min="11257" max="11257" width="9.81640625" style="23" customWidth="1"/>
    <col min="11258" max="11258" width="14.453125" style="23" customWidth="1"/>
    <col min="11259" max="11259" width="7.26953125" style="23" customWidth="1"/>
    <col min="11260" max="11260" width="5.54296875" style="23" customWidth="1"/>
    <col min="11261" max="11261" width="9" style="23" customWidth="1"/>
    <col min="11262" max="11263" width="9.81640625" style="23" customWidth="1"/>
    <col min="11264" max="11264" width="11.1796875" style="23" customWidth="1"/>
    <col min="11265" max="11265" width="2.81640625" style="23" customWidth="1"/>
    <col min="11266" max="11266" width="3.54296875" style="23" customWidth="1"/>
    <col min="11267" max="11511" width="9.1796875" style="23"/>
    <col min="11512" max="11512" width="8.7265625" style="23" customWidth="1"/>
    <col min="11513" max="11513" width="9.81640625" style="23" customWidth="1"/>
    <col min="11514" max="11514" width="14.453125" style="23" customWidth="1"/>
    <col min="11515" max="11515" width="7.26953125" style="23" customWidth="1"/>
    <col min="11516" max="11516" width="5.54296875" style="23" customWidth="1"/>
    <col min="11517" max="11517" width="9" style="23" customWidth="1"/>
    <col min="11518" max="11519" width="9.81640625" style="23" customWidth="1"/>
    <col min="11520" max="11520" width="11.1796875" style="23" customWidth="1"/>
    <col min="11521" max="11521" width="2.81640625" style="23" customWidth="1"/>
    <col min="11522" max="11522" width="3.54296875" style="23" customWidth="1"/>
    <col min="11523" max="11767" width="9.1796875" style="23"/>
    <col min="11768" max="11768" width="8.7265625" style="23" customWidth="1"/>
    <col min="11769" max="11769" width="9.81640625" style="23" customWidth="1"/>
    <col min="11770" max="11770" width="14.453125" style="23" customWidth="1"/>
    <col min="11771" max="11771" width="7.26953125" style="23" customWidth="1"/>
    <col min="11772" max="11772" width="5.54296875" style="23" customWidth="1"/>
    <col min="11773" max="11773" width="9" style="23" customWidth="1"/>
    <col min="11774" max="11775" width="9.81640625" style="23" customWidth="1"/>
    <col min="11776" max="11776" width="11.1796875" style="23" customWidth="1"/>
    <col min="11777" max="11777" width="2.81640625" style="23" customWidth="1"/>
    <col min="11778" max="11778" width="3.54296875" style="23" customWidth="1"/>
    <col min="11779" max="12023" width="9.1796875" style="23"/>
    <col min="12024" max="12024" width="8.7265625" style="23" customWidth="1"/>
    <col min="12025" max="12025" width="9.81640625" style="23" customWidth="1"/>
    <col min="12026" max="12026" width="14.453125" style="23" customWidth="1"/>
    <col min="12027" max="12027" width="7.26953125" style="23" customWidth="1"/>
    <col min="12028" max="12028" width="5.54296875" style="23" customWidth="1"/>
    <col min="12029" max="12029" width="9" style="23" customWidth="1"/>
    <col min="12030" max="12031" width="9.81640625" style="23" customWidth="1"/>
    <col min="12032" max="12032" width="11.1796875" style="23" customWidth="1"/>
    <col min="12033" max="12033" width="2.81640625" style="23" customWidth="1"/>
    <col min="12034" max="12034" width="3.54296875" style="23" customWidth="1"/>
    <col min="12035" max="12279" width="9.1796875" style="23"/>
    <col min="12280" max="12280" width="8.7265625" style="23" customWidth="1"/>
    <col min="12281" max="12281" width="9.81640625" style="23" customWidth="1"/>
    <col min="12282" max="12282" width="14.453125" style="23" customWidth="1"/>
    <col min="12283" max="12283" width="7.26953125" style="23" customWidth="1"/>
    <col min="12284" max="12284" width="5.54296875" style="23" customWidth="1"/>
    <col min="12285" max="12285" width="9" style="23" customWidth="1"/>
    <col min="12286" max="12287" width="9.81640625" style="23" customWidth="1"/>
    <col min="12288" max="12288" width="11.1796875" style="23" customWidth="1"/>
    <col min="12289" max="12289" width="2.81640625" style="23" customWidth="1"/>
    <col min="12290" max="12290" width="3.54296875" style="23" customWidth="1"/>
    <col min="12291" max="12535" width="9.1796875" style="23"/>
    <col min="12536" max="12536" width="8.7265625" style="23" customWidth="1"/>
    <col min="12537" max="12537" width="9.81640625" style="23" customWidth="1"/>
    <col min="12538" max="12538" width="14.453125" style="23" customWidth="1"/>
    <col min="12539" max="12539" width="7.26953125" style="23" customWidth="1"/>
    <col min="12540" max="12540" width="5.54296875" style="23" customWidth="1"/>
    <col min="12541" max="12541" width="9" style="23" customWidth="1"/>
    <col min="12542" max="12543" width="9.81640625" style="23" customWidth="1"/>
    <col min="12544" max="12544" width="11.1796875" style="23" customWidth="1"/>
    <col min="12545" max="12545" width="2.81640625" style="23" customWidth="1"/>
    <col min="12546" max="12546" width="3.54296875" style="23" customWidth="1"/>
    <col min="12547" max="12791" width="9.1796875" style="23"/>
    <col min="12792" max="12792" width="8.7265625" style="23" customWidth="1"/>
    <col min="12793" max="12793" width="9.81640625" style="23" customWidth="1"/>
    <col min="12794" max="12794" width="14.453125" style="23" customWidth="1"/>
    <col min="12795" max="12795" width="7.26953125" style="23" customWidth="1"/>
    <col min="12796" max="12796" width="5.54296875" style="23" customWidth="1"/>
    <col min="12797" max="12797" width="9" style="23" customWidth="1"/>
    <col min="12798" max="12799" width="9.81640625" style="23" customWidth="1"/>
    <col min="12800" max="12800" width="11.1796875" style="23" customWidth="1"/>
    <col min="12801" max="12801" width="2.81640625" style="23" customWidth="1"/>
    <col min="12802" max="12802" width="3.54296875" style="23" customWidth="1"/>
    <col min="12803" max="13047" width="9.1796875" style="23"/>
    <col min="13048" max="13048" width="8.7265625" style="23" customWidth="1"/>
    <col min="13049" max="13049" width="9.81640625" style="23" customWidth="1"/>
    <col min="13050" max="13050" width="14.453125" style="23" customWidth="1"/>
    <col min="13051" max="13051" width="7.26953125" style="23" customWidth="1"/>
    <col min="13052" max="13052" width="5.54296875" style="23" customWidth="1"/>
    <col min="13053" max="13053" width="9" style="23" customWidth="1"/>
    <col min="13054" max="13055" width="9.81640625" style="23" customWidth="1"/>
    <col min="13056" max="13056" width="11.1796875" style="23" customWidth="1"/>
    <col min="13057" max="13057" width="2.81640625" style="23" customWidth="1"/>
    <col min="13058" max="13058" width="3.54296875" style="23" customWidth="1"/>
    <col min="13059" max="13303" width="9.1796875" style="23"/>
    <col min="13304" max="13304" width="8.7265625" style="23" customWidth="1"/>
    <col min="13305" max="13305" width="9.81640625" style="23" customWidth="1"/>
    <col min="13306" max="13306" width="14.453125" style="23" customWidth="1"/>
    <col min="13307" max="13307" width="7.26953125" style="23" customWidth="1"/>
    <col min="13308" max="13308" width="5.54296875" style="23" customWidth="1"/>
    <col min="13309" max="13309" width="9" style="23" customWidth="1"/>
    <col min="13310" max="13311" width="9.81640625" style="23" customWidth="1"/>
    <col min="13312" max="13312" width="11.1796875" style="23" customWidth="1"/>
    <col min="13313" max="13313" width="2.81640625" style="23" customWidth="1"/>
    <col min="13314" max="13314" width="3.54296875" style="23" customWidth="1"/>
    <col min="13315" max="13559" width="9.1796875" style="23"/>
    <col min="13560" max="13560" width="8.7265625" style="23" customWidth="1"/>
    <col min="13561" max="13561" width="9.81640625" style="23" customWidth="1"/>
    <col min="13562" max="13562" width="14.453125" style="23" customWidth="1"/>
    <col min="13563" max="13563" width="7.26953125" style="23" customWidth="1"/>
    <col min="13564" max="13564" width="5.54296875" style="23" customWidth="1"/>
    <col min="13565" max="13565" width="9" style="23" customWidth="1"/>
    <col min="13566" max="13567" width="9.81640625" style="23" customWidth="1"/>
    <col min="13568" max="13568" width="11.1796875" style="23" customWidth="1"/>
    <col min="13569" max="13569" width="2.81640625" style="23" customWidth="1"/>
    <col min="13570" max="13570" width="3.54296875" style="23" customWidth="1"/>
    <col min="13571" max="13815" width="9.1796875" style="23"/>
    <col min="13816" max="13816" width="8.7265625" style="23" customWidth="1"/>
    <col min="13817" max="13817" width="9.81640625" style="23" customWidth="1"/>
    <col min="13818" max="13818" width="14.453125" style="23" customWidth="1"/>
    <col min="13819" max="13819" width="7.26953125" style="23" customWidth="1"/>
    <col min="13820" max="13820" width="5.54296875" style="23" customWidth="1"/>
    <col min="13821" max="13821" width="9" style="23" customWidth="1"/>
    <col min="13822" max="13823" width="9.81640625" style="23" customWidth="1"/>
    <col min="13824" max="13824" width="11.1796875" style="23" customWidth="1"/>
    <col min="13825" max="13825" width="2.81640625" style="23" customWidth="1"/>
    <col min="13826" max="13826" width="3.54296875" style="23" customWidth="1"/>
    <col min="13827" max="14071" width="9.1796875" style="23"/>
    <col min="14072" max="14072" width="8.7265625" style="23" customWidth="1"/>
    <col min="14073" max="14073" width="9.81640625" style="23" customWidth="1"/>
    <col min="14074" max="14074" width="14.453125" style="23" customWidth="1"/>
    <col min="14075" max="14075" width="7.26953125" style="23" customWidth="1"/>
    <col min="14076" max="14076" width="5.54296875" style="23" customWidth="1"/>
    <col min="14077" max="14077" width="9" style="23" customWidth="1"/>
    <col min="14078" max="14079" width="9.81640625" style="23" customWidth="1"/>
    <col min="14080" max="14080" width="11.1796875" style="23" customWidth="1"/>
    <col min="14081" max="14081" width="2.81640625" style="23" customWidth="1"/>
    <col min="14082" max="14082" width="3.54296875" style="23" customWidth="1"/>
    <col min="14083" max="14327" width="9.1796875" style="23"/>
    <col min="14328" max="14328" width="8.7265625" style="23" customWidth="1"/>
    <col min="14329" max="14329" width="9.81640625" style="23" customWidth="1"/>
    <col min="14330" max="14330" width="14.453125" style="23" customWidth="1"/>
    <col min="14331" max="14331" width="7.26953125" style="23" customWidth="1"/>
    <col min="14332" max="14332" width="5.54296875" style="23" customWidth="1"/>
    <col min="14333" max="14333" width="9" style="23" customWidth="1"/>
    <col min="14334" max="14335" width="9.81640625" style="23" customWidth="1"/>
    <col min="14336" max="14336" width="11.1796875" style="23" customWidth="1"/>
    <col min="14337" max="14337" width="2.81640625" style="23" customWidth="1"/>
    <col min="14338" max="14338" width="3.54296875" style="23" customWidth="1"/>
    <col min="14339" max="14583" width="9.1796875" style="23"/>
    <col min="14584" max="14584" width="8.7265625" style="23" customWidth="1"/>
    <col min="14585" max="14585" width="9.81640625" style="23" customWidth="1"/>
    <col min="14586" max="14586" width="14.453125" style="23" customWidth="1"/>
    <col min="14587" max="14587" width="7.26953125" style="23" customWidth="1"/>
    <col min="14588" max="14588" width="5.54296875" style="23" customWidth="1"/>
    <col min="14589" max="14589" width="9" style="23" customWidth="1"/>
    <col min="14590" max="14591" width="9.81640625" style="23" customWidth="1"/>
    <col min="14592" max="14592" width="11.1796875" style="23" customWidth="1"/>
    <col min="14593" max="14593" width="2.81640625" style="23" customWidth="1"/>
    <col min="14594" max="14594" width="3.54296875" style="23" customWidth="1"/>
    <col min="14595" max="14839" width="9.1796875" style="23"/>
    <col min="14840" max="14840" width="8.7265625" style="23" customWidth="1"/>
    <col min="14841" max="14841" width="9.81640625" style="23" customWidth="1"/>
    <col min="14842" max="14842" width="14.453125" style="23" customWidth="1"/>
    <col min="14843" max="14843" width="7.26953125" style="23" customWidth="1"/>
    <col min="14844" max="14844" width="5.54296875" style="23" customWidth="1"/>
    <col min="14845" max="14845" width="9" style="23" customWidth="1"/>
    <col min="14846" max="14847" width="9.81640625" style="23" customWidth="1"/>
    <col min="14848" max="14848" width="11.1796875" style="23" customWidth="1"/>
    <col min="14849" max="14849" width="2.81640625" style="23" customWidth="1"/>
    <col min="14850" max="14850" width="3.54296875" style="23" customWidth="1"/>
    <col min="14851" max="15095" width="9.1796875" style="23"/>
    <col min="15096" max="15096" width="8.7265625" style="23" customWidth="1"/>
    <col min="15097" max="15097" width="9.81640625" style="23" customWidth="1"/>
    <col min="15098" max="15098" width="14.453125" style="23" customWidth="1"/>
    <col min="15099" max="15099" width="7.26953125" style="23" customWidth="1"/>
    <col min="15100" max="15100" width="5.54296875" style="23" customWidth="1"/>
    <col min="15101" max="15101" width="9" style="23" customWidth="1"/>
    <col min="15102" max="15103" width="9.81640625" style="23" customWidth="1"/>
    <col min="15104" max="15104" width="11.1796875" style="23" customWidth="1"/>
    <col min="15105" max="15105" width="2.81640625" style="23" customWidth="1"/>
    <col min="15106" max="15106" width="3.54296875" style="23" customWidth="1"/>
    <col min="15107" max="15351" width="9.1796875" style="23"/>
    <col min="15352" max="15352" width="8.7265625" style="23" customWidth="1"/>
    <col min="15353" max="15353" width="9.81640625" style="23" customWidth="1"/>
    <col min="15354" max="15354" width="14.453125" style="23" customWidth="1"/>
    <col min="15355" max="15355" width="7.26953125" style="23" customWidth="1"/>
    <col min="15356" max="15356" width="5.54296875" style="23" customWidth="1"/>
    <col min="15357" max="15357" width="9" style="23" customWidth="1"/>
    <col min="15358" max="15359" width="9.81640625" style="23" customWidth="1"/>
    <col min="15360" max="15360" width="11.1796875" style="23" customWidth="1"/>
    <col min="15361" max="15361" width="2.81640625" style="23" customWidth="1"/>
    <col min="15362" max="15362" width="3.54296875" style="23" customWidth="1"/>
    <col min="15363" max="15607" width="9.1796875" style="23"/>
    <col min="15608" max="15608" width="8.7265625" style="23" customWidth="1"/>
    <col min="15609" max="15609" width="9.81640625" style="23" customWidth="1"/>
    <col min="15610" max="15610" width="14.453125" style="23" customWidth="1"/>
    <col min="15611" max="15611" width="7.26953125" style="23" customWidth="1"/>
    <col min="15612" max="15612" width="5.54296875" style="23" customWidth="1"/>
    <col min="15613" max="15613" width="9" style="23" customWidth="1"/>
    <col min="15614" max="15615" width="9.81640625" style="23" customWidth="1"/>
    <col min="15616" max="15616" width="11.1796875" style="23" customWidth="1"/>
    <col min="15617" max="15617" width="2.81640625" style="23" customWidth="1"/>
    <col min="15618" max="15618" width="3.54296875" style="23" customWidth="1"/>
    <col min="15619" max="15863" width="9.1796875" style="23"/>
    <col min="15864" max="15864" width="8.7265625" style="23" customWidth="1"/>
    <col min="15865" max="15865" width="9.81640625" style="23" customWidth="1"/>
    <col min="15866" max="15866" width="14.453125" style="23" customWidth="1"/>
    <col min="15867" max="15867" width="7.26953125" style="23" customWidth="1"/>
    <col min="15868" max="15868" width="5.54296875" style="23" customWidth="1"/>
    <col min="15869" max="15869" width="9" style="23" customWidth="1"/>
    <col min="15870" max="15871" width="9.81640625" style="23" customWidth="1"/>
    <col min="15872" max="15872" width="11.1796875" style="23" customWidth="1"/>
    <col min="15873" max="15873" width="2.81640625" style="23" customWidth="1"/>
    <col min="15874" max="15874" width="3.54296875" style="23" customWidth="1"/>
    <col min="15875" max="16119" width="9.1796875" style="23"/>
    <col min="16120" max="16120" width="8.7265625" style="23" customWidth="1"/>
    <col min="16121" max="16121" width="9.81640625" style="23" customWidth="1"/>
    <col min="16122" max="16122" width="14.453125" style="23" customWidth="1"/>
    <col min="16123" max="16123" width="7.26953125" style="23" customWidth="1"/>
    <col min="16124" max="16124" width="5.54296875" style="23" customWidth="1"/>
    <col min="16125" max="16125" width="9" style="23" customWidth="1"/>
    <col min="16126" max="16127" width="9.81640625" style="23" customWidth="1"/>
    <col min="16128" max="16128" width="11.1796875" style="23" customWidth="1"/>
    <col min="16129" max="16129" width="2.81640625" style="23" customWidth="1"/>
    <col min="16130" max="16130" width="3.54296875" style="23" customWidth="1"/>
    <col min="16131" max="16384" width="9.1796875" style="23"/>
  </cols>
  <sheetData>
    <row r="1" spans="1:8" ht="46.5" customHeight="1" x14ac:dyDescent="0.35">
      <c r="A1" s="190" t="s">
        <v>230</v>
      </c>
      <c r="B1" s="190"/>
      <c r="C1" s="190"/>
      <c r="D1" s="190"/>
      <c r="E1" s="190"/>
      <c r="F1" s="190"/>
      <c r="G1" s="190"/>
      <c r="H1" s="190"/>
    </row>
    <row r="2" spans="1:8" ht="16.5" customHeight="1" x14ac:dyDescent="0.35">
      <c r="A2" s="191" t="s">
        <v>0</v>
      </c>
      <c r="B2" s="191"/>
      <c r="C2" s="191"/>
      <c r="D2" s="191"/>
      <c r="E2" s="191"/>
      <c r="F2" s="191"/>
      <c r="G2" s="191"/>
      <c r="H2" s="191"/>
    </row>
    <row r="3" spans="1:8" x14ac:dyDescent="0.35">
      <c r="A3" s="185" t="s">
        <v>1</v>
      </c>
      <c r="B3" s="185"/>
      <c r="C3" s="185"/>
      <c r="D3" s="185"/>
      <c r="E3" s="185" t="str">
        <f ca="1">TEXT(TODAY(),"DD/MM/YYYY")</f>
        <v>15/07/2025</v>
      </c>
      <c r="F3" s="185"/>
      <c r="G3" s="185"/>
      <c r="H3" s="185"/>
    </row>
    <row r="4" spans="1:8" ht="15" customHeight="1" x14ac:dyDescent="0.35">
      <c r="A4" s="185" t="s">
        <v>2</v>
      </c>
      <c r="B4" s="185"/>
      <c r="C4" s="185"/>
      <c r="D4" s="185"/>
      <c r="E4" s="185" t="s">
        <v>178</v>
      </c>
      <c r="F4" s="185"/>
      <c r="G4" s="185"/>
      <c r="H4" s="185"/>
    </row>
    <row r="5" spans="1:8" x14ac:dyDescent="0.35">
      <c r="A5" s="185" t="s">
        <v>3</v>
      </c>
      <c r="B5" s="185"/>
      <c r="C5" s="185"/>
      <c r="D5" s="185"/>
      <c r="E5" s="189">
        <v>45850</v>
      </c>
      <c r="F5" s="185"/>
      <c r="G5" s="185"/>
      <c r="H5" s="185"/>
    </row>
    <row r="6" spans="1:8" ht="16.5" customHeight="1" x14ac:dyDescent="0.35">
      <c r="A6" s="185" t="s">
        <v>4</v>
      </c>
      <c r="B6" s="185"/>
      <c r="C6" s="185"/>
      <c r="D6" s="185"/>
      <c r="E6" s="185" t="s">
        <v>179</v>
      </c>
      <c r="F6" s="185"/>
      <c r="G6" s="185"/>
      <c r="H6" s="185"/>
    </row>
    <row r="7" spans="1:8" ht="15" customHeight="1" x14ac:dyDescent="0.35">
      <c r="A7" s="185" t="s">
        <v>5</v>
      </c>
      <c r="B7" s="185"/>
      <c r="C7" s="185"/>
      <c r="D7" s="185"/>
      <c r="E7" s="185" t="str">
        <f>E6</f>
        <v>Shraddha Landmark Private Limited</v>
      </c>
      <c r="F7" s="185"/>
      <c r="G7" s="185"/>
      <c r="H7" s="185"/>
    </row>
    <row r="8" spans="1:8" x14ac:dyDescent="0.35">
      <c r="A8" s="185" t="s">
        <v>6</v>
      </c>
      <c r="B8" s="185"/>
      <c r="C8" s="185"/>
      <c r="D8" s="185"/>
      <c r="E8" s="144" t="s">
        <v>180</v>
      </c>
      <c r="F8" s="144"/>
      <c r="G8" s="144"/>
      <c r="H8" s="144"/>
    </row>
    <row r="9" spans="1:8" x14ac:dyDescent="0.35">
      <c r="A9" s="185" t="s">
        <v>176</v>
      </c>
      <c r="B9" s="185"/>
      <c r="C9" s="185"/>
      <c r="D9" s="185"/>
      <c r="E9" s="185" t="s">
        <v>242</v>
      </c>
      <c r="F9" s="185"/>
      <c r="G9" s="185"/>
      <c r="H9" s="185"/>
    </row>
    <row r="10" spans="1:8" ht="30.5" customHeight="1" x14ac:dyDescent="0.35">
      <c r="A10" s="185" t="s">
        <v>177</v>
      </c>
      <c r="B10" s="185"/>
      <c r="C10" s="185"/>
      <c r="D10" s="185"/>
      <c r="E10" s="127" t="s">
        <v>254</v>
      </c>
      <c r="F10" s="127"/>
      <c r="G10" s="127"/>
      <c r="H10" s="127"/>
    </row>
    <row r="11" spans="1:8" x14ac:dyDescent="0.35">
      <c r="A11" s="185" t="s">
        <v>7</v>
      </c>
      <c r="B11" s="185"/>
      <c r="C11" s="185"/>
      <c r="D11" s="185"/>
      <c r="E11" s="185" t="s">
        <v>211</v>
      </c>
      <c r="F11" s="185"/>
      <c r="G11" s="185"/>
      <c r="H11" s="185"/>
    </row>
    <row r="12" spans="1:8" x14ac:dyDescent="0.35">
      <c r="A12" s="112" t="s">
        <v>8</v>
      </c>
      <c r="B12" s="112"/>
      <c r="C12" s="112"/>
      <c r="D12" s="112"/>
      <c r="E12" s="127" t="s">
        <v>181</v>
      </c>
      <c r="F12" s="127"/>
      <c r="G12" s="127"/>
      <c r="H12" s="127"/>
    </row>
    <row r="13" spans="1:8" x14ac:dyDescent="0.35">
      <c r="A13" s="112" t="s">
        <v>9</v>
      </c>
      <c r="B13" s="112"/>
      <c r="C13" s="112"/>
      <c r="D13" s="112"/>
      <c r="E13" s="127" t="s">
        <v>182</v>
      </c>
      <c r="F13" s="185"/>
      <c r="G13" s="185"/>
      <c r="H13" s="185"/>
    </row>
    <row r="14" spans="1:8" ht="66.75" customHeight="1" x14ac:dyDescent="0.35">
      <c r="A14" s="127" t="s">
        <v>10</v>
      </c>
      <c r="B14" s="127"/>
      <c r="C14" s="127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Shraddha Vardaan, CTS No.373A/37F(Pt), 373A/37G(Pt), 374, 375,…., 401, 401/1 to 4, 402, 402/1 to 4 &amp; Existing Building Name - Janta Market SRA chs Ltd and Janteshwar SRA chs Ltd, near Janteshwar Society, Subhash Road, Punjabi Colony, Kanjur, Bhandup West, Kurla, Mumbai - 400078.</v>
      </c>
      <c r="D14" s="127"/>
      <c r="E14" s="127"/>
      <c r="F14" s="127"/>
      <c r="G14" s="127"/>
      <c r="H14" s="127"/>
    </row>
    <row r="15" spans="1:8" ht="37.5" customHeight="1" x14ac:dyDescent="0.35">
      <c r="A15" s="127" t="s">
        <v>190</v>
      </c>
      <c r="B15" s="127"/>
      <c r="C15" s="127" t="s">
        <v>210</v>
      </c>
      <c r="D15" s="127"/>
      <c r="E15" s="127"/>
      <c r="F15" s="127"/>
      <c r="G15" s="127"/>
      <c r="H15" s="127"/>
    </row>
    <row r="16" spans="1:8" ht="15.75" customHeight="1" x14ac:dyDescent="0.35">
      <c r="A16" s="127" t="s">
        <v>175</v>
      </c>
      <c r="B16" s="127"/>
      <c r="C16" s="127" t="s">
        <v>184</v>
      </c>
      <c r="D16" s="127"/>
      <c r="E16" s="127"/>
      <c r="F16" s="127"/>
      <c r="G16" s="127"/>
      <c r="H16" s="127"/>
    </row>
    <row r="17" spans="1:8" ht="15.75" customHeight="1" x14ac:dyDescent="0.35">
      <c r="A17" s="127" t="s">
        <v>11</v>
      </c>
      <c r="B17" s="127"/>
      <c r="C17" s="185" t="s">
        <v>183</v>
      </c>
      <c r="D17" s="185"/>
      <c r="E17" s="127" t="s">
        <v>75</v>
      </c>
      <c r="F17" s="127"/>
      <c r="G17" s="127" t="s">
        <v>186</v>
      </c>
      <c r="H17" s="127"/>
    </row>
    <row r="18" spans="1:8" x14ac:dyDescent="0.35">
      <c r="A18" s="185" t="s">
        <v>13</v>
      </c>
      <c r="B18" s="185"/>
      <c r="C18" s="127" t="s">
        <v>185</v>
      </c>
      <c r="D18" s="127"/>
      <c r="E18" s="127" t="s">
        <v>12</v>
      </c>
      <c r="F18" s="127"/>
      <c r="G18" s="188" t="s">
        <v>187</v>
      </c>
      <c r="H18" s="188"/>
    </row>
    <row r="19" spans="1:8" x14ac:dyDescent="0.35">
      <c r="A19" s="185" t="s">
        <v>76</v>
      </c>
      <c r="B19" s="185"/>
      <c r="C19" s="127" t="s">
        <v>188</v>
      </c>
      <c r="D19" s="127"/>
      <c r="E19" s="127" t="s">
        <v>14</v>
      </c>
      <c r="F19" s="127"/>
      <c r="G19" s="127">
        <v>400078</v>
      </c>
      <c r="H19" s="127"/>
    </row>
    <row r="20" spans="1:8" ht="32.25" customHeight="1" x14ac:dyDescent="0.35">
      <c r="A20" s="185" t="s">
        <v>129</v>
      </c>
      <c r="B20" s="185"/>
      <c r="C20" s="127" t="s">
        <v>189</v>
      </c>
      <c r="D20" s="127"/>
      <c r="E20" s="127" t="s">
        <v>15</v>
      </c>
      <c r="F20" s="127"/>
      <c r="G20" s="127" t="s">
        <v>191</v>
      </c>
      <c r="H20" s="127"/>
    </row>
    <row r="21" spans="1:8" ht="15" customHeight="1" x14ac:dyDescent="0.35">
      <c r="A21" s="127" t="s">
        <v>79</v>
      </c>
      <c r="B21" s="127"/>
      <c r="C21" s="127"/>
      <c r="D21" s="127"/>
      <c r="E21" s="185" t="s">
        <v>16</v>
      </c>
      <c r="F21" s="185"/>
      <c r="G21" s="185"/>
      <c r="H21" s="185"/>
    </row>
    <row r="22" spans="1:8" ht="18.75" customHeight="1" x14ac:dyDescent="0.35">
      <c r="A22" s="127"/>
      <c r="B22" s="127"/>
      <c r="C22" s="127"/>
      <c r="D22" s="127"/>
      <c r="E22" s="185"/>
      <c r="F22" s="185"/>
      <c r="G22" s="185"/>
      <c r="H22" s="185"/>
    </row>
    <row r="23" spans="1:8" ht="15" customHeight="1" x14ac:dyDescent="0.35">
      <c r="A23" s="181" t="s">
        <v>17</v>
      </c>
      <c r="B23" s="181"/>
      <c r="C23" s="181"/>
      <c r="D23" s="181"/>
      <c r="E23" s="127" t="s">
        <v>18</v>
      </c>
      <c r="F23" s="127"/>
      <c r="G23" s="127"/>
      <c r="H23" s="127"/>
    </row>
    <row r="24" spans="1:8" ht="15" customHeight="1" x14ac:dyDescent="0.35">
      <c r="A24" s="112" t="s">
        <v>19</v>
      </c>
      <c r="B24" s="112"/>
      <c r="C24" s="112"/>
      <c r="D24" s="112"/>
      <c r="E24" s="127" t="str">
        <f>IF(AND(G18="Mumbai"),"Upper Class","Middle Class")</f>
        <v>Upper Class</v>
      </c>
      <c r="F24" s="127"/>
      <c r="G24" s="127"/>
      <c r="H24" s="127"/>
    </row>
    <row r="25" spans="1:8" x14ac:dyDescent="0.35">
      <c r="A25" s="112" t="s">
        <v>20</v>
      </c>
      <c r="B25" s="112"/>
      <c r="C25" s="112"/>
      <c r="D25" s="112"/>
      <c r="E25" s="127" t="s">
        <v>21</v>
      </c>
      <c r="F25" s="127"/>
      <c r="G25" s="127"/>
      <c r="H25" s="127"/>
    </row>
    <row r="26" spans="1:8" ht="15.75" customHeight="1" x14ac:dyDescent="0.35">
      <c r="A26" s="112" t="s">
        <v>22</v>
      </c>
      <c r="B26" s="112"/>
      <c r="C26" s="112"/>
      <c r="D26" s="112"/>
      <c r="E26" s="127" t="str">
        <f>IF(AND(G18="Mumbai"),"Developed","Developing")</f>
        <v>Developed</v>
      </c>
      <c r="F26" s="127"/>
      <c r="G26" s="127"/>
      <c r="H26" s="127"/>
    </row>
    <row r="27" spans="1:8" x14ac:dyDescent="0.35">
      <c r="A27" s="112" t="s">
        <v>23</v>
      </c>
      <c r="B27" s="112"/>
      <c r="C27" s="112"/>
      <c r="D27" s="112"/>
      <c r="E27" s="127" t="s">
        <v>24</v>
      </c>
      <c r="F27" s="127"/>
      <c r="G27" s="127"/>
      <c r="H27" s="127"/>
    </row>
    <row r="28" spans="1:8" ht="15.75" customHeight="1" x14ac:dyDescent="0.35">
      <c r="A28" s="112" t="s">
        <v>84</v>
      </c>
      <c r="B28" s="112"/>
      <c r="C28" s="112"/>
      <c r="D28" s="112"/>
      <c r="E28" s="127" t="s">
        <v>85</v>
      </c>
      <c r="F28" s="127"/>
      <c r="G28" s="127"/>
      <c r="H28" s="127"/>
    </row>
    <row r="29" spans="1:8" ht="15" customHeight="1" x14ac:dyDescent="0.35">
      <c r="A29" s="112" t="s">
        <v>33</v>
      </c>
      <c r="B29" s="112"/>
      <c r="C29" s="112"/>
      <c r="D29" s="112"/>
      <c r="E29" s="127" t="str">
        <f>IF(AND(ISNUMBER(SEARCH("Flat",D57)),ISNUMBER(SEARCH("Shop",D57)),ISNUMBER(SEARCH("Office",D57))),"Residential + Commercial",IF(AND(ISNUMBER(SEARCH("Flat",D57)),ISNUMBER(SEARCH("Shop",D57))),"Residential + Commercial",IF(AND(ISNUMBER(SEARCH("Flat",D57)),ISNUMBER(SEARCH("Office",D57))),"Residential + Commercial",IF(AND(ISNUMBER(SEARCH("Shop",D57)),ISNUMBER(SEARCH("Office",D57))),"Commercial",IF(ISNUMBER(SEARCH("Shop",D57)),"Commercial",IF(ISNUMBER(SEARCH("Office",D57)),"Commercial",IF(ISNUMBER(SEARCH("Flat",D57)),"Residential")))))))</f>
        <v>Residential</v>
      </c>
      <c r="F29" s="127"/>
      <c r="G29" s="127"/>
      <c r="H29" s="127"/>
    </row>
    <row r="30" spans="1:8" ht="15.75" customHeight="1" x14ac:dyDescent="0.35">
      <c r="A30" s="112" t="s">
        <v>96</v>
      </c>
      <c r="B30" s="112"/>
      <c r="C30" s="112"/>
      <c r="D30" s="112"/>
      <c r="E30" s="127" t="s">
        <v>34</v>
      </c>
      <c r="F30" s="127"/>
      <c r="G30" s="127"/>
      <c r="H30" s="127"/>
    </row>
    <row r="31" spans="1:8" s="24" customFormat="1" x14ac:dyDescent="0.35">
      <c r="A31" s="187" t="s">
        <v>97</v>
      </c>
      <c r="B31" s="187"/>
      <c r="C31" s="186" t="s">
        <v>29</v>
      </c>
      <c r="D31" s="186"/>
      <c r="E31" s="186"/>
      <c r="F31" s="186" t="s">
        <v>31</v>
      </c>
      <c r="G31" s="186"/>
      <c r="H31" s="186"/>
    </row>
    <row r="32" spans="1:8" s="24" customFormat="1" x14ac:dyDescent="0.35">
      <c r="A32" s="177" t="s">
        <v>25</v>
      </c>
      <c r="B32" s="177" t="s">
        <v>30</v>
      </c>
      <c r="C32" s="178" t="s">
        <v>30</v>
      </c>
      <c r="D32" s="178"/>
      <c r="E32" s="178"/>
      <c r="F32" s="178" t="s">
        <v>212</v>
      </c>
      <c r="G32" s="178"/>
      <c r="H32" s="178"/>
    </row>
    <row r="33" spans="1:8" x14ac:dyDescent="0.35">
      <c r="A33" s="177" t="s">
        <v>26</v>
      </c>
      <c r="B33" s="177" t="s">
        <v>30</v>
      </c>
      <c r="C33" s="178" t="s">
        <v>30</v>
      </c>
      <c r="D33" s="178"/>
      <c r="E33" s="178"/>
      <c r="F33" s="178" t="s">
        <v>213</v>
      </c>
      <c r="G33" s="178"/>
      <c r="H33" s="178"/>
    </row>
    <row r="34" spans="1:8" s="24" customFormat="1" x14ac:dyDescent="0.35">
      <c r="A34" s="177" t="s">
        <v>28</v>
      </c>
      <c r="B34" s="177" t="s">
        <v>30</v>
      </c>
      <c r="C34" s="178" t="s">
        <v>30</v>
      </c>
      <c r="D34" s="178"/>
      <c r="E34" s="178"/>
      <c r="F34" s="178" t="s">
        <v>214</v>
      </c>
      <c r="G34" s="178"/>
      <c r="H34" s="178"/>
    </row>
    <row r="35" spans="1:8" x14ac:dyDescent="0.35">
      <c r="A35" s="177" t="s">
        <v>27</v>
      </c>
      <c r="B35" s="177" t="s">
        <v>30</v>
      </c>
      <c r="C35" s="178" t="s">
        <v>30</v>
      </c>
      <c r="D35" s="178"/>
      <c r="E35" s="178"/>
      <c r="F35" s="178" t="s">
        <v>189</v>
      </c>
      <c r="G35" s="178"/>
      <c r="H35" s="178"/>
    </row>
    <row r="36" spans="1:8" x14ac:dyDescent="0.35">
      <c r="A36" s="112" t="s">
        <v>32</v>
      </c>
      <c r="B36" s="112"/>
      <c r="C36" s="112"/>
      <c r="D36" s="112"/>
      <c r="E36" s="112"/>
      <c r="F36" s="112"/>
      <c r="G36" s="112"/>
      <c r="H36" s="112"/>
    </row>
    <row r="37" spans="1:8" ht="15.75" customHeight="1" x14ac:dyDescent="0.35">
      <c r="A37" s="112" t="s">
        <v>225</v>
      </c>
      <c r="B37" s="112"/>
      <c r="C37" s="164" t="s">
        <v>249</v>
      </c>
      <c r="D37" s="164"/>
      <c r="E37" s="164"/>
      <c r="F37" s="164"/>
      <c r="G37" s="164"/>
      <c r="H37" s="164"/>
    </row>
    <row r="38" spans="1:8" x14ac:dyDescent="0.35">
      <c r="A38" s="112" t="s">
        <v>174</v>
      </c>
      <c r="B38" s="112"/>
      <c r="C38" s="126" t="s">
        <v>192</v>
      </c>
      <c r="D38" s="127"/>
      <c r="E38" s="127"/>
      <c r="F38" s="127"/>
      <c r="G38" s="127"/>
      <c r="H38" s="127"/>
    </row>
    <row r="39" spans="1:8" x14ac:dyDescent="0.35">
      <c r="A39" s="180" t="s">
        <v>35</v>
      </c>
      <c r="B39" s="180"/>
      <c r="C39" s="180"/>
      <c r="D39" s="180"/>
      <c r="E39" s="180"/>
      <c r="F39" s="180"/>
      <c r="G39" s="180"/>
      <c r="H39" s="180"/>
    </row>
    <row r="40" spans="1:8" x14ac:dyDescent="0.35">
      <c r="A40" s="112" t="s">
        <v>36</v>
      </c>
      <c r="B40" s="112"/>
      <c r="C40" s="112"/>
      <c r="D40" s="112"/>
      <c r="E40" s="179">
        <v>11130.71</v>
      </c>
      <c r="F40" s="179"/>
      <c r="G40" s="179"/>
      <c r="H40" s="179"/>
    </row>
    <row r="41" spans="1:8" x14ac:dyDescent="0.35">
      <c r="A41" s="112" t="s">
        <v>37</v>
      </c>
      <c r="B41" s="112"/>
      <c r="C41" s="112"/>
      <c r="D41" s="112"/>
      <c r="E41" s="183">
        <v>4</v>
      </c>
      <c r="F41" s="183"/>
      <c r="G41" s="183"/>
      <c r="H41" s="183"/>
    </row>
    <row r="42" spans="1:8" x14ac:dyDescent="0.35">
      <c r="A42" s="112" t="s">
        <v>38</v>
      </c>
      <c r="B42" s="112"/>
      <c r="C42" s="112"/>
      <c r="D42" s="112"/>
      <c r="E42" s="183">
        <f>E44/E40-E41</f>
        <v>1.5837767761445596</v>
      </c>
      <c r="F42" s="183"/>
      <c r="G42" s="183"/>
      <c r="H42" s="183"/>
    </row>
    <row r="43" spans="1:8" x14ac:dyDescent="0.35">
      <c r="A43" s="112" t="s">
        <v>39</v>
      </c>
      <c r="B43" s="112"/>
      <c r="C43" s="112"/>
      <c r="D43" s="112"/>
      <c r="E43" s="183">
        <f>E41+E42</f>
        <v>5.5837767761445596</v>
      </c>
      <c r="F43" s="183"/>
      <c r="G43" s="183"/>
      <c r="H43" s="183"/>
    </row>
    <row r="44" spans="1:8" x14ac:dyDescent="0.35">
      <c r="A44" s="112" t="s">
        <v>95</v>
      </c>
      <c r="B44" s="112"/>
      <c r="C44" s="112"/>
      <c r="D44" s="112"/>
      <c r="E44" s="184">
        <v>62151.4</v>
      </c>
      <c r="F44" s="184"/>
      <c r="G44" s="184"/>
      <c r="H44" s="184"/>
    </row>
    <row r="45" spans="1:8" x14ac:dyDescent="0.35">
      <c r="A45" s="185" t="s">
        <v>40</v>
      </c>
      <c r="B45" s="185"/>
      <c r="C45" s="185"/>
      <c r="D45" s="185"/>
      <c r="E45" s="185" t="s">
        <v>215</v>
      </c>
      <c r="F45" s="185"/>
      <c r="G45" s="185"/>
      <c r="H45" s="185"/>
    </row>
    <row r="46" spans="1:8" x14ac:dyDescent="0.35">
      <c r="A46" s="144" t="s">
        <v>41</v>
      </c>
      <c r="B46" s="144"/>
      <c r="C46" s="144"/>
      <c r="D46" s="144"/>
      <c r="E46" s="144"/>
      <c r="F46" s="144"/>
      <c r="G46" s="144"/>
      <c r="H46" s="144"/>
    </row>
    <row r="47" spans="1:8" ht="33.75" customHeight="1" x14ac:dyDescent="0.35">
      <c r="A47" s="128" t="s">
        <v>161</v>
      </c>
      <c r="B47" s="129"/>
      <c r="C47" s="130" t="s">
        <v>216</v>
      </c>
      <c r="D47" s="131"/>
      <c r="E47" s="131"/>
      <c r="F47" s="131"/>
      <c r="G47" s="131"/>
      <c r="H47" s="132"/>
    </row>
    <row r="48" spans="1:8" ht="15.75" customHeight="1" x14ac:dyDescent="0.35">
      <c r="A48" s="212" t="s">
        <v>42</v>
      </c>
      <c r="B48" s="213"/>
      <c r="C48" s="212" t="s">
        <v>193</v>
      </c>
      <c r="D48" s="214"/>
      <c r="E48" s="213"/>
      <c r="F48" s="20" t="s">
        <v>43</v>
      </c>
      <c r="G48" s="197">
        <v>44785</v>
      </c>
      <c r="H48" s="198"/>
    </row>
    <row r="49" spans="1:14" x14ac:dyDescent="0.35">
      <c r="A49" s="212" t="s">
        <v>44</v>
      </c>
      <c r="B49" s="213"/>
      <c r="C49" s="212" t="str">
        <f>C48</f>
        <v>S/PVT/0121/20150107/AP</v>
      </c>
      <c r="D49" s="214"/>
      <c r="E49" s="213"/>
      <c r="F49" s="20" t="s">
        <v>43</v>
      </c>
      <c r="G49" s="197">
        <v>44785</v>
      </c>
      <c r="H49" s="198"/>
    </row>
    <row r="50" spans="1:14" s="25" customFormat="1" ht="15.75" customHeight="1" x14ac:dyDescent="0.35">
      <c r="A50" s="199" t="s">
        <v>165</v>
      </c>
      <c r="B50" s="200"/>
      <c r="C50" s="212" t="s">
        <v>231</v>
      </c>
      <c r="D50" s="214"/>
      <c r="E50" s="213"/>
      <c r="F50" s="20" t="s">
        <v>43</v>
      </c>
      <c r="G50" s="197">
        <v>45097</v>
      </c>
      <c r="H50" s="198"/>
    </row>
    <row r="51" spans="1:14" s="25" customFormat="1" ht="83.25" customHeight="1" x14ac:dyDescent="0.35">
      <c r="A51" s="201"/>
      <c r="B51" s="202"/>
      <c r="C51" s="212" t="s">
        <v>247</v>
      </c>
      <c r="D51" s="214"/>
      <c r="E51" s="214"/>
      <c r="F51" s="214"/>
      <c r="G51" s="214"/>
      <c r="H51" s="213"/>
    </row>
    <row r="52" spans="1:14" s="25" customFormat="1" ht="15.75" customHeight="1" x14ac:dyDescent="0.35">
      <c r="A52" s="199" t="s">
        <v>165</v>
      </c>
      <c r="B52" s="200"/>
      <c r="C52" s="212" t="s">
        <v>231</v>
      </c>
      <c r="D52" s="214"/>
      <c r="E52" s="213"/>
      <c r="F52" s="20" t="s">
        <v>43</v>
      </c>
      <c r="G52" s="197">
        <v>45321</v>
      </c>
      <c r="H52" s="198"/>
    </row>
    <row r="53" spans="1:14" s="25" customFormat="1" ht="35.25" customHeight="1" x14ac:dyDescent="0.35">
      <c r="A53" s="201"/>
      <c r="B53" s="202"/>
      <c r="C53" s="212" t="s">
        <v>246</v>
      </c>
      <c r="D53" s="214"/>
      <c r="E53" s="214"/>
      <c r="F53" s="214"/>
      <c r="G53" s="214"/>
      <c r="H53" s="213"/>
    </row>
    <row r="54" spans="1:14" x14ac:dyDescent="0.35">
      <c r="A54" s="215" t="s">
        <v>45</v>
      </c>
      <c r="B54" s="216"/>
      <c r="C54" s="215" t="s">
        <v>109</v>
      </c>
      <c r="D54" s="217"/>
      <c r="E54" s="216"/>
      <c r="F54" s="49" t="s">
        <v>43</v>
      </c>
      <c r="G54" s="218" t="s">
        <v>30</v>
      </c>
      <c r="H54" s="219"/>
    </row>
    <row r="55" spans="1:14" x14ac:dyDescent="0.35">
      <c r="A55" s="206" t="s">
        <v>47</v>
      </c>
      <c r="B55" s="206"/>
      <c r="C55" s="206"/>
      <c r="D55" s="206"/>
      <c r="E55" s="206"/>
      <c r="F55" s="206"/>
      <c r="G55" s="206"/>
      <c r="H55" s="206"/>
    </row>
    <row r="56" spans="1:14" x14ac:dyDescent="0.35">
      <c r="A56" s="181" t="s">
        <v>94</v>
      </c>
      <c r="B56" s="181"/>
      <c r="C56" s="181"/>
      <c r="D56" s="112">
        <f>E44</f>
        <v>62151.4</v>
      </c>
      <c r="E56" s="112"/>
      <c r="F56" s="112"/>
      <c r="G56" s="112"/>
      <c r="H56" s="112"/>
    </row>
    <row r="57" spans="1:14" x14ac:dyDescent="0.35">
      <c r="A57" s="127" t="s">
        <v>48</v>
      </c>
      <c r="B57" s="185"/>
      <c r="C57" s="185"/>
      <c r="D57" s="185" t="s">
        <v>240</v>
      </c>
      <c r="E57" s="185"/>
      <c r="F57" s="185"/>
      <c r="G57" s="185"/>
      <c r="H57" s="185"/>
      <c r="I57" s="26"/>
    </row>
    <row r="58" spans="1:14" x14ac:dyDescent="0.35">
      <c r="A58" s="194" t="s">
        <v>49</v>
      </c>
      <c r="B58" s="195"/>
      <c r="C58" s="196"/>
      <c r="D58" s="192" t="s">
        <v>232</v>
      </c>
      <c r="E58" s="193"/>
      <c r="F58" s="193"/>
      <c r="G58" s="193"/>
      <c r="H58" s="193"/>
      <c r="I58" s="27"/>
    </row>
    <row r="59" spans="1:14" ht="15.75" customHeight="1" x14ac:dyDescent="0.35">
      <c r="A59" s="127" t="s">
        <v>92</v>
      </c>
      <c r="B59" s="127"/>
      <c r="C59" s="127"/>
      <c r="D59" s="185" t="s">
        <v>194</v>
      </c>
      <c r="E59" s="185"/>
      <c r="F59" s="185"/>
      <c r="G59" s="185"/>
      <c r="H59" s="185"/>
      <c r="I59" s="27"/>
    </row>
    <row r="60" spans="1:14" ht="15.75" customHeight="1" x14ac:dyDescent="0.35">
      <c r="A60" s="127"/>
      <c r="B60" s="127"/>
      <c r="C60" s="127"/>
      <c r="D60" s="185" t="s">
        <v>195</v>
      </c>
      <c r="E60" s="185"/>
      <c r="F60" s="185"/>
      <c r="G60" s="185"/>
      <c r="H60" s="185"/>
      <c r="I60" s="27"/>
    </row>
    <row r="61" spans="1:14" ht="15.75" customHeight="1" x14ac:dyDescent="0.35">
      <c r="A61" s="127"/>
      <c r="B61" s="127"/>
      <c r="C61" s="127"/>
      <c r="D61" s="185" t="s">
        <v>219</v>
      </c>
      <c r="E61" s="185"/>
      <c r="F61" s="185"/>
      <c r="G61" s="185"/>
      <c r="H61" s="185"/>
      <c r="I61" s="27"/>
    </row>
    <row r="62" spans="1:14" ht="15.75" customHeight="1" x14ac:dyDescent="0.35">
      <c r="A62" s="112" t="s">
        <v>46</v>
      </c>
      <c r="B62" s="112"/>
      <c r="C62" s="112"/>
      <c r="D62" s="181" t="s">
        <v>196</v>
      </c>
      <c r="E62" s="181"/>
      <c r="F62" s="181"/>
      <c r="G62" s="181"/>
      <c r="H62" s="181"/>
      <c r="J62" s="28"/>
      <c r="K62" s="26"/>
      <c r="N62" s="26"/>
    </row>
    <row r="63" spans="1:14" ht="15.75" customHeight="1" x14ac:dyDescent="0.35">
      <c r="A63" s="112" t="s">
        <v>90</v>
      </c>
      <c r="B63" s="112"/>
      <c r="C63" s="112"/>
      <c r="D63" s="182" t="str">
        <f>(IF(G54="NA","60 Years After Completion",IF(G54&lt;&gt;"NA",""&amp;60-ROUNDDOWN((E3-G54)/360,0)&amp;" Years"," ")))</f>
        <v>60 Years After Completion</v>
      </c>
      <c r="E63" s="182"/>
      <c r="F63" s="182"/>
      <c r="G63" s="182"/>
      <c r="H63" s="182"/>
      <c r="N63" s="26"/>
    </row>
    <row r="64" spans="1:14" ht="15.75" customHeight="1" x14ac:dyDescent="0.35">
      <c r="A64" s="112" t="s">
        <v>91</v>
      </c>
      <c r="B64" s="112"/>
      <c r="C64" s="112"/>
      <c r="D64" s="181" t="s">
        <v>24</v>
      </c>
      <c r="E64" s="181"/>
      <c r="F64" s="181"/>
      <c r="G64" s="181"/>
      <c r="H64" s="181"/>
      <c r="J64" s="29"/>
      <c r="K64" s="29"/>
    </row>
    <row r="65" spans="1:14" ht="33.75" customHeight="1" x14ac:dyDescent="0.35">
      <c r="A65" s="112" t="s">
        <v>77</v>
      </c>
      <c r="B65" s="112"/>
      <c r="C65" s="112"/>
      <c r="D65" s="127" t="s">
        <v>209</v>
      </c>
      <c r="E65" s="127"/>
      <c r="F65" s="127"/>
      <c r="G65" s="127"/>
      <c r="H65" s="127"/>
    </row>
    <row r="66" spans="1:14" x14ac:dyDescent="0.35">
      <c r="A66" s="181" t="s">
        <v>157</v>
      </c>
      <c r="B66" s="181"/>
      <c r="C66" s="181"/>
      <c r="D66" s="181" t="s">
        <v>30</v>
      </c>
      <c r="E66" s="181"/>
      <c r="F66" s="181"/>
      <c r="G66" s="181"/>
      <c r="H66" s="181"/>
      <c r="I66" s="30"/>
      <c r="J66" s="30"/>
      <c r="K66" s="30"/>
      <c r="L66" s="30"/>
      <c r="M66" s="30"/>
      <c r="N66" s="30"/>
    </row>
    <row r="67" spans="1:14" ht="15.75" customHeight="1" x14ac:dyDescent="0.35">
      <c r="A67" s="112" t="s">
        <v>89</v>
      </c>
      <c r="B67" s="112"/>
      <c r="C67" s="112"/>
      <c r="D67" s="127" t="str">
        <f ca="1">(IF(G73&gt;95%,"Nothing",IF(G73&gt;0%,"Cement, Aggregate, Steel, etc",IF(G73=0%,"Work not yet Started"))))</f>
        <v>Cement, Aggregate, Steel, etc</v>
      </c>
      <c r="E67" s="127"/>
      <c r="F67" s="127"/>
      <c r="G67" s="127"/>
      <c r="H67" s="127"/>
      <c r="J67" s="29"/>
    </row>
    <row r="68" spans="1:14" ht="33.75" customHeight="1" thickBot="1" x14ac:dyDescent="0.4">
      <c r="A68" s="181" t="s">
        <v>122</v>
      </c>
      <c r="B68" s="181"/>
      <c r="C68" s="181"/>
      <c r="D68" s="127" t="str">
        <f ca="1">(IF(D67="Nothing","Yes",IF(D67="Cement, Aggregate, Steel, etc","Under Construction",IF(D67="Work not yet Started","Work not yet Started"))))</f>
        <v>Under Construction</v>
      </c>
      <c r="E68" s="127"/>
      <c r="F68" s="127" t="str">
        <f ca="1">(IF(D67="Nothing","Yes",IF(D67="Cement, Aggregate, Steel, etc","Under Construction",IF(D67="Work not yet Started","Work not yet Started"))))</f>
        <v>Under Construction</v>
      </c>
      <c r="G68" s="127"/>
      <c r="H68" s="127"/>
    </row>
    <row r="69" spans="1:14" ht="15.75" customHeight="1" x14ac:dyDescent="0.35">
      <c r="A69" s="145" t="s">
        <v>147</v>
      </c>
      <c r="B69" s="145"/>
      <c r="C69" s="145" t="str">
        <f>D59</f>
        <v>Building No.3 A Wing = G + 2P + 1st to 37th Floor</v>
      </c>
      <c r="D69" s="145"/>
      <c r="E69" s="145"/>
      <c r="F69" s="145"/>
      <c r="G69" s="145"/>
      <c r="H69" s="145"/>
      <c r="I69" s="80" t="str">
        <f ca="1">IF(D82=100%,"All work Completed. Possession granted to the Building.",IF(D81=100%,"All work Completed, Waiting for OC",I70&amp;""&amp;I71&amp;""&amp;J70&amp;""&amp;J69&amp;" "&amp;J71))</f>
        <v>Excavation, Plinth, RCC Slab, Brickwork, Internal Plaster Completed, External Plaster upto 29 Floor, Flooring upto 6 Floor, Painting upto 1 Floor Completed</v>
      </c>
      <c r="J69" s="53" t="str">
        <f ca="1">(IF(C75=(D70+F70+H70),"",IF(C75&gt;0,", RCC upto "&amp;C75&amp;" Slab","")))&amp;(IF(C76=H70,"",IF(C76&gt;0,", Brickwork upto "&amp;C76&amp;" Floor","")))&amp;(IF(C77=H70,"",IF(C77&gt;0,", Internal Plaster upto "&amp;C77&amp;" Floor","")))&amp;(IF(C78=H70,"",IF(C78&gt;0,", External Plaster upto "&amp;C78&amp;" Floor","")))&amp;(IF(C79=H70,"",IF(C79&gt;0,", Flooring upto "&amp;C79&amp;" Floor","")))&amp;(IF(C80=H70,"",IF(C80&gt;0,", Painting upto "&amp;C80&amp;" Floor","")))&amp;(IF(C81=H70,"",IF(C81&gt;0,", Finishing upto "&amp;C81&amp;" Floor","")))&amp;(IF(C82=H70,"",IF(C82&gt;0,", Possession upto "&amp;C82&amp;" Floor","")))</f>
        <v>, External Plaster upto 29 Floor, Flooring upto 6 Floor, Painting upto 1 Floor</v>
      </c>
    </row>
    <row r="70" spans="1:14" x14ac:dyDescent="0.35">
      <c r="A70" s="79" t="s">
        <v>149</v>
      </c>
      <c r="B70" s="79">
        <v>0</v>
      </c>
      <c r="C70" s="79" t="s">
        <v>74</v>
      </c>
      <c r="D70" s="79">
        <v>1</v>
      </c>
      <c r="E70" s="79" t="s">
        <v>73</v>
      </c>
      <c r="F70" s="79">
        <v>2</v>
      </c>
      <c r="G70" s="79" t="s">
        <v>83</v>
      </c>
      <c r="H70" s="79">
        <f ca="1">--TRIM(RIGHT(SUBSTITUTE(LEFT(C69,_xlfn.AGGREGATE(16,6,FIND({0,1,2,3,4,5,6,7,8,9},C69,ROW(INDIRECT("1:"&amp;LEN(C69)))),1))," ",REPT(" ",LEN(C69))),LEN(C69)))</f>
        <v>37</v>
      </c>
      <c r="I70" s="81" t="str">
        <f ca="1">IF(D73=100%,"Excavation","")&amp;IF(D74=100%,", Plinth","")&amp;IF(D75=100%,", RCC Slab","")&amp;IF(D76=100%,", Brickwork","")&amp;IF(D77=100%,", Internal Plaster","")&amp;IF(D78=100%,", External Plaster","")&amp;IF(D79=100%,", Flooring","")&amp;IF(D80=100%,", Painting","")&amp;IF(D81=100%,", Building common Amenities","")</f>
        <v>Excavation, Plinth, RCC Slab, Brickwork, Internal Plaster</v>
      </c>
      <c r="J70" s="55" t="str">
        <f ca="1">(IF(C73=0,"Work not yet Started.",IF(D73=25%,"Piling work in process",IF(D73=50%,"Excavation work in process",IF(D73=100%,"","0")))))&amp;(IF(C74=0%,"",IF(C74=J75,", Footing work is process",IF(C74=J76,", Footing work Completed",IF(C74=J77,", 1st Basement Completed",IF(C74=J78,", 1st &amp; 2nd Basement Completed",IF(C74=J79,", 1st to 3rd Basement Completed",IF(C74=J80,", 1st to 4th Basement Completed",IF(C74=J81,", Plinth work is process",IF(C74=J82,"","0"))))))))))</f>
        <v/>
      </c>
    </row>
    <row r="71" spans="1:14" ht="50.5" customHeight="1" x14ac:dyDescent="0.35">
      <c r="A71" s="144" t="s">
        <v>93</v>
      </c>
      <c r="B71" s="144"/>
      <c r="C71" s="145" t="str">
        <f ca="1">I69</f>
        <v>Excavation, Plinth, RCC Slab, Brickwork, Internal Plaster Completed, External Plaster upto 29 Floor, Flooring upto 6 Floor, Painting upto 1 Floor Completed</v>
      </c>
      <c r="D71" s="145"/>
      <c r="E71" s="145"/>
      <c r="F71" s="145"/>
      <c r="G71" s="145"/>
      <c r="H71" s="145"/>
      <c r="I71" s="81" t="str">
        <f ca="1">IF(I70&lt;&gt;""," Completed","")</f>
        <v xml:space="preserve"> Completed</v>
      </c>
      <c r="J71" s="55" t="str">
        <f ca="1">IF(J69&lt;&gt;"","Completed","")</f>
        <v>Completed</v>
      </c>
    </row>
    <row r="72" spans="1:14" ht="15.75" customHeight="1" x14ac:dyDescent="0.35">
      <c r="A72" s="134" t="s">
        <v>50</v>
      </c>
      <c r="B72" s="134"/>
      <c r="C72" s="77" t="s">
        <v>146</v>
      </c>
      <c r="D72" s="77" t="s">
        <v>86</v>
      </c>
      <c r="E72" s="134" t="s">
        <v>88</v>
      </c>
      <c r="F72" s="134"/>
      <c r="G72" s="134" t="s">
        <v>87</v>
      </c>
      <c r="H72" s="134"/>
      <c r="I72" s="16" t="s">
        <v>148</v>
      </c>
      <c r="J72" s="31">
        <f ca="1">H70*25%</f>
        <v>9.25</v>
      </c>
    </row>
    <row r="73" spans="1:14" x14ac:dyDescent="0.35">
      <c r="A73" s="133" t="s">
        <v>135</v>
      </c>
      <c r="B73" s="134"/>
      <c r="C73" s="47">
        <f ca="1">J74</f>
        <v>37</v>
      </c>
      <c r="D73" s="21">
        <f ca="1">((100/H70)*C73)/100</f>
        <v>1</v>
      </c>
      <c r="E73" s="135">
        <f ca="1">(((C74/H70*10)+(40/(D70+F70+H70)*C75)+(7.5/(H70)*C76)+(7.5/(H70)*C77)+(10/H70*C78)+(10/H70*C79)+(5/H70*C80)+(5/H70*C81)+(5/H70*C82))/100)</f>
        <v>0.74594594594594599</v>
      </c>
      <c r="F73" s="149"/>
      <c r="G73" s="135">
        <f ca="1">((((C73/H70)*20)+((C74/H70)*25)+(30/(H70+F70+D70)*C75)+(5/H70*C76)+(5/H70*C77)+(5/H70*C78)+(5/H70*C79)+(0/H70*C80)+(0/H70*C81)+(5/H70*C82))/100)</f>
        <v>0.89729729729729724</v>
      </c>
      <c r="H73" s="136"/>
      <c r="I73" s="16" t="s">
        <v>104</v>
      </c>
      <c r="J73" s="32">
        <f ca="1">H70*50%</f>
        <v>18.5</v>
      </c>
    </row>
    <row r="74" spans="1:14" x14ac:dyDescent="0.35">
      <c r="A74" s="133" t="s">
        <v>51</v>
      </c>
      <c r="B74" s="134"/>
      <c r="C74" s="47">
        <f ca="1">J82</f>
        <v>37</v>
      </c>
      <c r="D74" s="21">
        <f ca="1">((100/H70)*C74)/100</f>
        <v>1</v>
      </c>
      <c r="E74" s="137"/>
      <c r="F74" s="150"/>
      <c r="G74" s="137"/>
      <c r="H74" s="138"/>
      <c r="I74" s="16" t="s">
        <v>105</v>
      </c>
      <c r="J74" s="32">
        <f ca="1">H70</f>
        <v>37</v>
      </c>
    </row>
    <row r="75" spans="1:14" ht="15.75" customHeight="1" x14ac:dyDescent="0.35">
      <c r="A75" s="133" t="s">
        <v>136</v>
      </c>
      <c r="B75" s="134"/>
      <c r="C75" s="47">
        <v>40</v>
      </c>
      <c r="D75" s="21">
        <f ca="1">((100/(D70+F70+H70))*C75)/100</f>
        <v>1</v>
      </c>
      <c r="E75" s="137"/>
      <c r="F75" s="150"/>
      <c r="G75" s="137"/>
      <c r="H75" s="138"/>
      <c r="I75" s="16" t="s">
        <v>106</v>
      </c>
      <c r="J75" s="33">
        <f ca="1">(IF(B70&gt;1,(H70/(B70+2)),H70/4))</f>
        <v>9.25</v>
      </c>
    </row>
    <row r="76" spans="1:14" ht="15.75" customHeight="1" x14ac:dyDescent="0.35">
      <c r="A76" s="133" t="s">
        <v>143</v>
      </c>
      <c r="B76" s="134" t="s">
        <v>137</v>
      </c>
      <c r="C76" s="47">
        <v>37</v>
      </c>
      <c r="D76" s="21">
        <f ca="1">((100/H70)*C76)/100</f>
        <v>1</v>
      </c>
      <c r="E76" s="137"/>
      <c r="F76" s="150"/>
      <c r="G76" s="137"/>
      <c r="H76" s="138"/>
      <c r="I76" s="16" t="s">
        <v>107</v>
      </c>
      <c r="J76" s="33">
        <f ca="1">(IF(B70&gt;1,(H70/(B70+2)+J75),H70/4+J75))</f>
        <v>18.5</v>
      </c>
    </row>
    <row r="77" spans="1:14" ht="15.75" customHeight="1" x14ac:dyDescent="0.35">
      <c r="A77" s="133" t="s">
        <v>144</v>
      </c>
      <c r="B77" s="134" t="s">
        <v>137</v>
      </c>
      <c r="C77" s="47">
        <v>37</v>
      </c>
      <c r="D77" s="21">
        <f ca="1">((100/H70)*C77)/100</f>
        <v>1</v>
      </c>
      <c r="E77" s="137"/>
      <c r="F77" s="150"/>
      <c r="G77" s="137"/>
      <c r="H77" s="138"/>
      <c r="I77" s="16" t="s">
        <v>155</v>
      </c>
      <c r="J77" s="33">
        <f>(IF(B70&gt;1,(H70/(B70+2)+J76),0))</f>
        <v>0</v>
      </c>
    </row>
    <row r="78" spans="1:14" ht="15" customHeight="1" x14ac:dyDescent="0.35">
      <c r="A78" s="133" t="s">
        <v>142</v>
      </c>
      <c r="B78" s="134" t="s">
        <v>139</v>
      </c>
      <c r="C78" s="47">
        <v>29</v>
      </c>
      <c r="D78" s="21">
        <f ca="1">((100/(H70))*C78)/100</f>
        <v>0.78378378378378377</v>
      </c>
      <c r="E78" s="137"/>
      <c r="F78" s="150"/>
      <c r="G78" s="137"/>
      <c r="H78" s="138"/>
      <c r="I78" s="16" t="s">
        <v>150</v>
      </c>
      <c r="J78" s="33">
        <f>(IF(B70&gt;2,(H70/(B70+2)+J77),0))</f>
        <v>0</v>
      </c>
    </row>
    <row r="79" spans="1:14" ht="15.75" customHeight="1" x14ac:dyDescent="0.35">
      <c r="A79" s="133" t="s">
        <v>138</v>
      </c>
      <c r="B79" s="134" t="s">
        <v>138</v>
      </c>
      <c r="C79" s="47">
        <v>6</v>
      </c>
      <c r="D79" s="21">
        <f ca="1">((100/H70)*C79)/100</f>
        <v>0.16216216216216217</v>
      </c>
      <c r="E79" s="137"/>
      <c r="F79" s="150"/>
      <c r="G79" s="137"/>
      <c r="H79" s="138"/>
      <c r="I79" s="16" t="s">
        <v>151</v>
      </c>
      <c r="J79" s="34">
        <f>(IF(B70&gt;3,(H70/(B70+2)+J78),0))</f>
        <v>0</v>
      </c>
    </row>
    <row r="80" spans="1:14" ht="15.75" customHeight="1" x14ac:dyDescent="0.35">
      <c r="A80" s="133" t="s">
        <v>145</v>
      </c>
      <c r="B80" s="134"/>
      <c r="C80" s="47">
        <v>1</v>
      </c>
      <c r="D80" s="21">
        <f ca="1">((100/H70)*C80)/100</f>
        <v>2.7027027027027025E-2</v>
      </c>
      <c r="E80" s="137"/>
      <c r="F80" s="150"/>
      <c r="G80" s="137"/>
      <c r="H80" s="138"/>
      <c r="I80" s="16" t="s">
        <v>152</v>
      </c>
      <c r="J80" s="33">
        <f>(IF(B70&gt;4,(H70/(B70+2)+J79),0))</f>
        <v>0</v>
      </c>
    </row>
    <row r="81" spans="1:10" ht="15.75" customHeight="1" x14ac:dyDescent="0.35">
      <c r="A81" s="133" t="s">
        <v>140</v>
      </c>
      <c r="B81" s="134" t="s">
        <v>140</v>
      </c>
      <c r="C81" s="47">
        <v>0</v>
      </c>
      <c r="D81" s="21">
        <f ca="1">((100/(H70))*C81)/100</f>
        <v>0</v>
      </c>
      <c r="E81" s="137"/>
      <c r="F81" s="150"/>
      <c r="G81" s="137"/>
      <c r="H81" s="138"/>
      <c r="I81" s="16" t="s">
        <v>156</v>
      </c>
      <c r="J81" s="33">
        <f ca="1">(IF(B70=1,(H70/(B70+3)+J76),IF(B70=0,(H70/4+J76),IF(B70&gt;1,0))))</f>
        <v>27.75</v>
      </c>
    </row>
    <row r="82" spans="1:10" ht="16" thickBot="1" x14ac:dyDescent="0.4">
      <c r="A82" s="153" t="s">
        <v>141</v>
      </c>
      <c r="B82" s="154"/>
      <c r="C82" s="48">
        <v>0</v>
      </c>
      <c r="D82" s="22">
        <f ca="1">((100/(H70))*C82)/100</f>
        <v>0</v>
      </c>
      <c r="E82" s="139"/>
      <c r="F82" s="151"/>
      <c r="G82" s="139"/>
      <c r="H82" s="140"/>
      <c r="I82" s="17" t="s">
        <v>108</v>
      </c>
      <c r="J82" s="35">
        <f ca="1">(IF(B70&gt;1.5,(H70/(B70+2)+J76+MAX(0,J77-J76)+MAX(0,J78-J77)+MAX(0,J79-J78)+MAX(0,J80-J79)+MAX(0,J81-J80)),IF(B70=1,(H70/(B70+3)+J81),IF(B70=0,H70/4+J81))))</f>
        <v>37</v>
      </c>
    </row>
    <row r="83" spans="1:10" x14ac:dyDescent="0.35">
      <c r="A83" s="165" t="s">
        <v>147</v>
      </c>
      <c r="B83" s="166"/>
      <c r="C83" s="221" t="s">
        <v>245</v>
      </c>
      <c r="D83" s="222"/>
      <c r="E83" s="222"/>
      <c r="F83" s="222"/>
      <c r="G83" s="222"/>
      <c r="H83" s="223"/>
      <c r="I83" s="52" t="str">
        <f ca="1">IF(D96=100%,"All work Completed. Possession granted to the Building.",IF(D95=100%,"All work Completed, Waiting for OC",I84&amp;""&amp;I85&amp;""&amp;J84&amp;""&amp;J83&amp;" "&amp;J85))</f>
        <v>Excavation, Plinth, RCC Slab, Brickwork, Internal Plaster Completed, External Plaster upto 12 Floor, Flooring upto 5 Floor Completed</v>
      </c>
      <c r="J83" s="53" t="str">
        <f ca="1">(IF(C89=(D84+F84+H84),"",IF(C89&gt;0,", RCC upto "&amp;C89&amp;" Slab","")))&amp;(IF(C90=H84,"",IF(C90&gt;0,", Brickwork upto "&amp;C90&amp;" Floor","")))&amp;(IF(C91=H84,"",IF(C91&gt;0,", Internal Plaster upto "&amp;C91&amp;" Floor","")))&amp;(IF(C92=H84,"",IF(C92&gt;0,", External Plaster upto "&amp;C92&amp;" Floor","")))&amp;(IF(C93=H84,"",IF(C93&gt;0,", Flooring upto "&amp;C93&amp;" Floor","")))&amp;(IF(C94=H84,"",IF(C94&gt;0,", Painting upto "&amp;C94&amp;" Floor","")))&amp;(IF(C95=H84,"",IF(C95&gt;0,", Finishing upto "&amp;C95&amp;" Floor","")))&amp;(IF(C96=H84,"",IF(C96&gt;0,", Possession upto "&amp;C96&amp;" Floor","")))</f>
        <v>, External Plaster upto 12 Floor, Flooring upto 5 Floor</v>
      </c>
    </row>
    <row r="84" spans="1:10" x14ac:dyDescent="0.35">
      <c r="A84" s="18" t="s">
        <v>149</v>
      </c>
      <c r="B84" s="57">
        <v>0</v>
      </c>
      <c r="C84" s="57" t="s">
        <v>74</v>
      </c>
      <c r="D84" s="57">
        <v>1</v>
      </c>
      <c r="E84" s="57" t="s">
        <v>73</v>
      </c>
      <c r="F84" s="57">
        <v>2</v>
      </c>
      <c r="G84" s="57" t="s">
        <v>83</v>
      </c>
      <c r="H84" s="19">
        <f ca="1">--TRIM(RIGHT(SUBSTITUTE(LEFT(C83,_xlfn.AGGREGATE(16,6,FIND({0,1,2,3,4,5,6,7,8,9},C83,ROW(INDIRECT("1:"&amp;LEN(C83)))),1))," ",REPT(" ",LEN(C83))),LEN(C83)))</f>
        <v>37</v>
      </c>
      <c r="I84" s="54" t="str">
        <f ca="1">IF(D87=100%,"Excavation","")&amp;IF(D88=100%,", Plinth","")&amp;IF(D89=100%,", RCC Slab","")&amp;IF(D90=100%,", Brickwork","")&amp;IF(D91=100%,", Internal Plaster","")&amp;IF(D92=100%,", External Plaster","")&amp;IF(D93=100%,", Flooring","")&amp;IF(D94=100%,", Painting","")&amp;IF(D95=100%,", Building common Amenities","")</f>
        <v>Excavation, Plinth, RCC Slab, Brickwork, Internal Plaster</v>
      </c>
      <c r="J84" s="55" t="str">
        <f ca="1">(IF(C87=0,"Work not yet Started.",IF(D87=25%,"Piling work in process",IF(D87=50%,"Excavation work in process",IF(D87=100%,"","0")))))&amp;(IF(C88=0%,"",IF(C88=J89,", Footing work is process",IF(C88=J90,", Footing work Completed",IF(C88=J91,", 1st Basement Completed",IF(C88=J92,", 1st &amp; 2nd Basement Completed",IF(C88=J93,", 1st to 3rd Basement Completed",IF(C88=J94,", 1st to 4th Basement Completed",IF(C88=J95,", Plinth work is process",IF(C88=J96,"","0"))))))))))</f>
        <v/>
      </c>
    </row>
    <row r="85" spans="1:10" ht="32.25" customHeight="1" x14ac:dyDescent="0.35">
      <c r="A85" s="143" t="s">
        <v>93</v>
      </c>
      <c r="B85" s="144"/>
      <c r="C85" s="145" t="str">
        <f ca="1">(IF($G$54="NA",I83,"All work Completed. OC Received."))</f>
        <v>Excavation, Plinth, RCC Slab, Brickwork, Internal Plaster Completed, External Plaster upto 12 Floor, Flooring upto 5 Floor Completed</v>
      </c>
      <c r="D85" s="145"/>
      <c r="E85" s="145"/>
      <c r="F85" s="145"/>
      <c r="G85" s="145"/>
      <c r="H85" s="146"/>
      <c r="I85" s="54" t="str">
        <f ca="1">IF(I84&lt;&gt;""," Completed","")</f>
        <v xml:space="preserve"> Completed</v>
      </c>
      <c r="J85" s="55" t="str">
        <f ca="1">IF(J83&lt;&gt;"","Completed","")</f>
        <v>Completed</v>
      </c>
    </row>
    <row r="86" spans="1:10" ht="15.75" customHeight="1" x14ac:dyDescent="0.35">
      <c r="A86" s="133" t="s">
        <v>50</v>
      </c>
      <c r="B86" s="134"/>
      <c r="C86" s="47" t="s">
        <v>146</v>
      </c>
      <c r="D86" s="47" t="s">
        <v>86</v>
      </c>
      <c r="E86" s="134" t="s">
        <v>88</v>
      </c>
      <c r="F86" s="134"/>
      <c r="G86" s="134" t="s">
        <v>87</v>
      </c>
      <c r="H86" s="147"/>
      <c r="I86" s="16" t="s">
        <v>148</v>
      </c>
      <c r="J86" s="31">
        <f ca="1">H84*25%</f>
        <v>9.25</v>
      </c>
    </row>
    <row r="87" spans="1:10" x14ac:dyDescent="0.35">
      <c r="A87" s="133" t="s">
        <v>135</v>
      </c>
      <c r="B87" s="134"/>
      <c r="C87" s="47">
        <f ca="1">J88</f>
        <v>37</v>
      </c>
      <c r="D87" s="21">
        <f ca="1">((100/H84)*C87)/100</f>
        <v>1</v>
      </c>
      <c r="E87" s="135">
        <f ca="1">(((C88/H84*10)+(40/(D84+F84+H84)*C89)+(7.5/(H84)*C90)+(7.5/(H84)*C91)+(10/H84*C92)+(10/H84*C93)+(5/H84*C94)+(5/H84*C95)+(5/H84*C96))/100)</f>
        <v>0.69594594594594594</v>
      </c>
      <c r="F87" s="149"/>
      <c r="G87" s="135">
        <f ca="1">((((C87/H84)*20)+((C88/H84)*25)+(30/(H84+F84+D84)*C89)+(5/H84*C90)+(5/H84*C91)+(5/H84*C92)+(5/H84*C93)+(0/H84*C94)+(0/H84*C95)+(5/H84*C96))/100)</f>
        <v>0.87297297297297305</v>
      </c>
      <c r="H87" s="136"/>
      <c r="I87" s="16" t="s">
        <v>104</v>
      </c>
      <c r="J87" s="32">
        <f ca="1">H84*50%</f>
        <v>18.5</v>
      </c>
    </row>
    <row r="88" spans="1:10" x14ac:dyDescent="0.35">
      <c r="A88" s="133" t="s">
        <v>51</v>
      </c>
      <c r="B88" s="134"/>
      <c r="C88" s="47">
        <f ca="1">J96</f>
        <v>37</v>
      </c>
      <c r="D88" s="21">
        <f ca="1">((100/H84)*C88)/100</f>
        <v>1</v>
      </c>
      <c r="E88" s="137"/>
      <c r="F88" s="150"/>
      <c r="G88" s="137"/>
      <c r="H88" s="138"/>
      <c r="I88" s="16" t="s">
        <v>105</v>
      </c>
      <c r="J88" s="32">
        <f ca="1">H84</f>
        <v>37</v>
      </c>
    </row>
    <row r="89" spans="1:10" ht="15.75" customHeight="1" x14ac:dyDescent="0.35">
      <c r="A89" s="133" t="s">
        <v>136</v>
      </c>
      <c r="B89" s="134"/>
      <c r="C89" s="47">
        <v>40</v>
      </c>
      <c r="D89" s="21">
        <f ca="1">((100/(D84+F84+H84))*C89)/100</f>
        <v>1</v>
      </c>
      <c r="E89" s="137"/>
      <c r="F89" s="150"/>
      <c r="G89" s="137"/>
      <c r="H89" s="138"/>
      <c r="I89" s="16" t="s">
        <v>106</v>
      </c>
      <c r="J89" s="33">
        <f ca="1">(IF(B84&gt;1,(H84/(B84+2)),H84/4))</f>
        <v>9.25</v>
      </c>
    </row>
    <row r="90" spans="1:10" ht="15.75" customHeight="1" x14ac:dyDescent="0.35">
      <c r="A90" s="133" t="s">
        <v>143</v>
      </c>
      <c r="B90" s="134" t="s">
        <v>137</v>
      </c>
      <c r="C90" s="47">
        <v>37</v>
      </c>
      <c r="D90" s="21">
        <f ca="1">((100/H84)*C90)/100</f>
        <v>1</v>
      </c>
      <c r="E90" s="137"/>
      <c r="F90" s="150"/>
      <c r="G90" s="137"/>
      <c r="H90" s="138"/>
      <c r="I90" s="16" t="s">
        <v>107</v>
      </c>
      <c r="J90" s="33">
        <f ca="1">(IF(B84&gt;1,(H84/(B84+2)+J89),H84/4+J89))</f>
        <v>18.5</v>
      </c>
    </row>
    <row r="91" spans="1:10" ht="15.75" customHeight="1" x14ac:dyDescent="0.35">
      <c r="A91" s="133" t="s">
        <v>144</v>
      </c>
      <c r="B91" s="134" t="s">
        <v>137</v>
      </c>
      <c r="C91" s="47">
        <v>37</v>
      </c>
      <c r="D91" s="21">
        <f ca="1">((100/H84)*C91)/100</f>
        <v>1</v>
      </c>
      <c r="E91" s="137"/>
      <c r="F91" s="150"/>
      <c r="G91" s="137"/>
      <c r="H91" s="138"/>
      <c r="I91" s="16" t="s">
        <v>155</v>
      </c>
      <c r="J91" s="33">
        <f>(IF(B84&gt;1,(H84/(B84+2)+J90),0))</f>
        <v>0</v>
      </c>
    </row>
    <row r="92" spans="1:10" ht="15" customHeight="1" x14ac:dyDescent="0.35">
      <c r="A92" s="133" t="s">
        <v>142</v>
      </c>
      <c r="B92" s="134" t="s">
        <v>139</v>
      </c>
      <c r="C92" s="47">
        <v>12</v>
      </c>
      <c r="D92" s="21">
        <f ca="1">((100/(H84))*C92)/100</f>
        <v>0.32432432432432434</v>
      </c>
      <c r="E92" s="137"/>
      <c r="F92" s="150"/>
      <c r="G92" s="137"/>
      <c r="H92" s="138"/>
      <c r="I92" s="16" t="s">
        <v>150</v>
      </c>
      <c r="J92" s="33">
        <f>(IF(B84&gt;2,(H84/(B84+2)+J91),0))</f>
        <v>0</v>
      </c>
    </row>
    <row r="93" spans="1:10" ht="15.75" customHeight="1" x14ac:dyDescent="0.35">
      <c r="A93" s="133" t="s">
        <v>138</v>
      </c>
      <c r="B93" s="134" t="s">
        <v>138</v>
      </c>
      <c r="C93" s="47">
        <v>5</v>
      </c>
      <c r="D93" s="21">
        <f ca="1">((100/H84)*C93)/100</f>
        <v>0.13513513513513511</v>
      </c>
      <c r="E93" s="137"/>
      <c r="F93" s="150"/>
      <c r="G93" s="137"/>
      <c r="H93" s="138"/>
      <c r="I93" s="16" t="s">
        <v>151</v>
      </c>
      <c r="J93" s="34">
        <f>(IF(B84&gt;3,(H84/(B84+2)+J92),0))</f>
        <v>0</v>
      </c>
    </row>
    <row r="94" spans="1:10" ht="15.75" customHeight="1" x14ac:dyDescent="0.35">
      <c r="A94" s="133" t="s">
        <v>145</v>
      </c>
      <c r="B94" s="134"/>
      <c r="C94" s="47">
        <v>0</v>
      </c>
      <c r="D94" s="21">
        <f ca="1">((100/H84)*C94)/100</f>
        <v>0</v>
      </c>
      <c r="E94" s="137"/>
      <c r="F94" s="150"/>
      <c r="G94" s="137"/>
      <c r="H94" s="138"/>
      <c r="I94" s="16" t="s">
        <v>152</v>
      </c>
      <c r="J94" s="33">
        <f>(IF(B84&gt;4,(H84/(B84+2)+J93),0))</f>
        <v>0</v>
      </c>
    </row>
    <row r="95" spans="1:10" ht="15.75" customHeight="1" x14ac:dyDescent="0.35">
      <c r="A95" s="133" t="s">
        <v>140</v>
      </c>
      <c r="B95" s="134" t="s">
        <v>140</v>
      </c>
      <c r="C95" s="47">
        <v>0</v>
      </c>
      <c r="D95" s="21">
        <f ca="1">((100/(H84))*C95)/100</f>
        <v>0</v>
      </c>
      <c r="E95" s="137"/>
      <c r="F95" s="150"/>
      <c r="G95" s="137"/>
      <c r="H95" s="138"/>
      <c r="I95" s="16" t="s">
        <v>156</v>
      </c>
      <c r="J95" s="33">
        <f ca="1">(IF(B84=1,(H84/(B84+3)+J90),IF(B84=0,(H84/4+J90),IF(B84&gt;1,0))))</f>
        <v>27.75</v>
      </c>
    </row>
    <row r="96" spans="1:10" ht="16" thickBot="1" x14ac:dyDescent="0.4">
      <c r="A96" s="153" t="s">
        <v>141</v>
      </c>
      <c r="B96" s="154"/>
      <c r="C96" s="48">
        <v>0</v>
      </c>
      <c r="D96" s="22">
        <f ca="1">((100/(H84))*C96)/100</f>
        <v>0</v>
      </c>
      <c r="E96" s="139"/>
      <c r="F96" s="151"/>
      <c r="G96" s="139"/>
      <c r="H96" s="140"/>
      <c r="I96" s="17" t="s">
        <v>108</v>
      </c>
      <c r="J96" s="35">
        <f ca="1">(IF(B84&gt;1.5,(H84/(B84+2)+J90+MAX(0,J91-J90)+MAX(0,J92-J91)+MAX(0,J93-J92)+MAX(0,J94-J93)+MAX(0,J95-J94)),IF(B84=1,(H84/(B84+3)+J95),IF(B84=0,H84/4+J95))))</f>
        <v>37</v>
      </c>
    </row>
    <row r="97" spans="1:10" x14ac:dyDescent="0.35">
      <c r="A97" s="165" t="s">
        <v>147</v>
      </c>
      <c r="B97" s="166"/>
      <c r="C97" s="221" t="s">
        <v>244</v>
      </c>
      <c r="D97" s="222"/>
      <c r="E97" s="222"/>
      <c r="F97" s="222"/>
      <c r="G97" s="222"/>
      <c r="H97" s="223"/>
      <c r="I97" s="52" t="str">
        <f ca="1">IF(D110=100%,"All work Completed. Possession granted to the Building.",IF(D109=100%,"All work Completed, Waiting for OC",I98&amp;""&amp;I99&amp;""&amp;J98&amp;""&amp;J97&amp;" "&amp;J99))</f>
        <v>Excavation, Plinth Completed, RCC upto 39 Slab, Brickwork upto 20 Floor, Internal Plaster upto 6 Floor, External Plaster upto 6 Floor Completed</v>
      </c>
      <c r="J97" s="53" t="str">
        <f ca="1">(IF(C103=(D98+F98+H98),"",IF(C103&gt;0,", RCC upto "&amp;C103&amp;" Slab","")))&amp;(IF(C104=H98,"",IF(C104&gt;0,", Brickwork upto "&amp;C104&amp;" Floor","")))&amp;(IF(C105=H98,"",IF(C105&gt;0,", Internal Plaster upto "&amp;C105&amp;" Floor","")))&amp;(IF(C106=H98,"",IF(C106&gt;0,", External Plaster upto "&amp;C106&amp;" Floor","")))&amp;(IF(C107=H98,"",IF(C107&gt;0,", Flooring upto "&amp;C107&amp;" Floor","")))&amp;(IF(C108=H98,"",IF(C108&gt;0,", Painting upto "&amp;C108&amp;" Floor","")))&amp;(IF(C109=H98,"",IF(C109&gt;0,", Finishing upto "&amp;C109&amp;" Floor","")))&amp;(IF(C110=H98,"",IF(C110&gt;0,", Possession upto "&amp;C110&amp;" Floor","")))</f>
        <v>, RCC upto 39 Slab, Brickwork upto 20 Floor, Internal Plaster upto 6 Floor, External Plaster upto 6 Floor</v>
      </c>
    </row>
    <row r="98" spans="1:10" x14ac:dyDescent="0.35">
      <c r="A98" s="18" t="s">
        <v>149</v>
      </c>
      <c r="B98" s="71">
        <v>0</v>
      </c>
      <c r="C98" s="71" t="s">
        <v>74</v>
      </c>
      <c r="D98" s="71">
        <v>1</v>
      </c>
      <c r="E98" s="71" t="s">
        <v>73</v>
      </c>
      <c r="F98" s="71">
        <v>2</v>
      </c>
      <c r="G98" s="71" t="s">
        <v>83</v>
      </c>
      <c r="H98" s="19">
        <f ca="1">--TRIM(RIGHT(SUBSTITUTE(LEFT(C97,_xlfn.AGGREGATE(16,6,FIND({0,1,2,3,4,5,6,7,8,9},C97,ROW(INDIRECT("1:"&amp;LEN(C97)))),1))," ",REPT(" ",LEN(C97))),LEN(C97)))</f>
        <v>37</v>
      </c>
      <c r="I98" s="54" t="str">
        <f ca="1">IF(D101=100%,"Excavation","")&amp;IF(D102=100%,", Plinth","")&amp;IF(D103=100%,", RCC Slab","")&amp;IF(D104=100%,", Brickwork","")&amp;IF(D105=100%,", Internal Plaster","")&amp;IF(D106=100%,", External Plaster","")&amp;IF(D107=100%,", Flooring","")&amp;IF(D108=100%,", Painting","")&amp;IF(D109=100%,", Building common Amenities","")</f>
        <v>Excavation, Plinth</v>
      </c>
      <c r="J98" s="55" t="str">
        <f ca="1">(IF(C101=0,"Work not yet Started.",IF(D101=25%,"Piling work in process",IF(D101=50%,"Excavation work in process",IF(D101=100%,"","0")))))&amp;(IF(C102=0%,"",IF(C102=J103,", Footing work is process",IF(C102=J104,", Footing work Completed",IF(C102=J105,", 1st Basement Completed",IF(C102=J106,", 1st &amp; 2nd Basement Completed",IF(C102=J107,", 1st to 3rd Basement Completed",IF(C102=J108,", 1st to 4th Basement Completed",IF(C102=J109,", Plinth work is process",IF(C102=J110,"","0"))))))))))</f>
        <v/>
      </c>
    </row>
    <row r="99" spans="1:10" ht="35.25" customHeight="1" x14ac:dyDescent="0.35">
      <c r="A99" s="144" t="s">
        <v>93</v>
      </c>
      <c r="B99" s="144"/>
      <c r="C99" s="145" t="str">
        <f ca="1">(IF($G$54="NA",I97,"All work Completed. OC Received."))</f>
        <v>Excavation, Plinth Completed, RCC upto 39 Slab, Brickwork upto 20 Floor, Internal Plaster upto 6 Floor, External Plaster upto 6 Floor Completed</v>
      </c>
      <c r="D99" s="145"/>
      <c r="E99" s="145"/>
      <c r="F99" s="145"/>
      <c r="G99" s="145"/>
      <c r="H99" s="145"/>
      <c r="I99" s="81" t="str">
        <f ca="1">IF(I98&lt;&gt;""," Completed","")</f>
        <v xml:space="preserve"> Completed</v>
      </c>
      <c r="J99" s="55" t="str">
        <f ca="1">IF(J97&lt;&gt;"","Completed","")</f>
        <v>Completed</v>
      </c>
    </row>
    <row r="100" spans="1:10" ht="15.75" customHeight="1" x14ac:dyDescent="0.35">
      <c r="A100" s="134" t="s">
        <v>50</v>
      </c>
      <c r="B100" s="134"/>
      <c r="C100" s="77" t="s">
        <v>146</v>
      </c>
      <c r="D100" s="77" t="s">
        <v>86</v>
      </c>
      <c r="E100" s="134" t="s">
        <v>88</v>
      </c>
      <c r="F100" s="134"/>
      <c r="G100" s="134" t="s">
        <v>87</v>
      </c>
      <c r="H100" s="134"/>
      <c r="I100" s="16" t="s">
        <v>148</v>
      </c>
      <c r="J100" s="31">
        <f ca="1">H98*25%</f>
        <v>9.25</v>
      </c>
    </row>
    <row r="101" spans="1:10" x14ac:dyDescent="0.35">
      <c r="A101" s="134" t="s">
        <v>135</v>
      </c>
      <c r="B101" s="134"/>
      <c r="C101" s="77">
        <f ca="1">J102</f>
        <v>37</v>
      </c>
      <c r="D101" s="21">
        <f ca="1">((100/H98)*C101)/100</f>
        <v>1</v>
      </c>
      <c r="E101" s="227">
        <f ca="1">(((C102/H98*10)+(40/(D98+F98+H98)*C103)+(7.5/(H98)*C104)+(7.5/(H98)*C105)+(10/H98*C106)+(10/H98*C107)+(5/H98*C108)+(5/H98*C109)+(5/H98*C110))/100)</f>
        <v>0.55891891891891898</v>
      </c>
      <c r="F101" s="227"/>
      <c r="G101" s="227">
        <f ca="1">((((C101/H98)*20)+((C102/H98)*25)+(30/(H98+F98+D98)*C103)+(5/H98*C104)+(5/H98*C105)+(5/H98*C106)+(5/H98*C107)+(0/H98*C108)+(0/H98*C109)+(5/H98*C110))/100)</f>
        <v>0.78574324324324318</v>
      </c>
      <c r="H101" s="227"/>
      <c r="I101" s="16" t="s">
        <v>104</v>
      </c>
      <c r="J101" s="32">
        <f ca="1">H98*50%</f>
        <v>18.5</v>
      </c>
    </row>
    <row r="102" spans="1:10" x14ac:dyDescent="0.35">
      <c r="A102" s="134" t="s">
        <v>51</v>
      </c>
      <c r="B102" s="134"/>
      <c r="C102" s="77">
        <f ca="1">J110</f>
        <v>37</v>
      </c>
      <c r="D102" s="21">
        <f ca="1">((100/H98)*C102)/100</f>
        <v>1</v>
      </c>
      <c r="E102" s="227"/>
      <c r="F102" s="227"/>
      <c r="G102" s="227"/>
      <c r="H102" s="227"/>
      <c r="I102" s="16" t="s">
        <v>105</v>
      </c>
      <c r="J102" s="32">
        <f ca="1">H98</f>
        <v>37</v>
      </c>
    </row>
    <row r="103" spans="1:10" ht="15.75" customHeight="1" x14ac:dyDescent="0.35">
      <c r="A103" s="134" t="s">
        <v>136</v>
      </c>
      <c r="B103" s="134"/>
      <c r="C103" s="77">
        <f>F98+37</f>
        <v>39</v>
      </c>
      <c r="D103" s="21">
        <f ca="1">((100/(D98+F98+H98))*C103)/100</f>
        <v>0.97499999999999998</v>
      </c>
      <c r="E103" s="227"/>
      <c r="F103" s="227"/>
      <c r="G103" s="227"/>
      <c r="H103" s="227"/>
      <c r="I103" s="16" t="s">
        <v>106</v>
      </c>
      <c r="J103" s="33">
        <f ca="1">(IF(B98&gt;1,(H98/(B98+2)),H98/4))</f>
        <v>9.25</v>
      </c>
    </row>
    <row r="104" spans="1:10" ht="15.75" customHeight="1" x14ac:dyDescent="0.35">
      <c r="A104" s="134" t="s">
        <v>143</v>
      </c>
      <c r="B104" s="134" t="s">
        <v>137</v>
      </c>
      <c r="C104" s="77">
        <v>20</v>
      </c>
      <c r="D104" s="21">
        <f ca="1">((100/H98)*C104)/100</f>
        <v>0.54054054054054046</v>
      </c>
      <c r="E104" s="227"/>
      <c r="F104" s="227"/>
      <c r="G104" s="227"/>
      <c r="H104" s="227"/>
      <c r="I104" s="16" t="s">
        <v>107</v>
      </c>
      <c r="J104" s="33">
        <f ca="1">(IF(B98&gt;1,(H98/(B98+2)+J103),H98/4+J103))</f>
        <v>18.5</v>
      </c>
    </row>
    <row r="105" spans="1:10" ht="15.75" customHeight="1" x14ac:dyDescent="0.35">
      <c r="A105" s="134" t="s">
        <v>144</v>
      </c>
      <c r="B105" s="134" t="s">
        <v>137</v>
      </c>
      <c r="C105" s="77">
        <v>6</v>
      </c>
      <c r="D105" s="21">
        <f ca="1">((100/H98)*C105)/100</f>
        <v>0.16216216216216217</v>
      </c>
      <c r="E105" s="227"/>
      <c r="F105" s="227"/>
      <c r="G105" s="227"/>
      <c r="H105" s="227"/>
      <c r="I105" s="16" t="s">
        <v>155</v>
      </c>
      <c r="J105" s="33">
        <f>(IF(B98&gt;1,(H98/(B98+2)+J104),0))</f>
        <v>0</v>
      </c>
    </row>
    <row r="106" spans="1:10" ht="15" customHeight="1" x14ac:dyDescent="0.35">
      <c r="A106" s="134" t="s">
        <v>142</v>
      </c>
      <c r="B106" s="134" t="s">
        <v>139</v>
      </c>
      <c r="C106" s="77">
        <v>6</v>
      </c>
      <c r="D106" s="21">
        <f ca="1">((100/(H98))*C106)/100</f>
        <v>0.16216216216216217</v>
      </c>
      <c r="E106" s="227"/>
      <c r="F106" s="227"/>
      <c r="G106" s="227"/>
      <c r="H106" s="227"/>
      <c r="I106" s="16" t="s">
        <v>150</v>
      </c>
      <c r="J106" s="33">
        <f>(IF(B98&gt;2,(H98/(B98+2)+J105),0))</f>
        <v>0</v>
      </c>
    </row>
    <row r="107" spans="1:10" ht="15.75" customHeight="1" x14ac:dyDescent="0.35">
      <c r="A107" s="134" t="s">
        <v>138</v>
      </c>
      <c r="B107" s="134" t="s">
        <v>138</v>
      </c>
      <c r="C107" s="77">
        <v>0</v>
      </c>
      <c r="D107" s="21">
        <f ca="1">((100/H98)*C107)/100</f>
        <v>0</v>
      </c>
      <c r="E107" s="227"/>
      <c r="F107" s="227"/>
      <c r="G107" s="227"/>
      <c r="H107" s="227"/>
      <c r="I107" s="16" t="s">
        <v>151</v>
      </c>
      <c r="J107" s="34">
        <f>(IF(B98&gt;3,(H98/(B98+2)+J106),0))</f>
        <v>0</v>
      </c>
    </row>
    <row r="108" spans="1:10" ht="15.75" customHeight="1" x14ac:dyDescent="0.35">
      <c r="A108" s="134" t="s">
        <v>145</v>
      </c>
      <c r="B108" s="134"/>
      <c r="C108" s="77">
        <v>0</v>
      </c>
      <c r="D108" s="21">
        <f ca="1">((100/H98)*C108)/100</f>
        <v>0</v>
      </c>
      <c r="E108" s="227"/>
      <c r="F108" s="227"/>
      <c r="G108" s="227"/>
      <c r="H108" s="227"/>
      <c r="I108" s="16" t="s">
        <v>152</v>
      </c>
      <c r="J108" s="33">
        <f>(IF(B98&gt;4,(H98/(B98+2)+J107),0))</f>
        <v>0</v>
      </c>
    </row>
    <row r="109" spans="1:10" ht="15.75" customHeight="1" x14ac:dyDescent="0.35">
      <c r="A109" s="134" t="s">
        <v>140</v>
      </c>
      <c r="B109" s="134" t="s">
        <v>140</v>
      </c>
      <c r="C109" s="77">
        <v>0</v>
      </c>
      <c r="D109" s="21">
        <f ca="1">((100/(H98))*C109)/100</f>
        <v>0</v>
      </c>
      <c r="E109" s="227"/>
      <c r="F109" s="227"/>
      <c r="G109" s="227"/>
      <c r="H109" s="227"/>
      <c r="I109" s="16" t="s">
        <v>156</v>
      </c>
      <c r="J109" s="33">
        <f ca="1">(IF(B98=1,(H98/(B98+3)+J104),IF(B98=0,(H98/4+J104),IF(B98&gt;1,0))))</f>
        <v>27.75</v>
      </c>
    </row>
    <row r="110" spans="1:10" ht="16" thickBot="1" x14ac:dyDescent="0.4">
      <c r="A110" s="134" t="s">
        <v>141</v>
      </c>
      <c r="B110" s="134"/>
      <c r="C110" s="77">
        <v>0</v>
      </c>
      <c r="D110" s="21">
        <f ca="1">((100/(H98))*C110)/100</f>
        <v>0</v>
      </c>
      <c r="E110" s="227"/>
      <c r="F110" s="227"/>
      <c r="G110" s="227"/>
      <c r="H110" s="227"/>
      <c r="I110" s="17" t="s">
        <v>108</v>
      </c>
      <c r="J110" s="35">
        <f ca="1">(IF(B98&gt;1.5,(H98/(B98+2)+J104+MAX(0,J105-J104)+MAX(0,J106-J105)+MAX(0,J107-J106)+MAX(0,J108-J107)+MAX(0,J109-J108)),IF(B98=1,(H98/(B98+3)+J109),IF(B98=0,H98/4+J109))))</f>
        <v>37</v>
      </c>
    </row>
    <row r="111" spans="1:10" s="74" customFormat="1" ht="32.25" customHeight="1" thickBot="1" x14ac:dyDescent="0.4">
      <c r="A111" s="224" t="s">
        <v>243</v>
      </c>
      <c r="B111" s="225" t="s">
        <v>140</v>
      </c>
      <c r="C111" s="225" t="s">
        <v>88</v>
      </c>
      <c r="D111" s="225"/>
      <c r="E111" s="82">
        <f ca="1">(E87+E101)/2</f>
        <v>0.62743243243243252</v>
      </c>
      <c r="F111" s="226" t="s">
        <v>87</v>
      </c>
      <c r="G111" s="226"/>
      <c r="H111" s="82">
        <f ca="1">(G87+G101)/2</f>
        <v>0.82935810810810806</v>
      </c>
      <c r="I111" s="72" t="s">
        <v>156</v>
      </c>
      <c r="J111" s="73">
        <f>(IF(B100=1,(H100/(B100+3)+J106),IF(B100=0,(H100/4+J106),IF(B100&gt;1,0))))</f>
        <v>0</v>
      </c>
    </row>
    <row r="112" spans="1:10" ht="15.75" customHeight="1" x14ac:dyDescent="0.35">
      <c r="A112" s="165" t="s">
        <v>147</v>
      </c>
      <c r="B112" s="166"/>
      <c r="C112" s="167" t="str">
        <f>D61</f>
        <v>Building No.3 C Wing = G + 2P + 1st to 37th Floor</v>
      </c>
      <c r="D112" s="168"/>
      <c r="E112" s="168"/>
      <c r="F112" s="168"/>
      <c r="G112" s="168"/>
      <c r="H112" s="169"/>
      <c r="I112" s="52" t="str">
        <f ca="1">IF(D125=100%,"All work Completed. Possession granted to the Building.",IF(D124=100%,"All work Completed, Waiting for OC",I113&amp;""&amp;I114&amp;""&amp;J113&amp;""&amp;J112&amp;" "&amp;J114))</f>
        <v>Excavation, Plinth Completed, RCC upto 39 Slab, Brickwork upto 20 Floor, Internal Plaster upto 6 Floor, External Plaster upto 6 Floor Completed</v>
      </c>
      <c r="J112" s="53" t="str">
        <f ca="1">(IF(C118=(D113+F113+H113),"",IF(C118&gt;0,", RCC upto "&amp;C118&amp;" Slab","")))&amp;(IF(C119=H113,"",IF(C119&gt;0,", Brickwork upto "&amp;C119&amp;" Floor","")))&amp;(IF(C120=H113,"",IF(C120&gt;0,", Internal Plaster upto "&amp;C120&amp;" Floor","")))&amp;(IF(C121=H113,"",IF(C121&gt;0,", External Plaster upto "&amp;C121&amp;" Floor","")))&amp;(IF(C122=H113,"",IF(C122&gt;0,", Flooring upto "&amp;C122&amp;" Floor","")))&amp;(IF(C123=H113,"",IF(C123&gt;0,", Painting upto "&amp;C123&amp;" Floor","")))&amp;(IF(C124=H113,"",IF(C124&gt;0,", Finishing upto "&amp;C124&amp;" Floor","")))&amp;(IF(C125=H113,"",IF(C125&gt;0,", Possession upto "&amp;C125&amp;" Floor","")))</f>
        <v>, RCC upto 39 Slab, Brickwork upto 20 Floor, Internal Plaster upto 6 Floor, External Plaster upto 6 Floor</v>
      </c>
    </row>
    <row r="113" spans="1:12" x14ac:dyDescent="0.35">
      <c r="A113" s="18" t="s">
        <v>149</v>
      </c>
      <c r="B113" s="57">
        <v>0</v>
      </c>
      <c r="C113" s="57" t="s">
        <v>74</v>
      </c>
      <c r="D113" s="57">
        <v>1</v>
      </c>
      <c r="E113" s="57" t="s">
        <v>73</v>
      </c>
      <c r="F113" s="57">
        <v>2</v>
      </c>
      <c r="G113" s="57" t="s">
        <v>83</v>
      </c>
      <c r="H113" s="19">
        <f ca="1">--TRIM(RIGHT(SUBSTITUTE(LEFT(C112,_xlfn.AGGREGATE(16,6,FIND({0,1,2,3,4,5,6,7,8,9},C112,ROW(INDIRECT("1:"&amp;LEN(C112)))),1))," ",REPT(" ",LEN(C112))),LEN(C112)))</f>
        <v>37</v>
      </c>
      <c r="I113" s="54" t="str">
        <f ca="1">IF(D116=100%,"Excavation","")&amp;IF(D117=100%,", Plinth","")&amp;IF(D118=100%,", RCC Slab","")&amp;IF(D119=100%,", Brickwork","")&amp;IF(D120=100%,", Internal Plaster","")&amp;IF(D121=100%,", External Plaster","")&amp;IF(D122=100%,", Flooring","")&amp;IF(D123=100%,", Painting","")&amp;IF(D124=100%,", Building common Amenities","")</f>
        <v>Excavation, Plinth</v>
      </c>
      <c r="J113" s="55" t="str">
        <f ca="1">(IF(C116=0,"Work not yet Started.",IF(D116=25%,"Piling work in process",IF(D116=50%,"Excavation work in process",IF(D116=100%,"","0")))))&amp;(IF(C117=0%,"",IF(C117=J118,", Footing work is process",IF(C117=J119,", Footing work Completed",IF(C117=J120,", 1st Basement Completed",IF(C117=J121,", 1st &amp; 2nd Basement Completed",IF(C117=J122,", 1st to 3rd Basement Completed",IF(C117=J123,", 1st to 4th Basement Completed",IF(C117=J124,", Plinth work is process",IF(C117=J125,"","0"))))))))))</f>
        <v/>
      </c>
    </row>
    <row r="114" spans="1:12" ht="35.25" customHeight="1" x14ac:dyDescent="0.35">
      <c r="A114" s="143" t="s">
        <v>93</v>
      </c>
      <c r="B114" s="144"/>
      <c r="C114" s="145" t="str">
        <f ca="1">(IF($G$54="NA",I112,"All work Completed. OC Received."))</f>
        <v>Excavation, Plinth Completed, RCC upto 39 Slab, Brickwork upto 20 Floor, Internal Plaster upto 6 Floor, External Plaster upto 6 Floor Completed</v>
      </c>
      <c r="D114" s="145"/>
      <c r="E114" s="145"/>
      <c r="F114" s="145"/>
      <c r="G114" s="145"/>
      <c r="H114" s="146"/>
      <c r="I114" s="54" t="str">
        <f ca="1">IF(I113&lt;&gt;""," Completed","")</f>
        <v xml:space="preserve"> Completed</v>
      </c>
      <c r="J114" s="55" t="str">
        <f ca="1">IF(J112&lt;&gt;"","Completed","")</f>
        <v>Completed</v>
      </c>
    </row>
    <row r="115" spans="1:12" ht="15.75" customHeight="1" x14ac:dyDescent="0.35">
      <c r="A115" s="133" t="s">
        <v>50</v>
      </c>
      <c r="B115" s="134"/>
      <c r="C115" s="47" t="s">
        <v>146</v>
      </c>
      <c r="D115" s="47" t="s">
        <v>86</v>
      </c>
      <c r="E115" s="134" t="s">
        <v>88</v>
      </c>
      <c r="F115" s="134"/>
      <c r="G115" s="134" t="s">
        <v>87</v>
      </c>
      <c r="H115" s="147"/>
      <c r="I115" s="16" t="s">
        <v>148</v>
      </c>
      <c r="J115" s="31">
        <f ca="1">H113*25%</f>
        <v>9.25</v>
      </c>
    </row>
    <row r="116" spans="1:12" x14ac:dyDescent="0.35">
      <c r="A116" s="133" t="s">
        <v>135</v>
      </c>
      <c r="B116" s="134"/>
      <c r="C116" s="47">
        <f ca="1">J117</f>
        <v>37</v>
      </c>
      <c r="D116" s="21">
        <f ca="1">((100/H113)*C116)/100</f>
        <v>1</v>
      </c>
      <c r="E116" s="135">
        <f ca="1">(((C117/H113*10)+(40/(D113+F113+H113)*C118)+(7.5/(H113)*C119)+(7.5/(H113)*C120)+(10/H113*C121)+(10/H113*C122)+(5/H113*C123)+(5/H113*C124)+(5/H113*C125))/100)</f>
        <v>0.55891891891891898</v>
      </c>
      <c r="F116" s="149"/>
      <c r="G116" s="135">
        <f ca="1">((((C116/H113)*20)+((C117/H113)*25)+(30/(H113+F113+D113)*C118)+(5/H113*C119)+(5/H113*C120)+(5/H113*C121)+(5/H113*C122)+(0/H113*C123)+(0/H113*C124)+(5/H113*C125))/100)</f>
        <v>0.78574324324324318</v>
      </c>
      <c r="H116" s="136"/>
      <c r="I116" s="16" t="s">
        <v>104</v>
      </c>
      <c r="J116" s="32">
        <f ca="1">H113*50%</f>
        <v>18.5</v>
      </c>
    </row>
    <row r="117" spans="1:12" x14ac:dyDescent="0.35">
      <c r="A117" s="133" t="s">
        <v>51</v>
      </c>
      <c r="B117" s="134"/>
      <c r="C117" s="63">
        <f ca="1">J125</f>
        <v>37</v>
      </c>
      <c r="D117" s="21">
        <f ca="1">((100/H113)*C117)/100</f>
        <v>1</v>
      </c>
      <c r="E117" s="137"/>
      <c r="F117" s="150"/>
      <c r="G117" s="137"/>
      <c r="H117" s="138"/>
      <c r="I117" s="16" t="s">
        <v>105</v>
      </c>
      <c r="J117" s="32">
        <f ca="1">H113</f>
        <v>37</v>
      </c>
    </row>
    <row r="118" spans="1:12" ht="15.75" customHeight="1" x14ac:dyDescent="0.35">
      <c r="A118" s="133" t="s">
        <v>136</v>
      </c>
      <c r="B118" s="134"/>
      <c r="C118" s="47">
        <f>F113+37</f>
        <v>39</v>
      </c>
      <c r="D118" s="21">
        <f ca="1">((100/(D113+F113+H113))*C118)/100</f>
        <v>0.97499999999999998</v>
      </c>
      <c r="E118" s="137"/>
      <c r="F118" s="150"/>
      <c r="G118" s="137"/>
      <c r="H118" s="138"/>
      <c r="I118" s="16" t="s">
        <v>106</v>
      </c>
      <c r="J118" s="33">
        <f ca="1">(IF(B113&gt;1,(H113/(B113+2)),H113/4))</f>
        <v>9.25</v>
      </c>
    </row>
    <row r="119" spans="1:12" ht="15.75" customHeight="1" x14ac:dyDescent="0.35">
      <c r="A119" s="133" t="s">
        <v>143</v>
      </c>
      <c r="B119" s="134" t="s">
        <v>137</v>
      </c>
      <c r="C119" s="47">
        <v>20</v>
      </c>
      <c r="D119" s="21">
        <f ca="1">((100/H113)*C119)/100</f>
        <v>0.54054054054054046</v>
      </c>
      <c r="E119" s="137"/>
      <c r="F119" s="150"/>
      <c r="G119" s="137"/>
      <c r="H119" s="138"/>
      <c r="I119" s="16" t="s">
        <v>107</v>
      </c>
      <c r="J119" s="33">
        <f ca="1">(IF(B113&gt;1,(H113/(B113+2)+J118),H113/4+J118))</f>
        <v>18.5</v>
      </c>
    </row>
    <row r="120" spans="1:12" ht="15.75" customHeight="1" x14ac:dyDescent="0.35">
      <c r="A120" s="133" t="s">
        <v>144</v>
      </c>
      <c r="B120" s="134" t="s">
        <v>137</v>
      </c>
      <c r="C120" s="47">
        <v>6</v>
      </c>
      <c r="D120" s="21">
        <f ca="1">((100/H113)*C120)/100</f>
        <v>0.16216216216216217</v>
      </c>
      <c r="E120" s="137"/>
      <c r="F120" s="150"/>
      <c r="G120" s="137"/>
      <c r="H120" s="138"/>
      <c r="I120" s="16" t="s">
        <v>155</v>
      </c>
      <c r="J120" s="33">
        <f>(IF(B113&gt;1,(H113/(B113+2)+J119),0))</f>
        <v>0</v>
      </c>
    </row>
    <row r="121" spans="1:12" ht="15" customHeight="1" x14ac:dyDescent="0.35">
      <c r="A121" s="133" t="s">
        <v>142</v>
      </c>
      <c r="B121" s="134" t="s">
        <v>139</v>
      </c>
      <c r="C121" s="47">
        <v>6</v>
      </c>
      <c r="D121" s="21">
        <f ca="1">((100/(H113))*C121)/100</f>
        <v>0.16216216216216217</v>
      </c>
      <c r="E121" s="137"/>
      <c r="F121" s="150"/>
      <c r="G121" s="137"/>
      <c r="H121" s="138"/>
      <c r="I121" s="16" t="s">
        <v>150</v>
      </c>
      <c r="J121" s="33">
        <f>(IF(B113&gt;2,(H113/(B113+2)+J120),0))</f>
        <v>0</v>
      </c>
    </row>
    <row r="122" spans="1:12" ht="15.75" customHeight="1" x14ac:dyDescent="0.35">
      <c r="A122" s="133" t="s">
        <v>138</v>
      </c>
      <c r="B122" s="134" t="s">
        <v>138</v>
      </c>
      <c r="C122" s="47">
        <v>0</v>
      </c>
      <c r="D122" s="21">
        <f ca="1">((100/H113)*C122)/100</f>
        <v>0</v>
      </c>
      <c r="E122" s="137"/>
      <c r="F122" s="150"/>
      <c r="G122" s="137"/>
      <c r="H122" s="138"/>
      <c r="I122" s="16" t="s">
        <v>151</v>
      </c>
      <c r="J122" s="34">
        <f>(IF(B113&gt;3,(H113/(B113+2)+J121),0))</f>
        <v>0</v>
      </c>
    </row>
    <row r="123" spans="1:12" ht="15.75" customHeight="1" x14ac:dyDescent="0.35">
      <c r="A123" s="133" t="s">
        <v>145</v>
      </c>
      <c r="B123" s="134"/>
      <c r="C123" s="47">
        <v>0</v>
      </c>
      <c r="D123" s="21">
        <f ca="1">((100/H113)*C123)/100</f>
        <v>0</v>
      </c>
      <c r="E123" s="137"/>
      <c r="F123" s="150"/>
      <c r="G123" s="137"/>
      <c r="H123" s="138"/>
      <c r="I123" s="16" t="s">
        <v>152</v>
      </c>
      <c r="J123" s="33">
        <f>(IF(B113&gt;4,(H113/(B113+2)+J122),0))</f>
        <v>0</v>
      </c>
    </row>
    <row r="124" spans="1:12" ht="15.75" customHeight="1" x14ac:dyDescent="0.35">
      <c r="A124" s="133" t="s">
        <v>140</v>
      </c>
      <c r="B124" s="134" t="s">
        <v>140</v>
      </c>
      <c r="C124" s="47">
        <v>0</v>
      </c>
      <c r="D124" s="21">
        <f ca="1">((100/(H113))*C124)/100</f>
        <v>0</v>
      </c>
      <c r="E124" s="137"/>
      <c r="F124" s="150"/>
      <c r="G124" s="137"/>
      <c r="H124" s="138"/>
      <c r="I124" s="16" t="s">
        <v>156</v>
      </c>
      <c r="J124" s="33">
        <f ca="1">(IF(B113=1,(H113/(B113+3)+J119),IF(B113=0,(H113/4+J119),IF(B113&gt;1,0))))</f>
        <v>27.75</v>
      </c>
    </row>
    <row r="125" spans="1:12" ht="16" thickBot="1" x14ac:dyDescent="0.4">
      <c r="A125" s="153" t="s">
        <v>141</v>
      </c>
      <c r="B125" s="154"/>
      <c r="C125" s="48">
        <v>0</v>
      </c>
      <c r="D125" s="22">
        <f ca="1">((100/(H113))*C125)/100</f>
        <v>0</v>
      </c>
      <c r="E125" s="139"/>
      <c r="F125" s="151"/>
      <c r="G125" s="139"/>
      <c r="H125" s="140"/>
      <c r="I125" s="17" t="s">
        <v>108</v>
      </c>
      <c r="J125" s="35">
        <f ca="1">(IF(B113&gt;1.5,(H113/(B113+2)+J119+MAX(0,J120-J119)+MAX(0,J121-J120)+MAX(0,J122-J121)+MAX(0,J123-J122)+MAX(0,J124-J123)),IF(B113=1,(H113/(B113+3)+J124),IF(B113=0,H113/4+J124))))</f>
        <v>37</v>
      </c>
    </row>
    <row r="126" spans="1:12" x14ac:dyDescent="0.35">
      <c r="A126" s="148" t="s">
        <v>167</v>
      </c>
      <c r="B126" s="148"/>
      <c r="C126" s="148"/>
      <c r="D126" s="148"/>
      <c r="E126" s="148"/>
      <c r="F126" s="152" t="s">
        <v>172</v>
      </c>
      <c r="G126" s="152"/>
      <c r="H126" s="152"/>
    </row>
    <row r="127" spans="1:12" x14ac:dyDescent="0.35">
      <c r="A127" s="112" t="s">
        <v>170</v>
      </c>
      <c r="B127" s="112"/>
      <c r="C127" s="112"/>
      <c r="D127" s="112"/>
      <c r="E127" s="112"/>
      <c r="F127" s="119">
        <v>14500</v>
      </c>
      <c r="G127" s="119"/>
      <c r="H127" s="119"/>
      <c r="I127" s="67" t="s">
        <v>227</v>
      </c>
      <c r="J127" s="67" t="s">
        <v>228</v>
      </c>
      <c r="K127" s="67" t="s">
        <v>229</v>
      </c>
      <c r="L127" s="68">
        <v>45150</v>
      </c>
    </row>
    <row r="128" spans="1:12" hidden="1" x14ac:dyDescent="0.35">
      <c r="A128" s="112" t="s">
        <v>169</v>
      </c>
      <c r="B128" s="112"/>
      <c r="C128" s="112"/>
      <c r="D128" s="112"/>
      <c r="E128" s="112"/>
      <c r="F128" s="119"/>
      <c r="G128" s="119"/>
      <c r="H128" s="119"/>
    </row>
    <row r="129" spans="1:8" hidden="1" x14ac:dyDescent="0.35">
      <c r="A129" s="112" t="s">
        <v>171</v>
      </c>
      <c r="B129" s="112"/>
      <c r="C129" s="112"/>
      <c r="D129" s="112"/>
      <c r="E129" s="112"/>
      <c r="F129" s="119"/>
      <c r="G129" s="119"/>
      <c r="H129" s="119"/>
    </row>
    <row r="130" spans="1:8" s="36" customFormat="1" hidden="1" x14ac:dyDescent="0.3">
      <c r="A130" s="112" t="s">
        <v>168</v>
      </c>
      <c r="B130" s="112"/>
      <c r="C130" s="112"/>
      <c r="D130" s="112"/>
      <c r="E130" s="112"/>
      <c r="F130" s="119"/>
      <c r="G130" s="119"/>
      <c r="H130" s="119"/>
    </row>
    <row r="131" spans="1:8" s="36" customFormat="1" hidden="1" x14ac:dyDescent="0.3">
      <c r="A131" s="112" t="s">
        <v>98</v>
      </c>
      <c r="B131" s="112"/>
      <c r="C131" s="112"/>
      <c r="D131" s="112"/>
      <c r="E131" s="112"/>
      <c r="F131" s="119"/>
      <c r="G131" s="119"/>
      <c r="H131" s="119"/>
    </row>
    <row r="132" spans="1:8" s="36" customFormat="1" hidden="1" x14ac:dyDescent="0.3">
      <c r="A132" s="112" t="s">
        <v>99</v>
      </c>
      <c r="B132" s="112"/>
      <c r="C132" s="112"/>
      <c r="D132" s="112"/>
      <c r="E132" s="112"/>
      <c r="F132" s="119"/>
      <c r="G132" s="119"/>
      <c r="H132" s="119"/>
    </row>
    <row r="133" spans="1:8" s="36" customFormat="1" hidden="1" x14ac:dyDescent="0.3">
      <c r="A133" s="112" t="s">
        <v>173</v>
      </c>
      <c r="B133" s="112"/>
      <c r="C133" s="112"/>
      <c r="D133" s="112"/>
      <c r="E133" s="112"/>
      <c r="F133" s="119"/>
      <c r="G133" s="119"/>
      <c r="H133" s="119"/>
    </row>
    <row r="134" spans="1:8" s="36" customFormat="1" hidden="1" x14ac:dyDescent="0.3">
      <c r="A134" s="112" t="s">
        <v>100</v>
      </c>
      <c r="B134" s="112"/>
      <c r="C134" s="112"/>
      <c r="D134" s="112"/>
      <c r="E134" s="112"/>
      <c r="F134" s="119"/>
      <c r="G134" s="119"/>
      <c r="H134" s="119"/>
    </row>
    <row r="135" spans="1:8" s="36" customFormat="1" hidden="1" x14ac:dyDescent="0.3">
      <c r="A135" s="112" t="s">
        <v>101</v>
      </c>
      <c r="B135" s="112"/>
      <c r="C135" s="112"/>
      <c r="D135" s="112"/>
      <c r="E135" s="112"/>
      <c r="F135" s="119"/>
      <c r="G135" s="119"/>
      <c r="H135" s="119"/>
    </row>
    <row r="136" spans="1:8" s="36" customFormat="1" hidden="1" x14ac:dyDescent="0.3">
      <c r="A136" s="112" t="s">
        <v>102</v>
      </c>
      <c r="B136" s="112"/>
      <c r="C136" s="112"/>
      <c r="D136" s="112"/>
      <c r="E136" s="112"/>
      <c r="F136" s="119"/>
      <c r="G136" s="119"/>
      <c r="H136" s="119"/>
    </row>
    <row r="137" spans="1:8" s="36" customFormat="1" hidden="1" x14ac:dyDescent="0.3">
      <c r="A137" s="112" t="s">
        <v>103</v>
      </c>
      <c r="B137" s="112"/>
      <c r="C137" s="112"/>
      <c r="D137" s="112"/>
      <c r="E137" s="112"/>
      <c r="F137" s="119"/>
      <c r="G137" s="119"/>
      <c r="H137" s="119"/>
    </row>
    <row r="138" spans="1:8" x14ac:dyDescent="0.35">
      <c r="A138" s="112" t="s">
        <v>52</v>
      </c>
      <c r="B138" s="112"/>
      <c r="C138" s="112"/>
      <c r="D138" s="112"/>
      <c r="E138" s="112"/>
      <c r="F138" s="119">
        <v>800000</v>
      </c>
      <c r="G138" s="119"/>
      <c r="H138" s="119"/>
    </row>
    <row r="139" spans="1:8" s="37" customFormat="1" x14ac:dyDescent="0.35">
      <c r="A139" s="180" t="s">
        <v>53</v>
      </c>
      <c r="B139" s="180"/>
      <c r="C139" s="180"/>
      <c r="D139" s="180"/>
      <c r="E139" s="180"/>
      <c r="F139" s="119">
        <f>F127*0.8</f>
        <v>11600</v>
      </c>
      <c r="G139" s="119"/>
      <c r="H139" s="119"/>
    </row>
    <row r="140" spans="1:8" s="38" customFormat="1" ht="15.75" hidden="1" customHeight="1" x14ac:dyDescent="0.35">
      <c r="A140" s="125" t="s">
        <v>78</v>
      </c>
      <c r="B140" s="125"/>
      <c r="C140" s="125"/>
      <c r="D140" s="125"/>
      <c r="E140" s="125"/>
      <c r="F140" s="125"/>
      <c r="G140" s="125"/>
      <c r="H140" s="125"/>
    </row>
    <row r="141" spans="1:8" s="38" customFormat="1" ht="15.75" hidden="1" customHeight="1" x14ac:dyDescent="0.35">
      <c r="A141" s="159" t="s">
        <v>54</v>
      </c>
      <c r="B141" s="159"/>
      <c r="C141" s="157" t="s">
        <v>81</v>
      </c>
      <c r="D141" s="157"/>
      <c r="E141" s="158" t="s">
        <v>55</v>
      </c>
      <c r="F141" s="158"/>
      <c r="G141" s="159" t="s">
        <v>56</v>
      </c>
      <c r="H141" s="159"/>
    </row>
    <row r="142" spans="1:8" s="38" customFormat="1" hidden="1" x14ac:dyDescent="0.35">
      <c r="A142" s="205"/>
      <c r="B142" s="205"/>
      <c r="C142" s="160"/>
      <c r="D142" s="160"/>
      <c r="E142" s="124"/>
      <c r="F142" s="124"/>
      <c r="G142" s="207"/>
      <c r="H142" s="207"/>
    </row>
    <row r="143" spans="1:8" s="38" customFormat="1" hidden="1" x14ac:dyDescent="0.35">
      <c r="A143" s="205"/>
      <c r="B143" s="205"/>
      <c r="C143" s="160"/>
      <c r="D143" s="160"/>
      <c r="E143" s="124"/>
      <c r="F143" s="124"/>
      <c r="G143" s="207"/>
      <c r="H143" s="207"/>
    </row>
    <row r="144" spans="1:8" s="38" customFormat="1" hidden="1" x14ac:dyDescent="0.35">
      <c r="A144" s="125" t="s">
        <v>160</v>
      </c>
      <c r="B144" s="125"/>
      <c r="C144" s="157"/>
      <c r="D144" s="157"/>
      <c r="E144" s="158"/>
      <c r="F144" s="158"/>
      <c r="G144" s="159"/>
      <c r="H144" s="159"/>
    </row>
    <row r="145" spans="1:14" s="38" customFormat="1" x14ac:dyDescent="0.35">
      <c r="A145" s="125" t="s">
        <v>72</v>
      </c>
      <c r="B145" s="125"/>
      <c r="C145" s="125"/>
      <c r="D145" s="125"/>
      <c r="E145" s="125"/>
      <c r="F145" s="125"/>
      <c r="G145" s="125"/>
      <c r="H145" s="125"/>
    </row>
    <row r="146" spans="1:14" s="38" customFormat="1" ht="15.75" customHeight="1" x14ac:dyDescent="0.35">
      <c r="A146" s="159" t="s">
        <v>54</v>
      </c>
      <c r="B146" s="159"/>
      <c r="C146" s="157" t="s">
        <v>81</v>
      </c>
      <c r="D146" s="157"/>
      <c r="E146" s="158" t="s">
        <v>55</v>
      </c>
      <c r="F146" s="158"/>
      <c r="G146" s="159" t="s">
        <v>56</v>
      </c>
      <c r="H146" s="159"/>
    </row>
    <row r="147" spans="1:14" s="38" customFormat="1" x14ac:dyDescent="0.35">
      <c r="A147" s="162" t="s">
        <v>239</v>
      </c>
      <c r="B147" s="65" t="s">
        <v>197</v>
      </c>
      <c r="C147" s="160">
        <f>COUNT(D167:D172)*32+COUNT(D175:D177,D180)*4+COUNT(D182:D184,D186:D187)</f>
        <v>213</v>
      </c>
      <c r="D147" s="160"/>
      <c r="E147" s="161">
        <f>SUM(D167:D172)*32+SUM(D175:D177,D180)*4+SUM(D182:D184,D186:D187)</f>
        <v>86637.606119999997</v>
      </c>
      <c r="F147" s="161"/>
      <c r="G147" s="161">
        <f>SUM(F167:F172)*32+SUM(F175:F177,F180)*4+SUM(F182:F184,F186:F187)</f>
        <v>138620.169792</v>
      </c>
      <c r="H147" s="161"/>
    </row>
    <row r="148" spans="1:14" s="38" customFormat="1" x14ac:dyDescent="0.35">
      <c r="A148" s="163"/>
      <c r="B148" s="65" t="s">
        <v>207</v>
      </c>
      <c r="C148" s="160">
        <f>COUNT(D192:D197)+COUNT(D200:D207)*32+COUNT(D210:D211,D214:D217)*4+COUNT(D219:D221,D223:D226)</f>
        <v>293</v>
      </c>
      <c r="D148" s="160"/>
      <c r="E148" s="161">
        <f>SUM(D192:D197)+SUM(D200:D207)*32+SUM(D210:D211,D214:D217)*4+SUM(D219:D221,D223:D226)</f>
        <v>116691.77051999999</v>
      </c>
      <c r="F148" s="161"/>
      <c r="G148" s="161">
        <f>SUM(F192:F197)+SUM(F200:F207)*32+SUM(F210:F211,F214:F217)*4+SUM(F219:F221,F223:F226)</f>
        <v>186706.83283199999</v>
      </c>
      <c r="H148" s="161"/>
      <c r="J148" s="38" t="s">
        <v>220</v>
      </c>
    </row>
    <row r="149" spans="1:14" s="38" customFormat="1" ht="16" thickBot="1" x14ac:dyDescent="0.4">
      <c r="A149" s="163"/>
      <c r="B149" s="69" t="s">
        <v>206</v>
      </c>
      <c r="C149" s="117">
        <f>COUNT(D231:D234)+COUNT(D236:D241)*22+COUNT(D244:D245,D248:D249)*3+COUNT(D251:D256)*10+COUNT(D258:D259,D262:D263)+COUNT(D265:D267,D269:D270)</f>
        <v>217</v>
      </c>
      <c r="D149" s="117"/>
      <c r="E149" s="118">
        <f>SUM(D231:D234)+SUM(D236:D241)*22+SUM(D244:D245,D248:D249)*3+SUM(D251:D256)*10+SUM(D258:D259,D262:D263)+SUM(D265:D267,D269:D270)</f>
        <v>90407.912400000001</v>
      </c>
      <c r="F149" s="118"/>
      <c r="G149" s="118">
        <f>SUM(F231:F234)+SUM(F236:F241)*22+SUM(F244:F245,F248:F249)*3+SUM(F251:F256)*10+SUM(F258:F259,F262:F263)+SUM(F265:F267,F269:F270)</f>
        <v>144652.65984000001</v>
      </c>
      <c r="H149" s="118"/>
      <c r="J149" s="38" t="s">
        <v>221</v>
      </c>
      <c r="K149" s="38" t="s">
        <v>223</v>
      </c>
      <c r="L149" s="38" t="s">
        <v>224</v>
      </c>
    </row>
    <row r="150" spans="1:14" s="38" customFormat="1" ht="16" thickBot="1" x14ac:dyDescent="0.4">
      <c r="A150" s="113" t="s">
        <v>160</v>
      </c>
      <c r="B150" s="114"/>
      <c r="C150" s="211">
        <f>SUM(C147:C149)</f>
        <v>723</v>
      </c>
      <c r="D150" s="211"/>
      <c r="E150" s="115">
        <f>SUM(E147:E149)</f>
        <v>293737.28903999995</v>
      </c>
      <c r="F150" s="116"/>
      <c r="G150" s="115">
        <f>SUM(G147:G149)</f>
        <v>469979.66246399994</v>
      </c>
      <c r="H150" s="123"/>
      <c r="J150" s="38" t="s">
        <v>222</v>
      </c>
    </row>
    <row r="151" spans="1:14" s="37" customFormat="1" x14ac:dyDescent="0.35">
      <c r="A151" s="152" t="s">
        <v>57</v>
      </c>
      <c r="B151" s="152"/>
      <c r="C151" s="152"/>
      <c r="D151" s="152"/>
      <c r="E151" s="152"/>
      <c r="F151" s="152"/>
      <c r="G151" s="152"/>
      <c r="H151" s="152"/>
      <c r="J151" s="37">
        <v>12500</v>
      </c>
      <c r="K151" s="37">
        <v>14400</v>
      </c>
    </row>
    <row r="152" spans="1:14" x14ac:dyDescent="0.35">
      <c r="A152" s="191" t="s">
        <v>58</v>
      </c>
      <c r="B152" s="191"/>
      <c r="C152" s="191"/>
      <c r="D152" s="191"/>
      <c r="E152" s="191"/>
      <c r="F152" s="191"/>
      <c r="G152" s="191"/>
      <c r="H152" s="191"/>
    </row>
    <row r="153" spans="1:14" ht="47.25" hidden="1" customHeight="1" x14ac:dyDescent="0.35">
      <c r="A153" s="141" t="s">
        <v>126</v>
      </c>
      <c r="B153" s="141" t="s">
        <v>125</v>
      </c>
      <c r="C153" s="141" t="s">
        <v>59</v>
      </c>
      <c r="D153" s="141" t="s">
        <v>60</v>
      </c>
      <c r="E153" s="173" t="s">
        <v>166</v>
      </c>
      <c r="F153" s="46" t="s">
        <v>158</v>
      </c>
      <c r="G153" s="121" t="s">
        <v>62</v>
      </c>
      <c r="H153" s="175"/>
    </row>
    <row r="154" spans="1:14" s="51" customFormat="1" hidden="1" x14ac:dyDescent="0.35">
      <c r="A154" s="142"/>
      <c r="B154" s="142"/>
      <c r="C154" s="142"/>
      <c r="D154" s="142"/>
      <c r="E154" s="174"/>
      <c r="F154" s="15">
        <v>0.6</v>
      </c>
      <c r="G154" s="122"/>
      <c r="H154" s="176"/>
    </row>
    <row r="155" spans="1:14" s="51" customFormat="1" hidden="1" x14ac:dyDescent="0.35">
      <c r="A155" s="170" t="s">
        <v>123</v>
      </c>
      <c r="B155" s="171"/>
      <c r="C155" s="171"/>
      <c r="D155" s="171"/>
      <c r="E155" s="171"/>
      <c r="F155" s="171"/>
      <c r="G155" s="171"/>
      <c r="H155" s="172"/>
      <c r="J155" s="39"/>
    </row>
    <row r="156" spans="1:14" s="51" customFormat="1" hidden="1" x14ac:dyDescent="0.35">
      <c r="A156" s="110">
        <v>1</v>
      </c>
      <c r="B156" s="111"/>
      <c r="C156" s="45"/>
      <c r="D156" s="45"/>
      <c r="E156" s="45">
        <v>0</v>
      </c>
      <c r="F156" s="45">
        <f>(D156+E156)*(($F$154)+1)</f>
        <v>0</v>
      </c>
      <c r="G156" s="110" t="str">
        <f>A155</f>
        <v>Ground Floor</v>
      </c>
      <c r="H156" s="111"/>
      <c r="I156" s="39"/>
      <c r="L156" s="94"/>
      <c r="M156" s="94"/>
      <c r="N156" s="39"/>
    </row>
    <row r="157" spans="1:14" s="51" customFormat="1" hidden="1" x14ac:dyDescent="0.35">
      <c r="A157" s="110">
        <f t="shared" ref="A157:A159" si="0">A156+1</f>
        <v>2</v>
      </c>
      <c r="B157" s="111"/>
      <c r="C157" s="45"/>
      <c r="D157" s="45"/>
      <c r="E157" s="45">
        <v>0</v>
      </c>
      <c r="F157" s="45">
        <f t="shared" ref="F157:F159" si="1">(D157+E157)*(($F$154)+1)</f>
        <v>0</v>
      </c>
      <c r="G157" s="110" t="str">
        <f t="shared" ref="G157:G159" si="2">G156</f>
        <v>Ground Floor</v>
      </c>
      <c r="H157" s="111"/>
      <c r="I157" s="39"/>
      <c r="L157" s="94"/>
      <c r="M157" s="94"/>
      <c r="N157" s="39"/>
    </row>
    <row r="158" spans="1:14" s="51" customFormat="1" hidden="1" x14ac:dyDescent="0.35">
      <c r="A158" s="110">
        <f t="shared" si="0"/>
        <v>3</v>
      </c>
      <c r="B158" s="111"/>
      <c r="C158" s="45"/>
      <c r="D158" s="45"/>
      <c r="E158" s="45">
        <v>0</v>
      </c>
      <c r="F158" s="45">
        <f t="shared" si="1"/>
        <v>0</v>
      </c>
      <c r="G158" s="110" t="str">
        <f t="shared" si="2"/>
        <v>Ground Floor</v>
      </c>
      <c r="H158" s="111"/>
      <c r="I158" s="39"/>
      <c r="L158" s="94"/>
      <c r="M158" s="94"/>
      <c r="N158" s="39"/>
    </row>
    <row r="159" spans="1:14" s="51" customFormat="1" hidden="1" x14ac:dyDescent="0.35">
      <c r="A159" s="110">
        <f t="shared" si="0"/>
        <v>4</v>
      </c>
      <c r="B159" s="111"/>
      <c r="C159" s="45"/>
      <c r="D159" s="45"/>
      <c r="E159" s="45">
        <v>0</v>
      </c>
      <c r="F159" s="45">
        <f t="shared" si="1"/>
        <v>0</v>
      </c>
      <c r="G159" s="110" t="str">
        <f t="shared" si="2"/>
        <v>Ground Floor</v>
      </c>
      <c r="H159" s="111"/>
      <c r="I159" s="39"/>
      <c r="L159" s="94"/>
      <c r="M159" s="94"/>
      <c r="N159" s="39"/>
    </row>
    <row r="160" spans="1:14" s="51" customFormat="1" hidden="1" x14ac:dyDescent="0.35">
      <c r="A160" s="110"/>
      <c r="B160" s="120"/>
      <c r="C160" s="120"/>
      <c r="D160" s="120"/>
      <c r="E160" s="120"/>
      <c r="F160" s="120"/>
      <c r="G160" s="120"/>
      <c r="H160" s="111"/>
      <c r="I160" s="39"/>
      <c r="N160" s="39"/>
    </row>
    <row r="161" spans="1:14" ht="47.25" customHeight="1" x14ac:dyDescent="0.35">
      <c r="A161" s="121" t="s">
        <v>127</v>
      </c>
      <c r="B161" s="121" t="s">
        <v>128</v>
      </c>
      <c r="C161" s="141" t="s">
        <v>59</v>
      </c>
      <c r="D161" s="141" t="s">
        <v>60</v>
      </c>
      <c r="E161" s="173" t="s">
        <v>61</v>
      </c>
      <c r="F161" s="46" t="s">
        <v>158</v>
      </c>
      <c r="G161" s="121" t="s">
        <v>62</v>
      </c>
      <c r="H161" s="175"/>
      <c r="I161" s="39"/>
    </row>
    <row r="162" spans="1:14" s="51" customFormat="1" x14ac:dyDescent="0.35">
      <c r="A162" s="122"/>
      <c r="B162" s="122"/>
      <c r="C162" s="142"/>
      <c r="D162" s="142"/>
      <c r="E162" s="174"/>
      <c r="F162" s="15">
        <v>0.6</v>
      </c>
      <c r="G162" s="122"/>
      <c r="H162" s="176"/>
      <c r="I162" s="39"/>
    </row>
    <row r="163" spans="1:14" s="56" customFormat="1" x14ac:dyDescent="0.35">
      <c r="A163" s="156" t="s">
        <v>238</v>
      </c>
      <c r="B163" s="156"/>
      <c r="C163" s="156"/>
      <c r="D163" s="156"/>
      <c r="E163" s="156"/>
      <c r="F163" s="156"/>
      <c r="G163" s="156"/>
      <c r="H163" s="156"/>
      <c r="J163" s="39"/>
    </row>
    <row r="164" spans="1:14" s="59" customFormat="1" x14ac:dyDescent="0.35">
      <c r="A164" s="109" t="s">
        <v>197</v>
      </c>
      <c r="B164" s="109"/>
      <c r="C164" s="109"/>
      <c r="D164" s="109"/>
      <c r="E164" s="109"/>
      <c r="F164" s="109"/>
      <c r="G164" s="109"/>
      <c r="H164" s="109"/>
      <c r="J164" s="39"/>
    </row>
    <row r="165" spans="1:14" s="56" customFormat="1" x14ac:dyDescent="0.35">
      <c r="A165" s="109" t="s">
        <v>233</v>
      </c>
      <c r="B165" s="109"/>
      <c r="C165" s="109"/>
      <c r="D165" s="109"/>
      <c r="E165" s="109"/>
      <c r="F165" s="109"/>
      <c r="G165" s="109"/>
      <c r="H165" s="109"/>
      <c r="J165" s="58">
        <f>10.764</f>
        <v>10.763999999999999</v>
      </c>
    </row>
    <row r="166" spans="1:14" s="56" customFormat="1" ht="32.25" customHeight="1" x14ac:dyDescent="0.35">
      <c r="A166" s="109" t="s">
        <v>199</v>
      </c>
      <c r="B166" s="109"/>
      <c r="C166" s="109"/>
      <c r="D166" s="109"/>
      <c r="E166" s="109"/>
      <c r="F166" s="109"/>
      <c r="G166" s="109"/>
      <c r="H166" s="109"/>
      <c r="J166" s="39"/>
    </row>
    <row r="167" spans="1:14" s="56" customFormat="1" ht="15.75" customHeight="1" x14ac:dyDescent="0.35">
      <c r="A167" s="108">
        <v>1</v>
      </c>
      <c r="B167" s="108"/>
      <c r="C167" s="60">
        <v>2</v>
      </c>
      <c r="D167" s="61">
        <f>(48.23)*(10.764)</f>
        <v>519.14771999999994</v>
      </c>
      <c r="E167" s="78">
        <v>0</v>
      </c>
      <c r="F167" s="78">
        <f t="shared" ref="F167:F172" si="3">D167*(($F$162)+1)+(IF(E167&lt;101,E167,IF(E167&lt;201,E167/2,IF(E167&lt;=301,E167/3,E167/4))))</f>
        <v>830.63635199999999</v>
      </c>
      <c r="G167" s="108" t="str">
        <f>A166</f>
        <v>1st to 5th, 7th to 12th, 14th to 19th, 21st to 26th, 28th to 33rd,
35th to 37th Floor For Residential</v>
      </c>
      <c r="H167" s="108"/>
      <c r="I167" s="39"/>
      <c r="J167" s="56">
        <f>2.75*5+2*2.6+2.7*2.75+1.6*0.5+3.42*2.6+0.56*0.9+3.45*0.9+2*1.2+2.1*1.2+3.45*0.9</f>
        <v>47.701000000000008</v>
      </c>
      <c r="L167" s="94"/>
      <c r="M167" s="94"/>
      <c r="N167" s="39"/>
    </row>
    <row r="168" spans="1:14" s="56" customFormat="1" ht="15.75" customHeight="1" x14ac:dyDescent="0.35">
      <c r="A168" s="108">
        <f t="shared" ref="A168:A172" si="4">A167+1</f>
        <v>2</v>
      </c>
      <c r="B168" s="108"/>
      <c r="C168" s="60">
        <v>2</v>
      </c>
      <c r="D168" s="61">
        <f>(48.23)*(10.764)</f>
        <v>519.14771999999994</v>
      </c>
      <c r="E168" s="78">
        <v>0</v>
      </c>
      <c r="F168" s="78">
        <f t="shared" si="3"/>
        <v>830.63635199999999</v>
      </c>
      <c r="G168" s="108"/>
      <c r="H168" s="108"/>
      <c r="I168" s="39"/>
      <c r="L168" s="94"/>
      <c r="M168" s="94"/>
      <c r="N168" s="39"/>
    </row>
    <row r="169" spans="1:14" s="56" customFormat="1" ht="15.75" customHeight="1" x14ac:dyDescent="0.35">
      <c r="A169" s="108">
        <f t="shared" si="4"/>
        <v>3</v>
      </c>
      <c r="B169" s="108"/>
      <c r="C169" s="60">
        <v>1</v>
      </c>
      <c r="D169" s="61">
        <f>(32.4)*(10.764)</f>
        <v>348.75359999999995</v>
      </c>
      <c r="E169" s="78">
        <v>0</v>
      </c>
      <c r="F169" s="78">
        <f t="shared" si="3"/>
        <v>558.0057599999999</v>
      </c>
      <c r="G169" s="108"/>
      <c r="H169" s="108"/>
      <c r="I169" s="39"/>
      <c r="J169" s="56">
        <f>2.6*3.8+2.1*2.95+2.9*2.95+1.65*1.65+1.7*1.65</f>
        <v>30.157499999999999</v>
      </c>
      <c r="L169" s="94"/>
      <c r="M169" s="94"/>
      <c r="N169" s="39"/>
    </row>
    <row r="170" spans="1:14" s="56" customFormat="1" ht="15.75" customHeight="1" x14ac:dyDescent="0.35">
      <c r="A170" s="108">
        <f t="shared" si="4"/>
        <v>4</v>
      </c>
      <c r="B170" s="108"/>
      <c r="C170" s="60">
        <v>1</v>
      </c>
      <c r="D170" s="61">
        <f>(32.4)*(10.764)</f>
        <v>348.75359999999995</v>
      </c>
      <c r="E170" s="78">
        <v>0</v>
      </c>
      <c r="F170" s="78">
        <f t="shared" si="3"/>
        <v>558.0057599999999</v>
      </c>
      <c r="G170" s="108"/>
      <c r="H170" s="108"/>
      <c r="I170" s="39"/>
      <c r="J170" s="56">
        <f>13400*F170</f>
        <v>7477277.1839999985</v>
      </c>
      <c r="L170" s="94"/>
      <c r="M170" s="94"/>
      <c r="N170" s="39"/>
    </row>
    <row r="171" spans="1:14" s="56" customFormat="1" ht="15.75" customHeight="1" x14ac:dyDescent="0.35">
      <c r="A171" s="108">
        <f t="shared" si="4"/>
        <v>5</v>
      </c>
      <c r="B171" s="108"/>
      <c r="C171" s="60">
        <v>1</v>
      </c>
      <c r="D171" s="61">
        <f>(32.15)*(10.764)</f>
        <v>346.06259999999997</v>
      </c>
      <c r="E171" s="78">
        <v>0</v>
      </c>
      <c r="F171" s="78">
        <f t="shared" si="3"/>
        <v>553.70015999999998</v>
      </c>
      <c r="G171" s="108"/>
      <c r="H171" s="108"/>
      <c r="I171" s="39">
        <f>7263000/F171</f>
        <v>13117.207695948653</v>
      </c>
      <c r="J171" s="59">
        <f t="shared" ref="J171:J234" si="5">13400*F171</f>
        <v>7419582.1439999994</v>
      </c>
      <c r="L171" s="94"/>
      <c r="M171" s="94"/>
      <c r="N171" s="39"/>
    </row>
    <row r="172" spans="1:14" s="56" customFormat="1" ht="15.75" customHeight="1" x14ac:dyDescent="0.35">
      <c r="A172" s="108">
        <f t="shared" si="4"/>
        <v>6</v>
      </c>
      <c r="B172" s="108"/>
      <c r="C172" s="60">
        <v>1</v>
      </c>
      <c r="D172" s="61">
        <f>(31.98)*(10.764)</f>
        <v>344.23271999999997</v>
      </c>
      <c r="E172" s="78">
        <v>0</v>
      </c>
      <c r="F172" s="78">
        <f t="shared" si="3"/>
        <v>550.77235199999996</v>
      </c>
      <c r="G172" s="108"/>
      <c r="H172" s="108"/>
      <c r="I172" s="39">
        <f>7221000/F172</f>
        <v>13110.679891208483</v>
      </c>
      <c r="J172" s="59">
        <f t="shared" si="5"/>
        <v>7380349.5167999994</v>
      </c>
      <c r="L172" s="94"/>
      <c r="M172" s="94"/>
      <c r="N172" s="39"/>
    </row>
    <row r="173" spans="1:14" s="56" customFormat="1" x14ac:dyDescent="0.35">
      <c r="A173" s="101" t="s">
        <v>203</v>
      </c>
      <c r="B173" s="102"/>
      <c r="C173" s="102"/>
      <c r="D173" s="102"/>
      <c r="E173" s="102"/>
      <c r="F173" s="102"/>
      <c r="G173" s="102"/>
      <c r="H173" s="103"/>
      <c r="J173" s="59">
        <f t="shared" si="5"/>
        <v>0</v>
      </c>
    </row>
    <row r="174" spans="1:14" s="56" customFormat="1" x14ac:dyDescent="0.35">
      <c r="A174" s="101" t="s">
        <v>200</v>
      </c>
      <c r="B174" s="102"/>
      <c r="C174" s="102"/>
      <c r="D174" s="102"/>
      <c r="E174" s="102"/>
      <c r="F174" s="102"/>
      <c r="G174" s="102"/>
      <c r="H174" s="103"/>
      <c r="J174" s="59">
        <f t="shared" si="5"/>
        <v>0</v>
      </c>
    </row>
    <row r="175" spans="1:14" s="56" customFormat="1" ht="15.75" customHeight="1" x14ac:dyDescent="0.35">
      <c r="A175" s="92">
        <v>1</v>
      </c>
      <c r="B175" s="93"/>
      <c r="C175" s="60">
        <v>2</v>
      </c>
      <c r="D175" s="61">
        <f>(48.23)*(10.764)</f>
        <v>519.14771999999994</v>
      </c>
      <c r="E175" s="62">
        <v>0</v>
      </c>
      <c r="F175" s="62">
        <f>D175*(($F$162)+1)+(IF(E175&lt;101,E175,IF(E175&lt;201,E175/2,IF(E175&lt;=301,E175/3,E175/4))))</f>
        <v>830.63635199999999</v>
      </c>
      <c r="G175" s="86" t="str">
        <f>A174</f>
        <v>6th, 13th, 20th &amp; 27th Floor (Part Refuge Area)</v>
      </c>
      <c r="H175" s="87"/>
      <c r="I175" s="39"/>
      <c r="J175" s="59">
        <f t="shared" si="5"/>
        <v>11130527.116799999</v>
      </c>
      <c r="L175" s="94"/>
      <c r="M175" s="94"/>
      <c r="N175" s="39"/>
    </row>
    <row r="176" spans="1:14" s="56" customFormat="1" ht="15.75" customHeight="1" x14ac:dyDescent="0.35">
      <c r="A176" s="92">
        <f t="shared" ref="A176:A180" si="6">A175+1</f>
        <v>2</v>
      </c>
      <c r="B176" s="93"/>
      <c r="C176" s="60">
        <v>2</v>
      </c>
      <c r="D176" s="61">
        <f>(48.23)*(10.764)</f>
        <v>519.14771999999994</v>
      </c>
      <c r="E176" s="62">
        <v>0</v>
      </c>
      <c r="F176" s="62">
        <f>D176*(($F$162)+1)+(IF(E176&lt;101,E176,IF(E176&lt;201,E176/2,IF(E176&lt;=301,E176/3,E176/4))))</f>
        <v>830.63635199999999</v>
      </c>
      <c r="G176" s="88"/>
      <c r="H176" s="89"/>
      <c r="I176" s="39"/>
      <c r="J176" s="59">
        <f t="shared" si="5"/>
        <v>11130527.116799999</v>
      </c>
      <c r="L176" s="94"/>
      <c r="M176" s="94"/>
      <c r="N176" s="39"/>
    </row>
    <row r="177" spans="1:14" s="56" customFormat="1" ht="15.75" customHeight="1" x14ac:dyDescent="0.35">
      <c r="A177" s="92">
        <f t="shared" si="6"/>
        <v>3</v>
      </c>
      <c r="B177" s="93"/>
      <c r="C177" s="60">
        <v>1</v>
      </c>
      <c r="D177" s="61">
        <f>(32.4)*(10.764)</f>
        <v>348.75359999999995</v>
      </c>
      <c r="E177" s="62">
        <v>0</v>
      </c>
      <c r="F177" s="62">
        <f>D177*(($F$162)+1)+(IF(E177&lt;101,E177,IF(E177&lt;201,E177/2,IF(E177&lt;=301,E177/3,E177/4))))</f>
        <v>558.0057599999999</v>
      </c>
      <c r="G177" s="88"/>
      <c r="H177" s="89"/>
      <c r="I177" s="39"/>
      <c r="J177" s="59">
        <f t="shared" si="5"/>
        <v>7477277.1839999985</v>
      </c>
      <c r="L177" s="94"/>
      <c r="M177" s="94"/>
      <c r="N177" s="39"/>
    </row>
    <row r="178" spans="1:14" s="56" customFormat="1" ht="15.75" customHeight="1" x14ac:dyDescent="0.35">
      <c r="A178" s="92">
        <f t="shared" si="6"/>
        <v>4</v>
      </c>
      <c r="B178" s="93"/>
      <c r="C178" s="95" t="s">
        <v>201</v>
      </c>
      <c r="D178" s="96"/>
      <c r="E178" s="96"/>
      <c r="F178" s="97"/>
      <c r="G178" s="88"/>
      <c r="H178" s="89"/>
      <c r="I178" s="39"/>
      <c r="J178" s="59">
        <f t="shared" si="5"/>
        <v>0</v>
      </c>
      <c r="L178" s="94"/>
      <c r="M178" s="94"/>
      <c r="N178" s="39"/>
    </row>
    <row r="179" spans="1:14" s="56" customFormat="1" ht="15.75" customHeight="1" x14ac:dyDescent="0.35">
      <c r="A179" s="92">
        <f t="shared" si="6"/>
        <v>5</v>
      </c>
      <c r="B179" s="93"/>
      <c r="C179" s="98"/>
      <c r="D179" s="99"/>
      <c r="E179" s="99"/>
      <c r="F179" s="100"/>
      <c r="G179" s="88"/>
      <c r="H179" s="89"/>
      <c r="I179" s="39"/>
      <c r="J179" s="59">
        <f t="shared" si="5"/>
        <v>0</v>
      </c>
      <c r="L179" s="94"/>
      <c r="M179" s="94"/>
      <c r="N179" s="39"/>
    </row>
    <row r="180" spans="1:14" s="56" customFormat="1" ht="15.75" customHeight="1" x14ac:dyDescent="0.35">
      <c r="A180" s="92">
        <f t="shared" si="6"/>
        <v>6</v>
      </c>
      <c r="B180" s="93"/>
      <c r="C180" s="60">
        <v>1</v>
      </c>
      <c r="D180" s="61">
        <f>(31.98)*(10.764)</f>
        <v>344.23271999999997</v>
      </c>
      <c r="E180" s="62">
        <v>0</v>
      </c>
      <c r="F180" s="62">
        <f>D180*(($F$162)+1)+(IF(E180&lt;101,E180,IF(E180&lt;201,E180/2,IF(E180&lt;=301,E180/3,E180/4))))</f>
        <v>550.77235199999996</v>
      </c>
      <c r="G180" s="90"/>
      <c r="H180" s="91"/>
      <c r="I180" s="39"/>
      <c r="J180" s="59">
        <f t="shared" si="5"/>
        <v>7380349.5167999994</v>
      </c>
      <c r="L180" s="94"/>
      <c r="M180" s="94"/>
      <c r="N180" s="39"/>
    </row>
    <row r="181" spans="1:14" s="56" customFormat="1" x14ac:dyDescent="0.35">
      <c r="A181" s="101" t="s">
        <v>202</v>
      </c>
      <c r="B181" s="102"/>
      <c r="C181" s="102"/>
      <c r="D181" s="102"/>
      <c r="E181" s="102"/>
      <c r="F181" s="102"/>
      <c r="G181" s="102"/>
      <c r="H181" s="103"/>
      <c r="J181" s="59">
        <f t="shared" si="5"/>
        <v>0</v>
      </c>
    </row>
    <row r="182" spans="1:14" s="56" customFormat="1" ht="15.75" customHeight="1" x14ac:dyDescent="0.35">
      <c r="A182" s="92">
        <v>1</v>
      </c>
      <c r="B182" s="93"/>
      <c r="C182" s="60">
        <v>2</v>
      </c>
      <c r="D182" s="61">
        <f>(48.23)*(10.764)</f>
        <v>519.14771999999994</v>
      </c>
      <c r="E182" s="62">
        <v>0</v>
      </c>
      <c r="F182" s="62">
        <f>D182*(($F$162)+1)+(IF(E182&lt;101,E182,IF(E182&lt;201,E182/2,IF(E182&lt;=301,E182/3,E182/4))))</f>
        <v>830.63635199999999</v>
      </c>
      <c r="G182" s="86" t="str">
        <f>A181</f>
        <v>34th Floor (Part Refuge Area)</v>
      </c>
      <c r="H182" s="87"/>
      <c r="I182" s="39"/>
      <c r="J182" s="59">
        <f t="shared" si="5"/>
        <v>11130527.116799999</v>
      </c>
      <c r="L182" s="94"/>
      <c r="M182" s="94"/>
      <c r="N182" s="39"/>
    </row>
    <row r="183" spans="1:14" s="56" customFormat="1" ht="15.75" customHeight="1" x14ac:dyDescent="0.35">
      <c r="A183" s="92">
        <f t="shared" ref="A183:A187" si="7">A182+1</f>
        <v>2</v>
      </c>
      <c r="B183" s="93"/>
      <c r="C183" s="60">
        <v>2</v>
      </c>
      <c r="D183" s="61">
        <f>(48.23)*(10.764)</f>
        <v>519.14771999999994</v>
      </c>
      <c r="E183" s="62">
        <v>0</v>
      </c>
      <c r="F183" s="62">
        <f>D183*(($F$162)+1)+(IF(E183&lt;101,E183,IF(E183&lt;201,E183/2,IF(E183&lt;=301,E183/3,E183/4))))</f>
        <v>830.63635199999999</v>
      </c>
      <c r="G183" s="88"/>
      <c r="H183" s="89"/>
      <c r="I183" s="39"/>
      <c r="J183" s="59">
        <f t="shared" si="5"/>
        <v>11130527.116799999</v>
      </c>
      <c r="L183" s="94"/>
      <c r="M183" s="94"/>
      <c r="N183" s="39"/>
    </row>
    <row r="184" spans="1:14" s="56" customFormat="1" ht="15.75" customHeight="1" x14ac:dyDescent="0.35">
      <c r="A184" s="92">
        <f t="shared" si="7"/>
        <v>3</v>
      </c>
      <c r="B184" s="93"/>
      <c r="C184" s="60">
        <v>1</v>
      </c>
      <c r="D184" s="61">
        <f>(32.4)*(10.764)</f>
        <v>348.75359999999995</v>
      </c>
      <c r="E184" s="62">
        <v>0</v>
      </c>
      <c r="F184" s="62">
        <f>D184*(($F$162)+1)+(IF(E184&lt;101,E184,IF(E184&lt;201,E184/2,IF(E184&lt;=301,E184/3,E184/4))))</f>
        <v>558.0057599999999</v>
      </c>
      <c r="G184" s="88"/>
      <c r="H184" s="89"/>
      <c r="I184" s="39"/>
      <c r="J184" s="59">
        <f t="shared" si="5"/>
        <v>7477277.1839999985</v>
      </c>
      <c r="L184" s="94"/>
      <c r="M184" s="94"/>
      <c r="N184" s="39"/>
    </row>
    <row r="185" spans="1:14" s="56" customFormat="1" ht="15.75" customHeight="1" x14ac:dyDescent="0.35">
      <c r="A185" s="92">
        <f t="shared" si="7"/>
        <v>4</v>
      </c>
      <c r="B185" s="93"/>
      <c r="C185" s="104" t="s">
        <v>201</v>
      </c>
      <c r="D185" s="105"/>
      <c r="E185" s="105"/>
      <c r="F185" s="106"/>
      <c r="G185" s="88"/>
      <c r="H185" s="89"/>
      <c r="I185" s="39"/>
      <c r="J185" s="59">
        <f t="shared" si="5"/>
        <v>0</v>
      </c>
      <c r="L185" s="94"/>
      <c r="M185" s="94"/>
      <c r="N185" s="39"/>
    </row>
    <row r="186" spans="1:14" s="56" customFormat="1" ht="15.75" customHeight="1" x14ac:dyDescent="0.35">
      <c r="A186" s="92">
        <f t="shared" si="7"/>
        <v>5</v>
      </c>
      <c r="B186" s="93"/>
      <c r="C186" s="60">
        <v>1</v>
      </c>
      <c r="D186" s="61">
        <f>(32.15)*(10.764)</f>
        <v>346.06259999999997</v>
      </c>
      <c r="E186" s="62">
        <v>0</v>
      </c>
      <c r="F186" s="62">
        <f>D186*(($F$162)+1)+(IF(E186&lt;101,E186,IF(E186&lt;201,E186/2,IF(E186&lt;=301,E186/3,E186/4))))</f>
        <v>553.70015999999998</v>
      </c>
      <c r="G186" s="88"/>
      <c r="H186" s="89"/>
      <c r="I186" s="39"/>
      <c r="J186" s="59">
        <f t="shared" si="5"/>
        <v>7419582.1439999994</v>
      </c>
      <c r="L186" s="94"/>
      <c r="M186" s="94"/>
      <c r="N186" s="39"/>
    </row>
    <row r="187" spans="1:14" s="56" customFormat="1" ht="15.75" customHeight="1" x14ac:dyDescent="0.35">
      <c r="A187" s="92">
        <f t="shared" si="7"/>
        <v>6</v>
      </c>
      <c r="B187" s="93"/>
      <c r="C187" s="60">
        <v>1</v>
      </c>
      <c r="D187" s="61">
        <f>(31.98)*(10.764)</f>
        <v>344.23271999999997</v>
      </c>
      <c r="E187" s="62">
        <v>0</v>
      </c>
      <c r="F187" s="62">
        <f>D187*(($F$162)+1)+(IF(E187&lt;101,E187,IF(E187&lt;201,E187/2,IF(E187&lt;=301,E187/3,E187/4))))</f>
        <v>550.77235199999996</v>
      </c>
      <c r="G187" s="90"/>
      <c r="H187" s="91"/>
      <c r="I187" s="39"/>
      <c r="J187" s="59">
        <f t="shared" si="5"/>
        <v>7380349.5167999994</v>
      </c>
      <c r="L187" s="94"/>
      <c r="M187" s="94"/>
      <c r="N187" s="39"/>
    </row>
    <row r="188" spans="1:14" s="56" customFormat="1" x14ac:dyDescent="0.35">
      <c r="A188" s="101" t="s">
        <v>207</v>
      </c>
      <c r="B188" s="102"/>
      <c r="C188" s="102"/>
      <c r="D188" s="102"/>
      <c r="E188" s="102"/>
      <c r="F188" s="102"/>
      <c r="G188" s="102"/>
      <c r="H188" s="103"/>
      <c r="J188" s="59">
        <f t="shared" si="5"/>
        <v>0</v>
      </c>
    </row>
    <row r="189" spans="1:14" s="56" customFormat="1" x14ac:dyDescent="0.35">
      <c r="A189" s="101" t="s">
        <v>198</v>
      </c>
      <c r="B189" s="102"/>
      <c r="C189" s="102"/>
      <c r="D189" s="102"/>
      <c r="E189" s="102"/>
      <c r="F189" s="102"/>
      <c r="G189" s="102"/>
      <c r="H189" s="103"/>
      <c r="J189" s="59">
        <f t="shared" si="5"/>
        <v>0</v>
      </c>
    </row>
    <row r="190" spans="1:14" s="56" customFormat="1" x14ac:dyDescent="0.35">
      <c r="A190" s="101" t="s">
        <v>205</v>
      </c>
      <c r="B190" s="102"/>
      <c r="C190" s="102"/>
      <c r="D190" s="102"/>
      <c r="E190" s="102"/>
      <c r="F190" s="102"/>
      <c r="G190" s="102"/>
      <c r="H190" s="103"/>
      <c r="J190" s="59">
        <f t="shared" si="5"/>
        <v>0</v>
      </c>
    </row>
    <row r="191" spans="1:14" s="56" customFormat="1" ht="15.75" customHeight="1" x14ac:dyDescent="0.35">
      <c r="A191" s="92">
        <v>1</v>
      </c>
      <c r="B191" s="93"/>
      <c r="C191" s="104" t="s">
        <v>204</v>
      </c>
      <c r="D191" s="105"/>
      <c r="E191" s="105"/>
      <c r="F191" s="106"/>
      <c r="G191" s="86" t="str">
        <f>A190</f>
        <v>2nd Podium Floor For Part Residential &amp; Part Amenities</v>
      </c>
      <c r="H191" s="87"/>
      <c r="I191" s="39"/>
      <c r="J191" s="59">
        <f t="shared" si="5"/>
        <v>0</v>
      </c>
      <c r="L191" s="94"/>
      <c r="M191" s="94"/>
      <c r="N191" s="39"/>
    </row>
    <row r="192" spans="1:14" s="56" customFormat="1" ht="15.75" customHeight="1" x14ac:dyDescent="0.35">
      <c r="A192" s="92">
        <f t="shared" ref="A192:A198" si="8">A191+1</f>
        <v>2</v>
      </c>
      <c r="B192" s="93"/>
      <c r="C192" s="60">
        <v>1</v>
      </c>
      <c r="D192" s="61">
        <f>(32.56)*(10.764)</f>
        <v>350.47584000000001</v>
      </c>
      <c r="E192" s="62">
        <v>0</v>
      </c>
      <c r="F192" s="62">
        <f t="shared" ref="F192:F197" si="9">D192*(($F$162)+1)+(IF(E192&lt;101,E192,IF(E192&lt;201,E192/2,IF(E192&lt;=301,E192/3,E192/4))))</f>
        <v>560.76134400000001</v>
      </c>
      <c r="G192" s="88"/>
      <c r="H192" s="89"/>
      <c r="I192" s="39"/>
      <c r="J192" s="59">
        <f t="shared" si="5"/>
        <v>7514202.0096000005</v>
      </c>
      <c r="L192" s="94"/>
      <c r="M192" s="94"/>
      <c r="N192" s="39"/>
    </row>
    <row r="193" spans="1:14" s="56" customFormat="1" ht="15.75" customHeight="1" x14ac:dyDescent="0.35">
      <c r="A193" s="92">
        <f t="shared" si="8"/>
        <v>3</v>
      </c>
      <c r="B193" s="93"/>
      <c r="C193" s="60">
        <v>1</v>
      </c>
      <c r="D193" s="61">
        <f>(32.56)*(10.764)</f>
        <v>350.47584000000001</v>
      </c>
      <c r="E193" s="62">
        <v>0</v>
      </c>
      <c r="F193" s="62">
        <f t="shared" si="9"/>
        <v>560.76134400000001</v>
      </c>
      <c r="G193" s="88"/>
      <c r="H193" s="89"/>
      <c r="I193" s="39"/>
      <c r="J193" s="59">
        <f t="shared" si="5"/>
        <v>7514202.0096000005</v>
      </c>
      <c r="L193" s="94"/>
      <c r="M193" s="94"/>
      <c r="N193" s="39"/>
    </row>
    <row r="194" spans="1:14" s="56" customFormat="1" ht="15.75" customHeight="1" x14ac:dyDescent="0.35">
      <c r="A194" s="92">
        <f t="shared" si="8"/>
        <v>4</v>
      </c>
      <c r="B194" s="93"/>
      <c r="C194" s="60">
        <v>2</v>
      </c>
      <c r="D194" s="61">
        <f>(50.96)*(10.764)</f>
        <v>548.53343999999993</v>
      </c>
      <c r="E194" s="62">
        <v>0</v>
      </c>
      <c r="F194" s="62">
        <f t="shared" si="9"/>
        <v>877.65350399999988</v>
      </c>
      <c r="G194" s="88"/>
      <c r="H194" s="89"/>
      <c r="I194" s="39"/>
      <c r="J194" s="59">
        <f t="shared" si="5"/>
        <v>11760556.953599999</v>
      </c>
      <c r="L194" s="94"/>
      <c r="M194" s="94"/>
      <c r="N194" s="39"/>
    </row>
    <row r="195" spans="1:14" s="56" customFormat="1" ht="15.75" customHeight="1" x14ac:dyDescent="0.35">
      <c r="A195" s="92">
        <f t="shared" si="8"/>
        <v>5</v>
      </c>
      <c r="B195" s="93"/>
      <c r="C195" s="60">
        <v>2</v>
      </c>
      <c r="D195" s="61">
        <f>(50.96)*(10.764)</f>
        <v>548.53343999999993</v>
      </c>
      <c r="E195" s="62">
        <v>0</v>
      </c>
      <c r="F195" s="62">
        <f t="shared" si="9"/>
        <v>877.65350399999988</v>
      </c>
      <c r="G195" s="88"/>
      <c r="H195" s="89"/>
      <c r="I195" s="39"/>
      <c r="J195" s="59">
        <f t="shared" si="5"/>
        <v>11760556.953599999</v>
      </c>
      <c r="L195" s="94"/>
      <c r="M195" s="94"/>
      <c r="N195" s="39"/>
    </row>
    <row r="196" spans="1:14" s="56" customFormat="1" ht="15.75" customHeight="1" x14ac:dyDescent="0.35">
      <c r="A196" s="92">
        <f t="shared" si="8"/>
        <v>6</v>
      </c>
      <c r="B196" s="93"/>
      <c r="C196" s="60">
        <v>1</v>
      </c>
      <c r="D196" s="61">
        <f>(32.56)*(10.764)</f>
        <v>350.47584000000001</v>
      </c>
      <c r="E196" s="62">
        <v>0</v>
      </c>
      <c r="F196" s="62">
        <f t="shared" si="9"/>
        <v>560.76134400000001</v>
      </c>
      <c r="G196" s="88"/>
      <c r="H196" s="89"/>
      <c r="I196" s="39"/>
      <c r="J196" s="59">
        <f t="shared" si="5"/>
        <v>7514202.0096000005</v>
      </c>
      <c r="L196" s="94"/>
      <c r="M196" s="94"/>
      <c r="N196" s="39"/>
    </row>
    <row r="197" spans="1:14" s="56" customFormat="1" ht="15.75" customHeight="1" x14ac:dyDescent="0.35">
      <c r="A197" s="92">
        <f t="shared" si="8"/>
        <v>7</v>
      </c>
      <c r="B197" s="93"/>
      <c r="C197" s="60">
        <v>1</v>
      </c>
      <c r="D197" s="61">
        <f>(32.56)*(10.764)</f>
        <v>350.47584000000001</v>
      </c>
      <c r="E197" s="62">
        <v>0</v>
      </c>
      <c r="F197" s="62">
        <f t="shared" si="9"/>
        <v>560.76134400000001</v>
      </c>
      <c r="G197" s="88"/>
      <c r="H197" s="89"/>
      <c r="I197" s="39"/>
      <c r="J197" s="59">
        <f t="shared" si="5"/>
        <v>7514202.0096000005</v>
      </c>
      <c r="L197" s="94"/>
      <c r="M197" s="94"/>
      <c r="N197" s="39"/>
    </row>
    <row r="198" spans="1:14" s="56" customFormat="1" ht="15.75" customHeight="1" x14ac:dyDescent="0.35">
      <c r="A198" s="92">
        <f t="shared" si="8"/>
        <v>8</v>
      </c>
      <c r="B198" s="93"/>
      <c r="C198" s="104" t="s">
        <v>234</v>
      </c>
      <c r="D198" s="105"/>
      <c r="E198" s="105"/>
      <c r="F198" s="106"/>
      <c r="G198" s="90"/>
      <c r="H198" s="91"/>
      <c r="I198" s="39"/>
      <c r="J198" s="59">
        <f t="shared" si="5"/>
        <v>0</v>
      </c>
      <c r="L198" s="94"/>
      <c r="M198" s="94"/>
      <c r="N198" s="39"/>
    </row>
    <row r="199" spans="1:14" s="56" customFormat="1" ht="32.25" customHeight="1" x14ac:dyDescent="0.35">
      <c r="A199" s="101" t="s">
        <v>199</v>
      </c>
      <c r="B199" s="102"/>
      <c r="C199" s="102"/>
      <c r="D199" s="102"/>
      <c r="E199" s="102"/>
      <c r="F199" s="102"/>
      <c r="G199" s="102"/>
      <c r="H199" s="103"/>
      <c r="J199" s="59">
        <f t="shared" si="5"/>
        <v>0</v>
      </c>
    </row>
    <row r="200" spans="1:14" s="56" customFormat="1" ht="15.75" customHeight="1" x14ac:dyDescent="0.35">
      <c r="A200" s="92">
        <v>1</v>
      </c>
      <c r="B200" s="93"/>
      <c r="C200" s="60">
        <v>1</v>
      </c>
      <c r="D200" s="61">
        <f>(32.56)*(10.764)</f>
        <v>350.47584000000001</v>
      </c>
      <c r="E200" s="62">
        <v>0</v>
      </c>
      <c r="F200" s="62">
        <f t="shared" ref="F200:F207" si="10">D200*(($F$162)+1)+(IF(E200&lt;101,E200,IF(E200&lt;201,E200/2,IF(E200&lt;=301,E200/3,E200/4))))</f>
        <v>560.76134400000001</v>
      </c>
      <c r="G200" s="86" t="str">
        <f>A199</f>
        <v>1st to 5th, 7th to 12th, 14th to 19th, 21st to 26th, 28th to 33rd,
35th to 37th Floor For Residential</v>
      </c>
      <c r="H200" s="87"/>
      <c r="I200" s="39"/>
      <c r="J200" s="59">
        <f t="shared" si="5"/>
        <v>7514202.0096000005</v>
      </c>
      <c r="L200" s="94"/>
      <c r="M200" s="94"/>
      <c r="N200" s="39"/>
    </row>
    <row r="201" spans="1:14" s="56" customFormat="1" ht="15.75" customHeight="1" x14ac:dyDescent="0.35">
      <c r="A201" s="92">
        <f t="shared" ref="A201:A207" si="11">A200+1</f>
        <v>2</v>
      </c>
      <c r="B201" s="93"/>
      <c r="C201" s="60">
        <v>1</v>
      </c>
      <c r="D201" s="61">
        <f>(32.56)*(10.764)</f>
        <v>350.47584000000001</v>
      </c>
      <c r="E201" s="62">
        <v>0</v>
      </c>
      <c r="F201" s="62">
        <f t="shared" si="10"/>
        <v>560.76134400000001</v>
      </c>
      <c r="G201" s="88"/>
      <c r="H201" s="89"/>
      <c r="I201" s="39"/>
      <c r="J201" s="59">
        <f t="shared" si="5"/>
        <v>7514202.0096000005</v>
      </c>
      <c r="L201" s="94"/>
      <c r="M201" s="94"/>
      <c r="N201" s="39"/>
    </row>
    <row r="202" spans="1:14" s="56" customFormat="1" ht="15.75" customHeight="1" x14ac:dyDescent="0.35">
      <c r="A202" s="92">
        <f t="shared" si="11"/>
        <v>3</v>
      </c>
      <c r="B202" s="93"/>
      <c r="C202" s="60">
        <v>1</v>
      </c>
      <c r="D202" s="61">
        <f>(32.56)*(10.764)</f>
        <v>350.47584000000001</v>
      </c>
      <c r="E202" s="62">
        <v>0</v>
      </c>
      <c r="F202" s="62">
        <f t="shared" si="10"/>
        <v>560.76134400000001</v>
      </c>
      <c r="G202" s="88"/>
      <c r="H202" s="89"/>
      <c r="I202" s="39"/>
      <c r="J202" s="59">
        <f t="shared" si="5"/>
        <v>7514202.0096000005</v>
      </c>
      <c r="L202" s="94"/>
      <c r="M202" s="94"/>
      <c r="N202" s="39"/>
    </row>
    <row r="203" spans="1:14" s="56" customFormat="1" ht="15.75" customHeight="1" x14ac:dyDescent="0.35">
      <c r="A203" s="92">
        <f t="shared" si="11"/>
        <v>4</v>
      </c>
      <c r="B203" s="93"/>
      <c r="C203" s="60">
        <v>2</v>
      </c>
      <c r="D203" s="61">
        <f>(50.96)*(10.764)</f>
        <v>548.53343999999993</v>
      </c>
      <c r="E203" s="62">
        <v>0</v>
      </c>
      <c r="F203" s="62">
        <f t="shared" si="10"/>
        <v>877.65350399999988</v>
      </c>
      <c r="G203" s="88"/>
      <c r="H203" s="89"/>
      <c r="I203" s="39">
        <f>11500000/F203</f>
        <v>13103.120932791264</v>
      </c>
      <c r="J203" s="59">
        <f t="shared" si="5"/>
        <v>11760556.953599999</v>
      </c>
      <c r="K203" s="56">
        <f>2.12*1.5+2.57*5+2*2.6+2.3*3+2.65*3.3+2*1.22+2.13*1.22+3.33+1.4</f>
        <v>46.643599999999992</v>
      </c>
      <c r="L203" s="94"/>
      <c r="M203" s="94"/>
      <c r="N203" s="39"/>
    </row>
    <row r="204" spans="1:14" s="56" customFormat="1" ht="15.75" customHeight="1" x14ac:dyDescent="0.35">
      <c r="A204" s="92">
        <f t="shared" si="11"/>
        <v>5</v>
      </c>
      <c r="B204" s="93"/>
      <c r="C204" s="60">
        <v>2</v>
      </c>
      <c r="D204" s="61">
        <f>(50.96)*(10.764)</f>
        <v>548.53343999999993</v>
      </c>
      <c r="E204" s="62">
        <v>0</v>
      </c>
      <c r="F204" s="62">
        <f t="shared" si="10"/>
        <v>877.65350399999988</v>
      </c>
      <c r="G204" s="88"/>
      <c r="H204" s="89"/>
      <c r="I204" s="39"/>
      <c r="J204" s="59">
        <f t="shared" si="5"/>
        <v>11760556.953599999</v>
      </c>
      <c r="L204" s="94"/>
      <c r="M204" s="94"/>
      <c r="N204" s="39"/>
    </row>
    <row r="205" spans="1:14" s="56" customFormat="1" ht="15.75" customHeight="1" x14ac:dyDescent="0.35">
      <c r="A205" s="92">
        <f t="shared" si="11"/>
        <v>6</v>
      </c>
      <c r="B205" s="93"/>
      <c r="C205" s="60">
        <v>1</v>
      </c>
      <c r="D205" s="61">
        <f>(32.56)*(10.764)</f>
        <v>350.47584000000001</v>
      </c>
      <c r="E205" s="62">
        <v>0</v>
      </c>
      <c r="F205" s="62">
        <f t="shared" si="10"/>
        <v>560.76134400000001</v>
      </c>
      <c r="G205" s="88"/>
      <c r="H205" s="89"/>
      <c r="I205" s="39"/>
      <c r="J205" s="59">
        <f t="shared" si="5"/>
        <v>7514202.0096000005</v>
      </c>
      <c r="L205" s="94"/>
      <c r="M205" s="94"/>
      <c r="N205" s="39"/>
    </row>
    <row r="206" spans="1:14" s="56" customFormat="1" ht="15.75" customHeight="1" x14ac:dyDescent="0.35">
      <c r="A206" s="92">
        <f t="shared" si="11"/>
        <v>7</v>
      </c>
      <c r="B206" s="93"/>
      <c r="C206" s="60">
        <v>1</v>
      </c>
      <c r="D206" s="61">
        <f>(32.56)*(10.764)</f>
        <v>350.47584000000001</v>
      </c>
      <c r="E206" s="62">
        <v>0</v>
      </c>
      <c r="F206" s="62">
        <f t="shared" si="10"/>
        <v>560.76134400000001</v>
      </c>
      <c r="G206" s="88"/>
      <c r="H206" s="89"/>
      <c r="I206" s="39"/>
      <c r="J206" s="59">
        <f t="shared" si="5"/>
        <v>7514202.0096000005</v>
      </c>
      <c r="L206" s="94"/>
      <c r="M206" s="94"/>
      <c r="N206" s="39"/>
    </row>
    <row r="207" spans="1:14" s="56" customFormat="1" ht="15.75" customHeight="1" x14ac:dyDescent="0.35">
      <c r="A207" s="92">
        <f t="shared" si="11"/>
        <v>8</v>
      </c>
      <c r="B207" s="93"/>
      <c r="C207" s="60">
        <v>1</v>
      </c>
      <c r="D207" s="61">
        <f>(32.41)*(10.764)</f>
        <v>348.86123999999995</v>
      </c>
      <c r="E207" s="62">
        <v>0</v>
      </c>
      <c r="F207" s="62">
        <f t="shared" si="10"/>
        <v>558.17798399999992</v>
      </c>
      <c r="G207" s="90"/>
      <c r="H207" s="91"/>
      <c r="I207" s="39"/>
      <c r="J207" s="59">
        <f t="shared" si="5"/>
        <v>7479584.9855999993</v>
      </c>
      <c r="L207" s="94"/>
      <c r="M207" s="94"/>
      <c r="N207" s="39"/>
    </row>
    <row r="208" spans="1:14" s="56" customFormat="1" x14ac:dyDescent="0.35">
      <c r="A208" s="109" t="s">
        <v>203</v>
      </c>
      <c r="B208" s="109"/>
      <c r="C208" s="109"/>
      <c r="D208" s="109"/>
      <c r="E208" s="109"/>
      <c r="F208" s="109"/>
      <c r="G208" s="109"/>
      <c r="H208" s="109"/>
      <c r="J208" s="59">
        <f t="shared" si="5"/>
        <v>0</v>
      </c>
    </row>
    <row r="209" spans="1:14" s="56" customFormat="1" x14ac:dyDescent="0.35">
      <c r="A209" s="109" t="s">
        <v>200</v>
      </c>
      <c r="B209" s="109"/>
      <c r="C209" s="109"/>
      <c r="D209" s="109"/>
      <c r="E209" s="109"/>
      <c r="F209" s="109"/>
      <c r="G209" s="109"/>
      <c r="H209" s="109"/>
      <c r="J209" s="59">
        <f t="shared" si="5"/>
        <v>0</v>
      </c>
    </row>
    <row r="210" spans="1:14" s="56" customFormat="1" ht="15.75" customHeight="1" x14ac:dyDescent="0.35">
      <c r="A210" s="108">
        <v>1</v>
      </c>
      <c r="B210" s="108"/>
      <c r="C210" s="60">
        <v>1</v>
      </c>
      <c r="D210" s="61">
        <f>(32.56)*(10.764)</f>
        <v>350.47584000000001</v>
      </c>
      <c r="E210" s="78">
        <v>0</v>
      </c>
      <c r="F210" s="78">
        <f>D210*(($F$162)+1)+(IF(E210&lt;101,E210,IF(E210&lt;201,E210/2,IF(E210&lt;=301,E210/3,E210/4))))</f>
        <v>560.76134400000001</v>
      </c>
      <c r="G210" s="108" t="str">
        <f>A209</f>
        <v>6th, 13th, 20th &amp; 27th Floor (Part Refuge Area)</v>
      </c>
      <c r="H210" s="108"/>
      <c r="I210" s="39"/>
      <c r="J210" s="59">
        <f t="shared" si="5"/>
        <v>7514202.0096000005</v>
      </c>
      <c r="L210" s="94"/>
      <c r="M210" s="94"/>
      <c r="N210" s="39"/>
    </row>
    <row r="211" spans="1:14" s="56" customFormat="1" ht="15.75" customHeight="1" x14ac:dyDescent="0.35">
      <c r="A211" s="108">
        <f t="shared" ref="A211:A217" si="12">A210+1</f>
        <v>2</v>
      </c>
      <c r="B211" s="108"/>
      <c r="C211" s="60">
        <v>1</v>
      </c>
      <c r="D211" s="61">
        <f>(32.56)*(10.764)</f>
        <v>350.47584000000001</v>
      </c>
      <c r="E211" s="78">
        <v>0</v>
      </c>
      <c r="F211" s="78">
        <f>D211*(($F$162)+1)+(IF(E211&lt;101,E211,IF(E211&lt;201,E211/2,IF(E211&lt;=301,E211/3,E211/4))))</f>
        <v>560.76134400000001</v>
      </c>
      <c r="G211" s="108"/>
      <c r="H211" s="108"/>
      <c r="I211" s="39"/>
      <c r="J211" s="59">
        <f t="shared" si="5"/>
        <v>7514202.0096000005</v>
      </c>
      <c r="L211" s="94"/>
      <c r="M211" s="94"/>
      <c r="N211" s="39"/>
    </row>
    <row r="212" spans="1:14" s="56" customFormat="1" ht="15.75" customHeight="1" x14ac:dyDescent="0.35">
      <c r="A212" s="108">
        <f t="shared" si="12"/>
        <v>3</v>
      </c>
      <c r="B212" s="108"/>
      <c r="C212" s="107" t="s">
        <v>201</v>
      </c>
      <c r="D212" s="107"/>
      <c r="E212" s="107"/>
      <c r="F212" s="107"/>
      <c r="G212" s="108"/>
      <c r="H212" s="108"/>
      <c r="I212" s="39"/>
      <c r="J212" s="59">
        <f t="shared" si="5"/>
        <v>0</v>
      </c>
      <c r="L212" s="94"/>
      <c r="M212" s="94"/>
      <c r="N212" s="39"/>
    </row>
    <row r="213" spans="1:14" s="56" customFormat="1" ht="15.75" customHeight="1" x14ac:dyDescent="0.35">
      <c r="A213" s="108">
        <f t="shared" si="12"/>
        <v>4</v>
      </c>
      <c r="B213" s="108"/>
      <c r="C213" s="107"/>
      <c r="D213" s="107"/>
      <c r="E213" s="107"/>
      <c r="F213" s="107"/>
      <c r="G213" s="108"/>
      <c r="H213" s="108"/>
      <c r="I213" s="39"/>
      <c r="J213" s="59">
        <f t="shared" si="5"/>
        <v>0</v>
      </c>
      <c r="L213" s="94"/>
      <c r="M213" s="94"/>
      <c r="N213" s="39"/>
    </row>
    <row r="214" spans="1:14" s="56" customFormat="1" ht="15.75" customHeight="1" x14ac:dyDescent="0.35">
      <c r="A214" s="108">
        <f t="shared" si="12"/>
        <v>5</v>
      </c>
      <c r="B214" s="108"/>
      <c r="C214" s="60">
        <v>2</v>
      </c>
      <c r="D214" s="61">
        <f>(50.96)*(10.764)</f>
        <v>548.53343999999993</v>
      </c>
      <c r="E214" s="78">
        <v>0</v>
      </c>
      <c r="F214" s="78">
        <f>D214*(($F$162)+1)+(IF(E214&lt;101,E214,IF(E214&lt;201,E214/2,IF(E214&lt;=301,E214/3,E214/4))))</f>
        <v>877.65350399999988</v>
      </c>
      <c r="G214" s="108"/>
      <c r="H214" s="108"/>
      <c r="I214" s="39"/>
      <c r="J214" s="59">
        <f t="shared" si="5"/>
        <v>11760556.953599999</v>
      </c>
      <c r="L214" s="94"/>
      <c r="M214" s="94"/>
      <c r="N214" s="39"/>
    </row>
    <row r="215" spans="1:14" s="56" customFormat="1" ht="15.75" customHeight="1" x14ac:dyDescent="0.35">
      <c r="A215" s="108">
        <f t="shared" si="12"/>
        <v>6</v>
      </c>
      <c r="B215" s="108"/>
      <c r="C215" s="60">
        <v>1</v>
      </c>
      <c r="D215" s="61">
        <f>(32.56)*(10.764)</f>
        <v>350.47584000000001</v>
      </c>
      <c r="E215" s="78">
        <v>0</v>
      </c>
      <c r="F215" s="78">
        <f>D215*(($F$162)+1)+(IF(E215&lt;101,E215,IF(E215&lt;201,E215/2,IF(E215&lt;=301,E215/3,E215/4))))</f>
        <v>560.76134400000001</v>
      </c>
      <c r="G215" s="108"/>
      <c r="H215" s="108"/>
      <c r="I215" s="39"/>
      <c r="J215" s="59">
        <f t="shared" si="5"/>
        <v>7514202.0096000005</v>
      </c>
      <c r="L215" s="94"/>
      <c r="M215" s="94"/>
      <c r="N215" s="39"/>
    </row>
    <row r="216" spans="1:14" s="56" customFormat="1" ht="15.75" customHeight="1" x14ac:dyDescent="0.35">
      <c r="A216" s="108">
        <f t="shared" si="12"/>
        <v>7</v>
      </c>
      <c r="B216" s="108"/>
      <c r="C216" s="60">
        <v>1</v>
      </c>
      <c r="D216" s="61">
        <f>(32.56)*(10.764)</f>
        <v>350.47584000000001</v>
      </c>
      <c r="E216" s="78">
        <v>0</v>
      </c>
      <c r="F216" s="78">
        <f>D216*(($F$162)+1)+(IF(E216&lt;101,E216,IF(E216&lt;201,E216/2,IF(E216&lt;=301,E216/3,E216/4))))</f>
        <v>560.76134400000001</v>
      </c>
      <c r="G216" s="108"/>
      <c r="H216" s="108"/>
      <c r="I216" s="39"/>
      <c r="J216" s="59">
        <f t="shared" si="5"/>
        <v>7514202.0096000005</v>
      </c>
      <c r="L216" s="94"/>
      <c r="M216" s="94"/>
      <c r="N216" s="39"/>
    </row>
    <row r="217" spans="1:14" s="56" customFormat="1" ht="15.75" customHeight="1" x14ac:dyDescent="0.35">
      <c r="A217" s="108">
        <f t="shared" si="12"/>
        <v>8</v>
      </c>
      <c r="B217" s="108"/>
      <c r="C217" s="60">
        <v>1</v>
      </c>
      <c r="D217" s="61">
        <f>(32.41)*(10.764)</f>
        <v>348.86123999999995</v>
      </c>
      <c r="E217" s="78">
        <v>0</v>
      </c>
      <c r="F217" s="78">
        <f>D217*(($F$162)+1)+(IF(E217&lt;101,E217,IF(E217&lt;201,E217/2,IF(E217&lt;=301,E217/3,E217/4))))</f>
        <v>558.17798399999992</v>
      </c>
      <c r="G217" s="108"/>
      <c r="H217" s="108"/>
      <c r="I217" s="39"/>
      <c r="J217" s="59">
        <f t="shared" si="5"/>
        <v>7479584.9855999993</v>
      </c>
      <c r="L217" s="94"/>
      <c r="M217" s="94"/>
      <c r="N217" s="39"/>
    </row>
    <row r="218" spans="1:14" s="56" customFormat="1" x14ac:dyDescent="0.35">
      <c r="A218" s="101" t="s">
        <v>202</v>
      </c>
      <c r="B218" s="102"/>
      <c r="C218" s="102"/>
      <c r="D218" s="102"/>
      <c r="E218" s="102"/>
      <c r="F218" s="102"/>
      <c r="G218" s="102"/>
      <c r="H218" s="103"/>
      <c r="J218" s="59">
        <f t="shared" si="5"/>
        <v>0</v>
      </c>
    </row>
    <row r="219" spans="1:14" s="56" customFormat="1" ht="15.75" customHeight="1" x14ac:dyDescent="0.35">
      <c r="A219" s="92">
        <v>1</v>
      </c>
      <c r="B219" s="93"/>
      <c r="C219" s="60">
        <v>1</v>
      </c>
      <c r="D219" s="61">
        <f>(32.56)*(10.764)</f>
        <v>350.47584000000001</v>
      </c>
      <c r="E219" s="62">
        <v>0</v>
      </c>
      <c r="F219" s="62">
        <f t="shared" ref="F219:F226" si="13">D219*(($F$162)+1)+(IF(E219&lt;101,E219,IF(E219&lt;201,E219/2,IF(E219&lt;=301,E219/3,E219/4))))</f>
        <v>560.76134400000001</v>
      </c>
      <c r="G219" s="86" t="str">
        <f>A218</f>
        <v>34th Floor (Part Refuge Area)</v>
      </c>
      <c r="H219" s="87"/>
      <c r="I219" s="39"/>
      <c r="J219" s="59">
        <f t="shared" si="5"/>
        <v>7514202.0096000005</v>
      </c>
      <c r="L219" s="94"/>
      <c r="M219" s="94"/>
      <c r="N219" s="39"/>
    </row>
    <row r="220" spans="1:14" s="56" customFormat="1" ht="15.75" customHeight="1" x14ac:dyDescent="0.35">
      <c r="A220" s="92">
        <f t="shared" ref="A220:A226" si="14">A219+1</f>
        <v>2</v>
      </c>
      <c r="B220" s="93"/>
      <c r="C220" s="60">
        <v>1</v>
      </c>
      <c r="D220" s="61">
        <f>(32.56)*(10.764)</f>
        <v>350.47584000000001</v>
      </c>
      <c r="E220" s="62">
        <v>0</v>
      </c>
      <c r="F220" s="62">
        <f t="shared" si="13"/>
        <v>560.76134400000001</v>
      </c>
      <c r="G220" s="88"/>
      <c r="H220" s="89"/>
      <c r="I220" s="39"/>
      <c r="J220" s="59">
        <f t="shared" si="5"/>
        <v>7514202.0096000005</v>
      </c>
      <c r="L220" s="94"/>
      <c r="M220" s="94"/>
      <c r="N220" s="39"/>
    </row>
    <row r="221" spans="1:14" s="56" customFormat="1" ht="15.75" customHeight="1" x14ac:dyDescent="0.35">
      <c r="A221" s="92">
        <f t="shared" si="14"/>
        <v>3</v>
      </c>
      <c r="B221" s="93"/>
      <c r="C221" s="60">
        <v>1</v>
      </c>
      <c r="D221" s="61">
        <f>(32.56)*(10.764)</f>
        <v>350.47584000000001</v>
      </c>
      <c r="E221" s="62">
        <v>0</v>
      </c>
      <c r="F221" s="62">
        <f t="shared" si="13"/>
        <v>560.76134400000001</v>
      </c>
      <c r="G221" s="88"/>
      <c r="H221" s="89"/>
      <c r="I221" s="39"/>
      <c r="J221" s="59">
        <f t="shared" si="5"/>
        <v>7514202.0096000005</v>
      </c>
      <c r="L221" s="94"/>
      <c r="M221" s="94"/>
      <c r="N221" s="39"/>
    </row>
    <row r="222" spans="1:14" s="56" customFormat="1" ht="15.75" customHeight="1" x14ac:dyDescent="0.35">
      <c r="A222" s="92">
        <f t="shared" si="14"/>
        <v>4</v>
      </c>
      <c r="B222" s="93"/>
      <c r="C222" s="95" t="s">
        <v>201</v>
      </c>
      <c r="D222" s="96">
        <f>50.96</f>
        <v>50.96</v>
      </c>
      <c r="E222" s="96">
        <v>0</v>
      </c>
      <c r="F222" s="97">
        <f t="shared" si="13"/>
        <v>81.536000000000001</v>
      </c>
      <c r="G222" s="88"/>
      <c r="H222" s="89"/>
      <c r="I222" s="39"/>
      <c r="J222" s="59">
        <f t="shared" si="5"/>
        <v>1092582.3999999999</v>
      </c>
      <c r="L222" s="94"/>
      <c r="M222" s="94"/>
      <c r="N222" s="39"/>
    </row>
    <row r="223" spans="1:14" s="56" customFormat="1" ht="15.75" customHeight="1" x14ac:dyDescent="0.35">
      <c r="A223" s="92">
        <f t="shared" si="14"/>
        <v>5</v>
      </c>
      <c r="B223" s="93"/>
      <c r="C223" s="60">
        <v>2</v>
      </c>
      <c r="D223" s="61">
        <f>(50.96)*(10.764)</f>
        <v>548.53343999999993</v>
      </c>
      <c r="E223" s="62">
        <v>0</v>
      </c>
      <c r="F223" s="62">
        <f t="shared" si="13"/>
        <v>877.65350399999988</v>
      </c>
      <c r="G223" s="88"/>
      <c r="H223" s="89"/>
      <c r="I223" s="39"/>
      <c r="J223" s="59">
        <f t="shared" si="5"/>
        <v>11760556.953599999</v>
      </c>
      <c r="L223" s="94"/>
      <c r="M223" s="94"/>
      <c r="N223" s="39"/>
    </row>
    <row r="224" spans="1:14" s="56" customFormat="1" ht="15.75" customHeight="1" x14ac:dyDescent="0.35">
      <c r="A224" s="92">
        <f t="shared" si="14"/>
        <v>6</v>
      </c>
      <c r="B224" s="93"/>
      <c r="C224" s="60">
        <v>1</v>
      </c>
      <c r="D224" s="61">
        <f>(32.56)*(10.764)</f>
        <v>350.47584000000001</v>
      </c>
      <c r="E224" s="62">
        <v>0</v>
      </c>
      <c r="F224" s="62">
        <f t="shared" si="13"/>
        <v>560.76134400000001</v>
      </c>
      <c r="G224" s="88"/>
      <c r="H224" s="89"/>
      <c r="I224" s="39"/>
      <c r="J224" s="59">
        <f t="shared" si="5"/>
        <v>7514202.0096000005</v>
      </c>
      <c r="L224" s="94"/>
      <c r="M224" s="94"/>
      <c r="N224" s="39"/>
    </row>
    <row r="225" spans="1:14" s="56" customFormat="1" ht="15.75" customHeight="1" x14ac:dyDescent="0.35">
      <c r="A225" s="92">
        <f t="shared" si="14"/>
        <v>7</v>
      </c>
      <c r="B225" s="93"/>
      <c r="C225" s="60">
        <v>1</v>
      </c>
      <c r="D225" s="61">
        <f>(32.56)*(10.764)</f>
        <v>350.47584000000001</v>
      </c>
      <c r="E225" s="62">
        <v>0</v>
      </c>
      <c r="F225" s="62">
        <f t="shared" si="13"/>
        <v>560.76134400000001</v>
      </c>
      <c r="G225" s="88"/>
      <c r="H225" s="89"/>
      <c r="I225" s="39"/>
      <c r="J225" s="59">
        <f t="shared" si="5"/>
        <v>7514202.0096000005</v>
      </c>
      <c r="L225" s="94"/>
      <c r="M225" s="94"/>
      <c r="N225" s="39"/>
    </row>
    <row r="226" spans="1:14" s="56" customFormat="1" ht="15.75" customHeight="1" x14ac:dyDescent="0.35">
      <c r="A226" s="92">
        <f t="shared" si="14"/>
        <v>8</v>
      </c>
      <c r="B226" s="93"/>
      <c r="C226" s="60">
        <v>1</v>
      </c>
      <c r="D226" s="61">
        <f>(32.41)*(10.764)</f>
        <v>348.86123999999995</v>
      </c>
      <c r="E226" s="62">
        <v>0</v>
      </c>
      <c r="F226" s="62">
        <f t="shared" si="13"/>
        <v>558.17798399999992</v>
      </c>
      <c r="G226" s="90"/>
      <c r="H226" s="91"/>
      <c r="I226" s="39"/>
      <c r="J226" s="59">
        <f t="shared" si="5"/>
        <v>7479584.9855999993</v>
      </c>
      <c r="L226" s="94"/>
      <c r="M226" s="94"/>
      <c r="N226" s="39"/>
    </row>
    <row r="227" spans="1:14" s="56" customFormat="1" x14ac:dyDescent="0.35">
      <c r="A227" s="101" t="s">
        <v>206</v>
      </c>
      <c r="B227" s="102"/>
      <c r="C227" s="102"/>
      <c r="D227" s="102"/>
      <c r="E227" s="102"/>
      <c r="F227" s="102"/>
      <c r="G227" s="102"/>
      <c r="H227" s="103"/>
      <c r="J227" s="59">
        <f t="shared" si="5"/>
        <v>0</v>
      </c>
    </row>
    <row r="228" spans="1:14" s="56" customFormat="1" x14ac:dyDescent="0.35">
      <c r="A228" s="101" t="s">
        <v>198</v>
      </c>
      <c r="B228" s="102"/>
      <c r="C228" s="102"/>
      <c r="D228" s="102"/>
      <c r="E228" s="102"/>
      <c r="F228" s="102"/>
      <c r="G228" s="102"/>
      <c r="H228" s="103"/>
      <c r="J228" s="59">
        <f t="shared" si="5"/>
        <v>0</v>
      </c>
    </row>
    <row r="229" spans="1:14" s="56" customFormat="1" ht="15.75" customHeight="1" x14ac:dyDescent="0.35">
      <c r="A229" s="101" t="s">
        <v>205</v>
      </c>
      <c r="B229" s="102"/>
      <c r="C229" s="102"/>
      <c r="D229" s="102"/>
      <c r="E229" s="102"/>
      <c r="F229" s="102"/>
      <c r="G229" s="102"/>
      <c r="H229" s="103"/>
      <c r="J229" s="59">
        <f t="shared" si="5"/>
        <v>0</v>
      </c>
    </row>
    <row r="230" spans="1:14" s="56" customFormat="1" ht="15.75" customHeight="1" x14ac:dyDescent="0.35">
      <c r="A230" s="92">
        <v>1</v>
      </c>
      <c r="B230" s="93"/>
      <c r="C230" s="104" t="s">
        <v>234</v>
      </c>
      <c r="D230" s="105"/>
      <c r="E230" s="105"/>
      <c r="F230" s="106"/>
      <c r="G230" s="86" t="str">
        <f>A229</f>
        <v>2nd Podium Floor For Part Residential &amp; Part Amenities</v>
      </c>
      <c r="H230" s="87"/>
      <c r="I230" s="39"/>
      <c r="J230" s="59">
        <f t="shared" si="5"/>
        <v>0</v>
      </c>
      <c r="L230" s="94"/>
      <c r="M230" s="94"/>
      <c r="N230" s="39"/>
    </row>
    <row r="231" spans="1:14" s="56" customFormat="1" ht="15.75" customHeight="1" x14ac:dyDescent="0.35">
      <c r="A231" s="92">
        <f t="shared" ref="A231:A234" si="15">A230+1</f>
        <v>2</v>
      </c>
      <c r="B231" s="93"/>
      <c r="C231" s="60">
        <v>1</v>
      </c>
      <c r="D231" s="61">
        <f>(33.97)*(10.764)</f>
        <v>365.65307999999999</v>
      </c>
      <c r="E231" s="62">
        <v>0</v>
      </c>
      <c r="F231" s="62">
        <f>D231*(($F$162)+1)+(IF(E231&lt;101,E231,IF(E231&lt;201,E231/2,IF(E231&lt;=301,E231/3,E231/4))))</f>
        <v>585.04492800000003</v>
      </c>
      <c r="G231" s="88"/>
      <c r="H231" s="89"/>
      <c r="I231" s="39"/>
      <c r="J231" s="59">
        <f t="shared" si="5"/>
        <v>7839602.0352000007</v>
      </c>
      <c r="L231" s="94"/>
      <c r="M231" s="94"/>
      <c r="N231" s="39"/>
    </row>
    <row r="232" spans="1:14" s="56" customFormat="1" ht="15.75" customHeight="1" x14ac:dyDescent="0.35">
      <c r="A232" s="92">
        <f t="shared" si="15"/>
        <v>3</v>
      </c>
      <c r="B232" s="93"/>
      <c r="C232" s="60">
        <v>1</v>
      </c>
      <c r="D232" s="61">
        <f>(33.83)*(10.764)</f>
        <v>364.14611999999994</v>
      </c>
      <c r="E232" s="62">
        <v>0</v>
      </c>
      <c r="F232" s="62">
        <f>D232*(($F$162)+1)+(IF(E232&lt;101,E232,IF(E232&lt;201,E232/2,IF(E232&lt;=301,E232/3,E232/4))))</f>
        <v>582.63379199999997</v>
      </c>
      <c r="G232" s="88"/>
      <c r="H232" s="89"/>
      <c r="I232" s="39"/>
      <c r="J232" s="59">
        <f t="shared" si="5"/>
        <v>7807292.8127999995</v>
      </c>
      <c r="L232" s="94"/>
      <c r="M232" s="94"/>
      <c r="N232" s="39"/>
    </row>
    <row r="233" spans="1:14" s="56" customFormat="1" ht="15.75" customHeight="1" x14ac:dyDescent="0.35">
      <c r="A233" s="92">
        <f t="shared" si="15"/>
        <v>4</v>
      </c>
      <c r="B233" s="93"/>
      <c r="C233" s="60">
        <v>1</v>
      </c>
      <c r="D233" s="61">
        <f>(34.12)*(10.764)</f>
        <v>367.26767999999993</v>
      </c>
      <c r="E233" s="62">
        <v>0</v>
      </c>
      <c r="F233" s="62">
        <f>D233*(($F$162)+1)+(IF(E233&lt;101,E233,IF(E233&lt;201,E233/2,IF(E233&lt;=301,E233/3,E233/4))))</f>
        <v>587.62828799999988</v>
      </c>
      <c r="G233" s="88"/>
      <c r="H233" s="89"/>
      <c r="I233" s="39"/>
      <c r="J233" s="59">
        <f t="shared" si="5"/>
        <v>7874219.0591999982</v>
      </c>
      <c r="L233" s="94"/>
      <c r="M233" s="94"/>
      <c r="N233" s="39"/>
    </row>
    <row r="234" spans="1:14" s="56" customFormat="1" ht="15.75" customHeight="1" x14ac:dyDescent="0.35">
      <c r="A234" s="92">
        <f t="shared" si="15"/>
        <v>5</v>
      </c>
      <c r="B234" s="93"/>
      <c r="C234" s="60">
        <v>1</v>
      </c>
      <c r="D234" s="61">
        <f>(36.43)*(10.764)</f>
        <v>392.13252</v>
      </c>
      <c r="E234" s="62">
        <v>0</v>
      </c>
      <c r="F234" s="62">
        <f>D234*(($F$162)+1)+(IF(E234&lt;101,E234,IF(E234&lt;201,E234/2,IF(E234&lt;=301,E234/3,E234/4))))</f>
        <v>627.41203200000007</v>
      </c>
      <c r="G234" s="90"/>
      <c r="H234" s="91"/>
      <c r="I234" s="39"/>
      <c r="J234" s="59">
        <f t="shared" si="5"/>
        <v>8407321.2288000006</v>
      </c>
      <c r="L234" s="94"/>
      <c r="M234" s="94"/>
      <c r="N234" s="39"/>
    </row>
    <row r="235" spans="1:14" s="56" customFormat="1" ht="15.75" customHeight="1" x14ac:dyDescent="0.35">
      <c r="A235" s="101" t="s">
        <v>235</v>
      </c>
      <c r="B235" s="102"/>
      <c r="C235" s="102"/>
      <c r="D235" s="102"/>
      <c r="E235" s="102"/>
      <c r="F235" s="102"/>
      <c r="G235" s="102"/>
      <c r="H235" s="103"/>
      <c r="J235" s="59">
        <f t="shared" ref="J235:J249" si="16">13400*F235</f>
        <v>0</v>
      </c>
    </row>
    <row r="236" spans="1:14" s="56" customFormat="1" ht="15.75" customHeight="1" x14ac:dyDescent="0.35">
      <c r="A236" s="92">
        <v>1</v>
      </c>
      <c r="B236" s="93"/>
      <c r="C236" s="60">
        <v>1</v>
      </c>
      <c r="D236" s="61">
        <f>(33.85)*(10.764)</f>
        <v>364.3614</v>
      </c>
      <c r="E236" s="62">
        <v>0</v>
      </c>
      <c r="F236" s="62">
        <f t="shared" ref="F236:F241" si="17">D236*(($F$162)+1)+(IF(E236&lt;101,E236,IF(E236&lt;201,E236/2,IF(E236&lt;=301,E236/3,E236/4))))</f>
        <v>582.97824000000003</v>
      </c>
      <c r="G236" s="86" t="str">
        <f>A235</f>
        <v>1st to 5th, 7th to 12th, 14th to 19th &amp; 21st to 25th Floor For Residential</v>
      </c>
      <c r="H236" s="87"/>
      <c r="I236" s="39">
        <f>7500000/F236</f>
        <v>12864.974171248656</v>
      </c>
      <c r="J236" s="59">
        <f t="shared" si="16"/>
        <v>7811908.4160000002</v>
      </c>
      <c r="L236" s="94"/>
      <c r="M236" s="94"/>
      <c r="N236" s="39"/>
    </row>
    <row r="237" spans="1:14" s="56" customFormat="1" ht="15.75" customHeight="1" x14ac:dyDescent="0.35">
      <c r="A237" s="92">
        <f t="shared" ref="A237:A241" si="18">A236+1</f>
        <v>2</v>
      </c>
      <c r="B237" s="93"/>
      <c r="C237" s="60">
        <v>1</v>
      </c>
      <c r="D237" s="61">
        <f>(33.97)*(10.764)</f>
        <v>365.65307999999999</v>
      </c>
      <c r="E237" s="62">
        <v>0</v>
      </c>
      <c r="F237" s="62">
        <f t="shared" si="17"/>
        <v>585.04492800000003</v>
      </c>
      <c r="G237" s="88" t="str">
        <f t="shared" ref="G237:G239" si="19">G236</f>
        <v>1st to 5th, 7th to 12th, 14th to 19th &amp; 21st to 25th Floor For Residential</v>
      </c>
      <c r="H237" s="89"/>
      <c r="I237" s="39"/>
      <c r="J237" s="59">
        <f t="shared" si="16"/>
        <v>7839602.0352000007</v>
      </c>
      <c r="L237" s="94"/>
      <c r="M237" s="94"/>
      <c r="N237" s="39"/>
    </row>
    <row r="238" spans="1:14" s="56" customFormat="1" ht="15.75" customHeight="1" x14ac:dyDescent="0.35">
      <c r="A238" s="92">
        <f t="shared" si="18"/>
        <v>3</v>
      </c>
      <c r="B238" s="93"/>
      <c r="C238" s="60">
        <v>1</v>
      </c>
      <c r="D238" s="61">
        <f>(33.83)*(10.764)</f>
        <v>364.14611999999994</v>
      </c>
      <c r="E238" s="62">
        <v>0</v>
      </c>
      <c r="F238" s="62">
        <f t="shared" si="17"/>
        <v>582.63379199999997</v>
      </c>
      <c r="G238" s="88" t="str">
        <f t="shared" si="19"/>
        <v>1st to 5th, 7th to 12th, 14th to 19th &amp; 21st to 25th Floor For Residential</v>
      </c>
      <c r="H238" s="89"/>
      <c r="I238" s="39"/>
      <c r="J238" s="59">
        <f t="shared" si="16"/>
        <v>7807292.8127999995</v>
      </c>
      <c r="L238" s="94"/>
      <c r="M238" s="94"/>
      <c r="N238" s="39"/>
    </row>
    <row r="239" spans="1:14" s="56" customFormat="1" ht="15.75" customHeight="1" x14ac:dyDescent="0.35">
      <c r="A239" s="92">
        <f t="shared" si="18"/>
        <v>4</v>
      </c>
      <c r="B239" s="93"/>
      <c r="C239" s="60">
        <v>1</v>
      </c>
      <c r="D239" s="61">
        <f>(34.12)*(10.764)</f>
        <v>367.26767999999993</v>
      </c>
      <c r="E239" s="62">
        <v>0</v>
      </c>
      <c r="F239" s="62">
        <f t="shared" si="17"/>
        <v>587.62828799999988</v>
      </c>
      <c r="G239" s="88" t="str">
        <f t="shared" si="19"/>
        <v>1st to 5th, 7th to 12th, 14th to 19th &amp; 21st to 25th Floor For Residential</v>
      </c>
      <c r="H239" s="89"/>
      <c r="I239" s="39"/>
      <c r="J239" s="59">
        <f t="shared" si="16"/>
        <v>7874219.0591999982</v>
      </c>
      <c r="L239" s="94"/>
      <c r="M239" s="94"/>
      <c r="N239" s="39"/>
    </row>
    <row r="240" spans="1:14" s="66" customFormat="1" ht="15.75" customHeight="1" x14ac:dyDescent="0.35">
      <c r="A240" s="92">
        <f t="shared" si="18"/>
        <v>5</v>
      </c>
      <c r="B240" s="93"/>
      <c r="C240" s="60">
        <v>2</v>
      </c>
      <c r="D240" s="61">
        <f>(46.03)*(10.764)</f>
        <v>495.46691999999996</v>
      </c>
      <c r="E240" s="64">
        <v>0</v>
      </c>
      <c r="F240" s="64">
        <f t="shared" si="17"/>
        <v>792.747072</v>
      </c>
      <c r="G240" s="88"/>
      <c r="H240" s="89"/>
      <c r="I240" s="39"/>
      <c r="J240" s="66">
        <f t="shared" ref="J240" si="20">13400*F240</f>
        <v>10622810.764800001</v>
      </c>
      <c r="L240" s="94"/>
      <c r="M240" s="94"/>
      <c r="N240" s="39"/>
    </row>
    <row r="241" spans="1:14" s="56" customFormat="1" ht="15.75" customHeight="1" x14ac:dyDescent="0.35">
      <c r="A241" s="92">
        <f t="shared" si="18"/>
        <v>6</v>
      </c>
      <c r="B241" s="93"/>
      <c r="C241" s="60">
        <v>1</v>
      </c>
      <c r="D241" s="61">
        <f>(36.43)*(10.764)</f>
        <v>392.13252</v>
      </c>
      <c r="E241" s="62">
        <v>0</v>
      </c>
      <c r="F241" s="62">
        <f t="shared" si="17"/>
        <v>627.41203200000007</v>
      </c>
      <c r="G241" s="90" t="str">
        <f>G239</f>
        <v>1st to 5th, 7th to 12th, 14th to 19th &amp; 21st to 25th Floor For Residential</v>
      </c>
      <c r="H241" s="91"/>
      <c r="I241" s="39"/>
      <c r="J241" s="59">
        <f t="shared" si="16"/>
        <v>8407321.2288000006</v>
      </c>
      <c r="L241" s="94"/>
      <c r="M241" s="94"/>
      <c r="N241" s="39"/>
    </row>
    <row r="242" spans="1:14" s="66" customFormat="1" x14ac:dyDescent="0.35">
      <c r="A242" s="101" t="s">
        <v>203</v>
      </c>
      <c r="B242" s="102"/>
      <c r="C242" s="102"/>
      <c r="D242" s="102"/>
      <c r="E242" s="102"/>
      <c r="F242" s="102"/>
      <c r="G242" s="102"/>
      <c r="H242" s="103"/>
      <c r="J242" s="66">
        <f t="shared" si="16"/>
        <v>0</v>
      </c>
    </row>
    <row r="243" spans="1:14" s="56" customFormat="1" ht="15.75" customHeight="1" x14ac:dyDescent="0.35">
      <c r="A243" s="101" t="s">
        <v>208</v>
      </c>
      <c r="B243" s="102"/>
      <c r="C243" s="102"/>
      <c r="D243" s="102"/>
      <c r="E243" s="102"/>
      <c r="F243" s="102"/>
      <c r="G243" s="102"/>
      <c r="H243" s="103"/>
      <c r="J243" s="59">
        <f t="shared" si="16"/>
        <v>0</v>
      </c>
    </row>
    <row r="244" spans="1:14" s="56" customFormat="1" ht="15.75" customHeight="1" x14ac:dyDescent="0.35">
      <c r="A244" s="92">
        <v>1</v>
      </c>
      <c r="B244" s="93"/>
      <c r="C244" s="60">
        <v>1</v>
      </c>
      <c r="D244" s="61">
        <f>(33.85)*(10.764)</f>
        <v>364.3614</v>
      </c>
      <c r="E244" s="62">
        <v>0</v>
      </c>
      <c r="F244" s="62">
        <f>D244*(($F$162)+1)+(IF(E244&lt;101,E244,IF(E244&lt;201,E244/2,IF(E244&lt;=301,E244/3,E244/4))))</f>
        <v>582.97824000000003</v>
      </c>
      <c r="G244" s="86" t="str">
        <f>A243</f>
        <v>6th, 13th &amp; 20th Floor (Part Refuge Area)</v>
      </c>
      <c r="H244" s="87"/>
      <c r="I244" s="39"/>
      <c r="J244" s="59">
        <f t="shared" si="16"/>
        <v>7811908.4160000002</v>
      </c>
      <c r="L244" s="94"/>
      <c r="M244" s="94"/>
      <c r="N244" s="39"/>
    </row>
    <row r="245" spans="1:14" s="56" customFormat="1" ht="15.75" customHeight="1" x14ac:dyDescent="0.35">
      <c r="A245" s="92">
        <f t="shared" ref="A245:A249" si="21">A244+1</f>
        <v>2</v>
      </c>
      <c r="B245" s="93"/>
      <c r="C245" s="60">
        <v>1</v>
      </c>
      <c r="D245" s="61">
        <f>(39.14)*(10.764)</f>
        <v>421.30295999999998</v>
      </c>
      <c r="E245" s="62">
        <v>0</v>
      </c>
      <c r="F245" s="62">
        <f>D245*(($F$162)+1)+(IF(E245&lt;101,E245,IF(E245&lt;201,E245/2,IF(E245&lt;=301,E245/3,E245/4))))</f>
        <v>674.08473600000002</v>
      </c>
      <c r="G245" s="88" t="str">
        <f t="shared" ref="G245:G247" si="22">G244</f>
        <v>6th, 13th &amp; 20th Floor (Part Refuge Area)</v>
      </c>
      <c r="H245" s="89"/>
      <c r="I245" s="39"/>
      <c r="J245" s="59">
        <f t="shared" si="16"/>
        <v>9032735.4624000005</v>
      </c>
      <c r="L245" s="94"/>
      <c r="M245" s="94"/>
      <c r="N245" s="39"/>
    </row>
    <row r="246" spans="1:14" s="56" customFormat="1" ht="15.75" customHeight="1" x14ac:dyDescent="0.35">
      <c r="A246" s="92">
        <f t="shared" si="21"/>
        <v>3</v>
      </c>
      <c r="B246" s="93"/>
      <c r="C246" s="95" t="s">
        <v>201</v>
      </c>
      <c r="D246" s="96"/>
      <c r="E246" s="96"/>
      <c r="F246" s="97"/>
      <c r="G246" s="88" t="str">
        <f t="shared" si="22"/>
        <v>6th, 13th &amp; 20th Floor (Part Refuge Area)</v>
      </c>
      <c r="H246" s="89"/>
      <c r="I246" s="39"/>
      <c r="J246" s="59">
        <f t="shared" si="16"/>
        <v>0</v>
      </c>
      <c r="L246" s="94"/>
      <c r="M246" s="94"/>
      <c r="N246" s="39"/>
    </row>
    <row r="247" spans="1:14" s="56" customFormat="1" ht="15.75" customHeight="1" x14ac:dyDescent="0.35">
      <c r="A247" s="92">
        <f t="shared" si="21"/>
        <v>4</v>
      </c>
      <c r="B247" s="93"/>
      <c r="C247" s="98"/>
      <c r="D247" s="99"/>
      <c r="E247" s="99"/>
      <c r="F247" s="100"/>
      <c r="G247" s="88" t="str">
        <f t="shared" si="22"/>
        <v>6th, 13th &amp; 20th Floor (Part Refuge Area)</v>
      </c>
      <c r="H247" s="89"/>
      <c r="I247" s="39"/>
      <c r="J247" s="59">
        <f t="shared" si="16"/>
        <v>0</v>
      </c>
      <c r="L247" s="94"/>
      <c r="M247" s="94"/>
      <c r="N247" s="39"/>
    </row>
    <row r="248" spans="1:14" s="66" customFormat="1" ht="15.75" customHeight="1" x14ac:dyDescent="0.35">
      <c r="A248" s="92">
        <f t="shared" si="21"/>
        <v>5</v>
      </c>
      <c r="B248" s="93"/>
      <c r="C248" s="60">
        <v>2</v>
      </c>
      <c r="D248" s="61">
        <f>(46.03)*(10.764)</f>
        <v>495.46691999999996</v>
      </c>
      <c r="E248" s="64">
        <v>0</v>
      </c>
      <c r="F248" s="64">
        <f>D248*(($F$162)+1)+(IF(E248&lt;101,E248,IF(E248&lt;201,E248/2,IF(E248&lt;=301,E248/3,E248/4))))</f>
        <v>792.747072</v>
      </c>
      <c r="G248" s="88"/>
      <c r="H248" s="89"/>
      <c r="I248" s="39">
        <f>8500000/F248</f>
        <v>10722.209264747686</v>
      </c>
      <c r="J248" s="66">
        <f t="shared" ref="J248" si="23">13400*F248</f>
        <v>10622810.764800001</v>
      </c>
      <c r="L248" s="94"/>
      <c r="M248" s="94"/>
      <c r="N248" s="39"/>
    </row>
    <row r="249" spans="1:14" s="56" customFormat="1" ht="15.75" customHeight="1" x14ac:dyDescent="0.35">
      <c r="A249" s="92">
        <f t="shared" si="21"/>
        <v>6</v>
      </c>
      <c r="B249" s="93"/>
      <c r="C249" s="60">
        <v>1</v>
      </c>
      <c r="D249" s="61">
        <f>(36.43)*(10.764)</f>
        <v>392.13252</v>
      </c>
      <c r="E249" s="62">
        <v>0</v>
      </c>
      <c r="F249" s="62">
        <f>D249*(($F$162)+1)+(IF(E249&lt;101,E249,IF(E249&lt;201,E249/2,IF(E249&lt;=301,E249/3,E249/4))))</f>
        <v>627.41203200000007</v>
      </c>
      <c r="G249" s="90" t="str">
        <f>G247</f>
        <v>6th, 13th &amp; 20th Floor (Part Refuge Area)</v>
      </c>
      <c r="H249" s="91"/>
      <c r="I249" s="39">
        <f>8500000/F249</f>
        <v>13547.715960920557</v>
      </c>
      <c r="J249" s="59">
        <f t="shared" si="16"/>
        <v>8407321.2288000006</v>
      </c>
      <c r="L249" s="94"/>
      <c r="M249" s="94"/>
      <c r="N249" s="39"/>
    </row>
    <row r="250" spans="1:14" s="66" customFormat="1" ht="15.75" customHeight="1" x14ac:dyDescent="0.35">
      <c r="A250" s="109" t="s">
        <v>236</v>
      </c>
      <c r="B250" s="109"/>
      <c r="C250" s="109"/>
      <c r="D250" s="109"/>
      <c r="E250" s="109"/>
      <c r="F250" s="109"/>
      <c r="G250" s="109"/>
      <c r="H250" s="109"/>
      <c r="J250" s="66">
        <f t="shared" ref="J250:J256" si="24">13400*F250</f>
        <v>0</v>
      </c>
    </row>
    <row r="251" spans="1:14" s="66" customFormat="1" ht="15.75" customHeight="1" x14ac:dyDescent="0.35">
      <c r="A251" s="108">
        <v>1</v>
      </c>
      <c r="B251" s="108"/>
      <c r="C251" s="60">
        <v>1</v>
      </c>
      <c r="D251" s="61">
        <f>(33.85+1.2*(2.5+2.9))*(10.764)</f>
        <v>434.11211999999995</v>
      </c>
      <c r="E251" s="78">
        <v>0</v>
      </c>
      <c r="F251" s="78">
        <f t="shared" ref="F251:F256" si="25">D251*(($F$162)+1)+(IF(E251&lt;101,E251,IF(E251&lt;201,E251/2,IF(E251&lt;=301,E251/3,E251/4))))</f>
        <v>694.57939199999998</v>
      </c>
      <c r="G251" s="108" t="str">
        <f>A250</f>
        <v>26th, 28th to 33rd, 35th to 37th Floor</v>
      </c>
      <c r="H251" s="108"/>
      <c r="I251" s="39">
        <f>7500000/F251</f>
        <v>10797.901703366402</v>
      </c>
      <c r="J251" s="66">
        <f t="shared" si="24"/>
        <v>9307363.8528000005</v>
      </c>
      <c r="L251" s="94"/>
      <c r="M251" s="94"/>
      <c r="N251" s="39"/>
    </row>
    <row r="252" spans="1:14" s="66" customFormat="1" ht="15.75" customHeight="1" x14ac:dyDescent="0.35">
      <c r="A252" s="108">
        <f t="shared" ref="A252:A256" si="26">A251+1</f>
        <v>2</v>
      </c>
      <c r="B252" s="108"/>
      <c r="C252" s="60">
        <v>1</v>
      </c>
      <c r="D252" s="61">
        <f>(33.97+1.2*(2.6+2.9))*(10.764)</f>
        <v>436.69547999999998</v>
      </c>
      <c r="E252" s="78">
        <v>0</v>
      </c>
      <c r="F252" s="78">
        <f t="shared" si="25"/>
        <v>698.71276799999998</v>
      </c>
      <c r="G252" s="108" t="str">
        <f t="shared" ref="G252:G254" si="27">G251</f>
        <v>26th, 28th to 33rd, 35th to 37th Floor</v>
      </c>
      <c r="H252" s="108"/>
      <c r="I252" s="39"/>
      <c r="J252" s="66">
        <f t="shared" si="24"/>
        <v>9362751.0911999997</v>
      </c>
      <c r="L252" s="94"/>
      <c r="M252" s="94"/>
      <c r="N252" s="39"/>
    </row>
    <row r="253" spans="1:14" s="66" customFormat="1" ht="15.75" customHeight="1" x14ac:dyDescent="0.35">
      <c r="A253" s="108">
        <f t="shared" si="26"/>
        <v>3</v>
      </c>
      <c r="B253" s="108"/>
      <c r="C253" s="60">
        <v>1</v>
      </c>
      <c r="D253" s="61">
        <f>(33.83+1.2*(2.6+2.8))*(10.764)</f>
        <v>433.89684</v>
      </c>
      <c r="E253" s="78">
        <v>0</v>
      </c>
      <c r="F253" s="78">
        <f t="shared" si="25"/>
        <v>694.23494400000004</v>
      </c>
      <c r="G253" s="108" t="str">
        <f t="shared" si="27"/>
        <v>26th, 28th to 33rd, 35th to 37th Floor</v>
      </c>
      <c r="H253" s="108"/>
      <c r="I253" s="39"/>
      <c r="J253" s="66">
        <f t="shared" si="24"/>
        <v>9302748.2496000007</v>
      </c>
      <c r="L253" s="94"/>
      <c r="M253" s="94"/>
      <c r="N253" s="39"/>
    </row>
    <row r="254" spans="1:14" s="66" customFormat="1" ht="15.75" customHeight="1" x14ac:dyDescent="0.35">
      <c r="A254" s="108">
        <f t="shared" si="26"/>
        <v>4</v>
      </c>
      <c r="B254" s="108"/>
      <c r="C254" s="60">
        <v>1</v>
      </c>
      <c r="D254" s="61">
        <f>(34.12+1.2*(2.6+1.9))*(10.764)</f>
        <v>425.39327999999995</v>
      </c>
      <c r="E254" s="78">
        <v>0</v>
      </c>
      <c r="F254" s="78">
        <f t="shared" si="25"/>
        <v>680.62924799999996</v>
      </c>
      <c r="G254" s="108" t="str">
        <f t="shared" si="27"/>
        <v>26th, 28th to 33rd, 35th to 37th Floor</v>
      </c>
      <c r="H254" s="108"/>
      <c r="I254" s="39"/>
      <c r="J254" s="66">
        <f t="shared" si="24"/>
        <v>9120431.9232000001</v>
      </c>
      <c r="L254" s="94"/>
      <c r="M254" s="94"/>
      <c r="N254" s="39"/>
    </row>
    <row r="255" spans="1:14" s="66" customFormat="1" ht="15.75" customHeight="1" x14ac:dyDescent="0.35">
      <c r="A255" s="108">
        <f t="shared" si="26"/>
        <v>5</v>
      </c>
      <c r="B255" s="108"/>
      <c r="C255" s="60">
        <v>2</v>
      </c>
      <c r="D255" s="61">
        <f>(46.03+1.2*(2.65+2.4+2.85))*(10.764)</f>
        <v>597.50963999999999</v>
      </c>
      <c r="E255" s="78">
        <v>0</v>
      </c>
      <c r="F255" s="78">
        <f t="shared" si="25"/>
        <v>956.01542400000005</v>
      </c>
      <c r="G255" s="108"/>
      <c r="H255" s="108"/>
      <c r="I255" s="39"/>
      <c r="J255" s="66">
        <f t="shared" si="24"/>
        <v>12810606.681600001</v>
      </c>
      <c r="L255" s="94"/>
      <c r="M255" s="94"/>
      <c r="N255" s="39"/>
    </row>
    <row r="256" spans="1:14" s="66" customFormat="1" ht="15.75" customHeight="1" x14ac:dyDescent="0.35">
      <c r="A256" s="108">
        <f t="shared" si="26"/>
        <v>6</v>
      </c>
      <c r="B256" s="108"/>
      <c r="C256" s="60">
        <v>1</v>
      </c>
      <c r="D256" s="61">
        <f>(36.43+1.2*(2.55+2.6))*(10.764)</f>
        <v>458.65403999999995</v>
      </c>
      <c r="E256" s="78">
        <v>0</v>
      </c>
      <c r="F256" s="78">
        <f t="shared" si="25"/>
        <v>733.84646399999997</v>
      </c>
      <c r="G256" s="108" t="str">
        <f>G254</f>
        <v>26th, 28th to 33rd, 35th to 37th Floor</v>
      </c>
      <c r="H256" s="108"/>
      <c r="I256" s="39"/>
      <c r="J256" s="66">
        <f t="shared" si="24"/>
        <v>9833542.6175999995</v>
      </c>
      <c r="L256" s="94"/>
      <c r="M256" s="94"/>
      <c r="N256" s="39"/>
    </row>
    <row r="257" spans="1:14" s="66" customFormat="1" ht="15.75" customHeight="1" x14ac:dyDescent="0.35">
      <c r="A257" s="101" t="s">
        <v>237</v>
      </c>
      <c r="B257" s="102"/>
      <c r="C257" s="102"/>
      <c r="D257" s="102"/>
      <c r="E257" s="102"/>
      <c r="F257" s="102"/>
      <c r="G257" s="102"/>
      <c r="H257" s="103"/>
      <c r="J257" s="66">
        <f t="shared" ref="J257:J270" si="28">13400*F257</f>
        <v>0</v>
      </c>
    </row>
    <row r="258" spans="1:14" s="66" customFormat="1" ht="15.75" customHeight="1" x14ac:dyDescent="0.35">
      <c r="A258" s="92">
        <v>1</v>
      </c>
      <c r="B258" s="93"/>
      <c r="C258" s="60">
        <v>1</v>
      </c>
      <c r="D258" s="61">
        <f>(33.85+1.2*(2.5+2.9))*(10.764)</f>
        <v>434.11211999999995</v>
      </c>
      <c r="E258" s="64">
        <v>0</v>
      </c>
      <c r="F258" s="64">
        <f>D258*(($F$162)+1)+(IF(E258&lt;101,E258,IF(E258&lt;201,E258/2,IF(E258&lt;=301,E258/3,E258/4))))</f>
        <v>694.57939199999998</v>
      </c>
      <c r="G258" s="86" t="str">
        <f>A257</f>
        <v>27th Floor (Part Refuge Area)</v>
      </c>
      <c r="H258" s="87"/>
      <c r="I258" s="39">
        <f>7500000/F258</f>
        <v>10797.901703366402</v>
      </c>
      <c r="J258" s="66">
        <f t="shared" si="28"/>
        <v>9307363.8528000005</v>
      </c>
      <c r="L258" s="94"/>
      <c r="M258" s="94"/>
      <c r="N258" s="39"/>
    </row>
    <row r="259" spans="1:14" s="66" customFormat="1" ht="15.75" customHeight="1" x14ac:dyDescent="0.35">
      <c r="A259" s="92">
        <f t="shared" ref="A259:A263" si="29">A258+1</f>
        <v>2</v>
      </c>
      <c r="B259" s="93"/>
      <c r="C259" s="60">
        <v>1</v>
      </c>
      <c r="D259" s="61">
        <f>(39.14+1.2*(3.7+2.9))*(10.764)</f>
        <v>506.55383999999998</v>
      </c>
      <c r="E259" s="64">
        <v>0</v>
      </c>
      <c r="F259" s="64">
        <f>D259*(($F$162)+1)+(IF(E259&lt;101,E259,IF(E259&lt;201,E259/2,IF(E259&lt;=301,E259/3,E259/4))))</f>
        <v>810.48614399999997</v>
      </c>
      <c r="G259" s="88" t="str">
        <f t="shared" ref="G259:G261" si="30">G258</f>
        <v>27th Floor (Part Refuge Area)</v>
      </c>
      <c r="H259" s="89"/>
      <c r="I259" s="39"/>
      <c r="J259" s="66">
        <f t="shared" si="28"/>
        <v>10860514.329599999</v>
      </c>
      <c r="L259" s="94"/>
      <c r="M259" s="94"/>
      <c r="N259" s="39"/>
    </row>
    <row r="260" spans="1:14" s="66" customFormat="1" ht="15.75" customHeight="1" x14ac:dyDescent="0.35">
      <c r="A260" s="92">
        <f t="shared" si="29"/>
        <v>3</v>
      </c>
      <c r="B260" s="93"/>
      <c r="C260" s="95" t="s">
        <v>201</v>
      </c>
      <c r="D260" s="96"/>
      <c r="E260" s="96"/>
      <c r="F260" s="97"/>
      <c r="G260" s="88" t="str">
        <f t="shared" si="30"/>
        <v>27th Floor (Part Refuge Area)</v>
      </c>
      <c r="H260" s="89"/>
      <c r="I260" s="39"/>
      <c r="J260" s="66">
        <f t="shared" si="28"/>
        <v>0</v>
      </c>
      <c r="L260" s="94"/>
      <c r="M260" s="94"/>
      <c r="N260" s="39"/>
    </row>
    <row r="261" spans="1:14" s="66" customFormat="1" ht="15.75" customHeight="1" x14ac:dyDescent="0.35">
      <c r="A261" s="92">
        <f t="shared" si="29"/>
        <v>4</v>
      </c>
      <c r="B261" s="93"/>
      <c r="C261" s="98"/>
      <c r="D261" s="99"/>
      <c r="E261" s="99"/>
      <c r="F261" s="100"/>
      <c r="G261" s="88" t="str">
        <f t="shared" si="30"/>
        <v>27th Floor (Part Refuge Area)</v>
      </c>
      <c r="H261" s="89"/>
      <c r="I261" s="39"/>
      <c r="J261" s="66">
        <f t="shared" si="28"/>
        <v>0</v>
      </c>
      <c r="L261" s="94"/>
      <c r="M261" s="94"/>
      <c r="N261" s="39"/>
    </row>
    <row r="262" spans="1:14" s="66" customFormat="1" ht="15.75" customHeight="1" x14ac:dyDescent="0.35">
      <c r="A262" s="92">
        <f t="shared" si="29"/>
        <v>5</v>
      </c>
      <c r="B262" s="93"/>
      <c r="C262" s="60">
        <v>2</v>
      </c>
      <c r="D262" s="61">
        <f>(46.03+1.2*(2.65+2.4+2.85))*(10.764)</f>
        <v>597.50963999999999</v>
      </c>
      <c r="E262" s="64">
        <v>0</v>
      </c>
      <c r="F262" s="64">
        <f>D262*(($F$162)+1)+(IF(E262&lt;101,E262,IF(E262&lt;201,E262/2,IF(E262&lt;=301,E262/3,E262/4))))</f>
        <v>956.01542400000005</v>
      </c>
      <c r="G262" s="88"/>
      <c r="H262" s="89"/>
      <c r="I262" s="39"/>
      <c r="J262" s="66">
        <f t="shared" si="28"/>
        <v>12810606.681600001</v>
      </c>
      <c r="L262" s="94"/>
      <c r="M262" s="94"/>
      <c r="N262" s="39"/>
    </row>
    <row r="263" spans="1:14" s="66" customFormat="1" ht="15.75" customHeight="1" x14ac:dyDescent="0.35">
      <c r="A263" s="92">
        <f t="shared" si="29"/>
        <v>6</v>
      </c>
      <c r="B263" s="93"/>
      <c r="C263" s="60">
        <v>1</v>
      </c>
      <c r="D263" s="61">
        <f>(36.43+1.2*(2.55+2.6))*(10.764)</f>
        <v>458.65403999999995</v>
      </c>
      <c r="E263" s="64">
        <v>0</v>
      </c>
      <c r="F263" s="64">
        <f>D263*(($F$162)+1)+(IF(E263&lt;101,E263,IF(E263&lt;201,E263/2,IF(E263&lt;=301,E263/3,E263/4))))</f>
        <v>733.84646399999997</v>
      </c>
      <c r="G263" s="90" t="str">
        <f>G261</f>
        <v>27th Floor (Part Refuge Area)</v>
      </c>
      <c r="H263" s="91"/>
      <c r="I263" s="39"/>
      <c r="J263" s="66">
        <f t="shared" si="28"/>
        <v>9833542.6175999995</v>
      </c>
      <c r="L263" s="94"/>
      <c r="M263" s="94"/>
      <c r="N263" s="39"/>
    </row>
    <row r="264" spans="1:14" s="66" customFormat="1" ht="15.75" customHeight="1" x14ac:dyDescent="0.35">
      <c r="A264" s="101" t="s">
        <v>202</v>
      </c>
      <c r="B264" s="102"/>
      <c r="C264" s="102"/>
      <c r="D264" s="102"/>
      <c r="E264" s="102"/>
      <c r="F264" s="102"/>
      <c r="G264" s="102"/>
      <c r="H264" s="103"/>
      <c r="J264" s="66">
        <f t="shared" si="28"/>
        <v>0</v>
      </c>
    </row>
    <row r="265" spans="1:14" s="66" customFormat="1" ht="15.75" customHeight="1" x14ac:dyDescent="0.35">
      <c r="A265" s="92">
        <v>1</v>
      </c>
      <c r="B265" s="93"/>
      <c r="C265" s="60">
        <v>1</v>
      </c>
      <c r="D265" s="61">
        <f>(33.85+1.2*(2.5+2.9))*(10.764)</f>
        <v>434.11211999999995</v>
      </c>
      <c r="E265" s="64">
        <v>0</v>
      </c>
      <c r="F265" s="64">
        <f>D265*(($F$162)+1)+(IF(E265&lt;101,E265,IF(E265&lt;201,E265/2,IF(E265&lt;=301,E265/3,E265/4))))</f>
        <v>694.57939199999998</v>
      </c>
      <c r="G265" s="86" t="str">
        <f>A264</f>
        <v>34th Floor (Part Refuge Area)</v>
      </c>
      <c r="H265" s="87"/>
      <c r="I265" s="39">
        <f>7500000/F265</f>
        <v>10797.901703366402</v>
      </c>
      <c r="J265" s="66">
        <f t="shared" si="28"/>
        <v>9307363.8528000005</v>
      </c>
      <c r="L265" s="94"/>
      <c r="M265" s="94"/>
      <c r="N265" s="39"/>
    </row>
    <row r="266" spans="1:14" s="66" customFormat="1" ht="15.75" customHeight="1" x14ac:dyDescent="0.35">
      <c r="A266" s="92">
        <f t="shared" ref="A266:A270" si="31">A265+1</f>
        <v>2</v>
      </c>
      <c r="B266" s="93"/>
      <c r="C266" s="60">
        <v>1</v>
      </c>
      <c r="D266" s="61">
        <f>(33.97+1.2*(2.6+2.9))*(10.764)</f>
        <v>436.69547999999998</v>
      </c>
      <c r="E266" s="64">
        <v>0</v>
      </c>
      <c r="F266" s="64">
        <f>D266*(($F$162)+1)+(IF(E266&lt;101,E266,IF(E266&lt;201,E266/2,IF(E266&lt;=301,E266/3,E266/4))))</f>
        <v>698.71276799999998</v>
      </c>
      <c r="G266" s="88" t="str">
        <f t="shared" ref="G266:G268" si="32">G265</f>
        <v>34th Floor (Part Refuge Area)</v>
      </c>
      <c r="H266" s="89"/>
      <c r="I266" s="39"/>
      <c r="J266" s="66">
        <f t="shared" si="28"/>
        <v>9362751.0911999997</v>
      </c>
      <c r="L266" s="94"/>
      <c r="M266" s="94"/>
      <c r="N266" s="39"/>
    </row>
    <row r="267" spans="1:14" s="66" customFormat="1" ht="15.75" customHeight="1" x14ac:dyDescent="0.35">
      <c r="A267" s="92">
        <f t="shared" si="31"/>
        <v>3</v>
      </c>
      <c r="B267" s="93"/>
      <c r="C267" s="60">
        <v>1</v>
      </c>
      <c r="D267" s="61">
        <f>(33.83+1.2*(2.6+2.8))*(10.764)</f>
        <v>433.89684</v>
      </c>
      <c r="E267" s="64">
        <v>0</v>
      </c>
      <c r="F267" s="64">
        <f>D267*(($F$162)+1)+(IF(E267&lt;101,E267,IF(E267&lt;201,E267/2,IF(E267&lt;=301,E267/3,E267/4))))</f>
        <v>694.23494400000004</v>
      </c>
      <c r="G267" s="88" t="str">
        <f t="shared" si="32"/>
        <v>34th Floor (Part Refuge Area)</v>
      </c>
      <c r="H267" s="89"/>
      <c r="I267" s="39"/>
      <c r="J267" s="66">
        <f t="shared" si="28"/>
        <v>9302748.2496000007</v>
      </c>
      <c r="L267" s="94"/>
      <c r="M267" s="94"/>
      <c r="N267" s="39"/>
    </row>
    <row r="268" spans="1:14" s="66" customFormat="1" ht="15.75" customHeight="1" x14ac:dyDescent="0.35">
      <c r="A268" s="92">
        <f t="shared" si="31"/>
        <v>4</v>
      </c>
      <c r="B268" s="93"/>
      <c r="C268" s="104" t="s">
        <v>201</v>
      </c>
      <c r="D268" s="105"/>
      <c r="E268" s="105"/>
      <c r="F268" s="106"/>
      <c r="G268" s="88" t="str">
        <f t="shared" si="32"/>
        <v>34th Floor (Part Refuge Area)</v>
      </c>
      <c r="H268" s="89"/>
      <c r="I268" s="39"/>
      <c r="J268" s="66">
        <f t="shared" si="28"/>
        <v>0</v>
      </c>
      <c r="L268" s="94"/>
      <c r="M268" s="94"/>
      <c r="N268" s="39"/>
    </row>
    <row r="269" spans="1:14" s="66" customFormat="1" ht="15.75" customHeight="1" x14ac:dyDescent="0.35">
      <c r="A269" s="92">
        <f t="shared" si="31"/>
        <v>5</v>
      </c>
      <c r="B269" s="93"/>
      <c r="C269" s="60">
        <v>2</v>
      </c>
      <c r="D269" s="61">
        <f>(46.03+1.2*(2.65+2.4+2.85))*(10.764)</f>
        <v>597.50963999999999</v>
      </c>
      <c r="E269" s="64">
        <v>0</v>
      </c>
      <c r="F269" s="64">
        <f>D269*(($F$162)+1)+(IF(E269&lt;101,E269,IF(E269&lt;201,E269/2,IF(E269&lt;=301,E269/3,E269/4))))</f>
        <v>956.01542400000005</v>
      </c>
      <c r="G269" s="88"/>
      <c r="H269" s="89"/>
      <c r="I269" s="39"/>
      <c r="J269" s="66">
        <f t="shared" si="28"/>
        <v>12810606.681600001</v>
      </c>
      <c r="L269" s="94"/>
      <c r="M269" s="94"/>
      <c r="N269" s="39"/>
    </row>
    <row r="270" spans="1:14" s="66" customFormat="1" ht="15.75" customHeight="1" x14ac:dyDescent="0.35">
      <c r="A270" s="92">
        <f t="shared" si="31"/>
        <v>6</v>
      </c>
      <c r="B270" s="93"/>
      <c r="C270" s="60">
        <v>1</v>
      </c>
      <c r="D270" s="61">
        <f>(36.43+1.2*(2.55+2.6))*(10.764)</f>
        <v>458.65403999999995</v>
      </c>
      <c r="E270" s="64">
        <v>0</v>
      </c>
      <c r="F270" s="64">
        <f>D270*(($F$162)+1)+(IF(E270&lt;101,E270,IF(E270&lt;201,E270/2,IF(E270&lt;=301,E270/3,E270/4))))</f>
        <v>733.84646399999997</v>
      </c>
      <c r="G270" s="90" t="str">
        <f>G268</f>
        <v>34th Floor (Part Refuge Area)</v>
      </c>
      <c r="H270" s="91"/>
      <c r="I270" s="39"/>
      <c r="J270" s="66">
        <f t="shared" si="28"/>
        <v>9833542.6175999995</v>
      </c>
      <c r="L270" s="94"/>
      <c r="M270" s="94"/>
      <c r="N270" s="39"/>
    </row>
    <row r="271" spans="1:14" s="51" customFormat="1" hidden="1" x14ac:dyDescent="0.35">
      <c r="A271" s="101" t="s">
        <v>123</v>
      </c>
      <c r="B271" s="102"/>
      <c r="C271" s="102"/>
      <c r="D271" s="102"/>
      <c r="E271" s="102"/>
      <c r="F271" s="102"/>
      <c r="G271" s="102"/>
      <c r="H271" s="103"/>
      <c r="J271" s="39"/>
    </row>
    <row r="272" spans="1:14" s="51" customFormat="1" hidden="1" x14ac:dyDescent="0.35">
      <c r="A272" s="92">
        <v>1</v>
      </c>
      <c r="B272" s="93"/>
      <c r="C272" s="60"/>
      <c r="D272" s="62"/>
      <c r="E272" s="62">
        <v>0</v>
      </c>
      <c r="F272" s="62">
        <f>D272*(($F$162)+1)+(IF(E272&lt;101,E272,IF(E272&lt;201,E272/2,IF(E272&lt;=301,E272/3,E272/4))))</f>
        <v>0</v>
      </c>
      <c r="G272" s="92" t="str">
        <f>A271</f>
        <v>Ground Floor</v>
      </c>
      <c r="H272" s="93"/>
      <c r="I272" s="39"/>
      <c r="L272" s="94"/>
      <c r="M272" s="94"/>
      <c r="N272" s="39"/>
    </row>
    <row r="273" spans="1:16" s="51" customFormat="1" hidden="1" x14ac:dyDescent="0.35">
      <c r="A273" s="92">
        <f t="shared" ref="A273:A276" si="33">A272+1</f>
        <v>2</v>
      </c>
      <c r="B273" s="93"/>
      <c r="C273" s="60"/>
      <c r="D273" s="62"/>
      <c r="E273" s="62">
        <v>0</v>
      </c>
      <c r="F273" s="62">
        <f>D273*(($F$162)+1)+(IF(E273&lt;101,E273,IF(E273&lt;201,E273/2,IF(E273&lt;=301,E273/3,E273/4))))</f>
        <v>0</v>
      </c>
      <c r="G273" s="92" t="str">
        <f t="shared" ref="G273:G276" si="34">G272</f>
        <v>Ground Floor</v>
      </c>
      <c r="H273" s="93"/>
      <c r="I273" s="39"/>
      <c r="L273" s="94"/>
      <c r="M273" s="94"/>
      <c r="N273" s="39"/>
    </row>
    <row r="274" spans="1:16" s="51" customFormat="1" hidden="1" x14ac:dyDescent="0.35">
      <c r="A274" s="92">
        <f t="shared" si="33"/>
        <v>3</v>
      </c>
      <c r="B274" s="93"/>
      <c r="C274" s="60"/>
      <c r="D274" s="62"/>
      <c r="E274" s="62">
        <v>0</v>
      </c>
      <c r="F274" s="62">
        <f>D274*(($F$162)+1)+(IF(E274&lt;101,E274,IF(E274&lt;201,E274/2,IF(E274&lt;=301,E274/3,E274/4))))</f>
        <v>0</v>
      </c>
      <c r="G274" s="92" t="str">
        <f t="shared" si="34"/>
        <v>Ground Floor</v>
      </c>
      <c r="H274" s="93"/>
      <c r="I274" s="39"/>
      <c r="L274" s="94"/>
      <c r="M274" s="94"/>
      <c r="N274" s="39"/>
    </row>
    <row r="275" spans="1:16" s="51" customFormat="1" hidden="1" x14ac:dyDescent="0.35">
      <c r="A275" s="92">
        <f t="shared" si="33"/>
        <v>4</v>
      </c>
      <c r="B275" s="93"/>
      <c r="C275" s="60"/>
      <c r="D275" s="62"/>
      <c r="E275" s="62">
        <v>0</v>
      </c>
      <c r="F275" s="62">
        <f>D275*(($F$162)+1)+(IF(E275&lt;101,E275,IF(E275&lt;201,E275/2,IF(E275&lt;=301,E275/3,E275/4))))</f>
        <v>0</v>
      </c>
      <c r="G275" s="92" t="str">
        <f t="shared" si="34"/>
        <v>Ground Floor</v>
      </c>
      <c r="H275" s="93"/>
      <c r="I275" s="39"/>
      <c r="L275" s="94"/>
      <c r="M275" s="94"/>
      <c r="N275" s="39"/>
    </row>
    <row r="276" spans="1:16" s="56" customFormat="1" hidden="1" x14ac:dyDescent="0.35">
      <c r="A276" s="92">
        <f t="shared" si="33"/>
        <v>5</v>
      </c>
      <c r="B276" s="93"/>
      <c r="C276" s="60"/>
      <c r="D276" s="62"/>
      <c r="E276" s="62">
        <v>0</v>
      </c>
      <c r="F276" s="62">
        <f>D276*(($F$162)+1)+(IF(E276&lt;101,E276,IF(E276&lt;201,E276/2,IF(E276&lt;=301,E276/3,E276/4))))</f>
        <v>0</v>
      </c>
      <c r="G276" s="92" t="str">
        <f t="shared" si="34"/>
        <v>Ground Floor</v>
      </c>
      <c r="H276" s="93"/>
      <c r="I276" s="39"/>
      <c r="L276" s="94"/>
      <c r="M276" s="94"/>
      <c r="N276" s="39"/>
    </row>
    <row r="277" spans="1:16" s="51" customFormat="1" hidden="1" x14ac:dyDescent="0.35">
      <c r="A277" s="109" t="s">
        <v>124</v>
      </c>
      <c r="B277" s="109"/>
      <c r="C277" s="109"/>
      <c r="D277" s="109"/>
      <c r="E277" s="109"/>
      <c r="F277" s="109"/>
      <c r="G277" s="109"/>
      <c r="H277" s="109"/>
      <c r="I277" s="39"/>
      <c r="L277" s="94"/>
      <c r="M277" s="94"/>
    </row>
    <row r="278" spans="1:16" s="51" customFormat="1" hidden="1" x14ac:dyDescent="0.35">
      <c r="A278" s="108">
        <f>LEFT(A277,SUM(LEN(A277)-LEN(SUBSTITUTE(A277,{"0","1","2","3","4","5","6","7","8","9"},""))))*100+1</f>
        <v>201</v>
      </c>
      <c r="B278" s="108"/>
      <c r="C278" s="60"/>
      <c r="D278" s="62"/>
      <c r="E278" s="62">
        <v>0</v>
      </c>
      <c r="F278" s="62">
        <f t="shared" ref="F278:F279" si="35">D278*(($F$162)+1)+(IF(E278&lt;101,E278,IF(E278&lt;201,E278/2,IF(E278&lt;=301,E278/3,E278/4))))</f>
        <v>0</v>
      </c>
      <c r="G278" s="108" t="str">
        <f>A277</f>
        <v>2nd Floor</v>
      </c>
      <c r="H278" s="108"/>
      <c r="I278" s="39"/>
      <c r="N278" s="39"/>
    </row>
    <row r="279" spans="1:16" s="51" customFormat="1" hidden="1" x14ac:dyDescent="0.35">
      <c r="A279" s="108">
        <f>A278+1</f>
        <v>202</v>
      </c>
      <c r="B279" s="108"/>
      <c r="C279" s="60"/>
      <c r="D279" s="62"/>
      <c r="E279" s="62">
        <v>0</v>
      </c>
      <c r="F279" s="62">
        <f t="shared" si="35"/>
        <v>0</v>
      </c>
      <c r="G279" s="108" t="str">
        <f>G278</f>
        <v>2nd Floor</v>
      </c>
      <c r="H279" s="108"/>
      <c r="I279" s="39"/>
      <c r="N279" s="39"/>
    </row>
    <row r="280" spans="1:16" s="51" customFormat="1" hidden="1" x14ac:dyDescent="0.35">
      <c r="A280" s="108">
        <f>A279+1</f>
        <v>203</v>
      </c>
      <c r="B280" s="108"/>
      <c r="C280" s="60"/>
      <c r="D280" s="62"/>
      <c r="E280" s="62">
        <v>0</v>
      </c>
      <c r="F280" s="62">
        <f>D280*(($F$162)+1)+(IF(E280&lt;101,E280,IF(E280&lt;201,E280/2,IF(E280&lt;=301,E280/3,E280/4))))</f>
        <v>0</v>
      </c>
      <c r="G280" s="108" t="str">
        <f>G279</f>
        <v>2nd Floor</v>
      </c>
      <c r="H280" s="108"/>
      <c r="I280" s="39"/>
      <c r="N280" s="39"/>
    </row>
    <row r="281" spans="1:16" s="51" customFormat="1" hidden="1" x14ac:dyDescent="0.35">
      <c r="A281" s="108">
        <f>A280+1</f>
        <v>204</v>
      </c>
      <c r="B281" s="108"/>
      <c r="C281" s="60"/>
      <c r="D281" s="62"/>
      <c r="E281" s="62">
        <v>0</v>
      </c>
      <c r="F281" s="62">
        <f>D281*(($F$162)+1)+(IF(E281&lt;101,E281,IF(E281&lt;201,E281/2,IF(E281&lt;=301,E281/3,E281/4))))</f>
        <v>0</v>
      </c>
      <c r="G281" s="108" t="str">
        <f>G280</f>
        <v>2nd Floor</v>
      </c>
      <c r="H281" s="108"/>
      <c r="I281" s="39"/>
      <c r="N281" s="39"/>
    </row>
    <row r="282" spans="1:16" s="51" customFormat="1" hidden="1" x14ac:dyDescent="0.35">
      <c r="A282" s="108">
        <f>A281+1</f>
        <v>205</v>
      </c>
      <c r="B282" s="108"/>
      <c r="C282" s="60"/>
      <c r="D282" s="62"/>
      <c r="E282" s="62">
        <v>0</v>
      </c>
      <c r="F282" s="62">
        <f>D282*(($F$162)+1)+(IF(E282&lt;101,E282,IF(E282&lt;201,E282/2,IF(E282&lt;=301,E282/3,E282/4))))</f>
        <v>0</v>
      </c>
      <c r="G282" s="108" t="str">
        <f>G281</f>
        <v>2nd Floor</v>
      </c>
      <c r="H282" s="108"/>
      <c r="I282" s="39"/>
      <c r="N282" s="39"/>
    </row>
    <row r="283" spans="1:16" s="51" customFormat="1" ht="15.75" hidden="1" customHeight="1" x14ac:dyDescent="0.35">
      <c r="A283" s="101" t="s">
        <v>159</v>
      </c>
      <c r="B283" s="102"/>
      <c r="C283" s="102"/>
      <c r="D283" s="102"/>
      <c r="E283" s="102"/>
      <c r="F283" s="102"/>
      <c r="G283" s="102"/>
      <c r="H283" s="103"/>
      <c r="I283" s="39"/>
      <c r="P283" s="40"/>
    </row>
    <row r="284" spans="1:16" s="51" customFormat="1" hidden="1" x14ac:dyDescent="0.35">
      <c r="A284" s="92" t="str">
        <f ca="1">(SUMPRODUCT(MID(0&amp;(LEFT(A283,SUM(LEN(A283)-LEN(SUBSTITUTE(A283,{"0","1","2"},""))))), LARGE(INDEX(ISNUMBER(--MID((LEFT(A283,SUM(LEN(A283)-LEN(SUBSTITUTE(A283,{"0","1","2"},""))))), ROW(INDIRECT("1:"&amp;LEN((LEFT(A283,SUM(LEN(A283)-LEN(SUBSTITUTE(A283,{"0","1","2"},"")))))))), 1)) * ROW(INDIRECT("1:"&amp;LEN((LEFT(A283,SUM(LEN(A283)-LEN(SUBSTITUTE(A283,{"0","1","2"},"")))))))), 0), ROW(INDIRECT("1:"&amp;LEN((LEFT(A283,SUM(LEN(A283)-LEN(SUBSTITUTE(A283,{"0","1","2"},"")))))))))+1, 1) * 10^ROW(INDIRECT("1:"&amp;LEN((LEFT(A283,SUM(LEN(A283)-LEN(SUBSTITUTE(A283,{"0","1","2"},""))))))))/10))*100+1&amp;""&amp;" ,.., "&amp;""&amp;(SUMPRODUCT(MID(0&amp;(--TRIM(RIGHT(SUBSTITUTE(LEFT(A283,_xlfn.AGGREGATE(16,6,FIND({0,1,2,3,4,5,6,7,8,9},A283,ROW(INDIRECT("1:"&amp;LEN(A283)))),1))," ",REPT(" ",LEN(A283))),LEN(A283)))), LARGE(INDEX(ISNUMBER(--MID((--TRIM(RIGHT(SUBSTITUTE(LEFT(A283,_xlfn.AGGREGATE(16,6,FIND({0,1,2,3,4,5,6,7,8,9},A283,ROW(INDIRECT("1:"&amp;LEN(A283)))),1))," ",REPT(" ",LEN(A283))),LEN(A283)))), ROW(INDIRECT("1:"&amp;LEN((--TRIM(RIGHT(SUBSTITUTE(LEFT(A283,_xlfn.AGGREGATE(16,6,FIND({0,1,2,3,4,5,6,7,8,9},A283,ROW(INDIRECT("1:"&amp;LEN(A283)))),1))," ",REPT(" ",LEN(A283))),LEN(A283))))))), 1)) * ROW(INDIRECT("1:"&amp;LEN((--TRIM(RIGHT(SUBSTITUTE(LEFT(A283,_xlfn.AGGREGATE(16,6,FIND({0,1,2,3,4,5,6,7,8,9},A283,ROW(INDIRECT("1:"&amp;LEN(A283)))),1))," ",REPT(" ",LEN(A283))),LEN(A283))))))), 0), ROW(INDIRECT("1:"&amp;LEN((--TRIM(RIGHT(SUBSTITUTE(LEFT(A283,_xlfn.AGGREGATE(16,6,FIND({0,1,2,3,4,5,6,7,8,9},A283,ROW(INDIRECT("1:"&amp;LEN(A283)))),1))," ",REPT(" ",LEN(A283))),LEN(A283))))))))+1, 1) * 10^ROW(INDIRECT("1:"&amp;LEN((--TRIM(RIGHT(SUBSTITUTE(LEFT(A283,_xlfn.AGGREGATE(16,6,FIND({0,1,2,3,4,5,6,7,8,9},A283,ROW(INDIRECT("1:"&amp;LEN(A283)))),1))," ",REPT(" ",LEN(A283))),LEN(A283)))))))/10))*100+1</f>
        <v>301 ,.., 1501</v>
      </c>
      <c r="B284" s="93"/>
      <c r="C284" s="60"/>
      <c r="D284" s="62"/>
      <c r="E284" s="62">
        <v>0</v>
      </c>
      <c r="F284" s="62">
        <f>D284*(($F$162)+1)+(IF(E284&lt;101,E284,IF(E284&lt;201,E284/2,IF(E284&lt;=301,E284/3,E284/4))))</f>
        <v>0</v>
      </c>
      <c r="G284" s="92" t="str">
        <f>A283</f>
        <v>3rd, 5th, 7th, 9th, 11th, 13th, 15th Floor</v>
      </c>
      <c r="H284" s="93"/>
      <c r="I284" s="39"/>
    </row>
    <row r="285" spans="1:16" s="51" customFormat="1" hidden="1" x14ac:dyDescent="0.35">
      <c r="A285" s="92" t="str">
        <f ca="1">(SUMPRODUCT(MID(0&amp;(LEFT(A284,SUM(LEN(A284)-LEN(SUBSTITUTE(A284,{"0","1","2"},""))))), LARGE(INDEX(ISNUMBER(--MID((LEFT(A284,SUM(LEN(A284)-LEN(SUBSTITUTE(A284,{"0","1","2"},""))))), ROW(INDIRECT("1:"&amp;LEN((LEFT(A284,SUM(LEN(A284)-LEN(SUBSTITUTE(A284,{"0","1","2"},"")))))))), 1)) * ROW(INDIRECT("1:"&amp;LEN((LEFT(A284,SUM(LEN(A284)-LEN(SUBSTITUTE(A284,{"0","1","2"},"")))))))), 0), ROW(INDIRECT("1:"&amp;LEN((LEFT(A284,SUM(LEN(A284)-LEN(SUBSTITUTE(A284,{"0","1","2"},"")))))))))+1, 1) * 10^ROW(INDIRECT("1:"&amp;LEN((LEFT(A284,SUM(LEN(A284)-LEN(SUBSTITUTE(A284,{"0","1","2"},""))))))))/10))*1+1&amp;""&amp;" ,.., "&amp;""&amp;(SUMPRODUCT(MID(0&amp;(--TRIM(RIGHT(SUBSTITUTE(LEFT(A284,_xlfn.AGGREGATE(16,6,FIND({0,1,2,3,4,5,6,7,8,9},A284,ROW(INDIRECT("1:"&amp;LEN(A284)))),1))," ",REPT(" ",LEN(A284))),LEN(A284)))), LARGE(INDEX(ISNUMBER(--MID((--TRIM(RIGHT(SUBSTITUTE(LEFT(A284,_xlfn.AGGREGATE(16,6,FIND({0,1,2,3,4,5,6,7,8,9},A284,ROW(INDIRECT("1:"&amp;LEN(A284)))),1))," ",REPT(" ",LEN(A284))),LEN(A284)))), ROW(INDIRECT("1:"&amp;LEN((--TRIM(RIGHT(SUBSTITUTE(LEFT(A284,_xlfn.AGGREGATE(16,6,FIND({0,1,2,3,4,5,6,7,8,9},A284,ROW(INDIRECT("1:"&amp;LEN(A284)))),1))," ",REPT(" ",LEN(A284))),LEN(A284))))))), 1)) * ROW(INDIRECT("1:"&amp;LEN((--TRIM(RIGHT(SUBSTITUTE(LEFT(A284,_xlfn.AGGREGATE(16,6,FIND({0,1,2,3,4,5,6,7,8,9},A284,ROW(INDIRECT("1:"&amp;LEN(A284)))),1))," ",REPT(" ",LEN(A284))),LEN(A284))))))), 0), ROW(INDIRECT("1:"&amp;LEN((--TRIM(RIGHT(SUBSTITUTE(LEFT(A284,_xlfn.AGGREGATE(16,6,FIND({0,1,2,3,4,5,6,7,8,9},A284,ROW(INDIRECT("1:"&amp;LEN(A284)))),1))," ",REPT(" ",LEN(A284))),LEN(A284))))))))+1, 1) * 10^ROW(INDIRECT("1:"&amp;LEN((--TRIM(RIGHT(SUBSTITUTE(LEFT(A284,_xlfn.AGGREGATE(16,6,FIND({0,1,2,3,4,5,6,7,8,9},A284,ROW(INDIRECT("1:"&amp;LEN(A284)))),1))," ",REPT(" ",LEN(A284))),LEN(A284)))))))/10))*1+1</f>
        <v>302 ,.., 1502</v>
      </c>
      <c r="B285" s="93"/>
      <c r="C285" s="60"/>
      <c r="D285" s="62"/>
      <c r="E285" s="62">
        <v>0</v>
      </c>
      <c r="F285" s="62">
        <f>D285*(($F$162)+1)+(IF(E285&lt;101,E285,IF(E285&lt;201,E285/2,IF(E285&lt;=301,E285/3,E285/4))))</f>
        <v>0</v>
      </c>
      <c r="G285" s="92" t="str">
        <f>G284</f>
        <v>3rd, 5th, 7th, 9th, 11th, 13th, 15th Floor</v>
      </c>
      <c r="H285" s="93"/>
      <c r="I285" s="39"/>
    </row>
    <row r="286" spans="1:16" s="51" customFormat="1" ht="15.75" hidden="1" customHeight="1" x14ac:dyDescent="0.35">
      <c r="A286" s="92" t="str">
        <f ca="1">(SUMPRODUCT(MID(0&amp;(LEFT(A285,SUM(LEN(A285)-LEN(SUBSTITUTE(A285,{"0","1","2"},""))))), LARGE(INDEX(ISNUMBER(--MID((LEFT(A285,SUM(LEN(A285)-LEN(SUBSTITUTE(A285,{"0","1","2"},""))))), ROW(INDIRECT("1:"&amp;LEN((LEFT(A285,SUM(LEN(A285)-LEN(SUBSTITUTE(A285,{"0","1","2"},"")))))))), 1)) * ROW(INDIRECT("1:"&amp;LEN((LEFT(A285,SUM(LEN(A285)-LEN(SUBSTITUTE(A285,{"0","1","2"},"")))))))), 0), ROW(INDIRECT("1:"&amp;LEN((LEFT(A285,SUM(LEN(A285)-LEN(SUBSTITUTE(A285,{"0","1","2"},"")))))))))+1, 1) * 10^ROW(INDIRECT("1:"&amp;LEN((LEFT(A285,SUM(LEN(A285)-LEN(SUBSTITUTE(A285,{"0","1","2"},""))))))))/10))*1+1&amp;""&amp;" ,.., "&amp;""&amp;(SUMPRODUCT(MID(0&amp;(--TRIM(RIGHT(SUBSTITUTE(LEFT(A285,_xlfn.AGGREGATE(16,6,FIND({0,1,2,3,4,5,6,7,8,9},A285,ROW(INDIRECT("1:"&amp;LEN(A285)))),1))," ",REPT(" ",LEN(A285))),LEN(A285)))), LARGE(INDEX(ISNUMBER(--MID((--TRIM(RIGHT(SUBSTITUTE(LEFT(A285,_xlfn.AGGREGATE(16,6,FIND({0,1,2,3,4,5,6,7,8,9},A285,ROW(INDIRECT("1:"&amp;LEN(A285)))),1))," ",REPT(" ",LEN(A285))),LEN(A285)))), ROW(INDIRECT("1:"&amp;LEN((--TRIM(RIGHT(SUBSTITUTE(LEFT(A285,_xlfn.AGGREGATE(16,6,FIND({0,1,2,3,4,5,6,7,8,9},A285,ROW(INDIRECT("1:"&amp;LEN(A285)))),1))," ",REPT(" ",LEN(A285))),LEN(A285))))))), 1)) * ROW(INDIRECT("1:"&amp;LEN((--TRIM(RIGHT(SUBSTITUTE(LEFT(A285,_xlfn.AGGREGATE(16,6,FIND({0,1,2,3,4,5,6,7,8,9},A285,ROW(INDIRECT("1:"&amp;LEN(A285)))),1))," ",REPT(" ",LEN(A285))),LEN(A285))))))), 0), ROW(INDIRECT("1:"&amp;LEN((--TRIM(RIGHT(SUBSTITUTE(LEFT(A285,_xlfn.AGGREGATE(16,6,FIND({0,1,2,3,4,5,6,7,8,9},A285,ROW(INDIRECT("1:"&amp;LEN(A285)))),1))," ",REPT(" ",LEN(A285))),LEN(A285))))))))+1, 1) * 10^ROW(INDIRECT("1:"&amp;LEN((--TRIM(RIGHT(SUBSTITUTE(LEFT(A285,_xlfn.AGGREGATE(16,6,FIND({0,1,2,3,4,5,6,7,8,9},A285,ROW(INDIRECT("1:"&amp;LEN(A285)))),1))," ",REPT(" ",LEN(A285))),LEN(A285)))))))/10))*1+1</f>
        <v>303 ,.., 1503</v>
      </c>
      <c r="B286" s="93"/>
      <c r="C286" s="60"/>
      <c r="D286" s="62"/>
      <c r="E286" s="62">
        <v>0</v>
      </c>
      <c r="F286" s="62">
        <f>D286*(($F$162)+1)+(IF(E286&lt;101,E286,IF(E286&lt;201,E286/2,IF(E286&lt;=301,E286/3,E286/4))))</f>
        <v>0</v>
      </c>
      <c r="G286" s="92" t="str">
        <f>G285</f>
        <v>3rd, 5th, 7th, 9th, 11th, 13th, 15th Floor</v>
      </c>
      <c r="H286" s="93"/>
      <c r="I286" s="39"/>
    </row>
    <row r="287" spans="1:16" s="51" customFormat="1" ht="15.75" hidden="1" customHeight="1" x14ac:dyDescent="0.35">
      <c r="A287" s="92" t="str">
        <f ca="1">(SUMPRODUCT(MID(0&amp;(LEFT(A286,SUM(LEN(A286)-LEN(SUBSTITUTE(A286,{"0","1","2"},""))))), LARGE(INDEX(ISNUMBER(--MID((LEFT(A286,SUM(LEN(A286)-LEN(SUBSTITUTE(A286,{"0","1","2"},""))))), ROW(INDIRECT("1:"&amp;LEN((LEFT(A286,SUM(LEN(A286)-LEN(SUBSTITUTE(A286,{"0","1","2"},"")))))))), 1)) * ROW(INDIRECT("1:"&amp;LEN((LEFT(A286,SUM(LEN(A286)-LEN(SUBSTITUTE(A286,{"0","1","2"},"")))))))), 0), ROW(INDIRECT("1:"&amp;LEN((LEFT(A286,SUM(LEN(A286)-LEN(SUBSTITUTE(A286,{"0","1","2"},"")))))))))+1, 1) * 10^ROW(INDIRECT("1:"&amp;LEN((LEFT(A286,SUM(LEN(A286)-LEN(SUBSTITUTE(A286,{"0","1","2"},""))))))))/10))*1+1&amp;""&amp;" ,.., "&amp;""&amp;(SUMPRODUCT(MID(0&amp;(--TRIM(RIGHT(SUBSTITUTE(LEFT(A286,_xlfn.AGGREGATE(16,6,FIND({0,1,2,3,4,5,6,7,8,9},A286,ROW(INDIRECT("1:"&amp;LEN(A286)))),1))," ",REPT(" ",LEN(A286))),LEN(A286)))), LARGE(INDEX(ISNUMBER(--MID((--TRIM(RIGHT(SUBSTITUTE(LEFT(A286,_xlfn.AGGREGATE(16,6,FIND({0,1,2,3,4,5,6,7,8,9},A286,ROW(INDIRECT("1:"&amp;LEN(A286)))),1))," ",REPT(" ",LEN(A286))),LEN(A286)))), ROW(INDIRECT("1:"&amp;LEN((--TRIM(RIGHT(SUBSTITUTE(LEFT(A286,_xlfn.AGGREGATE(16,6,FIND({0,1,2,3,4,5,6,7,8,9},A286,ROW(INDIRECT("1:"&amp;LEN(A286)))),1))," ",REPT(" ",LEN(A286))),LEN(A286))))))), 1)) * ROW(INDIRECT("1:"&amp;LEN((--TRIM(RIGHT(SUBSTITUTE(LEFT(A286,_xlfn.AGGREGATE(16,6,FIND({0,1,2,3,4,5,6,7,8,9},A286,ROW(INDIRECT("1:"&amp;LEN(A286)))),1))," ",REPT(" ",LEN(A286))),LEN(A286))))))), 0), ROW(INDIRECT("1:"&amp;LEN((--TRIM(RIGHT(SUBSTITUTE(LEFT(A286,_xlfn.AGGREGATE(16,6,FIND({0,1,2,3,4,5,6,7,8,9},A286,ROW(INDIRECT("1:"&amp;LEN(A286)))),1))," ",REPT(" ",LEN(A286))),LEN(A286))))))))+1, 1) * 10^ROW(INDIRECT("1:"&amp;LEN((--TRIM(RIGHT(SUBSTITUTE(LEFT(A286,_xlfn.AGGREGATE(16,6,FIND({0,1,2,3,4,5,6,7,8,9},A286,ROW(INDIRECT("1:"&amp;LEN(A286)))),1))," ",REPT(" ",LEN(A286))),LEN(A286)))))))/10))*1+1</f>
        <v>304 ,.., 1504</v>
      </c>
      <c r="B287" s="93"/>
      <c r="C287" s="60"/>
      <c r="D287" s="62"/>
      <c r="E287" s="62">
        <v>0</v>
      </c>
      <c r="F287" s="62">
        <f>D287*(($F$162)+1)+(IF(E287&lt;101,E287,IF(E287&lt;201,E287/2,IF(E287&lt;=301,E287/3,E287/4))))</f>
        <v>0</v>
      </c>
      <c r="G287" s="92" t="str">
        <f>G286</f>
        <v>3rd, 5th, 7th, 9th, 11th, 13th, 15th Floor</v>
      </c>
      <c r="H287" s="93"/>
      <c r="I287" s="39"/>
    </row>
    <row r="288" spans="1:16" s="51" customFormat="1" ht="15.75" hidden="1" customHeight="1" x14ac:dyDescent="0.35">
      <c r="A288" s="92" t="str">
        <f ca="1">(SUMPRODUCT(MID(0&amp;(LEFT(A287,SUM(LEN(A287)-LEN(SUBSTITUTE(A287,{"0","1","2"},""))))), LARGE(INDEX(ISNUMBER(--MID((LEFT(A287,SUM(LEN(A287)-LEN(SUBSTITUTE(A287,{"0","1","2"},""))))), ROW(INDIRECT("1:"&amp;LEN((LEFT(A287,SUM(LEN(A287)-LEN(SUBSTITUTE(A287,{"0","1","2"},"")))))))), 1)) * ROW(INDIRECT("1:"&amp;LEN((LEFT(A287,SUM(LEN(A287)-LEN(SUBSTITUTE(A287,{"0","1","2"},"")))))))), 0), ROW(INDIRECT("1:"&amp;LEN((LEFT(A287,SUM(LEN(A287)-LEN(SUBSTITUTE(A287,{"0","1","2"},"")))))))))+1, 1) * 10^ROW(INDIRECT("1:"&amp;LEN((LEFT(A287,SUM(LEN(A287)-LEN(SUBSTITUTE(A287,{"0","1","2"},""))))))))/10))*1+1&amp;""&amp;" ,.., "&amp;""&amp;(SUMPRODUCT(MID(0&amp;(--TRIM(RIGHT(SUBSTITUTE(LEFT(A287,_xlfn.AGGREGATE(16,6,FIND({0,1,2,3,4,5,6,7,8,9},A287,ROW(INDIRECT("1:"&amp;LEN(A287)))),1))," ",REPT(" ",LEN(A287))),LEN(A287)))), LARGE(INDEX(ISNUMBER(--MID((--TRIM(RIGHT(SUBSTITUTE(LEFT(A287,_xlfn.AGGREGATE(16,6,FIND({0,1,2,3,4,5,6,7,8,9},A287,ROW(INDIRECT("1:"&amp;LEN(A287)))),1))," ",REPT(" ",LEN(A287))),LEN(A287)))), ROW(INDIRECT("1:"&amp;LEN((--TRIM(RIGHT(SUBSTITUTE(LEFT(A287,_xlfn.AGGREGATE(16,6,FIND({0,1,2,3,4,5,6,7,8,9},A287,ROW(INDIRECT("1:"&amp;LEN(A287)))),1))," ",REPT(" ",LEN(A287))),LEN(A287))))))), 1)) * ROW(INDIRECT("1:"&amp;LEN((--TRIM(RIGHT(SUBSTITUTE(LEFT(A287,_xlfn.AGGREGATE(16,6,FIND({0,1,2,3,4,5,6,7,8,9},A287,ROW(INDIRECT("1:"&amp;LEN(A287)))),1))," ",REPT(" ",LEN(A287))),LEN(A287))))))), 0), ROW(INDIRECT("1:"&amp;LEN((--TRIM(RIGHT(SUBSTITUTE(LEFT(A287,_xlfn.AGGREGATE(16,6,FIND({0,1,2,3,4,5,6,7,8,9},A287,ROW(INDIRECT("1:"&amp;LEN(A287)))),1))," ",REPT(" ",LEN(A287))),LEN(A287))))))))+1, 1) * 10^ROW(INDIRECT("1:"&amp;LEN((--TRIM(RIGHT(SUBSTITUTE(LEFT(A287,_xlfn.AGGREGATE(16,6,FIND({0,1,2,3,4,5,6,7,8,9},A287,ROW(INDIRECT("1:"&amp;LEN(A287)))),1))," ",REPT(" ",LEN(A287))),LEN(A287)))))))/10))*1+1</f>
        <v>305 ,.., 1505</v>
      </c>
      <c r="B288" s="93"/>
      <c r="C288" s="60"/>
      <c r="D288" s="62"/>
      <c r="E288" s="62">
        <v>0</v>
      </c>
      <c r="F288" s="62">
        <f>D288*(($F$162)+1)+(IF(E288&lt;101,E288,IF(E288&lt;201,E288/2,IF(E288&lt;=301,E288/3,E288/4))))</f>
        <v>0</v>
      </c>
      <c r="G288" s="92" t="str">
        <f>G287</f>
        <v>3rd, 5th, 7th, 9th, 11th, 13th, 15th Floor</v>
      </c>
      <c r="H288" s="93"/>
      <c r="I288" s="39"/>
    </row>
    <row r="289" spans="1:16" s="51" customFormat="1" hidden="1" x14ac:dyDescent="0.35">
      <c r="A289" s="101" t="s">
        <v>153</v>
      </c>
      <c r="B289" s="102"/>
      <c r="C289" s="102"/>
      <c r="D289" s="102"/>
      <c r="E289" s="102"/>
      <c r="F289" s="102"/>
      <c r="G289" s="102"/>
      <c r="H289" s="103"/>
      <c r="I289" s="39"/>
      <c r="P289" s="40"/>
    </row>
    <row r="290" spans="1:16" s="51" customFormat="1" hidden="1" x14ac:dyDescent="0.35">
      <c r="A290" s="92" t="str">
        <f ca="1">(SUMPRODUCT(MID(0&amp;(LEFT(A289,SUM(LEN(A289)-LEN(SUBSTITUTE(A289,{"0","1","2"},""))))), LARGE(INDEX(ISNUMBER(--MID((LEFT(A289,SUM(LEN(A289)-LEN(SUBSTITUTE(A289,{"0","1","2"},""))))), ROW(INDIRECT("1:"&amp;LEN((LEFT(A289,SUM(LEN(A289)-LEN(SUBSTITUTE(A289,{"0","1","2"},"")))))))), 1)) * ROW(INDIRECT("1:"&amp;LEN((LEFT(A289,SUM(LEN(A289)-LEN(SUBSTITUTE(A289,{"0","1","2"},"")))))))), 0), ROW(INDIRECT("1:"&amp;LEN((LEFT(A289,SUM(LEN(A289)-LEN(SUBSTITUTE(A289,{"0","1","2"},"")))))))))+1, 1) * 10^ROW(INDIRECT("1:"&amp;LEN((LEFT(A289,SUM(LEN(A289)-LEN(SUBSTITUTE(A289,{"0","1","2"},""))))))))/10))*100+1&amp;""&amp;" to "&amp;""&amp;(SUMPRODUCT(MID(0&amp;(--TRIM(RIGHT(SUBSTITUTE(LEFT(A289,_xlfn.AGGREGATE(16,6,FIND({0,1,2,3,4,5,6,7,8,9},A289,ROW(INDIRECT("1:"&amp;LEN(A289)))),1))," ",REPT(" ",LEN(A289))),LEN(A289)))), LARGE(INDEX(ISNUMBER(--MID((--TRIM(RIGHT(SUBSTITUTE(LEFT(A289,_xlfn.AGGREGATE(16,6,FIND({0,1,2,3,4,5,6,7,8,9},A289,ROW(INDIRECT("1:"&amp;LEN(A289)))),1))," ",REPT(" ",LEN(A289))),LEN(A289)))), ROW(INDIRECT("1:"&amp;LEN((--TRIM(RIGHT(SUBSTITUTE(LEFT(A289,_xlfn.AGGREGATE(16,6,FIND({0,1,2,3,4,5,6,7,8,9},A289,ROW(INDIRECT("1:"&amp;LEN(A289)))),1))," ",REPT(" ",LEN(A289))),LEN(A289))))))), 1)) * ROW(INDIRECT("1:"&amp;LEN((--TRIM(RIGHT(SUBSTITUTE(LEFT(A289,_xlfn.AGGREGATE(16,6,FIND({0,1,2,3,4,5,6,7,8,9},A289,ROW(INDIRECT("1:"&amp;LEN(A289)))),1))," ",REPT(" ",LEN(A289))),LEN(A289))))))), 0), ROW(INDIRECT("1:"&amp;LEN((--TRIM(RIGHT(SUBSTITUTE(LEFT(A289,_xlfn.AGGREGATE(16,6,FIND({0,1,2,3,4,5,6,7,8,9},A289,ROW(INDIRECT("1:"&amp;LEN(A289)))),1))," ",REPT(" ",LEN(A289))),LEN(A289))))))))+1, 1) * 10^ROW(INDIRECT("1:"&amp;LEN((--TRIM(RIGHT(SUBSTITUTE(LEFT(A289,_xlfn.AGGREGATE(16,6,FIND({0,1,2,3,4,5,6,7,8,9},A289,ROW(INDIRECT("1:"&amp;LEN(A289)))),1))," ",REPT(" ",LEN(A289))),LEN(A289)))))))/10))*100+1</f>
        <v>201 to 501</v>
      </c>
      <c r="B290" s="93"/>
      <c r="C290" s="60"/>
      <c r="D290" s="62"/>
      <c r="E290" s="62">
        <v>0</v>
      </c>
      <c r="F290" s="62">
        <f>D290*(($F$162)+1)+(IF(E290&lt;101,E290,IF(E290&lt;201,E290/2,IF(E290&lt;=301,E290/3,E290/4))))</f>
        <v>0</v>
      </c>
      <c r="G290" s="92" t="str">
        <f>A289</f>
        <v>2nd to 5th Floor</v>
      </c>
      <c r="H290" s="93"/>
      <c r="I290" s="39"/>
    </row>
    <row r="291" spans="1:16" s="51" customFormat="1" hidden="1" x14ac:dyDescent="0.35">
      <c r="A291" s="92" t="str">
        <f ca="1">(SUMPRODUCT(MID(0&amp;(LEFT(A290,SUM(LEN(A290)-LEN(SUBSTITUTE(A290,{"0","1","2"},""))))), LARGE(INDEX(ISNUMBER(--MID((LEFT(A290,SUM(LEN(A290)-LEN(SUBSTITUTE(A290,{"0","1","2"},""))))), ROW(INDIRECT("1:"&amp;LEN((LEFT(A290,SUM(LEN(A290)-LEN(SUBSTITUTE(A290,{"0","1","2"},"")))))))), 1)) * ROW(INDIRECT("1:"&amp;LEN((LEFT(A290,SUM(LEN(A290)-LEN(SUBSTITUTE(A290,{"0","1","2"},"")))))))), 0), ROW(INDIRECT("1:"&amp;LEN((LEFT(A290,SUM(LEN(A290)-LEN(SUBSTITUTE(A290,{"0","1","2"},"")))))))))+1, 1) * 10^ROW(INDIRECT("1:"&amp;LEN((LEFT(A290,SUM(LEN(A290)-LEN(SUBSTITUTE(A290,{"0","1","2"},""))))))))/10))*1+1&amp;""&amp;" to "&amp;""&amp;(SUMPRODUCT(MID(0&amp;(--TRIM(RIGHT(SUBSTITUTE(LEFT(A290,_xlfn.AGGREGATE(16,6,FIND({0,1,2,3,4,5,6,7,8,9},A290,ROW(INDIRECT("1:"&amp;LEN(A290)))),1))," ",REPT(" ",LEN(A290))),LEN(A290)))), LARGE(INDEX(ISNUMBER(--MID((--TRIM(RIGHT(SUBSTITUTE(LEFT(A290,_xlfn.AGGREGATE(16,6,FIND({0,1,2,3,4,5,6,7,8,9},A290,ROW(INDIRECT("1:"&amp;LEN(A290)))),1))," ",REPT(" ",LEN(A290))),LEN(A290)))), ROW(INDIRECT("1:"&amp;LEN((--TRIM(RIGHT(SUBSTITUTE(LEFT(A290,_xlfn.AGGREGATE(16,6,FIND({0,1,2,3,4,5,6,7,8,9},A290,ROW(INDIRECT("1:"&amp;LEN(A290)))),1))," ",REPT(" ",LEN(A290))),LEN(A290))))))), 1)) * ROW(INDIRECT("1:"&amp;LEN((--TRIM(RIGHT(SUBSTITUTE(LEFT(A290,_xlfn.AGGREGATE(16,6,FIND({0,1,2,3,4,5,6,7,8,9},A290,ROW(INDIRECT("1:"&amp;LEN(A290)))),1))," ",REPT(" ",LEN(A290))),LEN(A290))))))), 0), ROW(INDIRECT("1:"&amp;LEN((--TRIM(RIGHT(SUBSTITUTE(LEFT(A290,_xlfn.AGGREGATE(16,6,FIND({0,1,2,3,4,5,6,7,8,9},A290,ROW(INDIRECT("1:"&amp;LEN(A290)))),1))," ",REPT(" ",LEN(A290))),LEN(A290))))))))+1, 1) * 10^ROW(INDIRECT("1:"&amp;LEN((--TRIM(RIGHT(SUBSTITUTE(LEFT(A290,_xlfn.AGGREGATE(16,6,FIND({0,1,2,3,4,5,6,7,8,9},A290,ROW(INDIRECT("1:"&amp;LEN(A290)))),1))," ",REPT(" ",LEN(A290))),LEN(A290)))))))/10))*1+1</f>
        <v>202 to 502</v>
      </c>
      <c r="B291" s="93"/>
      <c r="C291" s="60"/>
      <c r="D291" s="62"/>
      <c r="E291" s="62">
        <v>0</v>
      </c>
      <c r="F291" s="62">
        <f>D291*(($F$162)+1)+(IF(E291&lt;101,E291,IF(E291&lt;201,E291/2,IF(E291&lt;=301,E291/3,E291/4))))</f>
        <v>0</v>
      </c>
      <c r="G291" s="92" t="str">
        <f>G290</f>
        <v>2nd to 5th Floor</v>
      </c>
      <c r="H291" s="93"/>
      <c r="I291" s="39"/>
    </row>
    <row r="292" spans="1:16" s="51" customFormat="1" hidden="1" x14ac:dyDescent="0.35">
      <c r="A292" s="92" t="str">
        <f ca="1">(SUMPRODUCT(MID(0&amp;(LEFT(A291,SUM(LEN(A291)-LEN(SUBSTITUTE(A291,{"0","1","2"},""))))), LARGE(INDEX(ISNUMBER(--MID((LEFT(A291,SUM(LEN(A291)-LEN(SUBSTITUTE(A291,{"0","1","2"},""))))), ROW(INDIRECT("1:"&amp;LEN((LEFT(A291,SUM(LEN(A291)-LEN(SUBSTITUTE(A291,{"0","1","2"},"")))))))), 1)) * ROW(INDIRECT("1:"&amp;LEN((LEFT(A291,SUM(LEN(A291)-LEN(SUBSTITUTE(A291,{"0","1","2"},"")))))))), 0), ROW(INDIRECT("1:"&amp;LEN((LEFT(A291,SUM(LEN(A291)-LEN(SUBSTITUTE(A291,{"0","1","2"},"")))))))))+1, 1) * 10^ROW(INDIRECT("1:"&amp;LEN((LEFT(A291,SUM(LEN(A291)-LEN(SUBSTITUTE(A291,{"0","1","2"},""))))))))/10))*1+1&amp;""&amp;" to "&amp;""&amp;(SUMPRODUCT(MID(0&amp;(--TRIM(RIGHT(SUBSTITUTE(LEFT(A291,_xlfn.AGGREGATE(16,6,FIND({0,1,2,3,4,5,6,7,8,9},A291,ROW(INDIRECT("1:"&amp;LEN(A291)))),1))," ",REPT(" ",LEN(A291))),LEN(A291)))), LARGE(INDEX(ISNUMBER(--MID((--TRIM(RIGHT(SUBSTITUTE(LEFT(A291,_xlfn.AGGREGATE(16,6,FIND({0,1,2,3,4,5,6,7,8,9},A291,ROW(INDIRECT("1:"&amp;LEN(A291)))),1))," ",REPT(" ",LEN(A291))),LEN(A291)))), ROW(INDIRECT("1:"&amp;LEN((--TRIM(RIGHT(SUBSTITUTE(LEFT(A291,_xlfn.AGGREGATE(16,6,FIND({0,1,2,3,4,5,6,7,8,9},A291,ROW(INDIRECT("1:"&amp;LEN(A291)))),1))," ",REPT(" ",LEN(A291))),LEN(A291))))))), 1)) * ROW(INDIRECT("1:"&amp;LEN((--TRIM(RIGHT(SUBSTITUTE(LEFT(A291,_xlfn.AGGREGATE(16,6,FIND({0,1,2,3,4,5,6,7,8,9},A291,ROW(INDIRECT("1:"&amp;LEN(A291)))),1))," ",REPT(" ",LEN(A291))),LEN(A291))))))), 0), ROW(INDIRECT("1:"&amp;LEN((--TRIM(RIGHT(SUBSTITUTE(LEFT(A291,_xlfn.AGGREGATE(16,6,FIND({0,1,2,3,4,5,6,7,8,9},A291,ROW(INDIRECT("1:"&amp;LEN(A291)))),1))," ",REPT(" ",LEN(A291))),LEN(A291))))))))+1, 1) * 10^ROW(INDIRECT("1:"&amp;LEN((--TRIM(RIGHT(SUBSTITUTE(LEFT(A291,_xlfn.AGGREGATE(16,6,FIND({0,1,2,3,4,5,6,7,8,9},A291,ROW(INDIRECT("1:"&amp;LEN(A291)))),1))," ",REPT(" ",LEN(A291))),LEN(A291)))))))/10))*1+1</f>
        <v>203 to 503</v>
      </c>
      <c r="B292" s="93"/>
      <c r="C292" s="60"/>
      <c r="D292" s="62"/>
      <c r="E292" s="62">
        <v>0</v>
      </c>
      <c r="F292" s="62">
        <f>D292*(($F$162)+1)+(IF(E292&lt;101,E292,IF(E292&lt;201,E292/2,IF(E292&lt;=301,E292/3,E292/4))))</f>
        <v>0</v>
      </c>
      <c r="G292" s="92" t="str">
        <f>G291</f>
        <v>2nd to 5th Floor</v>
      </c>
      <c r="H292" s="93"/>
      <c r="I292" s="39"/>
    </row>
    <row r="293" spans="1:16" s="51" customFormat="1" hidden="1" x14ac:dyDescent="0.35">
      <c r="A293" s="92" t="str">
        <f ca="1">(SUMPRODUCT(MID(0&amp;(LEFT(A292,SUM(LEN(A292)-LEN(SUBSTITUTE(A292,{"0","1","2"},""))))), LARGE(INDEX(ISNUMBER(--MID((LEFT(A292,SUM(LEN(A292)-LEN(SUBSTITUTE(A292,{"0","1","2"},""))))), ROW(INDIRECT("1:"&amp;LEN((LEFT(A292,SUM(LEN(A292)-LEN(SUBSTITUTE(A292,{"0","1","2"},"")))))))), 1)) * ROW(INDIRECT("1:"&amp;LEN((LEFT(A292,SUM(LEN(A292)-LEN(SUBSTITUTE(A292,{"0","1","2"},"")))))))), 0), ROW(INDIRECT("1:"&amp;LEN((LEFT(A292,SUM(LEN(A292)-LEN(SUBSTITUTE(A292,{"0","1","2"},"")))))))))+1, 1) * 10^ROW(INDIRECT("1:"&amp;LEN((LEFT(A292,SUM(LEN(A292)-LEN(SUBSTITUTE(A292,{"0","1","2"},""))))))))/10))*1+1&amp;""&amp;" to "&amp;""&amp;(SUMPRODUCT(MID(0&amp;(--TRIM(RIGHT(SUBSTITUTE(LEFT(A292,_xlfn.AGGREGATE(16,6,FIND({0,1,2,3,4,5,6,7,8,9},A292,ROW(INDIRECT("1:"&amp;LEN(A292)))),1))," ",REPT(" ",LEN(A292))),LEN(A292)))), LARGE(INDEX(ISNUMBER(--MID((--TRIM(RIGHT(SUBSTITUTE(LEFT(A292,_xlfn.AGGREGATE(16,6,FIND({0,1,2,3,4,5,6,7,8,9},A292,ROW(INDIRECT("1:"&amp;LEN(A292)))),1))," ",REPT(" ",LEN(A292))),LEN(A292)))), ROW(INDIRECT("1:"&amp;LEN((--TRIM(RIGHT(SUBSTITUTE(LEFT(A292,_xlfn.AGGREGATE(16,6,FIND({0,1,2,3,4,5,6,7,8,9},A292,ROW(INDIRECT("1:"&amp;LEN(A292)))),1))," ",REPT(" ",LEN(A292))),LEN(A292))))))), 1)) * ROW(INDIRECT("1:"&amp;LEN((--TRIM(RIGHT(SUBSTITUTE(LEFT(A292,_xlfn.AGGREGATE(16,6,FIND({0,1,2,3,4,5,6,7,8,9},A292,ROW(INDIRECT("1:"&amp;LEN(A292)))),1))," ",REPT(" ",LEN(A292))),LEN(A292))))))), 0), ROW(INDIRECT("1:"&amp;LEN((--TRIM(RIGHT(SUBSTITUTE(LEFT(A292,_xlfn.AGGREGATE(16,6,FIND({0,1,2,3,4,5,6,7,8,9},A292,ROW(INDIRECT("1:"&amp;LEN(A292)))),1))," ",REPT(" ",LEN(A292))),LEN(A292))))))))+1, 1) * 10^ROW(INDIRECT("1:"&amp;LEN((--TRIM(RIGHT(SUBSTITUTE(LEFT(A292,_xlfn.AGGREGATE(16,6,FIND({0,1,2,3,4,5,6,7,8,9},A292,ROW(INDIRECT("1:"&amp;LEN(A292)))),1))," ",REPT(" ",LEN(A292))),LEN(A292)))))))/10))*1+1</f>
        <v>204 to 504</v>
      </c>
      <c r="B293" s="93"/>
      <c r="C293" s="60"/>
      <c r="D293" s="62"/>
      <c r="E293" s="62">
        <v>0</v>
      </c>
      <c r="F293" s="62">
        <f>D293*(($F$162)+1)+(IF(E293&lt;101,E293,IF(E293&lt;201,E293/2,IF(E293&lt;=301,E293/3,E293/4))))</f>
        <v>0</v>
      </c>
      <c r="G293" s="92" t="str">
        <f>G292</f>
        <v>2nd to 5th Floor</v>
      </c>
      <c r="H293" s="93"/>
      <c r="I293" s="39"/>
    </row>
    <row r="294" spans="1:16" s="51" customFormat="1" hidden="1" x14ac:dyDescent="0.35">
      <c r="A294" s="92" t="str">
        <f ca="1">(SUMPRODUCT(MID(0&amp;(LEFT(A293,SUM(LEN(A293)-LEN(SUBSTITUTE(A293,{"0","1","2"},""))))), LARGE(INDEX(ISNUMBER(--MID((LEFT(A293,SUM(LEN(A293)-LEN(SUBSTITUTE(A293,{"0","1","2"},""))))), ROW(INDIRECT("1:"&amp;LEN((LEFT(A293,SUM(LEN(A293)-LEN(SUBSTITUTE(A293,{"0","1","2"},"")))))))), 1)) * ROW(INDIRECT("1:"&amp;LEN((LEFT(A293,SUM(LEN(A293)-LEN(SUBSTITUTE(A293,{"0","1","2"},"")))))))), 0), ROW(INDIRECT("1:"&amp;LEN((LEFT(A293,SUM(LEN(A293)-LEN(SUBSTITUTE(A293,{"0","1","2"},"")))))))))+1, 1) * 10^ROW(INDIRECT("1:"&amp;LEN((LEFT(A293,SUM(LEN(A293)-LEN(SUBSTITUTE(A293,{"0","1","2"},""))))))))/10))*1+1&amp;""&amp;" to "&amp;""&amp;(SUMPRODUCT(MID(0&amp;(--TRIM(RIGHT(SUBSTITUTE(LEFT(A293,_xlfn.AGGREGATE(16,6,FIND({0,1,2,3,4,5,6,7,8,9},A293,ROW(INDIRECT("1:"&amp;LEN(A293)))),1))," ",REPT(" ",LEN(A293))),LEN(A293)))), LARGE(INDEX(ISNUMBER(--MID((--TRIM(RIGHT(SUBSTITUTE(LEFT(A293,_xlfn.AGGREGATE(16,6,FIND({0,1,2,3,4,5,6,7,8,9},A293,ROW(INDIRECT("1:"&amp;LEN(A293)))),1))," ",REPT(" ",LEN(A293))),LEN(A293)))), ROW(INDIRECT("1:"&amp;LEN((--TRIM(RIGHT(SUBSTITUTE(LEFT(A293,_xlfn.AGGREGATE(16,6,FIND({0,1,2,3,4,5,6,7,8,9},A293,ROW(INDIRECT("1:"&amp;LEN(A293)))),1))," ",REPT(" ",LEN(A293))),LEN(A293))))))), 1)) * ROW(INDIRECT("1:"&amp;LEN((--TRIM(RIGHT(SUBSTITUTE(LEFT(A293,_xlfn.AGGREGATE(16,6,FIND({0,1,2,3,4,5,6,7,8,9},A293,ROW(INDIRECT("1:"&amp;LEN(A293)))),1))," ",REPT(" ",LEN(A293))),LEN(A293))))))), 0), ROW(INDIRECT("1:"&amp;LEN((--TRIM(RIGHT(SUBSTITUTE(LEFT(A293,_xlfn.AGGREGATE(16,6,FIND({0,1,2,3,4,5,6,7,8,9},A293,ROW(INDIRECT("1:"&amp;LEN(A293)))),1))," ",REPT(" ",LEN(A293))),LEN(A293))))))))+1, 1) * 10^ROW(INDIRECT("1:"&amp;LEN((--TRIM(RIGHT(SUBSTITUTE(LEFT(A293,_xlfn.AGGREGATE(16,6,FIND({0,1,2,3,4,5,6,7,8,9},A293,ROW(INDIRECT("1:"&amp;LEN(A293)))),1))," ",REPT(" ",LEN(A293))),LEN(A293)))))))/10))*1+1</f>
        <v>205 to 505</v>
      </c>
      <c r="B294" s="93"/>
      <c r="C294" s="60"/>
      <c r="D294" s="62"/>
      <c r="E294" s="62">
        <v>0</v>
      </c>
      <c r="F294" s="62">
        <f>D294*(($F$162)+1)+(IF(E294&lt;101,E294,IF(E294&lt;201,E294/2,IF(E294&lt;=301,E294/3,E294/4))))</f>
        <v>0</v>
      </c>
      <c r="G294" s="92" t="str">
        <f>G293</f>
        <v>2nd to 5th Floor</v>
      </c>
      <c r="H294" s="93"/>
      <c r="I294" s="39"/>
    </row>
    <row r="295" spans="1:16" s="51" customFormat="1" hidden="1" x14ac:dyDescent="0.35">
      <c r="A295" s="101" t="s">
        <v>154</v>
      </c>
      <c r="B295" s="102"/>
      <c r="C295" s="102"/>
      <c r="D295" s="102"/>
      <c r="E295" s="102"/>
      <c r="F295" s="102"/>
      <c r="G295" s="102"/>
      <c r="H295" s="103"/>
      <c r="I295" s="39"/>
      <c r="P295" s="40"/>
    </row>
    <row r="296" spans="1:16" s="51" customFormat="1" hidden="1" x14ac:dyDescent="0.35">
      <c r="A296" s="92" t="str">
        <f ca="1">(SUMPRODUCT(MID(0&amp;(LEFT(A295,SUM(LEN(A295)-LEN(SUBSTITUTE(A295,{"0","1","2"},""))))), LARGE(INDEX(ISNUMBER(--MID((LEFT(A295,SUM(LEN(A295)-LEN(SUBSTITUTE(A295,{"0","1","2"},""))))), ROW(INDIRECT("1:"&amp;LEN((LEFT(A295,SUM(LEN(A295)-LEN(SUBSTITUTE(A295,{"0","1","2"},"")))))))), 1)) * ROW(INDIRECT("1:"&amp;LEN((LEFT(A295,SUM(LEN(A295)-LEN(SUBSTITUTE(A295,{"0","1","2"},"")))))))), 0), ROW(INDIRECT("1:"&amp;LEN((LEFT(A295,SUM(LEN(A295)-LEN(SUBSTITUTE(A295,{"0","1","2"},"")))))))))+1, 1) * 10^ROW(INDIRECT("1:"&amp;LEN((LEFT(A295,SUM(LEN(A295)-LEN(SUBSTITUTE(A295,{"0","1","2"},""))))))))/10))*100+1&amp;""&amp;" &amp; "&amp;""&amp;(SUMPRODUCT(MID(0&amp;(--TRIM(RIGHT(SUBSTITUTE(LEFT(A295,_xlfn.AGGREGATE(16,6,FIND({0,1,2,3,4,5,6,7,8,9},A295,ROW(INDIRECT("1:"&amp;LEN(A295)))),1))," ",REPT(" ",LEN(A295))),LEN(A295)))), LARGE(INDEX(ISNUMBER(--MID((--TRIM(RIGHT(SUBSTITUTE(LEFT(A295,_xlfn.AGGREGATE(16,6,FIND({0,1,2,3,4,5,6,7,8,9},A295,ROW(INDIRECT("1:"&amp;LEN(A295)))),1))," ",REPT(" ",LEN(A295))),LEN(A295)))), ROW(INDIRECT("1:"&amp;LEN((--TRIM(RIGHT(SUBSTITUTE(LEFT(A295,_xlfn.AGGREGATE(16,6,FIND({0,1,2,3,4,5,6,7,8,9},A295,ROW(INDIRECT("1:"&amp;LEN(A295)))),1))," ",REPT(" ",LEN(A295))),LEN(A295))))))), 1)) * ROW(INDIRECT("1:"&amp;LEN((--TRIM(RIGHT(SUBSTITUTE(LEFT(A295,_xlfn.AGGREGATE(16,6,FIND({0,1,2,3,4,5,6,7,8,9},A295,ROW(INDIRECT("1:"&amp;LEN(A295)))),1))," ",REPT(" ",LEN(A295))),LEN(A295))))))), 0), ROW(INDIRECT("1:"&amp;LEN((--TRIM(RIGHT(SUBSTITUTE(LEFT(A295,_xlfn.AGGREGATE(16,6,FIND({0,1,2,3,4,5,6,7,8,9},A295,ROW(INDIRECT("1:"&amp;LEN(A295)))),1))," ",REPT(" ",LEN(A295))),LEN(A295))))))))+1, 1) * 10^ROW(INDIRECT("1:"&amp;LEN((--TRIM(RIGHT(SUBSTITUTE(LEFT(A295,_xlfn.AGGREGATE(16,6,FIND({0,1,2,3,4,5,6,7,8,9},A295,ROW(INDIRECT("1:"&amp;LEN(A295)))),1))," ",REPT(" ",LEN(A295))),LEN(A295)))))))/10))*100+1</f>
        <v>201 &amp; 501</v>
      </c>
      <c r="B296" s="93"/>
      <c r="C296" s="60"/>
      <c r="D296" s="62"/>
      <c r="E296" s="62">
        <v>0</v>
      </c>
      <c r="F296" s="62">
        <f>D296*(($F$162)+1)+(IF(E296&lt;101,E296,IF(E296&lt;201,E296/2,IF(E296&lt;=301,E296/3,E296/4))))</f>
        <v>0</v>
      </c>
      <c r="G296" s="92" t="str">
        <f>A295</f>
        <v>2nd &amp; 5th Floor</v>
      </c>
      <c r="H296" s="93"/>
      <c r="I296" s="39"/>
    </row>
    <row r="297" spans="1:16" s="51" customFormat="1" hidden="1" x14ac:dyDescent="0.35">
      <c r="A297" s="92" t="str">
        <f ca="1">(SUMPRODUCT(MID(0&amp;(LEFT(A296,SUM(LEN(A296)-LEN(SUBSTITUTE(A296,{"0","1","2"},""))))), LARGE(INDEX(ISNUMBER(--MID((LEFT(A296,SUM(LEN(A296)-LEN(SUBSTITUTE(A296,{"0","1","2"},""))))), ROW(INDIRECT("1:"&amp;LEN((LEFT(A296,SUM(LEN(A296)-LEN(SUBSTITUTE(A296,{"0","1","2"},"")))))))), 1)) * ROW(INDIRECT("1:"&amp;LEN((LEFT(A296,SUM(LEN(A296)-LEN(SUBSTITUTE(A296,{"0","1","2"},"")))))))), 0), ROW(INDIRECT("1:"&amp;LEN((LEFT(A296,SUM(LEN(A296)-LEN(SUBSTITUTE(A296,{"0","1","2"},"")))))))))+1, 1) * 10^ROW(INDIRECT("1:"&amp;LEN((LEFT(A296,SUM(LEN(A296)-LEN(SUBSTITUTE(A296,{"0","1","2"},""))))))))/10))*1+1&amp;""&amp;" &amp; "&amp;""&amp;(SUMPRODUCT(MID(0&amp;(--TRIM(RIGHT(SUBSTITUTE(LEFT(A296,_xlfn.AGGREGATE(16,6,FIND({0,1,2,3,4,5,6,7,8,9},A296,ROW(INDIRECT("1:"&amp;LEN(A296)))),1))," ",REPT(" ",LEN(A296))),LEN(A296)))), LARGE(INDEX(ISNUMBER(--MID((--TRIM(RIGHT(SUBSTITUTE(LEFT(A296,_xlfn.AGGREGATE(16,6,FIND({0,1,2,3,4,5,6,7,8,9},A296,ROW(INDIRECT("1:"&amp;LEN(A296)))),1))," ",REPT(" ",LEN(A296))),LEN(A296)))), ROW(INDIRECT("1:"&amp;LEN((--TRIM(RIGHT(SUBSTITUTE(LEFT(A296,_xlfn.AGGREGATE(16,6,FIND({0,1,2,3,4,5,6,7,8,9},A296,ROW(INDIRECT("1:"&amp;LEN(A296)))),1))," ",REPT(" ",LEN(A296))),LEN(A296))))))), 1)) * ROW(INDIRECT("1:"&amp;LEN((--TRIM(RIGHT(SUBSTITUTE(LEFT(A296,_xlfn.AGGREGATE(16,6,FIND({0,1,2,3,4,5,6,7,8,9},A296,ROW(INDIRECT("1:"&amp;LEN(A296)))),1))," ",REPT(" ",LEN(A296))),LEN(A296))))))), 0), ROW(INDIRECT("1:"&amp;LEN((--TRIM(RIGHT(SUBSTITUTE(LEFT(A296,_xlfn.AGGREGATE(16,6,FIND({0,1,2,3,4,5,6,7,8,9},A296,ROW(INDIRECT("1:"&amp;LEN(A296)))),1))," ",REPT(" ",LEN(A296))),LEN(A296))))))))+1, 1) * 10^ROW(INDIRECT("1:"&amp;LEN((--TRIM(RIGHT(SUBSTITUTE(LEFT(A296,_xlfn.AGGREGATE(16,6,FIND({0,1,2,3,4,5,6,7,8,9},A296,ROW(INDIRECT("1:"&amp;LEN(A296)))),1))," ",REPT(" ",LEN(A296))),LEN(A296)))))))/10))*1+1</f>
        <v>202 &amp; 502</v>
      </c>
      <c r="B297" s="93"/>
      <c r="C297" s="60"/>
      <c r="D297" s="62"/>
      <c r="E297" s="62">
        <v>0</v>
      </c>
      <c r="F297" s="62">
        <f>D297*(($F$162)+1)+(IF(E297&lt;101,E297,IF(E297&lt;201,E297/2,IF(E297&lt;=301,E297/3,E297/4))))</f>
        <v>0</v>
      </c>
      <c r="G297" s="92" t="str">
        <f t="shared" ref="G297:G300" si="36">G296</f>
        <v>2nd &amp; 5th Floor</v>
      </c>
      <c r="H297" s="93"/>
      <c r="I297" s="39"/>
    </row>
    <row r="298" spans="1:16" s="51" customFormat="1" hidden="1" x14ac:dyDescent="0.35">
      <c r="A298" s="92" t="str">
        <f ca="1">(SUMPRODUCT(MID(0&amp;(LEFT(A297,SUM(LEN(A297)-LEN(SUBSTITUTE(A297,{"0","1","2"},""))))), LARGE(INDEX(ISNUMBER(--MID((LEFT(A297,SUM(LEN(A297)-LEN(SUBSTITUTE(A297,{"0","1","2"},""))))), ROW(INDIRECT("1:"&amp;LEN((LEFT(A297,SUM(LEN(A297)-LEN(SUBSTITUTE(A297,{"0","1","2"},"")))))))), 1)) * ROW(INDIRECT("1:"&amp;LEN((LEFT(A297,SUM(LEN(A297)-LEN(SUBSTITUTE(A297,{"0","1","2"},"")))))))), 0), ROW(INDIRECT("1:"&amp;LEN((LEFT(A297,SUM(LEN(A297)-LEN(SUBSTITUTE(A297,{"0","1","2"},"")))))))))+1, 1) * 10^ROW(INDIRECT("1:"&amp;LEN((LEFT(A297,SUM(LEN(A297)-LEN(SUBSTITUTE(A297,{"0","1","2"},""))))))))/10))*1+1&amp;""&amp;" &amp; "&amp;""&amp;(SUMPRODUCT(MID(0&amp;(--TRIM(RIGHT(SUBSTITUTE(LEFT(A297,_xlfn.AGGREGATE(16,6,FIND({0,1,2,3,4,5,6,7,8,9},A297,ROW(INDIRECT("1:"&amp;LEN(A297)))),1))," ",REPT(" ",LEN(A297))),LEN(A297)))), LARGE(INDEX(ISNUMBER(--MID((--TRIM(RIGHT(SUBSTITUTE(LEFT(A297,_xlfn.AGGREGATE(16,6,FIND({0,1,2,3,4,5,6,7,8,9},A297,ROW(INDIRECT("1:"&amp;LEN(A297)))),1))," ",REPT(" ",LEN(A297))),LEN(A297)))), ROW(INDIRECT("1:"&amp;LEN((--TRIM(RIGHT(SUBSTITUTE(LEFT(A297,_xlfn.AGGREGATE(16,6,FIND({0,1,2,3,4,5,6,7,8,9},A297,ROW(INDIRECT("1:"&amp;LEN(A297)))),1))," ",REPT(" ",LEN(A297))),LEN(A297))))))), 1)) * ROW(INDIRECT("1:"&amp;LEN((--TRIM(RIGHT(SUBSTITUTE(LEFT(A297,_xlfn.AGGREGATE(16,6,FIND({0,1,2,3,4,5,6,7,8,9},A297,ROW(INDIRECT("1:"&amp;LEN(A297)))),1))," ",REPT(" ",LEN(A297))),LEN(A297))))))), 0), ROW(INDIRECT("1:"&amp;LEN((--TRIM(RIGHT(SUBSTITUTE(LEFT(A297,_xlfn.AGGREGATE(16,6,FIND({0,1,2,3,4,5,6,7,8,9},A297,ROW(INDIRECT("1:"&amp;LEN(A297)))),1))," ",REPT(" ",LEN(A297))),LEN(A297))))))))+1, 1) * 10^ROW(INDIRECT("1:"&amp;LEN((--TRIM(RIGHT(SUBSTITUTE(LEFT(A297,_xlfn.AGGREGATE(16,6,FIND({0,1,2,3,4,5,6,7,8,9},A297,ROW(INDIRECT("1:"&amp;LEN(A297)))),1))," ",REPT(" ",LEN(A297))),LEN(A297)))))))/10))*1+1</f>
        <v>203 &amp; 503</v>
      </c>
      <c r="B298" s="93"/>
      <c r="C298" s="60"/>
      <c r="D298" s="62"/>
      <c r="E298" s="62">
        <v>0</v>
      </c>
      <c r="F298" s="62">
        <f>D298*(($F$162)+1)+(IF(E298&lt;101,E298,IF(E298&lt;201,E298/2,IF(E298&lt;=301,E298/3,E298/4))))</f>
        <v>0</v>
      </c>
      <c r="G298" s="92" t="str">
        <f t="shared" si="36"/>
        <v>2nd &amp; 5th Floor</v>
      </c>
      <c r="H298" s="93"/>
      <c r="I298" s="39"/>
    </row>
    <row r="299" spans="1:16" s="51" customFormat="1" hidden="1" x14ac:dyDescent="0.35">
      <c r="A299" s="92" t="str">
        <f ca="1">(SUMPRODUCT(MID(0&amp;(LEFT(A298,SUM(LEN(A298)-LEN(SUBSTITUTE(A298,{"0","1","2"},""))))), LARGE(INDEX(ISNUMBER(--MID((LEFT(A298,SUM(LEN(A298)-LEN(SUBSTITUTE(A298,{"0","1","2"},""))))), ROW(INDIRECT("1:"&amp;LEN((LEFT(A298,SUM(LEN(A298)-LEN(SUBSTITUTE(A298,{"0","1","2"},"")))))))), 1)) * ROW(INDIRECT("1:"&amp;LEN((LEFT(A298,SUM(LEN(A298)-LEN(SUBSTITUTE(A298,{"0","1","2"},"")))))))), 0), ROW(INDIRECT("1:"&amp;LEN((LEFT(A298,SUM(LEN(A298)-LEN(SUBSTITUTE(A298,{"0","1","2"},"")))))))))+1, 1) * 10^ROW(INDIRECT("1:"&amp;LEN((LEFT(A298,SUM(LEN(A298)-LEN(SUBSTITUTE(A298,{"0","1","2"},""))))))))/10))*1+1&amp;""&amp;" &amp; "&amp;""&amp;(SUMPRODUCT(MID(0&amp;(--TRIM(RIGHT(SUBSTITUTE(LEFT(A298,_xlfn.AGGREGATE(16,6,FIND({0,1,2,3,4,5,6,7,8,9},A298,ROW(INDIRECT("1:"&amp;LEN(A298)))),1))," ",REPT(" ",LEN(A298))),LEN(A298)))), LARGE(INDEX(ISNUMBER(--MID((--TRIM(RIGHT(SUBSTITUTE(LEFT(A298,_xlfn.AGGREGATE(16,6,FIND({0,1,2,3,4,5,6,7,8,9},A298,ROW(INDIRECT("1:"&amp;LEN(A298)))),1))," ",REPT(" ",LEN(A298))),LEN(A298)))), ROW(INDIRECT("1:"&amp;LEN((--TRIM(RIGHT(SUBSTITUTE(LEFT(A298,_xlfn.AGGREGATE(16,6,FIND({0,1,2,3,4,5,6,7,8,9},A298,ROW(INDIRECT("1:"&amp;LEN(A298)))),1))," ",REPT(" ",LEN(A298))),LEN(A298))))))), 1)) * ROW(INDIRECT("1:"&amp;LEN((--TRIM(RIGHT(SUBSTITUTE(LEFT(A298,_xlfn.AGGREGATE(16,6,FIND({0,1,2,3,4,5,6,7,8,9},A298,ROW(INDIRECT("1:"&amp;LEN(A298)))),1))," ",REPT(" ",LEN(A298))),LEN(A298))))))), 0), ROW(INDIRECT("1:"&amp;LEN((--TRIM(RIGHT(SUBSTITUTE(LEFT(A298,_xlfn.AGGREGATE(16,6,FIND({0,1,2,3,4,5,6,7,8,9},A298,ROW(INDIRECT("1:"&amp;LEN(A298)))),1))," ",REPT(" ",LEN(A298))),LEN(A298))))))))+1, 1) * 10^ROW(INDIRECT("1:"&amp;LEN((--TRIM(RIGHT(SUBSTITUTE(LEFT(A298,_xlfn.AGGREGATE(16,6,FIND({0,1,2,3,4,5,6,7,8,9},A298,ROW(INDIRECT("1:"&amp;LEN(A298)))),1))," ",REPT(" ",LEN(A298))),LEN(A298)))))))/10))*1+1</f>
        <v>204 &amp; 504</v>
      </c>
      <c r="B299" s="93"/>
      <c r="C299" s="60"/>
      <c r="D299" s="62"/>
      <c r="E299" s="62">
        <v>0</v>
      </c>
      <c r="F299" s="62">
        <f>D299*(($F$162)+1)+(IF(E299&lt;101,E299,IF(E299&lt;201,E299/2,IF(E299&lt;=301,E299/3,E299/4))))</f>
        <v>0</v>
      </c>
      <c r="G299" s="92" t="str">
        <f t="shared" si="36"/>
        <v>2nd &amp; 5th Floor</v>
      </c>
      <c r="H299" s="93"/>
      <c r="I299" s="39"/>
    </row>
    <row r="300" spans="1:16" s="51" customFormat="1" hidden="1" x14ac:dyDescent="0.35">
      <c r="A300" s="92" t="str">
        <f ca="1">(SUMPRODUCT(MID(0&amp;(LEFT(A299,SUM(LEN(A299)-LEN(SUBSTITUTE(A299,{"0","1","2"},""))))), LARGE(INDEX(ISNUMBER(--MID((LEFT(A299,SUM(LEN(A299)-LEN(SUBSTITUTE(A299,{"0","1","2"},""))))), ROW(INDIRECT("1:"&amp;LEN((LEFT(A299,SUM(LEN(A299)-LEN(SUBSTITUTE(A299,{"0","1","2"},"")))))))), 1)) * ROW(INDIRECT("1:"&amp;LEN((LEFT(A299,SUM(LEN(A299)-LEN(SUBSTITUTE(A299,{"0","1","2"},"")))))))), 0), ROW(INDIRECT("1:"&amp;LEN((LEFT(A299,SUM(LEN(A299)-LEN(SUBSTITUTE(A299,{"0","1","2"},"")))))))))+1, 1) * 10^ROW(INDIRECT("1:"&amp;LEN((LEFT(A299,SUM(LEN(A299)-LEN(SUBSTITUTE(A299,{"0","1","2"},""))))))))/10))*1+1&amp;""&amp;" &amp; "&amp;""&amp;(SUMPRODUCT(MID(0&amp;(--TRIM(RIGHT(SUBSTITUTE(LEFT(A299,_xlfn.AGGREGATE(16,6,FIND({0,1,2,3,4,5,6,7,8,9},A299,ROW(INDIRECT("1:"&amp;LEN(A299)))),1))," ",REPT(" ",LEN(A299))),LEN(A299)))), LARGE(INDEX(ISNUMBER(--MID((--TRIM(RIGHT(SUBSTITUTE(LEFT(A299,_xlfn.AGGREGATE(16,6,FIND({0,1,2,3,4,5,6,7,8,9},A299,ROW(INDIRECT("1:"&amp;LEN(A299)))),1))," ",REPT(" ",LEN(A299))),LEN(A299)))), ROW(INDIRECT("1:"&amp;LEN((--TRIM(RIGHT(SUBSTITUTE(LEFT(A299,_xlfn.AGGREGATE(16,6,FIND({0,1,2,3,4,5,6,7,8,9},A299,ROW(INDIRECT("1:"&amp;LEN(A299)))),1))," ",REPT(" ",LEN(A299))),LEN(A299))))))), 1)) * ROW(INDIRECT("1:"&amp;LEN((--TRIM(RIGHT(SUBSTITUTE(LEFT(A299,_xlfn.AGGREGATE(16,6,FIND({0,1,2,3,4,5,6,7,8,9},A299,ROW(INDIRECT("1:"&amp;LEN(A299)))),1))," ",REPT(" ",LEN(A299))),LEN(A299))))))), 0), ROW(INDIRECT("1:"&amp;LEN((--TRIM(RIGHT(SUBSTITUTE(LEFT(A299,_xlfn.AGGREGATE(16,6,FIND({0,1,2,3,4,5,6,7,8,9},A299,ROW(INDIRECT("1:"&amp;LEN(A299)))),1))," ",REPT(" ",LEN(A299))),LEN(A299))))))))+1, 1) * 10^ROW(INDIRECT("1:"&amp;LEN((--TRIM(RIGHT(SUBSTITUTE(LEFT(A299,_xlfn.AGGREGATE(16,6,FIND({0,1,2,3,4,5,6,7,8,9},A299,ROW(INDIRECT("1:"&amp;LEN(A299)))),1))," ",REPT(" ",LEN(A299))),LEN(A299)))))))/10))*1+1</f>
        <v>205 &amp; 505</v>
      </c>
      <c r="B300" s="93"/>
      <c r="C300" s="60"/>
      <c r="D300" s="62"/>
      <c r="E300" s="62">
        <v>0</v>
      </c>
      <c r="F300" s="62">
        <f>D300*(($F$162)+1)+(IF(E300&lt;101,E300,IF(E300&lt;201,E300/2,IF(E300&lt;=301,E300/3,E300/4))))</f>
        <v>0</v>
      </c>
      <c r="G300" s="92" t="str">
        <f t="shared" si="36"/>
        <v>2nd &amp; 5th Floor</v>
      </c>
      <c r="H300" s="93"/>
      <c r="I300" s="39"/>
    </row>
    <row r="301" spans="1:16" s="38" customFormat="1" x14ac:dyDescent="0.35">
      <c r="A301" s="155" t="s">
        <v>70</v>
      </c>
      <c r="B301" s="155"/>
      <c r="C301" s="155"/>
      <c r="D301" s="155"/>
      <c r="E301" s="155"/>
      <c r="F301" s="155"/>
      <c r="G301" s="155"/>
      <c r="H301" s="155"/>
    </row>
    <row r="302" spans="1:16" s="38" customFormat="1" ht="32.5" customHeight="1" x14ac:dyDescent="0.35">
      <c r="A302" s="50" t="s">
        <v>163</v>
      </c>
      <c r="B302" s="208" t="s">
        <v>253</v>
      </c>
      <c r="C302" s="209"/>
      <c r="D302" s="209"/>
      <c r="E302" s="209"/>
      <c r="F302" s="209"/>
      <c r="G302" s="209"/>
      <c r="H302" s="210"/>
    </row>
    <row r="303" spans="1:16" s="38" customFormat="1" ht="33" customHeight="1" x14ac:dyDescent="0.35">
      <c r="A303" s="70" t="s">
        <v>163</v>
      </c>
      <c r="B303" s="208" t="s">
        <v>252</v>
      </c>
      <c r="C303" s="209"/>
      <c r="D303" s="209"/>
      <c r="E303" s="209"/>
      <c r="F303" s="209"/>
      <c r="G303" s="209"/>
      <c r="H303" s="210"/>
    </row>
    <row r="304" spans="1:16" s="38" customFormat="1" x14ac:dyDescent="0.35">
      <c r="A304" s="50" t="s">
        <v>163</v>
      </c>
      <c r="B304" s="208" t="str">
        <f>(IF(F161="Saleable area Loading :","We have considered Saleable area of Flats as per our Calculation.","We considered Saleable area of Flat as per Builder area Sheet."))</f>
        <v>We have considered Saleable area of Flats as per our Calculation.</v>
      </c>
      <c r="C304" s="209"/>
      <c r="D304" s="209"/>
      <c r="E304" s="209"/>
      <c r="F304" s="209"/>
      <c r="G304" s="209"/>
      <c r="H304" s="210"/>
    </row>
    <row r="305" spans="1:8" s="38" customFormat="1" x14ac:dyDescent="0.35">
      <c r="A305" s="50" t="s">
        <v>163</v>
      </c>
      <c r="B305" s="208" t="str">
        <f>(IF(F153="Saleable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305" s="209"/>
      <c r="D305" s="209"/>
      <c r="E305" s="209"/>
      <c r="F305" s="209"/>
      <c r="G305" s="209"/>
      <c r="H305" s="210"/>
    </row>
    <row r="306" spans="1:8" s="38" customFormat="1" x14ac:dyDescent="0.35">
      <c r="A306" s="50" t="s">
        <v>163</v>
      </c>
      <c r="B306" s="83" t="s">
        <v>130</v>
      </c>
      <c r="C306" s="84"/>
      <c r="D306" s="84"/>
      <c r="E306" s="84"/>
      <c r="F306" s="84"/>
      <c r="G306" s="84"/>
      <c r="H306" s="85"/>
    </row>
    <row r="307" spans="1:8" s="38" customFormat="1" x14ac:dyDescent="0.35">
      <c r="A307" s="50" t="s">
        <v>163</v>
      </c>
      <c r="B307" s="83" t="s">
        <v>217</v>
      </c>
      <c r="C307" s="84"/>
      <c r="D307" s="84"/>
      <c r="E307" s="84"/>
      <c r="F307" s="84"/>
      <c r="G307" s="84"/>
      <c r="H307" s="85"/>
    </row>
    <row r="308" spans="1:8" s="38" customFormat="1" x14ac:dyDescent="0.35">
      <c r="A308" s="50" t="s">
        <v>163</v>
      </c>
      <c r="B308" s="83" t="s">
        <v>162</v>
      </c>
      <c r="C308" s="84"/>
      <c r="D308" s="84"/>
      <c r="E308" s="84"/>
      <c r="F308" s="84"/>
      <c r="G308" s="84"/>
      <c r="H308" s="85"/>
    </row>
    <row r="309" spans="1:8" s="38" customFormat="1" x14ac:dyDescent="0.35">
      <c r="A309" s="50" t="s">
        <v>163</v>
      </c>
      <c r="B309" s="83" t="s">
        <v>131</v>
      </c>
      <c r="C309" s="84"/>
      <c r="D309" s="84"/>
      <c r="E309" s="84"/>
      <c r="F309" s="84"/>
      <c r="G309" s="84"/>
      <c r="H309" s="85"/>
    </row>
    <row r="310" spans="1:8" s="38" customFormat="1" ht="34.5" customHeight="1" x14ac:dyDescent="0.35">
      <c r="A310" s="50" t="s">
        <v>163</v>
      </c>
      <c r="B310" s="83" t="s">
        <v>164</v>
      </c>
      <c r="C310" s="84"/>
      <c r="D310" s="84"/>
      <c r="E310" s="84"/>
      <c r="F310" s="84"/>
      <c r="G310" s="84"/>
      <c r="H310" s="85"/>
    </row>
    <row r="311" spans="1:8" s="38" customFormat="1" x14ac:dyDescent="0.35">
      <c r="A311" s="50" t="s">
        <v>163</v>
      </c>
      <c r="B311" s="83" t="s">
        <v>132</v>
      </c>
      <c r="C311" s="84"/>
      <c r="D311" s="84"/>
      <c r="E311" s="84"/>
      <c r="F311" s="84"/>
      <c r="G311" s="84"/>
      <c r="H311" s="85"/>
    </row>
    <row r="312" spans="1:8" s="38" customFormat="1" ht="33.75" customHeight="1" x14ac:dyDescent="0.35">
      <c r="A312" s="65" t="s">
        <v>163</v>
      </c>
      <c r="B312" s="83" t="s">
        <v>241</v>
      </c>
      <c r="C312" s="84"/>
      <c r="D312" s="84"/>
      <c r="E312" s="84"/>
      <c r="F312" s="84"/>
      <c r="G312" s="84"/>
      <c r="H312" s="85"/>
    </row>
    <row r="313" spans="1:8" s="38" customFormat="1" x14ac:dyDescent="0.35">
      <c r="A313" s="75" t="s">
        <v>163</v>
      </c>
      <c r="B313" s="83" t="s">
        <v>248</v>
      </c>
      <c r="C313" s="84"/>
      <c r="D313" s="84"/>
      <c r="E313" s="84"/>
      <c r="F313" s="84"/>
      <c r="G313" s="84"/>
      <c r="H313" s="85"/>
    </row>
    <row r="314" spans="1:8" s="38" customFormat="1" ht="32.25" customHeight="1" x14ac:dyDescent="0.35">
      <c r="A314" s="76" t="s">
        <v>163</v>
      </c>
      <c r="B314" s="83" t="s">
        <v>250</v>
      </c>
      <c r="C314" s="84"/>
      <c r="D314" s="84"/>
      <c r="E314" s="84"/>
      <c r="F314" s="84"/>
      <c r="G314" s="84"/>
      <c r="H314" s="85"/>
    </row>
    <row r="315" spans="1:8" x14ac:dyDescent="0.35">
      <c r="A315" s="206" t="s">
        <v>63</v>
      </c>
      <c r="B315" s="206"/>
      <c r="C315" s="206"/>
      <c r="D315" s="206"/>
      <c r="E315" s="206"/>
      <c r="F315" s="206"/>
      <c r="G315" s="206"/>
      <c r="H315" s="206"/>
    </row>
    <row r="316" spans="1:8" x14ac:dyDescent="0.35">
      <c r="A316" s="112" t="s">
        <v>64</v>
      </c>
      <c r="B316" s="112"/>
      <c r="C316" s="112"/>
      <c r="D316" s="112"/>
      <c r="E316" s="112"/>
      <c r="F316" s="112"/>
      <c r="G316" s="112"/>
      <c r="H316" s="112"/>
    </row>
    <row r="317" spans="1:8" ht="15.75" customHeight="1" x14ac:dyDescent="0.35">
      <c r="A317" s="220" t="s">
        <v>65</v>
      </c>
      <c r="B317" s="220"/>
      <c r="C317" s="220"/>
      <c r="D317" s="220"/>
      <c r="E317" s="220"/>
      <c r="F317" s="220"/>
      <c r="G317" s="220"/>
      <c r="H317" s="220"/>
    </row>
    <row r="318" spans="1:8" x14ac:dyDescent="0.35">
      <c r="A318" s="112" t="s">
        <v>66</v>
      </c>
      <c r="B318" s="112"/>
      <c r="C318" s="112"/>
      <c r="D318" s="112"/>
      <c r="E318" s="112"/>
      <c r="F318" s="112"/>
      <c r="G318" s="112"/>
      <c r="H318" s="112"/>
    </row>
    <row r="319" spans="1:8" x14ac:dyDescent="0.35">
      <c r="A319" s="112" t="s">
        <v>67</v>
      </c>
      <c r="B319" s="112"/>
      <c r="C319" s="112"/>
      <c r="D319" s="112"/>
      <c r="E319" s="112"/>
      <c r="F319" s="112"/>
      <c r="G319" s="112"/>
      <c r="H319" s="112"/>
    </row>
    <row r="320" spans="1:8" hidden="1" x14ac:dyDescent="0.35">
      <c r="A320" s="112" t="s">
        <v>133</v>
      </c>
      <c r="B320" s="112"/>
      <c r="C320" s="112"/>
      <c r="D320" s="112"/>
      <c r="E320" s="112"/>
      <c r="F320" s="112"/>
      <c r="G320" s="112"/>
      <c r="H320" s="112"/>
    </row>
    <row r="321" spans="1:8" hidden="1" x14ac:dyDescent="0.35">
      <c r="A321" s="181" t="s">
        <v>134</v>
      </c>
      <c r="B321" s="181"/>
      <c r="C321" s="181"/>
      <c r="D321" s="181"/>
      <c r="E321" s="181"/>
      <c r="F321" s="181"/>
      <c r="G321" s="181"/>
      <c r="H321" s="181"/>
    </row>
    <row r="322" spans="1:8" x14ac:dyDescent="0.35">
      <c r="A322" s="204" t="s">
        <v>80</v>
      </c>
      <c r="B322" s="204"/>
      <c r="C322" s="204" t="s">
        <v>226</v>
      </c>
      <c r="D322" s="204"/>
      <c r="E322" s="204" t="s">
        <v>110</v>
      </c>
      <c r="F322" s="204"/>
      <c r="G322" s="204" t="s">
        <v>251</v>
      </c>
      <c r="H322" s="204"/>
    </row>
    <row r="323" spans="1:8" x14ac:dyDescent="0.35">
      <c r="A323" s="203" t="s">
        <v>82</v>
      </c>
      <c r="B323" s="203"/>
      <c r="C323" s="203"/>
      <c r="D323" s="203"/>
      <c r="E323" s="203"/>
      <c r="F323" s="203"/>
      <c r="G323" s="203"/>
      <c r="H323" s="203"/>
    </row>
    <row r="324" spans="1:8" x14ac:dyDescent="0.35">
      <c r="A324" s="203"/>
      <c r="B324" s="203"/>
      <c r="C324" s="203"/>
      <c r="D324" s="203"/>
      <c r="E324" s="203"/>
      <c r="F324" s="203"/>
      <c r="G324" s="203"/>
      <c r="H324" s="203"/>
    </row>
    <row r="325" spans="1:8" x14ac:dyDescent="0.35">
      <c r="A325" s="203"/>
      <c r="B325" s="203"/>
      <c r="C325" s="203"/>
      <c r="D325" s="203"/>
      <c r="E325" s="203"/>
      <c r="F325" s="203"/>
      <c r="G325" s="203"/>
      <c r="H325" s="203"/>
    </row>
    <row r="326" spans="1:8" x14ac:dyDescent="0.35">
      <c r="A326" s="203"/>
      <c r="B326" s="203"/>
      <c r="C326" s="203"/>
      <c r="D326" s="203"/>
      <c r="E326" s="203"/>
      <c r="F326" s="203"/>
      <c r="G326" s="203"/>
      <c r="H326" s="203"/>
    </row>
    <row r="327" spans="1:8" x14ac:dyDescent="0.35">
      <c r="A327" s="41" t="s">
        <v>68</v>
      </c>
      <c r="B327" s="42"/>
      <c r="C327" s="42"/>
      <c r="D327" s="41" t="str">
        <f>E8</f>
        <v>Shraddha Vardaan</v>
      </c>
      <c r="F327" s="42"/>
      <c r="G327" s="42"/>
      <c r="H327" s="42"/>
    </row>
    <row r="328" spans="1:8" x14ac:dyDescent="0.35">
      <c r="A328" s="42"/>
      <c r="B328" s="42"/>
      <c r="C328" s="42"/>
      <c r="D328" s="42"/>
      <c r="E328" s="42"/>
      <c r="F328" s="42"/>
      <c r="G328" s="42"/>
      <c r="H328" s="42"/>
    </row>
    <row r="329" spans="1:8" x14ac:dyDescent="0.35">
      <c r="A329" s="42"/>
      <c r="B329" s="42"/>
      <c r="C329" s="42"/>
      <c r="D329" s="42"/>
      <c r="E329" s="42"/>
      <c r="F329" s="42"/>
      <c r="G329" s="42"/>
      <c r="H329" s="42"/>
    </row>
    <row r="330" spans="1:8" ht="15" customHeight="1" x14ac:dyDescent="0.35"/>
    <row r="370" spans="1:1" x14ac:dyDescent="0.35">
      <c r="A370" s="44" t="s">
        <v>218</v>
      </c>
    </row>
    <row r="408" spans="1:1" x14ac:dyDescent="0.35">
      <c r="A408" s="44" t="s">
        <v>69</v>
      </c>
    </row>
  </sheetData>
  <mergeCells count="616">
    <mergeCell ref="A97:B97"/>
    <mergeCell ref="C97:H97"/>
    <mergeCell ref="A99:B99"/>
    <mergeCell ref="C99:H99"/>
    <mergeCell ref="A100:B100"/>
    <mergeCell ref="E100:F100"/>
    <mergeCell ref="G100:H100"/>
    <mergeCell ref="A101:B101"/>
    <mergeCell ref="E101:F110"/>
    <mergeCell ref="G101:H110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L258:M258"/>
    <mergeCell ref="A259:B259"/>
    <mergeCell ref="L259:M259"/>
    <mergeCell ref="A260:B260"/>
    <mergeCell ref="L260:M260"/>
    <mergeCell ref="B313:H313"/>
    <mergeCell ref="A111:B111"/>
    <mergeCell ref="C111:D111"/>
    <mergeCell ref="F111:G111"/>
    <mergeCell ref="B303:H303"/>
    <mergeCell ref="B312:H312"/>
    <mergeCell ref="A264:H264"/>
    <mergeCell ref="A265:B265"/>
    <mergeCell ref="G265:H270"/>
    <mergeCell ref="L265:M265"/>
    <mergeCell ref="A266:B266"/>
    <mergeCell ref="L266:M266"/>
    <mergeCell ref="A267:B267"/>
    <mergeCell ref="L267:M267"/>
    <mergeCell ref="A268:B268"/>
    <mergeCell ref="L268:M268"/>
    <mergeCell ref="A269:B269"/>
    <mergeCell ref="L269:M269"/>
    <mergeCell ref="A270:B270"/>
    <mergeCell ref="L270:M270"/>
    <mergeCell ref="C268:F268"/>
    <mergeCell ref="A261:B261"/>
    <mergeCell ref="L261:M261"/>
    <mergeCell ref="A262:B262"/>
    <mergeCell ref="L262:M262"/>
    <mergeCell ref="A263:B263"/>
    <mergeCell ref="L263:M263"/>
    <mergeCell ref="C260:F261"/>
    <mergeCell ref="A252:B252"/>
    <mergeCell ref="L252:M252"/>
    <mergeCell ref="A253:B253"/>
    <mergeCell ref="L253:M253"/>
    <mergeCell ref="A254:B254"/>
    <mergeCell ref="L254:M254"/>
    <mergeCell ref="A255:B255"/>
    <mergeCell ref="L255:M255"/>
    <mergeCell ref="A256:B256"/>
    <mergeCell ref="L256:M256"/>
    <mergeCell ref="A16:B16"/>
    <mergeCell ref="C16:H16"/>
    <mergeCell ref="E41:H41"/>
    <mergeCell ref="A41:D41"/>
    <mergeCell ref="A320:H320"/>
    <mergeCell ref="A317:H317"/>
    <mergeCell ref="G293:H293"/>
    <mergeCell ref="A278:B278"/>
    <mergeCell ref="A146:B146"/>
    <mergeCell ref="D161:D162"/>
    <mergeCell ref="E161:E162"/>
    <mergeCell ref="G161:H162"/>
    <mergeCell ref="A91:B91"/>
    <mergeCell ref="A92:B92"/>
    <mergeCell ref="A93:B93"/>
    <mergeCell ref="A83:B83"/>
    <mergeCell ref="C83:H83"/>
    <mergeCell ref="A122:B122"/>
    <mergeCell ref="A78:B78"/>
    <mergeCell ref="F127:H127"/>
    <mergeCell ref="G142:H142"/>
    <mergeCell ref="A250:H250"/>
    <mergeCell ref="A251:B251"/>
    <mergeCell ref="G251:H256"/>
    <mergeCell ref="A48:B48"/>
    <mergeCell ref="C48:E48"/>
    <mergeCell ref="G48:H48"/>
    <mergeCell ref="G50:H50"/>
    <mergeCell ref="D56:H56"/>
    <mergeCell ref="C50:E50"/>
    <mergeCell ref="A59:C61"/>
    <mergeCell ref="D59:H59"/>
    <mergeCell ref="D60:H60"/>
    <mergeCell ref="C49:E49"/>
    <mergeCell ref="A54:B54"/>
    <mergeCell ref="C54:E54"/>
    <mergeCell ref="A49:B49"/>
    <mergeCell ref="A55:H55"/>
    <mergeCell ref="A56:C56"/>
    <mergeCell ref="A57:C57"/>
    <mergeCell ref="D57:H57"/>
    <mergeCell ref="G54:H54"/>
    <mergeCell ref="D61:H61"/>
    <mergeCell ref="C51:H51"/>
    <mergeCell ref="A52:B53"/>
    <mergeCell ref="C52:E52"/>
    <mergeCell ref="G52:H52"/>
    <mergeCell ref="C53:H53"/>
    <mergeCell ref="C141:D141"/>
    <mergeCell ref="G291:H291"/>
    <mergeCell ref="F137:H137"/>
    <mergeCell ref="F135:H135"/>
    <mergeCell ref="A285:B285"/>
    <mergeCell ref="A152:H152"/>
    <mergeCell ref="G141:H141"/>
    <mergeCell ref="A136:E136"/>
    <mergeCell ref="C142:D142"/>
    <mergeCell ref="E142:F142"/>
    <mergeCell ref="G279:H279"/>
    <mergeCell ref="B153:B154"/>
    <mergeCell ref="A153:A154"/>
    <mergeCell ref="C161:C162"/>
    <mergeCell ref="C150:D150"/>
    <mergeCell ref="A271:H271"/>
    <mergeCell ref="A287:B287"/>
    <mergeCell ref="A284:B284"/>
    <mergeCell ref="G275:H275"/>
    <mergeCell ref="F136:H136"/>
    <mergeCell ref="E141:F141"/>
    <mergeCell ref="A141:B141"/>
    <mergeCell ref="A143:B143"/>
    <mergeCell ref="C143:D143"/>
    <mergeCell ref="A316:H316"/>
    <mergeCell ref="E146:F146"/>
    <mergeCell ref="B311:H311"/>
    <mergeCell ref="G158:H158"/>
    <mergeCell ref="G156:H156"/>
    <mergeCell ref="G157:H157"/>
    <mergeCell ref="G159:H159"/>
    <mergeCell ref="B309:H309"/>
    <mergeCell ref="B305:H305"/>
    <mergeCell ref="A298:B298"/>
    <mergeCell ref="G298:H298"/>
    <mergeCell ref="G297:H297"/>
    <mergeCell ref="A295:H295"/>
    <mergeCell ref="A296:B296"/>
    <mergeCell ref="A297:B297"/>
    <mergeCell ref="A300:B300"/>
    <mergeCell ref="G300:H300"/>
    <mergeCell ref="A299:B299"/>
    <mergeCell ref="A151:H151"/>
    <mergeCell ref="G280:H280"/>
    <mergeCell ref="G299:H299"/>
    <mergeCell ref="B302:H302"/>
    <mergeCell ref="B304:H304"/>
    <mergeCell ref="A164:H164"/>
    <mergeCell ref="D66:H66"/>
    <mergeCell ref="A67:C67"/>
    <mergeCell ref="D67:H67"/>
    <mergeCell ref="A73:B73"/>
    <mergeCell ref="G72:H72"/>
    <mergeCell ref="A323:H326"/>
    <mergeCell ref="A322:B322"/>
    <mergeCell ref="E322:F322"/>
    <mergeCell ref="C322:D322"/>
    <mergeCell ref="G322:H322"/>
    <mergeCell ref="A140:H140"/>
    <mergeCell ref="A138:E138"/>
    <mergeCell ref="F138:H138"/>
    <mergeCell ref="A139:E139"/>
    <mergeCell ref="F139:H139"/>
    <mergeCell ref="A277:H277"/>
    <mergeCell ref="A286:B286"/>
    <mergeCell ref="A142:B142"/>
    <mergeCell ref="A318:H318"/>
    <mergeCell ref="A145:H145"/>
    <mergeCell ref="A321:H321"/>
    <mergeCell ref="A319:H319"/>
    <mergeCell ref="A315:H315"/>
    <mergeCell ref="G143:H143"/>
    <mergeCell ref="A45:D45"/>
    <mergeCell ref="A46:H46"/>
    <mergeCell ref="D58:H58"/>
    <mergeCell ref="A58:C58"/>
    <mergeCell ref="G49:H49"/>
    <mergeCell ref="A50:B51"/>
    <mergeCell ref="A79:B79"/>
    <mergeCell ref="A72:B72"/>
    <mergeCell ref="A75:B75"/>
    <mergeCell ref="A71:B71"/>
    <mergeCell ref="A69:B69"/>
    <mergeCell ref="C69:H69"/>
    <mergeCell ref="A77:B77"/>
    <mergeCell ref="A64:C64"/>
    <mergeCell ref="D64:H64"/>
    <mergeCell ref="C71:H71"/>
    <mergeCell ref="A74:B74"/>
    <mergeCell ref="A76:B76"/>
    <mergeCell ref="E72:F72"/>
    <mergeCell ref="A65:C65"/>
    <mergeCell ref="D65:H65"/>
    <mergeCell ref="A68:C68"/>
    <mergeCell ref="D68:H68"/>
    <mergeCell ref="A66:C66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36:H36"/>
    <mergeCell ref="A35:B35"/>
    <mergeCell ref="C35:E35"/>
    <mergeCell ref="G116:H125"/>
    <mergeCell ref="A40:D40"/>
    <mergeCell ref="E40:H40"/>
    <mergeCell ref="F32:H32"/>
    <mergeCell ref="F33:H33"/>
    <mergeCell ref="A39:H39"/>
    <mergeCell ref="A62:C62"/>
    <mergeCell ref="A63:C63"/>
    <mergeCell ref="D62:H62"/>
    <mergeCell ref="E73:F82"/>
    <mergeCell ref="G73:H82"/>
    <mergeCell ref="A81:B81"/>
    <mergeCell ref="A82:B82"/>
    <mergeCell ref="D63:H63"/>
    <mergeCell ref="A42:D42"/>
    <mergeCell ref="E42:H42"/>
    <mergeCell ref="E43:H43"/>
    <mergeCell ref="E44:H44"/>
    <mergeCell ref="E45:H45"/>
    <mergeCell ref="A43:D43"/>
    <mergeCell ref="F35:H35"/>
    <mergeCell ref="A37:B37"/>
    <mergeCell ref="C37:H37"/>
    <mergeCell ref="A44:D44"/>
    <mergeCell ref="L159:M159"/>
    <mergeCell ref="L158:M158"/>
    <mergeCell ref="L157:M157"/>
    <mergeCell ref="L156:M156"/>
    <mergeCell ref="A80:B80"/>
    <mergeCell ref="C147:D147"/>
    <mergeCell ref="E147:F147"/>
    <mergeCell ref="G147:H147"/>
    <mergeCell ref="F133:H133"/>
    <mergeCell ref="A127:E127"/>
    <mergeCell ref="A112:B112"/>
    <mergeCell ref="C112:H112"/>
    <mergeCell ref="A155:H155"/>
    <mergeCell ref="E153:E154"/>
    <mergeCell ref="G153:H154"/>
    <mergeCell ref="A87:B87"/>
    <mergeCell ref="E87:F96"/>
    <mergeCell ref="A94:B94"/>
    <mergeCell ref="A95:B95"/>
    <mergeCell ref="A96:B96"/>
    <mergeCell ref="A116:B116"/>
    <mergeCell ref="C144:D144"/>
    <mergeCell ref="E144:F144"/>
    <mergeCell ref="G144:H144"/>
    <mergeCell ref="C148:D148"/>
    <mergeCell ref="E148:F148"/>
    <mergeCell ref="G148:H148"/>
    <mergeCell ref="C146:D146"/>
    <mergeCell ref="G146:H146"/>
    <mergeCell ref="A147:A149"/>
    <mergeCell ref="A188:H188"/>
    <mergeCell ref="A290:B290"/>
    <mergeCell ref="A291:B291"/>
    <mergeCell ref="A292:B292"/>
    <mergeCell ref="A281:B281"/>
    <mergeCell ref="G282:H282"/>
    <mergeCell ref="G288:H288"/>
    <mergeCell ref="G287:H287"/>
    <mergeCell ref="L275:M275"/>
    <mergeCell ref="G272:H272"/>
    <mergeCell ref="L272:M272"/>
    <mergeCell ref="A273:B273"/>
    <mergeCell ref="G273:H273"/>
    <mergeCell ref="L273:M273"/>
    <mergeCell ref="A274:B274"/>
    <mergeCell ref="G274:H274"/>
    <mergeCell ref="L274:M274"/>
    <mergeCell ref="G290:H290"/>
    <mergeCell ref="A288:B288"/>
    <mergeCell ref="L277:M277"/>
    <mergeCell ref="A282:B282"/>
    <mergeCell ref="A279:B279"/>
    <mergeCell ref="A280:B280"/>
    <mergeCell ref="L230:M230"/>
    <mergeCell ref="G115:H115"/>
    <mergeCell ref="A114:B114"/>
    <mergeCell ref="C114:H114"/>
    <mergeCell ref="A115:B115"/>
    <mergeCell ref="E115:F115"/>
    <mergeCell ref="B306:H306"/>
    <mergeCell ref="B307:H307"/>
    <mergeCell ref="G296:H296"/>
    <mergeCell ref="G294:H294"/>
    <mergeCell ref="A301:H301"/>
    <mergeCell ref="A293:B293"/>
    <mergeCell ref="A294:B294"/>
    <mergeCell ref="G292:H292"/>
    <mergeCell ref="C153:C154"/>
    <mergeCell ref="B161:B162"/>
    <mergeCell ref="A289:H289"/>
    <mergeCell ref="A283:H283"/>
    <mergeCell ref="A275:B275"/>
    <mergeCell ref="G286:H286"/>
    <mergeCell ref="G284:H284"/>
    <mergeCell ref="A272:B272"/>
    <mergeCell ref="A163:H163"/>
    <mergeCell ref="A165:H165"/>
    <mergeCell ref="A166:H166"/>
    <mergeCell ref="F129:H129"/>
    <mergeCell ref="A134:E134"/>
    <mergeCell ref="A119:B119"/>
    <mergeCell ref="A120:B120"/>
    <mergeCell ref="A121:B121"/>
    <mergeCell ref="A123:B123"/>
    <mergeCell ref="A124:B124"/>
    <mergeCell ref="A129:E129"/>
    <mergeCell ref="A126:E126"/>
    <mergeCell ref="F130:H130"/>
    <mergeCell ref="E116:F125"/>
    <mergeCell ref="F126:H126"/>
    <mergeCell ref="F131:H131"/>
    <mergeCell ref="F134:H134"/>
    <mergeCell ref="A130:E130"/>
    <mergeCell ref="A125:B125"/>
    <mergeCell ref="A38:B38"/>
    <mergeCell ref="C38:H38"/>
    <mergeCell ref="B310:H310"/>
    <mergeCell ref="A47:B47"/>
    <mergeCell ref="C47:H47"/>
    <mergeCell ref="B308:H308"/>
    <mergeCell ref="A117:B117"/>
    <mergeCell ref="A118:B118"/>
    <mergeCell ref="G87:H96"/>
    <mergeCell ref="A88:B88"/>
    <mergeCell ref="A89:B89"/>
    <mergeCell ref="A90:B90"/>
    <mergeCell ref="F128:H128"/>
    <mergeCell ref="A128:E128"/>
    <mergeCell ref="G285:H285"/>
    <mergeCell ref="G281:H281"/>
    <mergeCell ref="G278:H278"/>
    <mergeCell ref="D153:D154"/>
    <mergeCell ref="A85:B85"/>
    <mergeCell ref="C85:H85"/>
    <mergeCell ref="A86:B86"/>
    <mergeCell ref="E86:F86"/>
    <mergeCell ref="G86:H86"/>
    <mergeCell ref="A132:E132"/>
    <mergeCell ref="A156:B156"/>
    <mergeCell ref="A157:B157"/>
    <mergeCell ref="A158:B158"/>
    <mergeCell ref="A159:B159"/>
    <mergeCell ref="A131:E131"/>
    <mergeCell ref="L171:M171"/>
    <mergeCell ref="A172:B172"/>
    <mergeCell ref="L172:M172"/>
    <mergeCell ref="A150:B150"/>
    <mergeCell ref="E150:F150"/>
    <mergeCell ref="C149:D149"/>
    <mergeCell ref="E149:F149"/>
    <mergeCell ref="G149:H149"/>
    <mergeCell ref="F132:H132"/>
    <mergeCell ref="A133:E133"/>
    <mergeCell ref="A135:E135"/>
    <mergeCell ref="A167:B167"/>
    <mergeCell ref="A171:B171"/>
    <mergeCell ref="A160:H160"/>
    <mergeCell ref="A161:A162"/>
    <mergeCell ref="A137:E137"/>
    <mergeCell ref="G150:H150"/>
    <mergeCell ref="E143:F143"/>
    <mergeCell ref="A144:B144"/>
    <mergeCell ref="A174:H174"/>
    <mergeCell ref="A175:B175"/>
    <mergeCell ref="L175:M175"/>
    <mergeCell ref="A176:B176"/>
    <mergeCell ref="L176:M176"/>
    <mergeCell ref="G167:H172"/>
    <mergeCell ref="A173:H173"/>
    <mergeCell ref="L167:M167"/>
    <mergeCell ref="A168:B168"/>
    <mergeCell ref="L168:M168"/>
    <mergeCell ref="A169:B169"/>
    <mergeCell ref="L169:M169"/>
    <mergeCell ref="A170:B170"/>
    <mergeCell ref="L170:M170"/>
    <mergeCell ref="L177:M177"/>
    <mergeCell ref="A178:B178"/>
    <mergeCell ref="L178:M178"/>
    <mergeCell ref="A179:B179"/>
    <mergeCell ref="L179:M179"/>
    <mergeCell ref="A180:B180"/>
    <mergeCell ref="L180:M180"/>
    <mergeCell ref="C178:F179"/>
    <mergeCell ref="G175:H180"/>
    <mergeCell ref="A177:B177"/>
    <mergeCell ref="L185:M185"/>
    <mergeCell ref="A186:B186"/>
    <mergeCell ref="L186:M186"/>
    <mergeCell ref="A187:B187"/>
    <mergeCell ref="L187:M187"/>
    <mergeCell ref="C185:F185"/>
    <mergeCell ref="G182:H187"/>
    <mergeCell ref="A181:H181"/>
    <mergeCell ref="A182:B182"/>
    <mergeCell ref="L182:M182"/>
    <mergeCell ref="A183:B183"/>
    <mergeCell ref="L183:M183"/>
    <mergeCell ref="A184:B184"/>
    <mergeCell ref="L184:M184"/>
    <mergeCell ref="A185:B185"/>
    <mergeCell ref="A231:B231"/>
    <mergeCell ref="L231:M231"/>
    <mergeCell ref="G200:H207"/>
    <mergeCell ref="A190:H190"/>
    <mergeCell ref="A191:B191"/>
    <mergeCell ref="G191:H198"/>
    <mergeCell ref="L191:M191"/>
    <mergeCell ref="A192:B192"/>
    <mergeCell ref="L192:M192"/>
    <mergeCell ref="A193:B193"/>
    <mergeCell ref="L193:M193"/>
    <mergeCell ref="A194:B194"/>
    <mergeCell ref="L194:M194"/>
    <mergeCell ref="A195:B195"/>
    <mergeCell ref="L195:M195"/>
    <mergeCell ref="A196:B196"/>
    <mergeCell ref="L196:M196"/>
    <mergeCell ref="A197:B197"/>
    <mergeCell ref="L197:M197"/>
    <mergeCell ref="A198:B198"/>
    <mergeCell ref="A206:B206"/>
    <mergeCell ref="L206:M206"/>
    <mergeCell ref="A207:B207"/>
    <mergeCell ref="L224:M224"/>
    <mergeCell ref="A189:H189"/>
    <mergeCell ref="A229:H229"/>
    <mergeCell ref="A201:B201"/>
    <mergeCell ref="L201:M201"/>
    <mergeCell ref="A202:B202"/>
    <mergeCell ref="L202:M202"/>
    <mergeCell ref="A203:B203"/>
    <mergeCell ref="L203:M203"/>
    <mergeCell ref="A204:B204"/>
    <mergeCell ref="L204:M204"/>
    <mergeCell ref="A205:B205"/>
    <mergeCell ref="L205:M205"/>
    <mergeCell ref="L198:M198"/>
    <mergeCell ref="C191:F191"/>
    <mergeCell ref="C198:F198"/>
    <mergeCell ref="A209:H209"/>
    <mergeCell ref="A210:B210"/>
    <mergeCell ref="G210:H217"/>
    <mergeCell ref="L210:M210"/>
    <mergeCell ref="A211:B211"/>
    <mergeCell ref="A199:H199"/>
    <mergeCell ref="A200:B200"/>
    <mergeCell ref="L200:M200"/>
    <mergeCell ref="A224:B224"/>
    <mergeCell ref="L207:M207"/>
    <mergeCell ref="A218:H218"/>
    <mergeCell ref="A219:B219"/>
    <mergeCell ref="G219:H226"/>
    <mergeCell ref="A225:B225"/>
    <mergeCell ref="L225:M225"/>
    <mergeCell ref="A226:B226"/>
    <mergeCell ref="L226:M226"/>
    <mergeCell ref="C222:F222"/>
    <mergeCell ref="A208:H208"/>
    <mergeCell ref="L211:M211"/>
    <mergeCell ref="A212:B212"/>
    <mergeCell ref="L212:M212"/>
    <mergeCell ref="A213:B213"/>
    <mergeCell ref="L213:M213"/>
    <mergeCell ref="A214:B214"/>
    <mergeCell ref="L214:M214"/>
    <mergeCell ref="A215:B215"/>
    <mergeCell ref="L215:M215"/>
    <mergeCell ref="A227:H227"/>
    <mergeCell ref="C212:F213"/>
    <mergeCell ref="L219:M219"/>
    <mergeCell ref="A220:B220"/>
    <mergeCell ref="L220:M220"/>
    <mergeCell ref="A221:B221"/>
    <mergeCell ref="L221:M221"/>
    <mergeCell ref="A222:B222"/>
    <mergeCell ref="L222:M222"/>
    <mergeCell ref="A223:B223"/>
    <mergeCell ref="L223:M223"/>
    <mergeCell ref="A216:B216"/>
    <mergeCell ref="L216:M216"/>
    <mergeCell ref="A217:B217"/>
    <mergeCell ref="L217:M217"/>
    <mergeCell ref="A228:H228"/>
    <mergeCell ref="A234:B234"/>
    <mergeCell ref="L234:M234"/>
    <mergeCell ref="G230:H234"/>
    <mergeCell ref="C230:F230"/>
    <mergeCell ref="A276:B276"/>
    <mergeCell ref="G276:H276"/>
    <mergeCell ref="L276:M276"/>
    <mergeCell ref="A235:H235"/>
    <mergeCell ref="A236:B236"/>
    <mergeCell ref="L236:M236"/>
    <mergeCell ref="A237:B237"/>
    <mergeCell ref="L237:M237"/>
    <mergeCell ref="A238:B238"/>
    <mergeCell ref="L238:M238"/>
    <mergeCell ref="A239:B239"/>
    <mergeCell ref="L239:M239"/>
    <mergeCell ref="A241:B241"/>
    <mergeCell ref="L241:M241"/>
    <mergeCell ref="A232:B232"/>
    <mergeCell ref="L232:M232"/>
    <mergeCell ref="A233:B233"/>
    <mergeCell ref="L233:M233"/>
    <mergeCell ref="A230:B230"/>
    <mergeCell ref="B314:H314"/>
    <mergeCell ref="G236:H241"/>
    <mergeCell ref="G244:H249"/>
    <mergeCell ref="A247:B247"/>
    <mergeCell ref="L247:M247"/>
    <mergeCell ref="A249:B249"/>
    <mergeCell ref="L249:M249"/>
    <mergeCell ref="C246:F247"/>
    <mergeCell ref="A243:H243"/>
    <mergeCell ref="A244:B244"/>
    <mergeCell ref="L244:M244"/>
    <mergeCell ref="A245:B245"/>
    <mergeCell ref="L245:M245"/>
    <mergeCell ref="A246:B246"/>
    <mergeCell ref="L246:M246"/>
    <mergeCell ref="A240:B240"/>
    <mergeCell ref="L240:M240"/>
    <mergeCell ref="A248:B248"/>
    <mergeCell ref="L248:M248"/>
    <mergeCell ref="A242:H242"/>
    <mergeCell ref="A257:H257"/>
    <mergeCell ref="A258:B258"/>
    <mergeCell ref="G258:H263"/>
    <mergeCell ref="L251:M251"/>
  </mergeCells>
  <hyperlinks>
    <hyperlink ref="C38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8" max="16383" man="1"/>
    <brk id="326" max="16383" man="1"/>
    <brk id="369" max="16383" man="1"/>
    <brk id="407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A10" zoomScale="85" zoomScaleNormal="85" workbookViewId="0">
      <selection activeCell="B15" sqref="B15"/>
    </sheetView>
  </sheetViews>
  <sheetFormatPr defaultColWidth="8.7265625" defaultRowHeight="14.5" x14ac:dyDescent="0.35"/>
  <cols>
    <col min="1" max="1" width="8.7265625" style="2"/>
    <col min="2" max="2" width="22.1796875" style="2" customWidth="1"/>
    <col min="3" max="3" width="37" style="2" customWidth="1"/>
    <col min="4" max="5" width="11.453125" style="2" customWidth="1"/>
    <col min="6" max="6" width="14" style="2" customWidth="1"/>
    <col min="7" max="7" width="20" style="2" customWidth="1"/>
    <col min="8" max="8" width="16.453125" style="2" customWidth="1"/>
    <col min="9" max="16384" width="8.7265625" style="2"/>
  </cols>
  <sheetData>
    <row r="1" spans="1:9" ht="15" customHeight="1" x14ac:dyDescent="0.35">
      <c r="A1" s="1"/>
      <c r="B1" s="1"/>
      <c r="C1" s="1"/>
      <c r="D1" s="1"/>
      <c r="E1" s="1"/>
      <c r="F1" s="1"/>
      <c r="G1" s="1"/>
      <c r="H1" s="1"/>
    </row>
    <row r="2" spans="1:9" ht="15" customHeight="1" x14ac:dyDescent="0.35">
      <c r="A2" s="3"/>
      <c r="B2" s="3"/>
      <c r="C2" s="3"/>
      <c r="D2" s="3"/>
      <c r="E2" s="3"/>
      <c r="F2" s="3"/>
      <c r="G2" s="3"/>
      <c r="H2" s="3"/>
    </row>
    <row r="3" spans="1:9" ht="15.75" customHeight="1" x14ac:dyDescent="0.35">
      <c r="A3" s="3"/>
      <c r="B3" s="228" t="s">
        <v>111</v>
      </c>
      <c r="C3" s="228"/>
      <c r="D3" s="228"/>
      <c r="E3" s="228"/>
      <c r="F3" s="228"/>
      <c r="G3" s="228"/>
      <c r="H3" s="228"/>
    </row>
    <row r="4" spans="1:9" x14ac:dyDescent="0.35">
      <c r="A4" s="3"/>
      <c r="B4" s="4" t="s">
        <v>112</v>
      </c>
      <c r="C4" s="4" t="s">
        <v>113</v>
      </c>
      <c r="D4" s="4" t="s">
        <v>71</v>
      </c>
      <c r="E4" s="4" t="s">
        <v>114</v>
      </c>
      <c r="F4" s="4" t="s">
        <v>120</v>
      </c>
      <c r="G4" s="4" t="s">
        <v>121</v>
      </c>
      <c r="H4" s="4" t="s">
        <v>115</v>
      </c>
    </row>
    <row r="5" spans="1:9" ht="15" customHeight="1" x14ac:dyDescent="0.35">
      <c r="A5" s="3"/>
      <c r="B5" s="6" t="s">
        <v>116</v>
      </c>
      <c r="C5" s="7"/>
      <c r="D5" s="6"/>
      <c r="E5" s="6"/>
      <c r="F5" s="8">
        <f>E5*1.6</f>
        <v>0</v>
      </c>
      <c r="G5" s="8" t="e">
        <f>H5/F5</f>
        <v>#DIV/0!</v>
      </c>
      <c r="H5" s="9"/>
    </row>
    <row r="6" spans="1:9" x14ac:dyDescent="0.35">
      <c r="A6" s="3"/>
      <c r="B6" s="6" t="s">
        <v>116</v>
      </c>
      <c r="C6" s="10"/>
      <c r="D6" s="6"/>
      <c r="E6" s="6"/>
      <c r="F6" s="8">
        <f t="shared" ref="F6:F11" si="0">E6*1.6</f>
        <v>0</v>
      </c>
      <c r="G6" s="8" t="e">
        <f t="shared" ref="G6:G11" si="1">H6/F6</f>
        <v>#DIV/0!</v>
      </c>
      <c r="H6" s="9"/>
    </row>
    <row r="7" spans="1:9" ht="15" customHeight="1" x14ac:dyDescent="0.35">
      <c r="A7" s="3"/>
      <c r="B7" s="6" t="s">
        <v>116</v>
      </c>
      <c r="C7" s="7"/>
      <c r="D7" s="6"/>
      <c r="E7" s="6"/>
      <c r="F7" s="8">
        <f t="shared" si="0"/>
        <v>0</v>
      </c>
      <c r="G7" s="8" t="e">
        <f t="shared" si="1"/>
        <v>#DIV/0!</v>
      </c>
      <c r="H7" s="9"/>
    </row>
    <row r="8" spans="1:9" x14ac:dyDescent="0.35">
      <c r="A8" s="3"/>
      <c r="B8" s="6" t="s">
        <v>116</v>
      </c>
      <c r="C8" s="10"/>
      <c r="D8" s="6"/>
      <c r="E8" s="6"/>
      <c r="F8" s="8">
        <f t="shared" si="0"/>
        <v>0</v>
      </c>
      <c r="G8" s="8" t="e">
        <f t="shared" si="1"/>
        <v>#DIV/0!</v>
      </c>
      <c r="H8" s="9"/>
    </row>
    <row r="9" spans="1:9" ht="15" customHeight="1" x14ac:dyDescent="0.35">
      <c r="A9" s="3"/>
      <c r="B9" s="6" t="s">
        <v>116</v>
      </c>
      <c r="C9" s="10"/>
      <c r="D9" s="6"/>
      <c r="E9" s="6"/>
      <c r="F9" s="8">
        <f t="shared" si="0"/>
        <v>0</v>
      </c>
      <c r="G9" s="8" t="e">
        <f t="shared" si="1"/>
        <v>#DIV/0!</v>
      </c>
      <c r="H9" s="9"/>
    </row>
    <row r="10" spans="1:9" ht="15" customHeight="1" x14ac:dyDescent="0.35">
      <c r="A10" s="3"/>
      <c r="B10" s="6" t="s">
        <v>117</v>
      </c>
      <c r="C10" s="7"/>
      <c r="D10" s="6"/>
      <c r="E10" s="6"/>
      <c r="F10" s="8">
        <f t="shared" si="0"/>
        <v>0</v>
      </c>
      <c r="G10" s="8" t="e">
        <f t="shared" si="1"/>
        <v>#DIV/0!</v>
      </c>
      <c r="H10" s="9"/>
    </row>
    <row r="11" spans="1:9" ht="15" customHeight="1" x14ac:dyDescent="0.35">
      <c r="A11" s="3"/>
      <c r="B11" s="6" t="s">
        <v>117</v>
      </c>
      <c r="C11" s="7"/>
      <c r="D11" s="6"/>
      <c r="E11" s="6"/>
      <c r="F11" s="8">
        <f t="shared" si="0"/>
        <v>0</v>
      </c>
      <c r="G11" s="8" t="e">
        <f t="shared" si="1"/>
        <v>#DIV/0!</v>
      </c>
      <c r="H11" s="9"/>
    </row>
    <row r="12" spans="1:9" ht="15" customHeight="1" x14ac:dyDescent="0.35">
      <c r="A12" s="3"/>
      <c r="B12" s="11" t="s">
        <v>118</v>
      </c>
      <c r="C12" s="6"/>
      <c r="D12" s="6"/>
      <c r="E12" s="6"/>
      <c r="F12" s="6"/>
      <c r="G12" s="12" t="e">
        <f>AVERAGE(G5:G11)</f>
        <v>#DIV/0!</v>
      </c>
      <c r="H12" s="6"/>
    </row>
    <row r="13" spans="1:9" ht="15" customHeight="1" x14ac:dyDescent="0.35">
      <c r="A13" s="1"/>
      <c r="B13" s="11" t="s">
        <v>119</v>
      </c>
      <c r="C13" s="13"/>
      <c r="D13" s="13"/>
      <c r="E13" s="13"/>
      <c r="F13" s="14"/>
      <c r="G13" s="11"/>
      <c r="H13" s="11"/>
      <c r="I13" s="5"/>
    </row>
    <row r="14" spans="1:9" ht="15" customHeight="1" x14ac:dyDescent="0.35">
      <c r="B14" s="1"/>
      <c r="C14" s="1"/>
      <c r="D14" s="1"/>
      <c r="E14" s="1"/>
    </row>
    <row r="15" spans="1:9" ht="15" customHeight="1" x14ac:dyDescent="0.35">
      <c r="B15" s="1"/>
      <c r="C15" s="1"/>
      <c r="D15" s="1"/>
      <c r="E15" s="1"/>
    </row>
    <row r="16" spans="1:9" ht="15" customHeight="1" x14ac:dyDescent="0.35">
      <c r="B16" s="1"/>
      <c r="C16" s="1"/>
      <c r="D16" s="1"/>
      <c r="E16" s="1"/>
    </row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2025-07-15T10:09:50Z</cp:lastPrinted>
  <dcterms:created xsi:type="dcterms:W3CDTF">2019-07-16T09:29:46Z</dcterms:created>
  <dcterms:modified xsi:type="dcterms:W3CDTF">2025-07-15T10:10:30Z</dcterms:modified>
</cp:coreProperties>
</file>