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2" i="1" l="1"/>
  <c r="I147" i="1"/>
  <c r="L129" i="1"/>
  <c r="N129" i="1" s="1"/>
  <c r="L130" i="1"/>
  <c r="N130" i="1" s="1"/>
  <c r="L131" i="1"/>
  <c r="N131" i="1" s="1"/>
  <c r="L132" i="1"/>
  <c r="N132" i="1" s="1"/>
  <c r="L133" i="1"/>
  <c r="N133" i="1" s="1"/>
  <c r="L134" i="1"/>
  <c r="N134" i="1" s="1"/>
  <c r="L128" i="1"/>
  <c r="N128" i="1" s="1"/>
  <c r="K128" i="1" l="1"/>
  <c r="K134" i="1"/>
  <c r="J156" i="1"/>
  <c r="J155" i="1"/>
  <c r="J157" i="1"/>
  <c r="J154" i="1"/>
  <c r="J152" i="1"/>
  <c r="J151" i="1"/>
  <c r="J150" i="1"/>
  <c r="J149" i="1"/>
  <c r="J128" i="1"/>
  <c r="J129" i="1"/>
  <c r="J130" i="1"/>
  <c r="J131" i="1"/>
  <c r="J132" i="1"/>
  <c r="J133" i="1"/>
  <c r="J134" i="1"/>
  <c r="D143" i="1"/>
  <c r="D142" i="1"/>
  <c r="D157" i="1" l="1"/>
  <c r="D156" i="1"/>
  <c r="D155" i="1"/>
  <c r="D154" i="1"/>
  <c r="D144" i="1"/>
  <c r="D147" i="1"/>
  <c r="D145" i="1"/>
  <c r="D141" i="1"/>
  <c r="D139" i="1"/>
  <c r="D126" i="1"/>
  <c r="D125" i="1"/>
  <c r="D124" i="1"/>
  <c r="D123" i="1"/>
  <c r="D122" i="1"/>
  <c r="D120" i="1"/>
  <c r="D119" i="1"/>
  <c r="G110" i="1"/>
  <c r="G109" i="1"/>
  <c r="N14" i="1"/>
  <c r="G111" i="1" l="1"/>
  <c r="D152" i="1"/>
  <c r="D151" i="1"/>
  <c r="D150" i="1"/>
  <c r="G149" i="1"/>
  <c r="D149" i="1"/>
  <c r="K147" i="1"/>
  <c r="D146" i="1"/>
  <c r="K146" i="1" s="1"/>
  <c r="K145" i="1"/>
  <c r="K144" i="1"/>
  <c r="K143" i="1"/>
  <c r="K142" i="1"/>
  <c r="K141" i="1"/>
  <c r="D140" i="1"/>
  <c r="K140" i="1" s="1"/>
  <c r="G139" i="1"/>
  <c r="D134" i="1"/>
  <c r="D133" i="1"/>
  <c r="D132" i="1"/>
  <c r="D131" i="1"/>
  <c r="D130" i="1"/>
  <c r="D129" i="1"/>
  <c r="G128" i="1"/>
  <c r="D128" i="1"/>
  <c r="K126" i="1"/>
  <c r="K125" i="1"/>
  <c r="K124" i="1"/>
  <c r="K123" i="1"/>
  <c r="K122" i="1"/>
  <c r="D121" i="1"/>
  <c r="K121" i="1" s="1"/>
  <c r="K120" i="1"/>
  <c r="G119" i="1"/>
  <c r="E42" i="1"/>
  <c r="A139" i="1"/>
  <c r="A119" i="1"/>
  <c r="A149" i="1"/>
  <c r="A128" i="1"/>
  <c r="E110" i="1" l="1"/>
  <c r="E109" i="1"/>
  <c r="K119" i="1"/>
  <c r="C109" i="1"/>
  <c r="K139" i="1"/>
  <c r="C110" i="1"/>
  <c r="Z12" i="1"/>
  <c r="A150" i="1"/>
  <c r="A120" i="1"/>
  <c r="A129" i="1"/>
  <c r="A140" i="1"/>
  <c r="C111" i="1" l="1"/>
  <c r="E111" i="1"/>
  <c r="E43" i="1"/>
  <c r="E44" i="1" s="1"/>
  <c r="A141" i="1"/>
  <c r="A121" i="1"/>
  <c r="A130" i="1"/>
  <c r="A151" i="1"/>
  <c r="C15" i="1" l="1"/>
  <c r="A152" i="1"/>
  <c r="A122" i="1"/>
  <c r="A142" i="1"/>
  <c r="A131" i="1"/>
  <c r="E30" i="1" l="1"/>
  <c r="A123" i="1"/>
  <c r="A153" i="1"/>
  <c r="A132" i="1"/>
  <c r="A143" i="1"/>
  <c r="F106" i="1" l="1"/>
  <c r="A133" i="1"/>
  <c r="A144" i="1"/>
  <c r="A124" i="1"/>
  <c r="A154" i="1"/>
  <c r="B160" i="1" l="1"/>
  <c r="A155" i="1"/>
  <c r="A125" i="1"/>
  <c r="A134" i="1"/>
  <c r="A14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0" i="1"/>
  <c r="B67" i="1"/>
  <c r="D55" i="1"/>
  <c r="G50" i="1"/>
  <c r="G51" i="1" s="1"/>
  <c r="C50" i="1"/>
  <c r="E27" i="1"/>
  <c r="E25" i="1"/>
  <c r="E7" i="1"/>
  <c r="E3" i="1"/>
  <c r="A146" i="1"/>
  <c r="A135" i="1"/>
  <c r="A126" i="1"/>
  <c r="A156" i="1"/>
  <c r="D60" i="1" l="1"/>
  <c r="A147" i="1"/>
  <c r="H67" i="1"/>
  <c r="A15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B81" i="1" l="1"/>
  <c r="C70" i="1"/>
  <c r="D70" i="1" s="1"/>
  <c r="J79" i="1"/>
  <c r="C71" i="1" s="1"/>
  <c r="H81" i="1"/>
  <c r="D91" i="1" l="1"/>
  <c r="D90" i="1"/>
  <c r="D86" i="1"/>
  <c r="J85" i="1"/>
  <c r="C84" i="1" s="1"/>
  <c r="D84" i="1" s="1"/>
  <c r="J83" i="1"/>
  <c r="J80" i="1"/>
  <c r="J82" i="1" s="1"/>
  <c r="D93" i="1"/>
  <c r="D89" i="1"/>
  <c r="D92" i="1"/>
  <c r="D88" i="1"/>
  <c r="J84" i="1"/>
  <c r="D87" i="1"/>
  <c r="J90" i="1"/>
  <c r="J86" i="1"/>
  <c r="J87" i="1" s="1"/>
  <c r="J92" i="1" s="1"/>
  <c r="J89" i="1"/>
  <c r="J88" i="1"/>
  <c r="J91" i="1"/>
  <c r="G70" i="1"/>
  <c r="D64" i="1" s="1"/>
  <c r="D65" i="1" s="1"/>
  <c r="J67" i="1"/>
  <c r="D71" i="1"/>
  <c r="I67" i="1" s="1"/>
  <c r="I68" i="1" s="1"/>
  <c r="E70" i="1"/>
  <c r="J93" i="1" l="1"/>
  <c r="C85" i="1" s="1"/>
  <c r="D85" i="1" s="1"/>
  <c r="I81" i="1" s="1"/>
  <c r="I82" i="1" s="1"/>
  <c r="F65" i="1"/>
  <c r="I66" i="1"/>
  <c r="C68" i="1" s="1"/>
  <c r="J81" i="1" l="1"/>
  <c r="I80" i="1" s="1"/>
  <c r="C82" i="1" s="1"/>
  <c r="G84" i="1"/>
  <c r="E84" i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<sst xmlns="http://schemas.openxmlformats.org/spreadsheetml/2006/main" count="439" uniqueCount="278">
  <si>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</si>
  <si>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</si>
  <si>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</si>
  <si>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</si>
  <si>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</si>
  <si>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</si>
  <si>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</si>
  <si>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</si>
  <si>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</si>
  <si>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</si>
  <si>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</si>
  <si>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</si>
  <si>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</si>
  <si>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</si>
  <si>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</si>
  <si>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</si>
  <si>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</si>
  <si>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</si>
  <si>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</si>
  <si>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</si>
  <si>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</si>
  <si>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</si>
  <si>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</si>
  <si>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</si>
  <si>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</si>
  <si>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</si>
  <si>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</si>
  <si>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</si>
  <si>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</si>
  <si>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</si>
  <si>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</si>
  <si>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</si>
  <si>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</si>
  <si>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</si>
  <si>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</si>
  <si>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</si>
  <si>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</si>
  <si>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</si>
  <si>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</si>
  <si>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</si>
  <si>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</si>
  <si>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</si>
  <si>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</si>
  <si>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</si>
  <si>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</si>
  <si>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</si>
  <si>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</si>
  <si>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</si>
  <si>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</si>
  <si>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</si>
  <si>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</si>
  <si>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</si>
  <si>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</si>
  <si>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</si>
  <si>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</si>
  <si>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</si>
  <si>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</si>
  <si>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</si>
  <si>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</si>
  <si>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</si>
  <si>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</si>
  <si>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</si>
  <si>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</si>
  <si>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</si>
  <si>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</si>
  <si>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</si>
  <si>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</si>
  <si>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</si>
  <si>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</si>
  <si>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</si>
  <si>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</si>
  <si>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</si>
  <si>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</si>
  <si>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</si>
  <si>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</si>
  <si>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</si>
  <si>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</si>
  <si>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</si>
  <si>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</si>
  <si>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</si>
  <si>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</si>
  <si>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</si>
  <si>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</si>
  <si>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</si>
  <si>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</si>
  <si>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</si>
  <si>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</si>
  <si>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</si>
  <si>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</si>
  <si>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</si>
  <si>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</si>
  <si>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</si>
  <si>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</si>
  <si>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</si>
  <si>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</si>
  <si>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</si>
  <si>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</si>
  <si>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</si>
  <si>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</si>
  <si>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</si>
  <si>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</si>
  <si>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</si>
  <si>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</si>
  <si>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</si>
  <si>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</si>
  <si>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</si>
  <si>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</si>
  <si>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</si>
  <si>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</si>
  <si>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</si>
  <si>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</si>
  <si>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</si>
  <si>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</si>
  <si>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</si>
  <si>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</si>
  <si>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</si>
  <si>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</si>
  <si>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</si>
  <si>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</si>
  <si>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</si>
  <si>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</si>
  <si>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</si>
  <si>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</si>
  <si>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</si>
  <si>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</si>
  <si>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</si>
  <si>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</si>
  <si>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</si>
  <si>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</si>
  <si>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</si>
  <si>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</si>
  <si>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</si>
  <si>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</si>
  <si>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</si>
  <si>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</si>
  <si>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</si>
  <si>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</si>
  <si>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</si>
  <si>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</si>
  <si>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</si>
  <si>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</si>
  <si>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</si>
  <si>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</si>
  <si>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</si>
  <si>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</si>
  <si>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</si>
  <si>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</si>
  <si>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</si>
  <si>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</si>
  <si>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</si>
  <si>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</si>
  <si>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</si>
  <si>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</si>
  <si>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</si>
  <si>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</si>
  <si>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</si>
  <si>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</si>
  <si>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</si>
  <si>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</si>
  <si>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</si>
  <si>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</si>
  <si>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</si>
  <si>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</si>
  <si>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</si>
  <si>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</si>
  <si>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</si>
  <si>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</si>
  <si>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</si>
  <si>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</si>
  <si>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</si>
  <si>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</si>
  <si>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</si>
  <si>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</si>
  <si>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</si>
  <si>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</si>
  <si>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</si>
  <si>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</si>
  <si>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</si>
  <si>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</si>
  <si>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</si>
  <si>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</si>
  <si>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</si>
  <si>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</si>
  <si>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</si>
  <si>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</si>
  <si>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</si>
  <si>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</si>
  <si>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</si>
  <si>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</si>
  <si>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</si>
  <si>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</si>
  <si>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</si>
  <si>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</si>
  <si>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</si>
  <si>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</si>
  <si>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</si>
  <si>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</si>
  <si>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</si>
  <si>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</si>
  <si>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</si>
  <si>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</si>
  <si>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</si>
  <si>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</si>
  <si>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</si>
  <si>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</si>
  <si>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</si>
  <si>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</si>
  <si>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</si>
  <si>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</si>
  <si>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</si>
  <si>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</si>
  <si>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</si>
  <si>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</si>
  <si>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</si>
  <si>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</si>
  <si>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</si>
  <si>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</si>
  <si>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</si>
  <si>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</si>
  <si>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</si>
  <si>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</si>
  <si>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</si>
  <si>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</si>
  <si>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Thane</t>
  </si>
  <si>
    <t>Sunil Peravi</t>
  </si>
  <si>
    <t>Yashodeep Buildcon</t>
  </si>
  <si>
    <t>Siddhivinayak Sankalp</t>
  </si>
  <si>
    <t>Mr. Raju Kamath 9769830555</t>
  </si>
  <si>
    <t>Wing A &amp; B</t>
  </si>
  <si>
    <t>Approved Plans, CC, Builder Saleable Area &amp; Cost Sheet.</t>
  </si>
  <si>
    <t>P52000052663</t>
  </si>
  <si>
    <t>Survey No</t>
  </si>
  <si>
    <t>32/11</t>
  </si>
  <si>
    <t>Koynavele</t>
  </si>
  <si>
    <t>Internal Road</t>
  </si>
  <si>
    <t>Taloja East</t>
  </si>
  <si>
    <t>Siddhivinayak Garima</t>
  </si>
  <si>
    <t>Survey No. 32/10 &amp; 32/11</t>
  </si>
  <si>
    <t>Other Plot</t>
  </si>
  <si>
    <t>Open Plot</t>
  </si>
  <si>
    <t>02 Wings</t>
  </si>
  <si>
    <t>Panvel Municipal Corporation</t>
  </si>
  <si>
    <t>PMP/NRV/16639/J.K.918/2023</t>
  </si>
  <si>
    <t>PMC/TP/Koynavele/32/11/21-23/
16639/918/2023</t>
  </si>
  <si>
    <t>As per RERA - 31/12/2027</t>
  </si>
  <si>
    <t>Wing A</t>
  </si>
  <si>
    <t>Ground Floor For Meter Room, Society Office &amp; Parking</t>
  </si>
  <si>
    <t>1st to 6th, 8th to 11th &amp; 13th to 15th Floor For Residential</t>
  </si>
  <si>
    <t>1BHK</t>
  </si>
  <si>
    <t>2BHK</t>
  </si>
  <si>
    <t>7th &amp; 12th Floor (Part Refuge Area)</t>
  </si>
  <si>
    <t>Refuge Area</t>
  </si>
  <si>
    <t>Wing B</t>
  </si>
  <si>
    <t>Building No. 1</t>
  </si>
  <si>
    <t>Ground Floor For Meter Room, Drivers Room &amp; Parking</t>
  </si>
  <si>
    <t>Builder Saleable area</t>
  </si>
  <si>
    <t>We considered Gross carpet area = Net carpet + Open Balcony.</t>
  </si>
  <si>
    <t xml:space="preserve">Details of Residential in Building   </t>
  </si>
  <si>
    <t>Flats - 251</t>
  </si>
  <si>
    <t>3.10KM from Taloja Metro Station</t>
  </si>
  <si>
    <t>Wing A &amp; B = Gr + 1st to 15th Floor</t>
  </si>
  <si>
    <t>Ghotkamp Koyana Vele</t>
  </si>
  <si>
    <t>Gr + 1st to 15th Floor</t>
  </si>
  <si>
    <t xml:space="preserve">Gym, Multipurpose Hall, Landscaped Garden, Decorative Entrance, Vitrified tiles flooring, Granite Kitchen Platform &amp; etc.
</t>
  </si>
  <si>
    <t>Society Formation &amp; Water Charges</t>
  </si>
  <si>
    <t>Grill Charges</t>
  </si>
  <si>
    <t>Siddivinayak Darshan/Siddhivinayak Homes</t>
  </si>
  <si>
    <t>https://maps.app.goo.gl/mNnMjHewBmYWCkHb6</t>
  </si>
  <si>
    <t>Development + Club House Charges</t>
  </si>
  <si>
    <t>Wing B = Gr + 1st to 15th Floor</t>
  </si>
  <si>
    <t>19.079334,73.112814</t>
  </si>
  <si>
    <t>4500 to 4800</t>
  </si>
  <si>
    <t>Sanjay Verbal 30/08/2024</t>
  </si>
  <si>
    <t>Recommended Rates/Other Charges of the Property have been revised on 30/08/2024.</t>
  </si>
  <si>
    <t>Wing A  = Gr + 1st to 15th Floor</t>
  </si>
  <si>
    <t>Mr. Rohit : 8879538994</t>
  </si>
  <si>
    <t>Construction work is in process at the time of Visit (Internal visit not allowed).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</si>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</sst>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5" fillId="0" borderId="0" xfId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4" xfId="1" applyFont="1" applyBorder="1" applyAlignment="1"/>
    <xf numFmtId="0" fontId="7" fillId="0" borderId="0" xfId="1" applyFont="1" applyAlignment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/>
      <protection locked="0"/>
    </xf>
    <xf numFmtId="0" fontId="12" fillId="0" borderId="20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7" fillId="0" borderId="7" xfId="1" applyNumberFormat="1" applyFont="1" applyBorder="1" applyAlignment="1" applyProtection="1">
      <alignment horizontal="center" vertical="center" wrapText="1"/>
      <protection locked="0"/>
    </xf>
    <xf numFmtId="1" fontId="17" fillId="0" borderId="20" xfId="1" applyNumberFormat="1" applyFont="1" applyBorder="1" applyAlignment="1" applyProtection="1">
      <alignment horizontal="center" vertical="center" wrapText="1"/>
      <protection locked="0"/>
    </xf>
    <xf numFmtId="1" fontId="17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255995</xdr:colOff>
      <xdr:row>247</xdr:row>
      <xdr:rowOff>5202</xdr:rowOff>
    </xdr:from>
    <xdr:to>
      <xdr:col>5</xdr:col>
      <xdr:colOff>531899</xdr:colOff>
      <xdr:row>264</xdr:row>
      <xdr:rowOff>128174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2395" y="52888002"/>
          <a:ext cx="3038154" cy="35233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172688</xdr:colOff>
      <xdr:row>267</xdr:row>
      <xdr:rowOff>30647</xdr:rowOff>
    </xdr:from>
    <xdr:to>
      <xdr:col>7</xdr:col>
      <xdr:colOff>555446</xdr:colOff>
      <xdr:row>285</xdr:row>
      <xdr:rowOff>176144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2688" y="57113972"/>
          <a:ext cx="6478758" cy="374594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771782</xdr:colOff>
      <xdr:row>224</xdr:row>
      <xdr:rowOff>16884</xdr:rowOff>
    </xdr:from>
    <xdr:to>
      <xdr:col>6</xdr:col>
      <xdr:colOff>32294</xdr:colOff>
      <xdr:row>245</xdr:row>
      <xdr:rowOff>183761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571882" y="46003584"/>
          <a:ext cx="3616612" cy="4300727"/>
          <a:chOff x="1567327" y="48051873"/>
          <a:chExt cx="3712414" cy="4340070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567327" y="48051873"/>
            <a:ext cx="3712414" cy="434007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418522" y="48486391"/>
            <a:ext cx="1051891" cy="1863587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3511826" y="49695652"/>
            <a:ext cx="1134717" cy="1797326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1805607" y="49571413"/>
            <a:ext cx="65030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rgbClr val="FF0000"/>
                </a:solidFill>
              </a:rPr>
              <a:t>WING A</a:t>
            </a:r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4600575" y="50377725"/>
            <a:ext cx="64389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rgbClr val="FF0000"/>
                </a:solidFill>
              </a:rPr>
              <a:t>WING B</a:t>
            </a:r>
          </a:p>
        </xdr:txBody>
      </xdr:sp>
    </xdr:grpSp>
    <xdr:clientData/>
  </xdr:twoCellAnchor>
  <xdr:twoCellAnchor editAs="oneCell">
    <xdr:from>
      <xdr:col>1</xdr:col>
      <xdr:colOff>285749</xdr:colOff>
      <xdr:row>286</xdr:row>
      <xdr:rowOff>149679</xdr:rowOff>
    </xdr:from>
    <xdr:to>
      <xdr:col>6</xdr:col>
      <xdr:colOff>680859</xdr:colOff>
      <xdr:row>304</xdr:row>
      <xdr:rowOff>75751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2178" y="58048072"/>
          <a:ext cx="485825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124327</xdr:colOff>
      <xdr:row>289</xdr:row>
      <xdr:rowOff>75059</xdr:rowOff>
    </xdr:from>
    <xdr:to>
      <xdr:col>5</xdr:col>
      <xdr:colOff>264128</xdr:colOff>
      <xdr:row>295</xdr:row>
      <xdr:rowOff>160078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21204905">
          <a:off x="3716613" y="58585773"/>
          <a:ext cx="983444" cy="1309662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457782</xdr:colOff>
      <xdr:row>181</xdr:row>
      <xdr:rowOff>63500</xdr:rowOff>
    </xdr:from>
    <xdr:to>
      <xdr:col>16</xdr:col>
      <xdr:colOff>81066</xdr:colOff>
      <xdr:row>217</xdr:row>
      <xdr:rowOff>49350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322132" y="37592000"/>
          <a:ext cx="6405084" cy="7066100"/>
          <a:chOff x="238707" y="37395150"/>
          <a:chExt cx="6379684" cy="7066100"/>
        </a:xfrm>
      </xdr:grpSpPr>
      <xdr:pic>
        <xdr:nvPicPr>
          <xdr:cNvPr id="47" name="Picture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708" y="373951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9895" y="373951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1082" y="373951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1081" y="40217632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707" y="40217632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09894" y="40217632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3544" y="43021250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539516" y="43021250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300" y="43021250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1530" y="43021250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238708" y="373951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3121095" y="374142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4581082" y="373951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64" name="TextBox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829257" y="40319232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65" name="TextBox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/>
        </xdr:nvSpPr>
        <xdr:spPr>
          <a:xfrm>
            <a:off x="3590994" y="40306532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66" name="TextBox 65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 txBox="1"/>
        </xdr:nvSpPr>
        <xdr:spPr>
          <a:xfrm>
            <a:off x="4581081" y="40217632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  <xdr:oneCellAnchor>
    <xdr:from>
      <xdr:col>10</xdr:col>
      <xdr:colOff>133350</xdr:colOff>
      <xdr:row>176</xdr:row>
      <xdr:rowOff>171450</xdr:rowOff>
    </xdr:from>
    <xdr:ext cx="634084" cy="280205"/>
    <xdr:sp macro="" textlink="">
      <xdr:nvSpPr>
        <xdr:cNvPr id="4" name="TextBox 3"/>
        <xdr:cNvSpPr txBox="1"/>
      </xdr:nvSpPr>
      <xdr:spPr>
        <a:xfrm>
          <a:off x="9017000" y="36715700"/>
          <a:ext cx="6340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190500</xdr:colOff>
      <xdr:row>180</xdr:row>
      <xdr:rowOff>82550</xdr:rowOff>
    </xdr:from>
    <xdr:to>
      <xdr:col>7</xdr:col>
      <xdr:colOff>647243</xdr:colOff>
      <xdr:row>220</xdr:row>
      <xdr:rowOff>113934</xdr:rowOff>
    </xdr:to>
    <xdr:grpSp>
      <xdr:nvGrpSpPr>
        <xdr:cNvPr id="5" name="Group 4"/>
        <xdr:cNvGrpSpPr/>
      </xdr:nvGrpSpPr>
      <xdr:grpSpPr>
        <a:xfrm>
          <a:off x="190500" y="37414200"/>
          <a:ext cx="6413043" cy="7899034"/>
          <a:chOff x="190500" y="37414200"/>
          <a:chExt cx="6413043" cy="7899034"/>
        </a:xfrm>
      </xdr:grpSpPr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81952" y="4315323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4028371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7" name="Picture 66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2090" y="37414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3680" y="37414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9" name="Picture 68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5552" y="4315323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0" name="Picture 69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374142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1" name="Picture 70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3680" y="4028371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2" name="Picture 71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2089" y="40283717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3" name="Picture 72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28262" y="4315323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74" name="TextBox 73"/>
          <xdr:cNvSpPr txBox="1"/>
        </xdr:nvSpPr>
        <xdr:spPr>
          <a:xfrm>
            <a:off x="1162050" y="374713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75" name="TextBox 74"/>
          <xdr:cNvSpPr txBox="1"/>
        </xdr:nvSpPr>
        <xdr:spPr>
          <a:xfrm>
            <a:off x="3254740" y="374332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76" name="TextBox 75"/>
          <xdr:cNvSpPr txBox="1"/>
        </xdr:nvSpPr>
        <xdr:spPr>
          <a:xfrm>
            <a:off x="4756880" y="375920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77" name="TextBox 76"/>
          <xdr:cNvSpPr txBox="1"/>
        </xdr:nvSpPr>
        <xdr:spPr>
          <a:xfrm>
            <a:off x="565150" y="40302767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mNnMjHewBmYWCkHb6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66"/>
  <sheetViews>
    <sheetView tabSelected="1" view="pageBreakPreview" topLeftCell="A67" zoomScaleNormal="100" zoomScaleSheetLayoutView="100" workbookViewId="0">
      <selection activeCell="C74" sqref="C74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6" width="11.7265625" style="39" customWidth="1"/>
    <col min="7" max="7" width="11.453125" style="39" customWidth="1"/>
    <col min="8" max="8" width="13" style="39" customWidth="1"/>
    <col min="9" max="9" width="17.453125" style="20" customWidth="1"/>
    <col min="10" max="10" width="11.453125" style="20" customWidth="1"/>
    <col min="11" max="11" width="11.726562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26" ht="46.5" customHeight="1" x14ac:dyDescent="0.35">
      <c r="A1" s="154" t="s">
        <v>156</v>
      </c>
      <c r="B1" s="154"/>
      <c r="C1" s="154"/>
      <c r="D1" s="154"/>
      <c r="E1" s="154"/>
      <c r="F1" s="154"/>
      <c r="G1" s="154"/>
      <c r="H1" s="154"/>
    </row>
    <row r="2" spans="1:26" ht="16.5" customHeight="1" x14ac:dyDescent="0.35">
      <c r="A2" s="155" t="s">
        <v>0</v>
      </c>
      <c r="B2" s="155"/>
      <c r="C2" s="155"/>
      <c r="D2" s="155"/>
      <c r="E2" s="155"/>
      <c r="F2" s="155"/>
      <c r="G2" s="155"/>
      <c r="H2" s="155"/>
    </row>
    <row r="3" spans="1:26" x14ac:dyDescent="0.35">
      <c r="A3" s="83" t="s">
        <v>1</v>
      </c>
      <c r="B3" s="83"/>
      <c r="C3" s="83"/>
      <c r="D3" s="83"/>
      <c r="E3" s="83" t="str">
        <f ca="1">TEXT(TODAY(),"DD/MM/YYYY")</f>
        <v>12/07/2025</v>
      </c>
      <c r="F3" s="83"/>
      <c r="G3" s="83"/>
      <c r="H3" s="83"/>
    </row>
    <row r="4" spans="1:26" ht="15" customHeight="1" x14ac:dyDescent="0.35">
      <c r="A4" s="83" t="s">
        <v>2</v>
      </c>
      <c r="B4" s="83"/>
      <c r="C4" s="83"/>
      <c r="D4" s="83"/>
      <c r="E4" s="83" t="s">
        <v>223</v>
      </c>
      <c r="F4" s="83"/>
      <c r="G4" s="83"/>
      <c r="H4" s="83"/>
    </row>
    <row r="5" spans="1:26" x14ac:dyDescent="0.35">
      <c r="A5" s="83" t="s">
        <v>3</v>
      </c>
      <c r="B5" s="83"/>
      <c r="C5" s="83"/>
      <c r="D5" s="83"/>
      <c r="E5" s="156">
        <v>45848</v>
      </c>
      <c r="F5" s="83"/>
      <c r="G5" s="83"/>
      <c r="H5" s="83"/>
    </row>
    <row r="6" spans="1:26" ht="16.5" customHeight="1" x14ac:dyDescent="0.35">
      <c r="A6" s="83" t="s">
        <v>4</v>
      </c>
      <c r="B6" s="83"/>
      <c r="C6" s="83"/>
      <c r="D6" s="83"/>
      <c r="E6" s="83" t="s">
        <v>225</v>
      </c>
      <c r="F6" s="83"/>
      <c r="G6" s="83"/>
      <c r="H6" s="83"/>
    </row>
    <row r="7" spans="1:26" ht="15" customHeight="1" x14ac:dyDescent="0.35">
      <c r="A7" s="83" t="s">
        <v>5</v>
      </c>
      <c r="B7" s="83"/>
      <c r="C7" s="83"/>
      <c r="D7" s="83"/>
      <c r="E7" s="83" t="str">
        <f>E6</f>
        <v>Yashodeep Buildcon</v>
      </c>
      <c r="F7" s="83"/>
      <c r="G7" s="83"/>
      <c r="H7" s="83"/>
    </row>
    <row r="8" spans="1:26" x14ac:dyDescent="0.35">
      <c r="A8" s="83" t="s">
        <v>6</v>
      </c>
      <c r="B8" s="83"/>
      <c r="C8" s="83"/>
      <c r="D8" s="83"/>
      <c r="E8" s="90" t="s">
        <v>226</v>
      </c>
      <c r="F8" s="90"/>
      <c r="G8" s="90"/>
      <c r="H8" s="90"/>
    </row>
    <row r="9" spans="1:26" x14ac:dyDescent="0.35">
      <c r="A9" s="83" t="s">
        <v>159</v>
      </c>
      <c r="B9" s="83"/>
      <c r="C9" s="83"/>
      <c r="D9" s="83"/>
      <c r="E9" s="83" t="s">
        <v>227</v>
      </c>
      <c r="F9" s="83"/>
      <c r="G9" s="83"/>
      <c r="H9" s="83"/>
    </row>
    <row r="10" spans="1:26" x14ac:dyDescent="0.35">
      <c r="A10" s="83" t="s">
        <v>160</v>
      </c>
      <c r="B10" s="83"/>
      <c r="C10" s="83"/>
      <c r="D10" s="83"/>
      <c r="E10" s="83" t="s">
        <v>275</v>
      </c>
      <c r="F10" s="83"/>
      <c r="G10" s="83"/>
      <c r="H10" s="83"/>
    </row>
    <row r="11" spans="1:26" x14ac:dyDescent="0.35">
      <c r="A11" s="83" t="s">
        <v>7</v>
      </c>
      <c r="B11" s="83"/>
      <c r="C11" s="83"/>
      <c r="D11" s="83"/>
      <c r="E11" s="83" t="s">
        <v>228</v>
      </c>
      <c r="F11" s="83"/>
      <c r="G11" s="83"/>
      <c r="H11" s="83"/>
    </row>
    <row r="12" spans="1:26" x14ac:dyDescent="0.35">
      <c r="A12" s="83" t="s">
        <v>162</v>
      </c>
      <c r="B12" s="83"/>
      <c r="C12" s="83"/>
      <c r="D12" s="83"/>
      <c r="E12" s="83" t="s">
        <v>29</v>
      </c>
      <c r="F12" s="83"/>
      <c r="G12" s="83"/>
      <c r="H12" s="83"/>
      <c r="S12" s="57" t="s">
        <v>167</v>
      </c>
      <c r="T12" s="57" t="s">
        <v>177</v>
      </c>
      <c r="U12" s="57" t="s">
        <v>163</v>
      </c>
      <c r="V12" s="57" t="s">
        <v>182</v>
      </c>
      <c r="W12" s="57" t="s">
        <v>200</v>
      </c>
      <c r="X12"/>
      <c r="Y12" t="s">
        <v>182</v>
      </c>
      <c r="Z12" t="e">
        <f ca="1">OFFSET($S$12,1,MATCH($G19,$S$12:$W$12,0)-1,15,1)</f>
        <v>#VALUE!</v>
      </c>
    </row>
    <row r="13" spans="1:26" ht="32.25" customHeight="1" x14ac:dyDescent="0.35">
      <c r="A13" s="74" t="s">
        <v>8</v>
      </c>
      <c r="B13" s="74"/>
      <c r="C13" s="74"/>
      <c r="D13" s="74"/>
      <c r="E13" s="113" t="s">
        <v>229</v>
      </c>
      <c r="F13" s="113"/>
      <c r="G13" s="113"/>
      <c r="H13" s="113"/>
      <c r="S13" s="57" t="s">
        <v>168</v>
      </c>
      <c r="T13" s="57" t="s">
        <v>175</v>
      </c>
      <c r="U13" s="57" t="s">
        <v>197</v>
      </c>
      <c r="V13" s="57" t="s">
        <v>183</v>
      </c>
      <c r="W13" s="57" t="s">
        <v>201</v>
      </c>
      <c r="X13"/>
      <c r="Y13"/>
      <c r="Z13"/>
    </row>
    <row r="14" spans="1:26" x14ac:dyDescent="0.35">
      <c r="A14" s="74" t="s">
        <v>9</v>
      </c>
      <c r="B14" s="74"/>
      <c r="C14" s="74"/>
      <c r="D14" s="74"/>
      <c r="E14" s="113" t="s">
        <v>230</v>
      </c>
      <c r="F14" s="83"/>
      <c r="G14" s="83"/>
      <c r="H14" s="83"/>
      <c r="I14" s="67"/>
      <c r="J14" s="68"/>
      <c r="K14" s="68"/>
      <c r="L14" s="68"/>
      <c r="M14" s="68"/>
      <c r="N14" s="68" t="e">
        <f ca="1">OFFSET($D$4,1,MATCH($J12,$D$4:$H$4,0)-1,15,1)</f>
        <v>#N/A</v>
      </c>
      <c r="O14" s="68"/>
      <c r="P14" s="68"/>
      <c r="S14" s="57" t="s">
        <v>169</v>
      </c>
      <c r="T14" s="57" t="s">
        <v>176</v>
      </c>
      <c r="U14" s="57" t="s">
        <v>198</v>
      </c>
      <c r="V14" s="57" t="s">
        <v>184</v>
      </c>
      <c r="W14" s="57" t="s">
        <v>214</v>
      </c>
      <c r="X14"/>
      <c r="Y14"/>
      <c r="Z14"/>
    </row>
    <row r="15" spans="1:26" ht="34.5" customHeight="1" x14ac:dyDescent="0.35">
      <c r="A15" s="86" t="s">
        <v>10</v>
      </c>
      <c r="B15" s="86"/>
      <c r="C15" s="86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Siddhivinayak Sankalp, Survey No.32/11, near Siddhivinayak Garima, Internal Road, Ghotkamp Koyana Vele, Koynavele, Taloja East, Panvel, Raigad - 410208.</v>
      </c>
      <c r="D15" s="86"/>
      <c r="E15" s="86"/>
      <c r="F15" s="86"/>
      <c r="G15" s="86"/>
      <c r="H15" s="86"/>
      <c r="S15" s="57" t="s">
        <v>170</v>
      </c>
      <c r="T15" s="57" t="s">
        <v>178</v>
      </c>
      <c r="U15" s="57" t="s">
        <v>199</v>
      </c>
      <c r="V15" s="57" t="s">
        <v>185</v>
      </c>
      <c r="W15" s="57" t="s">
        <v>202</v>
      </c>
      <c r="X15"/>
      <c r="Y15"/>
      <c r="Z15"/>
    </row>
    <row r="16" spans="1:26" x14ac:dyDescent="0.35">
      <c r="A16" s="113" t="s">
        <v>231</v>
      </c>
      <c r="B16" s="113"/>
      <c r="C16" s="113" t="s">
        <v>232</v>
      </c>
      <c r="D16" s="113"/>
      <c r="E16" s="113"/>
      <c r="F16" s="113"/>
      <c r="G16" s="113"/>
      <c r="H16" s="113"/>
      <c r="S16" s="57" t="s">
        <v>171</v>
      </c>
      <c r="T16" s="57" t="s">
        <v>179</v>
      </c>
      <c r="U16" s="57"/>
      <c r="V16" s="57" t="s">
        <v>186</v>
      </c>
      <c r="W16" s="57" t="s">
        <v>203</v>
      </c>
      <c r="X16"/>
      <c r="Y16"/>
      <c r="Z16"/>
    </row>
    <row r="17" spans="1:26" ht="15.75" customHeight="1" x14ac:dyDescent="0.35">
      <c r="A17" s="113" t="s">
        <v>154</v>
      </c>
      <c r="B17" s="113"/>
      <c r="C17" s="113" t="s">
        <v>261</v>
      </c>
      <c r="D17" s="113"/>
      <c r="E17" s="113"/>
      <c r="F17" s="113"/>
      <c r="G17" s="113"/>
      <c r="H17" s="113"/>
      <c r="S17" s="57" t="s">
        <v>172</v>
      </c>
      <c r="T17" s="57" t="s">
        <v>177</v>
      </c>
      <c r="U17" s="57"/>
      <c r="V17" s="57" t="s">
        <v>187</v>
      </c>
      <c r="W17" s="57" t="s">
        <v>204</v>
      </c>
      <c r="X17"/>
      <c r="Y17"/>
      <c r="Z17"/>
    </row>
    <row r="18" spans="1:26" ht="15.75" customHeight="1" x14ac:dyDescent="0.35">
      <c r="A18" s="86" t="s">
        <v>11</v>
      </c>
      <c r="B18" s="86"/>
      <c r="C18" s="83" t="s">
        <v>234</v>
      </c>
      <c r="D18" s="83"/>
      <c r="E18" s="113" t="s">
        <v>73</v>
      </c>
      <c r="F18" s="113"/>
      <c r="G18" s="113" t="s">
        <v>233</v>
      </c>
      <c r="H18" s="113"/>
      <c r="S18" s="57" t="s">
        <v>173</v>
      </c>
      <c r="T18" s="57" t="s">
        <v>180</v>
      </c>
      <c r="U18" s="57"/>
      <c r="V18" s="57" t="s">
        <v>188</v>
      </c>
      <c r="W18" s="57" t="s">
        <v>205</v>
      </c>
      <c r="X18"/>
      <c r="Y18"/>
      <c r="Z18"/>
    </row>
    <row r="19" spans="1:26" x14ac:dyDescent="0.35">
      <c r="A19" s="74" t="s">
        <v>13</v>
      </c>
      <c r="B19" s="74"/>
      <c r="C19" s="113" t="s">
        <v>235</v>
      </c>
      <c r="D19" s="113"/>
      <c r="E19" s="113" t="s">
        <v>12</v>
      </c>
      <c r="F19" s="113"/>
      <c r="G19" s="157" t="s">
        <v>182</v>
      </c>
      <c r="H19" s="157"/>
      <c r="S19" s="57" t="s">
        <v>174</v>
      </c>
      <c r="T19" s="57" t="s">
        <v>181</v>
      </c>
      <c r="U19" s="57"/>
      <c r="V19" s="57" t="s">
        <v>189</v>
      </c>
      <c r="W19" s="57" t="s">
        <v>206</v>
      </c>
      <c r="X19"/>
      <c r="Y19"/>
      <c r="Z19"/>
    </row>
    <row r="20" spans="1:26" x14ac:dyDescent="0.35">
      <c r="A20" s="74" t="s">
        <v>74</v>
      </c>
      <c r="B20" s="74"/>
      <c r="C20" s="113" t="s">
        <v>184</v>
      </c>
      <c r="D20" s="113"/>
      <c r="E20" s="113" t="s">
        <v>14</v>
      </c>
      <c r="F20" s="113"/>
      <c r="G20" s="113">
        <v>410208</v>
      </c>
      <c r="H20" s="113"/>
      <c r="S20" s="57"/>
      <c r="T20" s="57"/>
      <c r="U20" s="57"/>
      <c r="V20" s="57" t="s">
        <v>190</v>
      </c>
      <c r="W20" s="57" t="s">
        <v>207</v>
      </c>
      <c r="X20"/>
      <c r="Y20"/>
      <c r="Z20"/>
    </row>
    <row r="21" spans="1:26" ht="31.5" customHeight="1" x14ac:dyDescent="0.35">
      <c r="A21" s="74" t="s">
        <v>116</v>
      </c>
      <c r="B21" s="74"/>
      <c r="C21" s="113" t="s">
        <v>236</v>
      </c>
      <c r="D21" s="113"/>
      <c r="E21" s="113" t="s">
        <v>15</v>
      </c>
      <c r="F21" s="113"/>
      <c r="G21" s="113" t="s">
        <v>259</v>
      </c>
      <c r="H21" s="113"/>
      <c r="S21" s="57"/>
      <c r="T21" s="57"/>
      <c r="U21" s="57"/>
      <c r="V21" s="57" t="s">
        <v>191</v>
      </c>
      <c r="W21" s="57" t="s">
        <v>208</v>
      </c>
      <c r="X21"/>
      <c r="Y21"/>
      <c r="Z21"/>
    </row>
    <row r="22" spans="1:26" ht="15" customHeight="1" x14ac:dyDescent="0.35">
      <c r="A22" s="86" t="s">
        <v>75</v>
      </c>
      <c r="B22" s="86"/>
      <c r="C22" s="86"/>
      <c r="D22" s="86"/>
      <c r="E22" s="83" t="s">
        <v>16</v>
      </c>
      <c r="F22" s="83"/>
      <c r="G22" s="83"/>
      <c r="H22" s="83"/>
      <c r="S22" s="57"/>
      <c r="T22" s="57"/>
      <c r="U22" s="57"/>
      <c r="V22" s="57" t="s">
        <v>192</v>
      </c>
      <c r="W22" s="57" t="s">
        <v>209</v>
      </c>
      <c r="X22"/>
      <c r="Y22"/>
      <c r="Z22"/>
    </row>
    <row r="23" spans="1:26" ht="18.75" customHeight="1" x14ac:dyDescent="0.35">
      <c r="A23" s="86"/>
      <c r="B23" s="86"/>
      <c r="C23" s="86"/>
      <c r="D23" s="86"/>
      <c r="E23" s="83"/>
      <c r="F23" s="83"/>
      <c r="G23" s="83"/>
      <c r="H23" s="83"/>
      <c r="S23" s="57"/>
      <c r="T23" s="57"/>
      <c r="U23" s="57"/>
      <c r="V23" s="57" t="s">
        <v>193</v>
      </c>
      <c r="W23" s="57" t="s">
        <v>210</v>
      </c>
      <c r="X23"/>
      <c r="Y23"/>
      <c r="Z23"/>
    </row>
    <row r="24" spans="1:26" ht="15" customHeight="1" x14ac:dyDescent="0.35">
      <c r="A24" s="86" t="s">
        <v>17</v>
      </c>
      <c r="B24" s="86"/>
      <c r="C24" s="86"/>
      <c r="D24" s="86"/>
      <c r="E24" s="113" t="s">
        <v>18</v>
      </c>
      <c r="F24" s="113"/>
      <c r="G24" s="113"/>
      <c r="H24" s="113"/>
      <c r="S24" s="57"/>
      <c r="T24" s="57"/>
      <c r="U24" s="57"/>
      <c r="V24" s="57" t="s">
        <v>194</v>
      </c>
      <c r="W24" s="57" t="s">
        <v>211</v>
      </c>
      <c r="X24"/>
      <c r="Y24"/>
      <c r="Z24"/>
    </row>
    <row r="25" spans="1:26" ht="15" customHeight="1" x14ac:dyDescent="0.35">
      <c r="A25" s="74" t="s">
        <v>19</v>
      </c>
      <c r="B25" s="74"/>
      <c r="C25" s="74"/>
      <c r="D25" s="74"/>
      <c r="E25" s="113" t="str">
        <f>IF(AND(G19="Mumbai"),"Upper Class","Middle Class")</f>
        <v>Middle Class</v>
      </c>
      <c r="F25" s="113"/>
      <c r="G25" s="113"/>
      <c r="H25" s="113"/>
      <c r="S25" s="57"/>
      <c r="T25" s="57"/>
      <c r="U25" s="57"/>
      <c r="V25" s="57" t="s">
        <v>195</v>
      </c>
      <c r="W25" s="57" t="s">
        <v>212</v>
      </c>
      <c r="X25"/>
      <c r="Y25"/>
      <c r="Z25"/>
    </row>
    <row r="26" spans="1:26" x14ac:dyDescent="0.35">
      <c r="A26" s="74" t="s">
        <v>20</v>
      </c>
      <c r="B26" s="74"/>
      <c r="C26" s="74"/>
      <c r="D26" s="74"/>
      <c r="E26" s="113" t="s">
        <v>21</v>
      </c>
      <c r="F26" s="113"/>
      <c r="G26" s="113"/>
      <c r="H26" s="113"/>
      <c r="S26" s="57"/>
      <c r="T26" s="57"/>
      <c r="U26" s="57"/>
      <c r="V26" s="57" t="s">
        <v>196</v>
      </c>
      <c r="W26" s="57" t="s">
        <v>213</v>
      </c>
      <c r="X26"/>
      <c r="Y26"/>
      <c r="Z26"/>
    </row>
    <row r="27" spans="1:26" ht="15.75" customHeight="1" x14ac:dyDescent="0.35">
      <c r="A27" s="74" t="s">
        <v>22</v>
      </c>
      <c r="B27" s="74"/>
      <c r="C27" s="74"/>
      <c r="D27" s="74"/>
      <c r="E27" s="113" t="str">
        <f>IF(AND(G19="Mumbai"),"Developed","Developing")</f>
        <v>Developing</v>
      </c>
      <c r="F27" s="113"/>
      <c r="G27" s="113"/>
      <c r="H27" s="113"/>
    </row>
    <row r="28" spans="1:26" x14ac:dyDescent="0.35">
      <c r="A28" s="74" t="s">
        <v>23</v>
      </c>
      <c r="B28" s="74"/>
      <c r="C28" s="74"/>
      <c r="D28" s="74"/>
      <c r="E28" s="113" t="s">
        <v>24</v>
      </c>
      <c r="F28" s="113"/>
      <c r="G28" s="113"/>
      <c r="H28" s="113"/>
    </row>
    <row r="29" spans="1:26" ht="15.75" customHeight="1" x14ac:dyDescent="0.35">
      <c r="A29" s="74" t="s">
        <v>80</v>
      </c>
      <c r="B29" s="74"/>
      <c r="C29" s="74"/>
      <c r="D29" s="74"/>
      <c r="E29" s="113" t="s">
        <v>81</v>
      </c>
      <c r="F29" s="113"/>
      <c r="G29" s="113"/>
      <c r="H29" s="113"/>
    </row>
    <row r="30" spans="1:26" ht="15" customHeight="1" x14ac:dyDescent="0.35">
      <c r="A30" s="74" t="s">
        <v>32</v>
      </c>
      <c r="B30" s="74"/>
      <c r="C30" s="74"/>
      <c r="D30" s="74"/>
      <c r="E30" s="11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113"/>
      <c r="G30" s="113"/>
      <c r="H30" s="113"/>
    </row>
    <row r="31" spans="1:26" ht="15.75" customHeight="1" x14ac:dyDescent="0.35">
      <c r="A31" s="74" t="s">
        <v>92</v>
      </c>
      <c r="B31" s="74"/>
      <c r="C31" s="74"/>
      <c r="D31" s="74"/>
      <c r="E31" s="113" t="s">
        <v>33</v>
      </c>
      <c r="F31" s="113"/>
      <c r="G31" s="113"/>
      <c r="H31" s="113"/>
    </row>
    <row r="32" spans="1:26" s="21" customFormat="1" x14ac:dyDescent="0.35">
      <c r="A32" s="162" t="s">
        <v>93</v>
      </c>
      <c r="B32" s="162"/>
      <c r="C32" s="159" t="s">
        <v>164</v>
      </c>
      <c r="D32" s="160"/>
      <c r="E32" s="161"/>
      <c r="F32" s="159" t="s">
        <v>30</v>
      </c>
      <c r="G32" s="160"/>
      <c r="H32" s="161"/>
    </row>
    <row r="33" spans="1:8" s="21" customFormat="1" x14ac:dyDescent="0.35">
      <c r="A33" s="158" t="s">
        <v>25</v>
      </c>
      <c r="B33" s="158" t="s">
        <v>29</v>
      </c>
      <c r="C33" s="148" t="s">
        <v>238</v>
      </c>
      <c r="D33" s="149"/>
      <c r="E33" s="150"/>
      <c r="F33" s="148" t="s">
        <v>239</v>
      </c>
      <c r="G33" s="149"/>
      <c r="H33" s="150"/>
    </row>
    <row r="34" spans="1:8" ht="30.75" customHeight="1" x14ac:dyDescent="0.35">
      <c r="A34" s="163" t="s">
        <v>26</v>
      </c>
      <c r="B34" s="163" t="s">
        <v>29</v>
      </c>
      <c r="C34" s="164" t="s">
        <v>237</v>
      </c>
      <c r="D34" s="165"/>
      <c r="E34" s="166"/>
      <c r="F34" s="144" t="s">
        <v>266</v>
      </c>
      <c r="G34" s="145"/>
      <c r="H34" s="146"/>
    </row>
    <row r="35" spans="1:8" s="21" customFormat="1" x14ac:dyDescent="0.35">
      <c r="A35" s="158" t="s">
        <v>28</v>
      </c>
      <c r="B35" s="158" t="s">
        <v>29</v>
      </c>
      <c r="C35" s="148" t="s">
        <v>238</v>
      </c>
      <c r="D35" s="149"/>
      <c r="E35" s="150"/>
      <c r="F35" s="148" t="s">
        <v>239</v>
      </c>
      <c r="G35" s="149"/>
      <c r="H35" s="150"/>
    </row>
    <row r="36" spans="1:8" x14ac:dyDescent="0.35">
      <c r="A36" s="158" t="s">
        <v>27</v>
      </c>
      <c r="B36" s="158" t="s">
        <v>29</v>
      </c>
      <c r="C36" s="148" t="s">
        <v>238</v>
      </c>
      <c r="D36" s="149"/>
      <c r="E36" s="150"/>
      <c r="F36" s="148" t="s">
        <v>239</v>
      </c>
      <c r="G36" s="149"/>
      <c r="H36" s="150"/>
    </row>
    <row r="37" spans="1:8" x14ac:dyDescent="0.35">
      <c r="A37" s="74" t="s">
        <v>31</v>
      </c>
      <c r="B37" s="74"/>
      <c r="C37" s="74"/>
      <c r="D37" s="74"/>
      <c r="E37" s="74"/>
      <c r="F37" s="74"/>
      <c r="G37" s="74"/>
      <c r="H37" s="74"/>
    </row>
    <row r="38" spans="1:8" ht="15.75" customHeight="1" x14ac:dyDescent="0.35">
      <c r="A38" s="74" t="s">
        <v>157</v>
      </c>
      <c r="B38" s="74"/>
      <c r="C38" s="74" t="s">
        <v>270</v>
      </c>
      <c r="D38" s="74"/>
      <c r="E38" s="74"/>
      <c r="F38" s="74"/>
      <c r="G38" s="74"/>
      <c r="H38" s="74"/>
    </row>
    <row r="39" spans="1:8" x14ac:dyDescent="0.35">
      <c r="A39" s="74" t="s">
        <v>153</v>
      </c>
      <c r="B39" s="74"/>
      <c r="C39" s="171" t="s">
        <v>267</v>
      </c>
      <c r="D39" s="113"/>
      <c r="E39" s="113"/>
      <c r="F39" s="113"/>
      <c r="G39" s="113"/>
      <c r="H39" s="113"/>
    </row>
    <row r="40" spans="1:8" x14ac:dyDescent="0.35">
      <c r="A40" s="117" t="s">
        <v>34</v>
      </c>
      <c r="B40" s="117"/>
      <c r="C40" s="117"/>
      <c r="D40" s="117"/>
      <c r="E40" s="117"/>
      <c r="F40" s="117"/>
      <c r="G40" s="117"/>
      <c r="H40" s="117"/>
    </row>
    <row r="41" spans="1:8" x14ac:dyDescent="0.35">
      <c r="A41" s="74" t="s">
        <v>35</v>
      </c>
      <c r="B41" s="74"/>
      <c r="C41" s="74"/>
      <c r="D41" s="74"/>
      <c r="E41" s="167">
        <v>6680</v>
      </c>
      <c r="F41" s="167"/>
      <c r="G41" s="167"/>
      <c r="H41" s="167"/>
    </row>
    <row r="42" spans="1:8" x14ac:dyDescent="0.35">
      <c r="A42" s="74" t="s">
        <v>36</v>
      </c>
      <c r="B42" s="74"/>
      <c r="C42" s="74"/>
      <c r="D42" s="74"/>
      <c r="E42" s="147">
        <f>7348/E41</f>
        <v>1.1000000000000001</v>
      </c>
      <c r="F42" s="147"/>
      <c r="G42" s="147"/>
      <c r="H42" s="147"/>
    </row>
    <row r="43" spans="1:8" x14ac:dyDescent="0.35">
      <c r="A43" s="74" t="s">
        <v>37</v>
      </c>
      <c r="B43" s="74"/>
      <c r="C43" s="74"/>
      <c r="D43" s="74"/>
      <c r="E43" s="147">
        <f>E45/E41-E42</f>
        <v>1.4506199101796406</v>
      </c>
      <c r="F43" s="147"/>
      <c r="G43" s="147"/>
      <c r="H43" s="147"/>
    </row>
    <row r="44" spans="1:8" x14ac:dyDescent="0.35">
      <c r="A44" s="74" t="s">
        <v>38</v>
      </c>
      <c r="B44" s="74"/>
      <c r="C44" s="74"/>
      <c r="D44" s="74"/>
      <c r="E44" s="147">
        <f>E42+E43</f>
        <v>2.5506199101796407</v>
      </c>
      <c r="F44" s="147"/>
      <c r="G44" s="147"/>
      <c r="H44" s="147"/>
    </row>
    <row r="45" spans="1:8" x14ac:dyDescent="0.35">
      <c r="A45" s="74" t="s">
        <v>91</v>
      </c>
      <c r="B45" s="74"/>
      <c r="C45" s="74"/>
      <c r="D45" s="74"/>
      <c r="E45" s="170">
        <v>17038.141</v>
      </c>
      <c r="F45" s="170"/>
      <c r="G45" s="170"/>
      <c r="H45" s="170"/>
    </row>
    <row r="46" spans="1:8" x14ac:dyDescent="0.35">
      <c r="A46" s="83" t="s">
        <v>39</v>
      </c>
      <c r="B46" s="83"/>
      <c r="C46" s="83"/>
      <c r="D46" s="83"/>
      <c r="E46" s="83" t="s">
        <v>240</v>
      </c>
      <c r="F46" s="83"/>
      <c r="G46" s="83"/>
      <c r="H46" s="83"/>
    </row>
    <row r="47" spans="1:8" x14ac:dyDescent="0.35">
      <c r="A47" s="117" t="s">
        <v>40</v>
      </c>
      <c r="B47" s="117"/>
      <c r="C47" s="117"/>
      <c r="D47" s="117"/>
      <c r="E47" s="117"/>
      <c r="F47" s="117"/>
      <c r="G47" s="117"/>
      <c r="H47" s="117"/>
    </row>
    <row r="48" spans="1:8" ht="33.75" customHeight="1" x14ac:dyDescent="0.35">
      <c r="A48" s="107" t="s">
        <v>143</v>
      </c>
      <c r="B48" s="108"/>
      <c r="C48" s="172" t="s">
        <v>241</v>
      </c>
      <c r="D48" s="173"/>
      <c r="E48" s="173"/>
      <c r="F48" s="173"/>
      <c r="G48" s="173"/>
      <c r="H48" s="174"/>
    </row>
    <row r="49" spans="1:14" ht="15.75" customHeight="1" x14ac:dyDescent="0.35">
      <c r="A49" s="107" t="s">
        <v>41</v>
      </c>
      <c r="B49" s="108"/>
      <c r="C49" s="107" t="s">
        <v>242</v>
      </c>
      <c r="D49" s="109"/>
      <c r="E49" s="108"/>
      <c r="F49" s="17" t="s">
        <v>42</v>
      </c>
      <c r="G49" s="110">
        <v>45016</v>
      </c>
      <c r="H49" s="108"/>
    </row>
    <row r="50" spans="1:14" x14ac:dyDescent="0.35">
      <c r="A50" s="107" t="s">
        <v>43</v>
      </c>
      <c r="B50" s="108"/>
      <c r="C50" s="107" t="str">
        <f>C49</f>
        <v>PMP/NRV/16639/J.K.918/2023</v>
      </c>
      <c r="D50" s="109"/>
      <c r="E50" s="108"/>
      <c r="F50" s="17" t="s">
        <v>42</v>
      </c>
      <c r="G50" s="110">
        <f>G49</f>
        <v>45016</v>
      </c>
      <c r="H50" s="111"/>
    </row>
    <row r="51" spans="1:14" s="22" customFormat="1" ht="32.25" customHeight="1" x14ac:dyDescent="0.35">
      <c r="A51" s="86" t="s">
        <v>220</v>
      </c>
      <c r="B51" s="86"/>
      <c r="C51" s="107" t="s">
        <v>243</v>
      </c>
      <c r="D51" s="109"/>
      <c r="E51" s="108"/>
      <c r="F51" s="17" t="s">
        <v>42</v>
      </c>
      <c r="G51" s="110">
        <f>G50</f>
        <v>45016</v>
      </c>
      <c r="H51" s="111"/>
    </row>
    <row r="52" spans="1:14" s="22" customFormat="1" x14ac:dyDescent="0.35">
      <c r="A52" s="86" t="s">
        <v>221</v>
      </c>
      <c r="B52" s="86"/>
      <c r="C52" s="107" t="s">
        <v>262</v>
      </c>
      <c r="D52" s="109"/>
      <c r="E52" s="109"/>
      <c r="F52" s="109"/>
      <c r="G52" s="109"/>
      <c r="H52" s="108"/>
    </row>
    <row r="53" spans="1:14" x14ac:dyDescent="0.35">
      <c r="A53" s="151" t="s">
        <v>44</v>
      </c>
      <c r="B53" s="152"/>
      <c r="C53" s="151" t="s">
        <v>101</v>
      </c>
      <c r="D53" s="153"/>
      <c r="E53" s="152"/>
      <c r="F53" s="44" t="s">
        <v>42</v>
      </c>
      <c r="G53" s="142" t="s">
        <v>29</v>
      </c>
      <c r="H53" s="143"/>
    </row>
    <row r="54" spans="1:14" x14ac:dyDescent="0.35">
      <c r="A54" s="112" t="s">
        <v>46</v>
      </c>
      <c r="B54" s="112"/>
      <c r="C54" s="112"/>
      <c r="D54" s="112"/>
      <c r="E54" s="112"/>
      <c r="F54" s="112"/>
      <c r="G54" s="112"/>
      <c r="H54" s="112"/>
    </row>
    <row r="55" spans="1:14" x14ac:dyDescent="0.35">
      <c r="A55" s="86" t="s">
        <v>90</v>
      </c>
      <c r="B55" s="86"/>
      <c r="C55" s="86"/>
      <c r="D55" s="74">
        <f>E45</f>
        <v>17038.141</v>
      </c>
      <c r="E55" s="74"/>
      <c r="F55" s="74"/>
      <c r="G55" s="74"/>
      <c r="H55" s="74"/>
    </row>
    <row r="56" spans="1:14" x14ac:dyDescent="0.35">
      <c r="A56" s="113" t="s">
        <v>47</v>
      </c>
      <c r="B56" s="83"/>
      <c r="C56" s="83"/>
      <c r="D56" s="114" t="s">
        <v>258</v>
      </c>
      <c r="E56" s="114"/>
      <c r="F56" s="114"/>
      <c r="G56" s="114"/>
      <c r="H56" s="114"/>
      <c r="I56" s="23"/>
    </row>
    <row r="57" spans="1:14" x14ac:dyDescent="0.35">
      <c r="A57" s="139" t="s">
        <v>48</v>
      </c>
      <c r="B57" s="140"/>
      <c r="C57" s="141"/>
      <c r="D57" s="137" t="s">
        <v>260</v>
      </c>
      <c r="E57" s="138"/>
      <c r="F57" s="138"/>
      <c r="G57" s="138"/>
      <c r="H57" s="138"/>
    </row>
    <row r="58" spans="1:14" ht="15.75" customHeight="1" x14ac:dyDescent="0.35">
      <c r="A58" s="139" t="s">
        <v>88</v>
      </c>
      <c r="B58" s="140"/>
      <c r="C58" s="140"/>
      <c r="D58" s="175" t="s">
        <v>260</v>
      </c>
      <c r="E58" s="176"/>
      <c r="F58" s="176"/>
      <c r="G58" s="176"/>
      <c r="H58" s="177"/>
    </row>
    <row r="59" spans="1:14" ht="15.75" customHeight="1" x14ac:dyDescent="0.35">
      <c r="A59" s="74" t="s">
        <v>45</v>
      </c>
      <c r="B59" s="74"/>
      <c r="C59" s="74"/>
      <c r="D59" s="168" t="s">
        <v>244</v>
      </c>
      <c r="E59" s="168"/>
      <c r="F59" s="168"/>
      <c r="G59" s="168"/>
      <c r="H59" s="168"/>
      <c r="J59" s="24"/>
      <c r="K59" s="23"/>
      <c r="N59" s="23"/>
    </row>
    <row r="60" spans="1:14" ht="15.75" customHeight="1" x14ac:dyDescent="0.35">
      <c r="A60" s="74" t="s">
        <v>86</v>
      </c>
      <c r="B60" s="74"/>
      <c r="C60" s="74"/>
      <c r="D60" s="169" t="str">
        <f>(IF(G53="NA","60 Years After Completion",IF(G53&lt;&gt;"NA",""&amp;60-ROUNDDOWN((E3-G53)/360,0)&amp;" Years"," ")))</f>
        <v>60 Years After Completion</v>
      </c>
      <c r="E60" s="169"/>
      <c r="F60" s="169"/>
      <c r="G60" s="169"/>
      <c r="H60" s="169"/>
      <c r="N60" s="23"/>
    </row>
    <row r="61" spans="1:14" ht="15.75" customHeight="1" x14ac:dyDescent="0.35">
      <c r="A61" s="74" t="s">
        <v>87</v>
      </c>
      <c r="B61" s="74"/>
      <c r="C61" s="74"/>
      <c r="D61" s="86" t="s">
        <v>24</v>
      </c>
      <c r="E61" s="86"/>
      <c r="F61" s="86"/>
      <c r="G61" s="86"/>
      <c r="H61" s="86"/>
      <c r="J61" s="25"/>
      <c r="K61" s="25"/>
    </row>
    <row r="62" spans="1:14" ht="34" customHeight="1" x14ac:dyDescent="0.35">
      <c r="A62" s="83" t="s">
        <v>222</v>
      </c>
      <c r="B62" s="83"/>
      <c r="C62" s="83"/>
      <c r="D62" s="84" t="s">
        <v>263</v>
      </c>
      <c r="E62" s="84"/>
      <c r="F62" s="84"/>
      <c r="G62" s="84"/>
      <c r="H62" s="84"/>
    </row>
    <row r="63" spans="1:14" x14ac:dyDescent="0.35">
      <c r="A63" s="86" t="s">
        <v>142</v>
      </c>
      <c r="B63" s="86"/>
      <c r="C63" s="86"/>
      <c r="D63" s="86" t="s">
        <v>29</v>
      </c>
      <c r="E63" s="86"/>
      <c r="F63" s="86"/>
      <c r="G63" s="86"/>
      <c r="H63" s="86"/>
      <c r="I63" s="26"/>
      <c r="J63" s="26"/>
      <c r="K63" s="26"/>
      <c r="L63" s="26"/>
      <c r="M63" s="26"/>
      <c r="N63" s="26"/>
    </row>
    <row r="64" spans="1:14" ht="15.75" customHeight="1" x14ac:dyDescent="0.35">
      <c r="A64" s="87" t="s">
        <v>85</v>
      </c>
      <c r="B64" s="87"/>
      <c r="C64" s="87"/>
      <c r="D64" s="137" t="str">
        <f ca="1">(IF(G70&gt;95%,"Nothing",IF(G70&gt;0%,"Cement, Aggregate, Steel, etc",IF(G70=0%,"Work not yet Started"))))</f>
        <v>Cement, Aggregate, Steel, etc</v>
      </c>
      <c r="E64" s="137"/>
      <c r="F64" s="137"/>
      <c r="G64" s="137"/>
      <c r="H64" s="137"/>
      <c r="J64" s="25"/>
    </row>
    <row r="65" spans="1:10" ht="33.75" customHeight="1" thickBot="1" x14ac:dyDescent="0.4">
      <c r="A65" s="85" t="s">
        <v>114</v>
      </c>
      <c r="B65" s="85"/>
      <c r="C65" s="85"/>
      <c r="D65" s="137" t="str">
        <f ca="1">(IF(D64="Nothing","Yes",IF(D64="Cement, Aggregate, Steel, etc","Under Construction",IF(D64="Work not yet Started","Work not yet Started"))))</f>
        <v>Under Construction</v>
      </c>
      <c r="E65" s="137"/>
      <c r="F65" s="137" t="str">
        <f ca="1">(IF(D64="Nothing","Yes",IF(D64="Cement, Aggregate, Steel, etc","Under Construction",IF(D64="Work not yet Started","Work not yet Started"))))</f>
        <v>Under Construction</v>
      </c>
      <c r="G65" s="137"/>
      <c r="H65" s="137"/>
    </row>
    <row r="66" spans="1:10" ht="15.75" customHeight="1" x14ac:dyDescent="0.35">
      <c r="A66" s="96" t="s">
        <v>134</v>
      </c>
      <c r="B66" s="97"/>
      <c r="C66" s="98" t="s">
        <v>274</v>
      </c>
      <c r="D66" s="99"/>
      <c r="E66" s="99"/>
      <c r="F66" s="99"/>
      <c r="G66" s="99"/>
      <c r="H66" s="100"/>
      <c r="I66" s="48" t="str">
        <f ca="1">IF(D79=100%,"All work Completed. Possession granted to the Building.",IF(D78=100%,"All work Completed, Waiting for OC",I67&amp;""&amp;I68&amp;""&amp;J67&amp;""&amp;J66&amp;" "&amp;J68))</f>
        <v>Excavation, Plinth Completed, RCC upto 14 Slab, Brickwork upto 11 Floor, Internal Plaster upto 8 Floor, External Plaster upto 4 Floor Completed</v>
      </c>
      <c r="J66" s="49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14 Slab, Brickwork upto 11 Floor, Internal Plaster upto 8 Floor, External Plaster upto 4 Floor</v>
      </c>
    </row>
    <row r="67" spans="1:10" x14ac:dyDescent="0.35">
      <c r="A67" s="15" t="s">
        <v>136</v>
      </c>
      <c r="B67" s="52">
        <f>IF(AND(ISNUMBER(SEARCH("1B",C66))),1,IF(AND(ISNUMBER(SEARCH("2B",C66))),2,IF(AND(ISNUMBER(SEARCH("3B",C66))),3,IF(AND(ISNUMBER(SEARCH("4B",C66))),4,IF(ISNUMBER(SEARCH("5B",C66)),5,0)))))</f>
        <v>0</v>
      </c>
      <c r="C67" s="46" t="s">
        <v>72</v>
      </c>
      <c r="D67" s="46">
        <v>1</v>
      </c>
      <c r="E67" s="46" t="s">
        <v>71</v>
      </c>
      <c r="F67" s="53">
        <v>0</v>
      </c>
      <c r="G67" s="47" t="s">
        <v>79</v>
      </c>
      <c r="H67" s="16">
        <f ca="1">--TRIM(RIGHT(SUBSTITUTE(LEFT(C66,_xlfn.AGGREGATE(16,6,FIND({0,1,2,3,4,5,6,7,8,9},C66,ROW(INDIRECT("1:"&amp;LEN(C66)))),1))," ",REPT(" ",LEN(C66))),LEN(C66)))</f>
        <v>15</v>
      </c>
      <c r="I67" s="50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51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4.5" customHeight="1" x14ac:dyDescent="0.35">
      <c r="A68" s="89" t="s">
        <v>89</v>
      </c>
      <c r="B68" s="90"/>
      <c r="C68" s="101" t="str">
        <f ca="1">I66</f>
        <v>Excavation, Plinth Completed, RCC upto 14 Slab, Brickwork upto 11 Floor, Internal Plaster upto 8 Floor, External Plaster upto 4 Floor Completed</v>
      </c>
      <c r="D68" s="101"/>
      <c r="E68" s="101"/>
      <c r="F68" s="101"/>
      <c r="G68" s="101"/>
      <c r="H68" s="102"/>
      <c r="I68" s="50" t="str">
        <f ca="1">IF(I67&lt;&gt;""," Completed","")</f>
        <v xml:space="preserve"> Completed</v>
      </c>
      <c r="J68" s="51" t="str">
        <f ca="1">IF(J66&lt;&gt;"","Completed","")</f>
        <v>Completed</v>
      </c>
    </row>
    <row r="69" spans="1:10" ht="15.75" customHeight="1" x14ac:dyDescent="0.35">
      <c r="A69" s="72" t="s">
        <v>49</v>
      </c>
      <c r="B69" s="73"/>
      <c r="C69" s="42" t="s">
        <v>133</v>
      </c>
      <c r="D69" s="42" t="s">
        <v>82</v>
      </c>
      <c r="E69" s="73" t="s">
        <v>84</v>
      </c>
      <c r="F69" s="73"/>
      <c r="G69" s="73" t="s">
        <v>83</v>
      </c>
      <c r="H69" s="76"/>
      <c r="I69" s="13" t="s">
        <v>135</v>
      </c>
      <c r="J69" s="27">
        <f ca="1">H67*25%</f>
        <v>3.75</v>
      </c>
    </row>
    <row r="70" spans="1:10" x14ac:dyDescent="0.35">
      <c r="A70" s="72" t="s">
        <v>122</v>
      </c>
      <c r="B70" s="73"/>
      <c r="C70" s="42">
        <f ca="1">J71</f>
        <v>15</v>
      </c>
      <c r="D70" s="18">
        <f ca="1">((100/H67)*C70)/100</f>
        <v>1</v>
      </c>
      <c r="E70" s="77">
        <f ca="1">(((C71/H67*10)+(40/(D67+F67+H67)*C72)+(7.5/(H67)*C73)+(7.5/(H67)*C74)+(10/H67*C75)+(10/H67*C76)+(5/H67*C77)+(5/H67*C78)+(5/H67*C79))/100)</f>
        <v>0.57166666666666666</v>
      </c>
      <c r="F70" s="78"/>
      <c r="G70" s="77">
        <f ca="1">((((C70/H67)*20)+((C71/H67)*25)+(30/(H67+F67+D67)*C72)+(5/H67*C73)+(5/H67*C74)+(5/H67*C75)+(5/H67*C76)+(0/H67*C77)+(0/H67*C78)+(5/H67*C79))/100)</f>
        <v>0.78916666666666668</v>
      </c>
      <c r="H70" s="93"/>
      <c r="I70" s="13" t="s">
        <v>96</v>
      </c>
      <c r="J70" s="28">
        <f ca="1">H67*50%</f>
        <v>7.5</v>
      </c>
    </row>
    <row r="71" spans="1:10" x14ac:dyDescent="0.35">
      <c r="A71" s="72" t="s">
        <v>50</v>
      </c>
      <c r="B71" s="73"/>
      <c r="C71" s="54">
        <f ca="1">J79</f>
        <v>15</v>
      </c>
      <c r="D71" s="18">
        <f ca="1">((100/H67)*C71)/100</f>
        <v>1</v>
      </c>
      <c r="E71" s="79"/>
      <c r="F71" s="80"/>
      <c r="G71" s="79"/>
      <c r="H71" s="94"/>
      <c r="I71" s="13" t="s">
        <v>97</v>
      </c>
      <c r="J71" s="28">
        <f ca="1">H67</f>
        <v>15</v>
      </c>
    </row>
    <row r="72" spans="1:10" ht="15.75" customHeight="1" x14ac:dyDescent="0.35">
      <c r="A72" s="72" t="s">
        <v>123</v>
      </c>
      <c r="B72" s="73"/>
      <c r="C72" s="42">
        <v>14</v>
      </c>
      <c r="D72" s="18">
        <f ca="1">((100/(D67+F67+H67))*C72)/100</f>
        <v>0.875</v>
      </c>
      <c r="E72" s="79"/>
      <c r="F72" s="80"/>
      <c r="G72" s="79"/>
      <c r="H72" s="94"/>
      <c r="I72" s="13" t="s">
        <v>98</v>
      </c>
      <c r="J72" s="29">
        <f ca="1">(IF(B67&gt;1,(H67/(B67+2)),H67/4))</f>
        <v>3.75</v>
      </c>
    </row>
    <row r="73" spans="1:10" ht="15.75" customHeight="1" x14ac:dyDescent="0.35">
      <c r="A73" s="72" t="s">
        <v>130</v>
      </c>
      <c r="B73" s="73" t="s">
        <v>124</v>
      </c>
      <c r="C73" s="42">
        <v>11</v>
      </c>
      <c r="D73" s="18">
        <f ca="1">((100/H67)*C73)/100</f>
        <v>0.73333333333333339</v>
      </c>
      <c r="E73" s="79"/>
      <c r="F73" s="80"/>
      <c r="G73" s="79"/>
      <c r="H73" s="94"/>
      <c r="I73" s="13" t="s">
        <v>99</v>
      </c>
      <c r="J73" s="29">
        <f ca="1">(IF(B67&gt;1,(H67/(B67+2)+J72),H67/4+J72))</f>
        <v>7.5</v>
      </c>
    </row>
    <row r="74" spans="1:10" ht="15.75" customHeight="1" x14ac:dyDescent="0.35">
      <c r="A74" s="72" t="s">
        <v>131</v>
      </c>
      <c r="B74" s="73" t="s">
        <v>124</v>
      </c>
      <c r="C74" s="42">
        <v>8</v>
      </c>
      <c r="D74" s="18">
        <f ca="1">((100/H67)*C74)/100</f>
        <v>0.53333333333333333</v>
      </c>
      <c r="E74" s="79"/>
      <c r="F74" s="80"/>
      <c r="G74" s="79"/>
      <c r="H74" s="94"/>
      <c r="I74" s="13" t="s">
        <v>140</v>
      </c>
      <c r="J74" s="29">
        <f>(IF(B67&gt;1,(H67/(B67+2)+J73),0))</f>
        <v>0</v>
      </c>
    </row>
    <row r="75" spans="1:10" ht="15" customHeight="1" x14ac:dyDescent="0.35">
      <c r="A75" s="72" t="s">
        <v>129</v>
      </c>
      <c r="B75" s="73" t="s">
        <v>126</v>
      </c>
      <c r="C75" s="42">
        <v>4</v>
      </c>
      <c r="D75" s="18">
        <f ca="1">((100/(H67))*C75)/100</f>
        <v>0.26666666666666666</v>
      </c>
      <c r="E75" s="79"/>
      <c r="F75" s="80"/>
      <c r="G75" s="79"/>
      <c r="H75" s="94"/>
      <c r="I75" s="13" t="s">
        <v>137</v>
      </c>
      <c r="J75" s="29">
        <f>(IF(B67&gt;2,(H67/(B67+2)+J74),0))</f>
        <v>0</v>
      </c>
    </row>
    <row r="76" spans="1:10" ht="15.75" customHeight="1" x14ac:dyDescent="0.35">
      <c r="A76" s="72" t="s">
        <v>125</v>
      </c>
      <c r="B76" s="73" t="s">
        <v>125</v>
      </c>
      <c r="C76" s="42">
        <v>0</v>
      </c>
      <c r="D76" s="18">
        <f ca="1">((100/H67)*C76)/100</f>
        <v>0</v>
      </c>
      <c r="E76" s="79"/>
      <c r="F76" s="80"/>
      <c r="G76" s="79"/>
      <c r="H76" s="94"/>
      <c r="I76" s="13" t="s">
        <v>138</v>
      </c>
      <c r="J76" s="30">
        <f>(IF(B67&gt;3,(H67/(B67+2)+J75),0))</f>
        <v>0</v>
      </c>
    </row>
    <row r="77" spans="1:10" ht="15.75" customHeight="1" x14ac:dyDescent="0.35">
      <c r="A77" s="72" t="s">
        <v>132</v>
      </c>
      <c r="B77" s="73"/>
      <c r="C77" s="42">
        <v>0</v>
      </c>
      <c r="D77" s="18">
        <f ca="1">((100/H67)*C77)/100</f>
        <v>0</v>
      </c>
      <c r="E77" s="79"/>
      <c r="F77" s="80"/>
      <c r="G77" s="79"/>
      <c r="H77" s="94"/>
      <c r="I77" s="13" t="s">
        <v>139</v>
      </c>
      <c r="J77" s="29">
        <f>(IF(B67&gt;4,(H67/(B67+2)+J76),0))</f>
        <v>0</v>
      </c>
    </row>
    <row r="78" spans="1:10" ht="15.75" customHeight="1" x14ac:dyDescent="0.35">
      <c r="A78" s="72" t="s">
        <v>127</v>
      </c>
      <c r="B78" s="73" t="s">
        <v>127</v>
      </c>
      <c r="C78" s="42">
        <v>0</v>
      </c>
      <c r="D78" s="18">
        <f ca="1">((100/(H67))*C78)/100</f>
        <v>0</v>
      </c>
      <c r="E78" s="79"/>
      <c r="F78" s="80"/>
      <c r="G78" s="79"/>
      <c r="H78" s="94"/>
      <c r="I78" s="13" t="s">
        <v>141</v>
      </c>
      <c r="J78" s="29">
        <f ca="1">(IF(B67=1,(H67/(B67+3)+J73),IF(B67=0,(H67/4+J73),IF(B67&gt;1,0))))</f>
        <v>11.25</v>
      </c>
    </row>
    <row r="79" spans="1:10" ht="16" thickBot="1" x14ac:dyDescent="0.4">
      <c r="A79" s="91" t="s">
        <v>128</v>
      </c>
      <c r="B79" s="92"/>
      <c r="C79" s="43">
        <v>0</v>
      </c>
      <c r="D79" s="19">
        <f ca="1">((100/(H67))*C79)/100</f>
        <v>0</v>
      </c>
      <c r="E79" s="81"/>
      <c r="F79" s="82"/>
      <c r="G79" s="81"/>
      <c r="H79" s="95"/>
      <c r="I79" s="14" t="s">
        <v>100</v>
      </c>
      <c r="J79" s="31">
        <f ca="1">(IF(B67&gt;1.5,(H67/(B67+2)+J73+MAX(0,J74-J73)+MAX(0,J75-J74)+MAX(0,J76-J75)+MAX(0,J77-J76)+MAX(0,J78-J77)),IF(B67=1,(H67/(B67+3)+J78),IF(B67=0,H67/4+J78))))</f>
        <v>15</v>
      </c>
    </row>
    <row r="80" spans="1:10" ht="15.75" customHeight="1" x14ac:dyDescent="0.35">
      <c r="A80" s="96" t="s">
        <v>134</v>
      </c>
      <c r="B80" s="97"/>
      <c r="C80" s="98" t="s">
        <v>269</v>
      </c>
      <c r="D80" s="99"/>
      <c r="E80" s="99"/>
      <c r="F80" s="99"/>
      <c r="G80" s="99"/>
      <c r="H80" s="100"/>
      <c r="I80" s="48" t="str">
        <f ca="1">IF(D93=100%,"All work Completed. Possession granted to the Building.",IF(D92=100%,"All work Completed, Waiting for OC",I81&amp;""&amp;I82&amp;""&amp;J81&amp;""&amp;J80&amp;" "&amp;J82))</f>
        <v>Excavation, Plinth Completed, RCC upto 14 Slab, Brickwork upto 11 Floor, Internal Plaster upto 8 Floor, External Plaster upto 4 Floor Completed</v>
      </c>
      <c r="J80" s="49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RCC upto 14 Slab, Brickwork upto 11 Floor, Internal Plaster upto 8 Floor, External Plaster upto 4 Floor</v>
      </c>
    </row>
    <row r="81" spans="1:10" x14ac:dyDescent="0.35">
      <c r="A81" s="15" t="s">
        <v>136</v>
      </c>
      <c r="B81" s="53">
        <f>IF(AND(ISNUMBER(SEARCH("1B",C80))),1,IF(AND(ISNUMBER(SEARCH("2B",C80))),2,IF(AND(ISNUMBER(SEARCH("3B",C80))),3,IF(AND(ISNUMBER(SEARCH("4B",C80))),4,IF(ISNUMBER(SEARCH("5B",C80)),5,0)))))</f>
        <v>0</v>
      </c>
      <c r="C81" s="53" t="s">
        <v>72</v>
      </c>
      <c r="D81" s="53">
        <v>1</v>
      </c>
      <c r="E81" s="53" t="s">
        <v>71</v>
      </c>
      <c r="F81" s="53">
        <v>0</v>
      </c>
      <c r="G81" s="47" t="s">
        <v>79</v>
      </c>
      <c r="H81" s="16">
        <f ca="1">--TRIM(RIGHT(SUBSTITUTE(LEFT(C80,_xlfn.AGGREGATE(16,6,FIND({0,1,2,3,4,5,6,7,8,9},C80,ROW(INDIRECT("1:"&amp;LEN(C80)))),1))," ",REPT(" ",LEN(C80))),LEN(C80)))</f>
        <v>15</v>
      </c>
      <c r="I81" s="50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</v>
      </c>
      <c r="J81" s="51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3" customHeight="1" x14ac:dyDescent="0.35">
      <c r="A82" s="89" t="s">
        <v>89</v>
      </c>
      <c r="B82" s="90"/>
      <c r="C82" s="101" t="str">
        <f ca="1">I80</f>
        <v>Excavation, Plinth Completed, RCC upto 14 Slab, Brickwork upto 11 Floor, Internal Plaster upto 8 Floor, External Plaster upto 4 Floor Completed</v>
      </c>
      <c r="D82" s="101"/>
      <c r="E82" s="101"/>
      <c r="F82" s="101"/>
      <c r="G82" s="101"/>
      <c r="H82" s="102"/>
      <c r="I82" s="50" t="str">
        <f ca="1">IF(I81&lt;&gt;""," Completed","")</f>
        <v xml:space="preserve"> Completed</v>
      </c>
      <c r="J82" s="51" t="str">
        <f ca="1">IF(J80&lt;&gt;"","Completed","")</f>
        <v>Completed</v>
      </c>
    </row>
    <row r="83" spans="1:10" ht="15.75" customHeight="1" x14ac:dyDescent="0.35">
      <c r="A83" s="72" t="s">
        <v>49</v>
      </c>
      <c r="B83" s="73"/>
      <c r="C83" s="69" t="s">
        <v>133</v>
      </c>
      <c r="D83" s="69" t="s">
        <v>82</v>
      </c>
      <c r="E83" s="73" t="s">
        <v>84</v>
      </c>
      <c r="F83" s="73"/>
      <c r="G83" s="73" t="s">
        <v>83</v>
      </c>
      <c r="H83" s="76"/>
      <c r="I83" s="13" t="s">
        <v>135</v>
      </c>
      <c r="J83" s="27">
        <f ca="1">H81*25%</f>
        <v>3.75</v>
      </c>
    </row>
    <row r="84" spans="1:10" x14ac:dyDescent="0.35">
      <c r="A84" s="72" t="s">
        <v>122</v>
      </c>
      <c r="B84" s="73"/>
      <c r="C84" s="69">
        <f ca="1">J85</f>
        <v>15</v>
      </c>
      <c r="D84" s="18">
        <f ca="1">((100/H81)*C84)/100</f>
        <v>1</v>
      </c>
      <c r="E84" s="77">
        <f ca="1">(((C85/H81*10)+(40/(D81+F81+H81)*C86)+(7.5/(H81)*C87)+(7.5/(H81)*C88)+(10/H81*C89)+(10/H81*C90)+(5/H81*C91)+(5/H81*C92)+(5/H81*C93))/100)</f>
        <v>0.57166666666666666</v>
      </c>
      <c r="F84" s="78"/>
      <c r="G84" s="77">
        <f ca="1">((((C84/H81)*20)+((C85/H81)*25)+(30/(H81+F81+D81)*C86)+(5/H81*C87)+(5/H81*C88)+(5/H81*C89)+(5/H81*C90)+(0/H81*C91)+(0/H81*C92)+(5/H81*C93))/100)</f>
        <v>0.78916666666666668</v>
      </c>
      <c r="H84" s="93"/>
      <c r="I84" s="13" t="s">
        <v>96</v>
      </c>
      <c r="J84" s="28">
        <f ca="1">H81*50%</f>
        <v>7.5</v>
      </c>
    </row>
    <row r="85" spans="1:10" x14ac:dyDescent="0.35">
      <c r="A85" s="72" t="s">
        <v>50</v>
      </c>
      <c r="B85" s="73"/>
      <c r="C85" s="54">
        <f ca="1">J93</f>
        <v>15</v>
      </c>
      <c r="D85" s="18">
        <f ca="1">((100/H81)*C85)/100</f>
        <v>1</v>
      </c>
      <c r="E85" s="79"/>
      <c r="F85" s="80"/>
      <c r="G85" s="79"/>
      <c r="H85" s="94"/>
      <c r="I85" s="13" t="s">
        <v>97</v>
      </c>
      <c r="J85" s="28">
        <f ca="1">H81</f>
        <v>15</v>
      </c>
    </row>
    <row r="86" spans="1:10" ht="15.75" customHeight="1" x14ac:dyDescent="0.35">
      <c r="A86" s="72" t="s">
        <v>123</v>
      </c>
      <c r="B86" s="73"/>
      <c r="C86" s="69">
        <v>14</v>
      </c>
      <c r="D86" s="18">
        <f ca="1">((100/(D81+F81+H81))*C86)/100</f>
        <v>0.875</v>
      </c>
      <c r="E86" s="79"/>
      <c r="F86" s="80"/>
      <c r="G86" s="79"/>
      <c r="H86" s="94"/>
      <c r="I86" s="13" t="s">
        <v>98</v>
      </c>
      <c r="J86" s="29">
        <f ca="1">(IF(B81&gt;1,(H81/(B81+2)),H81/4))</f>
        <v>3.75</v>
      </c>
    </row>
    <row r="87" spans="1:10" ht="15.75" customHeight="1" x14ac:dyDescent="0.35">
      <c r="A87" s="72" t="s">
        <v>130</v>
      </c>
      <c r="B87" s="73" t="s">
        <v>124</v>
      </c>
      <c r="C87" s="69">
        <v>11</v>
      </c>
      <c r="D87" s="18">
        <f ca="1">((100/H81)*C87)/100</f>
        <v>0.73333333333333339</v>
      </c>
      <c r="E87" s="79"/>
      <c r="F87" s="80"/>
      <c r="G87" s="79"/>
      <c r="H87" s="94"/>
      <c r="I87" s="13" t="s">
        <v>99</v>
      </c>
      <c r="J87" s="29">
        <f ca="1">(IF(B81&gt;1,(H81/(B81+2)+J86),H81/4+J86))</f>
        <v>7.5</v>
      </c>
    </row>
    <row r="88" spans="1:10" ht="15.75" customHeight="1" x14ac:dyDescent="0.35">
      <c r="A88" s="72" t="s">
        <v>131</v>
      </c>
      <c r="B88" s="73" t="s">
        <v>124</v>
      </c>
      <c r="C88" s="69">
        <v>8</v>
      </c>
      <c r="D88" s="18">
        <f ca="1">((100/H81)*C88)/100</f>
        <v>0.53333333333333333</v>
      </c>
      <c r="E88" s="79"/>
      <c r="F88" s="80"/>
      <c r="G88" s="79"/>
      <c r="H88" s="94"/>
      <c r="I88" s="13" t="s">
        <v>140</v>
      </c>
      <c r="J88" s="29">
        <f>(IF(B81&gt;1,(H81/(B81+2)+J87),0))</f>
        <v>0</v>
      </c>
    </row>
    <row r="89" spans="1:10" ht="15" customHeight="1" x14ac:dyDescent="0.35">
      <c r="A89" s="72" t="s">
        <v>129</v>
      </c>
      <c r="B89" s="73" t="s">
        <v>126</v>
      </c>
      <c r="C89" s="69">
        <v>4</v>
      </c>
      <c r="D89" s="18">
        <f ca="1">((100/(H81))*C89)/100</f>
        <v>0.26666666666666666</v>
      </c>
      <c r="E89" s="79"/>
      <c r="F89" s="80"/>
      <c r="G89" s="79"/>
      <c r="H89" s="94"/>
      <c r="I89" s="13" t="s">
        <v>137</v>
      </c>
      <c r="J89" s="29">
        <f>(IF(B81&gt;2,(H81/(B81+2)+J88),0))</f>
        <v>0</v>
      </c>
    </row>
    <row r="90" spans="1:10" ht="15.75" customHeight="1" x14ac:dyDescent="0.35">
      <c r="A90" s="72" t="s">
        <v>125</v>
      </c>
      <c r="B90" s="73" t="s">
        <v>125</v>
      </c>
      <c r="C90" s="69">
        <v>0</v>
      </c>
      <c r="D90" s="18">
        <f ca="1">((100/H81)*C90)/100</f>
        <v>0</v>
      </c>
      <c r="E90" s="79"/>
      <c r="F90" s="80"/>
      <c r="G90" s="79"/>
      <c r="H90" s="94"/>
      <c r="I90" s="13" t="s">
        <v>138</v>
      </c>
      <c r="J90" s="30">
        <f>(IF(B81&gt;3,(H81/(B81+2)+J89),0))</f>
        <v>0</v>
      </c>
    </row>
    <row r="91" spans="1:10" ht="15.75" customHeight="1" x14ac:dyDescent="0.35">
      <c r="A91" s="72" t="s">
        <v>132</v>
      </c>
      <c r="B91" s="73"/>
      <c r="C91" s="69">
        <v>0</v>
      </c>
      <c r="D91" s="18">
        <f ca="1">((100/H81)*C91)/100</f>
        <v>0</v>
      </c>
      <c r="E91" s="79"/>
      <c r="F91" s="80"/>
      <c r="G91" s="79"/>
      <c r="H91" s="94"/>
      <c r="I91" s="13" t="s">
        <v>139</v>
      </c>
      <c r="J91" s="29">
        <f>(IF(B81&gt;4,(H81/(B81+2)+J90),0))</f>
        <v>0</v>
      </c>
    </row>
    <row r="92" spans="1:10" ht="15.75" customHeight="1" x14ac:dyDescent="0.35">
      <c r="A92" s="72" t="s">
        <v>127</v>
      </c>
      <c r="B92" s="73" t="s">
        <v>127</v>
      </c>
      <c r="C92" s="69">
        <v>0</v>
      </c>
      <c r="D92" s="18">
        <f ca="1">((100/(H81))*C92)/100</f>
        <v>0</v>
      </c>
      <c r="E92" s="79"/>
      <c r="F92" s="80"/>
      <c r="G92" s="79"/>
      <c r="H92" s="94"/>
      <c r="I92" s="13" t="s">
        <v>141</v>
      </c>
      <c r="J92" s="29">
        <f ca="1">(IF(B81=1,(H81/(B81+3)+J87),IF(B81=0,(H81/4+J87),IF(B81&gt;1,0))))</f>
        <v>11.25</v>
      </c>
    </row>
    <row r="93" spans="1:10" ht="16" thickBot="1" x14ac:dyDescent="0.4">
      <c r="A93" s="91" t="s">
        <v>128</v>
      </c>
      <c r="B93" s="92"/>
      <c r="C93" s="70">
        <v>0</v>
      </c>
      <c r="D93" s="19">
        <f ca="1">((100/(H81))*C93)/100</f>
        <v>0</v>
      </c>
      <c r="E93" s="81"/>
      <c r="F93" s="82"/>
      <c r="G93" s="81"/>
      <c r="H93" s="95"/>
      <c r="I93" s="14" t="s">
        <v>100</v>
      </c>
      <c r="J93" s="31">
        <f ca="1">(IF(B81&gt;1.5,(H81/(B81+2)+J87+MAX(0,J88-J87)+MAX(0,J89-J88)+MAX(0,J90-J89)+MAX(0,J91-J90)+MAX(0,J92-J91)),IF(B81=1,(H81/(B81+3)+J92),IF(B81=0,H81/4+J92))))</f>
        <v>15</v>
      </c>
    </row>
    <row r="94" spans="1:10" x14ac:dyDescent="0.35">
      <c r="A94" s="132" t="s">
        <v>147</v>
      </c>
      <c r="B94" s="132"/>
      <c r="C94" s="132"/>
      <c r="D94" s="132"/>
      <c r="E94" s="132"/>
      <c r="F94" s="104" t="s">
        <v>151</v>
      </c>
      <c r="G94" s="104"/>
      <c r="H94" s="104"/>
    </row>
    <row r="95" spans="1:10" x14ac:dyDescent="0.35">
      <c r="A95" s="74" t="s">
        <v>149</v>
      </c>
      <c r="B95" s="74"/>
      <c r="C95" s="74"/>
      <c r="D95" s="74"/>
      <c r="E95" s="74"/>
      <c r="F95" s="88">
        <v>4800</v>
      </c>
      <c r="G95" s="88"/>
      <c r="H95" s="88"/>
      <c r="I95" s="20" t="s">
        <v>271</v>
      </c>
      <c r="J95" s="20" t="s">
        <v>272</v>
      </c>
    </row>
    <row r="96" spans="1:10" hidden="1" x14ac:dyDescent="0.35">
      <c r="A96" s="74" t="s">
        <v>148</v>
      </c>
      <c r="B96" s="74"/>
      <c r="C96" s="74"/>
      <c r="D96" s="74"/>
      <c r="E96" s="74"/>
      <c r="F96" s="75"/>
      <c r="G96" s="75"/>
      <c r="H96" s="75"/>
    </row>
    <row r="97" spans="1:9" hidden="1" x14ac:dyDescent="0.35">
      <c r="A97" s="74" t="s">
        <v>150</v>
      </c>
      <c r="B97" s="74"/>
      <c r="C97" s="74"/>
      <c r="D97" s="74"/>
      <c r="E97" s="74"/>
      <c r="F97" s="75"/>
      <c r="G97" s="75"/>
      <c r="H97" s="75"/>
    </row>
    <row r="98" spans="1:9" s="32" customFormat="1" hidden="1" x14ac:dyDescent="0.3">
      <c r="A98" s="74" t="s">
        <v>165</v>
      </c>
      <c r="B98" s="74"/>
      <c r="C98" s="74"/>
      <c r="D98" s="74"/>
      <c r="E98" s="74"/>
      <c r="F98" s="75"/>
      <c r="G98" s="75"/>
      <c r="H98" s="75"/>
    </row>
    <row r="99" spans="1:9" s="32" customFormat="1" x14ac:dyDescent="0.3">
      <c r="A99" s="74" t="s">
        <v>268</v>
      </c>
      <c r="B99" s="74"/>
      <c r="C99" s="74"/>
      <c r="D99" s="74"/>
      <c r="E99" s="74"/>
      <c r="F99" s="75">
        <v>175000</v>
      </c>
      <c r="G99" s="75"/>
      <c r="H99" s="75"/>
    </row>
    <row r="100" spans="1:9" s="32" customFormat="1" hidden="1" x14ac:dyDescent="0.3">
      <c r="A100" s="74" t="s">
        <v>152</v>
      </c>
      <c r="B100" s="74"/>
      <c r="C100" s="74"/>
      <c r="D100" s="74"/>
      <c r="E100" s="74"/>
      <c r="F100" s="75"/>
      <c r="G100" s="75"/>
      <c r="H100" s="75"/>
    </row>
    <row r="101" spans="1:9" s="32" customFormat="1" hidden="1" x14ac:dyDescent="0.3">
      <c r="A101" s="74" t="s">
        <v>94</v>
      </c>
      <c r="B101" s="74"/>
      <c r="C101" s="74"/>
      <c r="D101" s="74"/>
      <c r="E101" s="74"/>
      <c r="F101" s="75"/>
      <c r="G101" s="75"/>
      <c r="H101" s="75"/>
    </row>
    <row r="102" spans="1:9" s="32" customFormat="1" x14ac:dyDescent="0.3">
      <c r="A102" s="74" t="s">
        <v>265</v>
      </c>
      <c r="B102" s="74"/>
      <c r="C102" s="74"/>
      <c r="D102" s="74"/>
      <c r="E102" s="74"/>
      <c r="F102" s="75">
        <v>50000</v>
      </c>
      <c r="G102" s="75"/>
      <c r="H102" s="75"/>
      <c r="I102" s="32">
        <f>300000-130000</f>
        <v>170000</v>
      </c>
    </row>
    <row r="103" spans="1:9" s="32" customFormat="1" x14ac:dyDescent="0.3">
      <c r="A103" s="74" t="s">
        <v>264</v>
      </c>
      <c r="B103" s="74"/>
      <c r="C103" s="74"/>
      <c r="D103" s="74"/>
      <c r="E103" s="74"/>
      <c r="F103" s="75">
        <v>50000</v>
      </c>
      <c r="G103" s="75"/>
      <c r="H103" s="75"/>
    </row>
    <row r="104" spans="1:9" s="32" customFormat="1" x14ac:dyDescent="0.3">
      <c r="A104" s="74" t="s">
        <v>95</v>
      </c>
      <c r="B104" s="74"/>
      <c r="C104" s="74"/>
      <c r="D104" s="74"/>
      <c r="E104" s="74"/>
      <c r="F104" s="75">
        <v>30000</v>
      </c>
      <c r="G104" s="75"/>
      <c r="H104" s="75"/>
    </row>
    <row r="105" spans="1:9" x14ac:dyDescent="0.35">
      <c r="A105" s="74" t="s">
        <v>51</v>
      </c>
      <c r="B105" s="74"/>
      <c r="C105" s="74"/>
      <c r="D105" s="74"/>
      <c r="E105" s="74"/>
      <c r="F105" s="88">
        <v>300000</v>
      </c>
      <c r="G105" s="88"/>
      <c r="H105" s="88"/>
    </row>
    <row r="106" spans="1:9" s="33" customFormat="1" x14ac:dyDescent="0.35">
      <c r="A106" s="117" t="s">
        <v>52</v>
      </c>
      <c r="B106" s="117"/>
      <c r="C106" s="117"/>
      <c r="D106" s="117"/>
      <c r="E106" s="117"/>
      <c r="F106" s="75">
        <f>F95*0.8</f>
        <v>3840</v>
      </c>
      <c r="G106" s="75"/>
      <c r="H106" s="75"/>
    </row>
    <row r="107" spans="1:9" s="34" customFormat="1" x14ac:dyDescent="0.35">
      <c r="A107" s="119" t="s">
        <v>70</v>
      </c>
      <c r="B107" s="119"/>
      <c r="C107" s="119"/>
      <c r="D107" s="119"/>
      <c r="E107" s="119"/>
      <c r="F107" s="119"/>
      <c r="G107" s="119"/>
      <c r="H107" s="119"/>
    </row>
    <row r="108" spans="1:9" s="34" customFormat="1" ht="15.75" customHeight="1" x14ac:dyDescent="0.35">
      <c r="A108" s="106" t="s">
        <v>53</v>
      </c>
      <c r="B108" s="106"/>
      <c r="C108" s="103" t="s">
        <v>77</v>
      </c>
      <c r="D108" s="103"/>
      <c r="E108" s="105" t="s">
        <v>54</v>
      </c>
      <c r="F108" s="105"/>
      <c r="G108" s="106" t="s">
        <v>55</v>
      </c>
      <c r="H108" s="106"/>
    </row>
    <row r="109" spans="1:9" s="34" customFormat="1" x14ac:dyDescent="0.35">
      <c r="A109" s="118" t="s">
        <v>245</v>
      </c>
      <c r="B109" s="118"/>
      <c r="C109" s="178">
        <f>COUNT(D119:D126)*13+COUNT(D128:D134)*2</f>
        <v>118</v>
      </c>
      <c r="D109" s="178"/>
      <c r="E109" s="179">
        <f>SUM(D119:D126)*13+SUM(D128:D134)*2</f>
        <v>66222.711360000016</v>
      </c>
      <c r="F109" s="179"/>
      <c r="G109" s="179">
        <f>SUM(F119:F126)*13+SUM(F128:F134)*2</f>
        <v>115670</v>
      </c>
      <c r="H109" s="179"/>
    </row>
    <row r="110" spans="1:9" s="34" customFormat="1" ht="16" thickBot="1" x14ac:dyDescent="0.4">
      <c r="A110" s="118" t="s">
        <v>252</v>
      </c>
      <c r="B110" s="118"/>
      <c r="C110" s="178">
        <f>COUNT(D139:D147)*13+COUNT(D149:D152,D154:D157)*2</f>
        <v>133</v>
      </c>
      <c r="D110" s="178"/>
      <c r="E110" s="179">
        <f>SUM(D139:D147)*13+SUM(D149:D152,D154:D157)*2</f>
        <v>61876.934729999979</v>
      </c>
      <c r="F110" s="179"/>
      <c r="G110" s="179">
        <f>SUM(F139:F147)*13+SUM(F149:F152,F154:F157)*2</f>
        <v>107870</v>
      </c>
      <c r="H110" s="179"/>
    </row>
    <row r="111" spans="1:9" s="34" customFormat="1" ht="16" thickBot="1" x14ac:dyDescent="0.4">
      <c r="A111" s="183" t="s">
        <v>158</v>
      </c>
      <c r="B111" s="184"/>
      <c r="C111" s="126">
        <f>C109+C110</f>
        <v>251</v>
      </c>
      <c r="D111" s="127"/>
      <c r="E111" s="126">
        <f>E109+E110</f>
        <v>128099.64608999999</v>
      </c>
      <c r="F111" s="127"/>
      <c r="G111" s="126">
        <f>G109+G110</f>
        <v>223540</v>
      </c>
      <c r="H111" s="127"/>
    </row>
    <row r="112" spans="1:9" s="33" customFormat="1" x14ac:dyDescent="0.35">
      <c r="A112" s="104" t="s">
        <v>56</v>
      </c>
      <c r="B112" s="104"/>
      <c r="C112" s="104"/>
      <c r="D112" s="104"/>
      <c r="E112" s="104"/>
      <c r="F112" s="104"/>
      <c r="G112" s="104"/>
      <c r="H112" s="104"/>
    </row>
    <row r="113" spans="1:14" x14ac:dyDescent="0.35">
      <c r="A113" s="155" t="s">
        <v>257</v>
      </c>
      <c r="B113" s="155"/>
      <c r="C113" s="155"/>
      <c r="D113" s="155"/>
      <c r="E113" s="155"/>
      <c r="F113" s="155"/>
      <c r="G113" s="155"/>
      <c r="H113" s="155"/>
    </row>
    <row r="114" spans="1:14" ht="47.25" customHeight="1" x14ac:dyDescent="0.35">
      <c r="A114" s="62" t="s">
        <v>115</v>
      </c>
      <c r="B114" s="59" t="s">
        <v>166</v>
      </c>
      <c r="C114" s="59" t="s">
        <v>57</v>
      </c>
      <c r="D114" s="59" t="s">
        <v>58</v>
      </c>
      <c r="E114" s="61" t="s">
        <v>59</v>
      </c>
      <c r="F114" s="55" t="s">
        <v>255</v>
      </c>
      <c r="G114" s="181" t="s">
        <v>60</v>
      </c>
      <c r="H114" s="182"/>
      <c r="I114" s="35"/>
    </row>
    <row r="115" spans="1:14" s="63" customFormat="1" ht="15.75" hidden="1" customHeight="1" x14ac:dyDescent="0.35">
      <c r="A115" s="185" t="s">
        <v>253</v>
      </c>
      <c r="B115" s="186"/>
      <c r="C115" s="186"/>
      <c r="D115" s="186"/>
      <c r="E115" s="186"/>
      <c r="F115" s="186"/>
      <c r="G115" s="186"/>
      <c r="H115" s="187"/>
      <c r="J115" s="64"/>
    </row>
    <row r="116" spans="1:14" s="60" customFormat="1" x14ac:dyDescent="0.35">
      <c r="A116" s="129" t="s">
        <v>245</v>
      </c>
      <c r="B116" s="130"/>
      <c r="C116" s="130"/>
      <c r="D116" s="130"/>
      <c r="E116" s="130"/>
      <c r="F116" s="130"/>
      <c r="G116" s="130"/>
      <c r="H116" s="131"/>
      <c r="J116" s="35"/>
    </row>
    <row r="117" spans="1:14" s="60" customFormat="1" x14ac:dyDescent="0.35">
      <c r="A117" s="129" t="s">
        <v>246</v>
      </c>
      <c r="B117" s="130"/>
      <c r="C117" s="130"/>
      <c r="D117" s="130"/>
      <c r="E117" s="130"/>
      <c r="F117" s="130"/>
      <c r="G117" s="130"/>
      <c r="H117" s="131"/>
      <c r="J117" s="35"/>
    </row>
    <row r="118" spans="1:14" s="36" customFormat="1" x14ac:dyDescent="0.35">
      <c r="A118" s="129" t="s">
        <v>247</v>
      </c>
      <c r="B118" s="130"/>
      <c r="C118" s="130"/>
      <c r="D118" s="130"/>
      <c r="E118" s="130"/>
      <c r="F118" s="130"/>
      <c r="G118" s="130"/>
      <c r="H118" s="131"/>
      <c r="J118" s="35"/>
    </row>
    <row r="119" spans="1:14" s="36" customFormat="1" ht="15.75" customHeight="1" x14ac:dyDescent="0.35">
      <c r="A119" s="134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10^ROW(INDIRECT("1:"&amp;LEN((LEFT(A118,SUM(LEN(A118)-LEN(SUBSTITUTE(A118,{"0","1","2"},""))))))))/10))*100+1&amp;""&amp;" ,..,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",LEN(A118))),LEN(A118)))))))/10))*100+1</f>
        <v>101 ,.., 1501</v>
      </c>
      <c r="B119" s="135"/>
      <c r="C119" s="41" t="s">
        <v>248</v>
      </c>
      <c r="D119" s="41">
        <f>(2.9*4.7+2.1*2.75+3.65*2.75+2.35*1.2+1.2*1.8+1.2*1.2+1.85*0.4+2.85*1.25)*10.764</f>
        <v>432.33605999999997</v>
      </c>
      <c r="E119" s="41">
        <v>0</v>
      </c>
      <c r="F119" s="65">
        <v>750</v>
      </c>
      <c r="G119" s="188" t="str">
        <f>A118</f>
        <v>1st to 6th, 8th to 11th &amp; 13th to 15th Floor For Residential</v>
      </c>
      <c r="H119" s="189"/>
      <c r="I119" s="35"/>
      <c r="J119" s="65">
        <v>750</v>
      </c>
      <c r="K119" s="36">
        <f>J119/D119</f>
        <v>1.734761611141111</v>
      </c>
      <c r="L119" s="180"/>
      <c r="M119" s="180"/>
      <c r="N119" s="35"/>
    </row>
    <row r="120" spans="1:14" s="36" customFormat="1" ht="15.75" customHeight="1" x14ac:dyDescent="0.35">
      <c r="A120" s="134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,..,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102 ,.., 1502</v>
      </c>
      <c r="B120" s="135"/>
      <c r="C120" s="41" t="s">
        <v>249</v>
      </c>
      <c r="D120" s="41">
        <f>(2.75*4.7+2.1*3.05+2.75*3.05+2.9*4.05+2.1*1.2+1.2*2.25+1.3*3.25+4*0.9+2.825*1.25)*10.764</f>
        <v>603.2011050000001</v>
      </c>
      <c r="E120" s="41">
        <v>0</v>
      </c>
      <c r="F120" s="65">
        <v>1055</v>
      </c>
      <c r="G120" s="190"/>
      <c r="H120" s="191"/>
      <c r="I120" s="35"/>
      <c r="J120" s="65">
        <v>1055</v>
      </c>
      <c r="K120" s="60">
        <f t="shared" ref="K120:K126" si="0">J120/D120</f>
        <v>1.7490021010488697</v>
      </c>
      <c r="L120" s="180"/>
      <c r="M120" s="180"/>
      <c r="N120" s="35"/>
    </row>
    <row r="121" spans="1:14" s="36" customFormat="1" ht="15.75" customHeight="1" x14ac:dyDescent="0.35">
      <c r="A121" s="134" t="str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10^ROW(INDIRECT("1:"&amp;LEN((LEFT(A120,SUM(LEN(A120)-LEN(SUBSTITUTE(A120,{"0","1","2"},""))))))))/10))*1+1&amp;""&amp;" ,.., "&amp;""&amp;(SUMPRODUCT(MID(0&amp;(--TRIM(RIGHT(SUBSTITUTE(LEFT(A120,_xlfn.AGGREGATE(16,6,FIND({0,1,2,3,4,5,6,7,8,9},A120,ROW(INDIRECT("1:"&amp;LEN(A120)))),1)),"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",LEN(A120))),LEN(A120)))))))/10))*1+1</f>
        <v>103 ,.., 1503</v>
      </c>
      <c r="B121" s="135"/>
      <c r="C121" s="58" t="s">
        <v>249</v>
      </c>
      <c r="D121" s="58">
        <f>(2.75*4.7+2.1*3.05+2.75*3.05+2.9*4.05+2.1*1.2+1.2*2.25+1.3*3.25+4*0.9+2.825*1.25)*10.764</f>
        <v>603.2011050000001</v>
      </c>
      <c r="E121" s="41">
        <v>0</v>
      </c>
      <c r="F121" s="65">
        <v>1055</v>
      </c>
      <c r="G121" s="190"/>
      <c r="H121" s="191"/>
      <c r="I121" s="35"/>
      <c r="J121" s="65">
        <v>1055</v>
      </c>
      <c r="K121" s="60">
        <f t="shared" si="0"/>
        <v>1.7490021010488697</v>
      </c>
      <c r="L121" s="180"/>
      <c r="M121" s="180"/>
      <c r="N121" s="35"/>
    </row>
    <row r="122" spans="1:14" s="36" customFormat="1" ht="15.75" customHeight="1" x14ac:dyDescent="0.35">
      <c r="A122" s="134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10^ROW(INDIRECT("1:"&amp;LEN((LEFT(A121,SUM(LEN(A121)-LEN(SUBSTITUTE(A121,{"0","1","2"},""))))))))/10))*1+1&amp;""&amp;" ,..,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",LEN(A121))),LEN(A121)))))))/10))*1+1</f>
        <v>104 ,.., 1504</v>
      </c>
      <c r="B122" s="135"/>
      <c r="C122" s="58" t="s">
        <v>249</v>
      </c>
      <c r="D122" s="58">
        <f>(2.75*4.7+2.1*3.05+2.75*3.05+2.9*4.05+2.1*1.2+1.2*2.25+1.3*3.25+4*0.9+2.9*1.25)*10.764</f>
        <v>604.21023000000002</v>
      </c>
      <c r="E122" s="41">
        <v>0</v>
      </c>
      <c r="F122" s="65">
        <v>1055</v>
      </c>
      <c r="G122" s="190"/>
      <c r="H122" s="191"/>
      <c r="I122" s="35"/>
      <c r="J122" s="65">
        <v>1055</v>
      </c>
      <c r="K122" s="60">
        <f t="shared" si="0"/>
        <v>1.7460809956825789</v>
      </c>
      <c r="L122" s="180"/>
      <c r="M122" s="180"/>
      <c r="N122" s="35"/>
    </row>
    <row r="123" spans="1:14" s="60" customFormat="1" ht="15.75" customHeight="1" x14ac:dyDescent="0.35">
      <c r="A123" s="134" t="str">
        <f ca="1">(SUMPRODUCT(MID(0&amp;(LEFT(A122,SUM(LEN(A122)-LEN(SUBSTITUTE(A122,{"0","1","2"},""))))), LARGE(INDEX(ISNUMBER(--MID((LEFT(A122,SUM(LEN(A122)-LEN(SUBSTITUTE(A122,{"0","1","2"},""))))), ROW(INDIRECT("1:"&amp;LEN((LEFT(A122,SUM(LEN(A122)-LEN(SUBSTITUTE(A122,{"0","1","2"},"")))))))), 1)) * ROW(INDIRECT("1:"&amp;LEN((LEFT(A122,SUM(LEN(A122)-LEN(SUBSTITUTE(A122,{"0","1","2"},"")))))))), 0), ROW(INDIRECT("1:"&amp;LEN((LEFT(A122,SUM(LEN(A122)-LEN(SUBSTITUTE(A122,{"0","1","2"},"")))))))))+1, 1) * 10^ROW(INDIRECT("1:"&amp;LEN((LEFT(A122,SUM(LEN(A122)-LEN(SUBSTITUTE(A122,{"0","1","2"},""))))))))/10))*1+1&amp;""&amp;" ,.., "&amp;""&amp;(SUMPRODUCT(MID(0&amp;(--TRIM(RIGHT(SUBSTITUTE(LEFT(A122,_xlfn.AGGREGATE(16,6,FIND({0,1,2,3,4,5,6,7,8,9},A122,ROW(INDIRECT("1:"&amp;LEN(A122)))),1))," ",REPT(" ",LEN(A122))),LEN(A122)))), LARGE(INDEX(ISNUMBER(--MID((--TRIM(RIGHT(SUBSTITUTE(LEFT(A122,_xlfn.AGGREGATE(16,6,FIND({0,1,2,3,4,5,6,7,8,9},A122,ROW(INDIRECT("1:"&amp;LEN(A122)))),1))," ",REPT(" ",LEN(A122))),LEN(A122)))), ROW(INDIRECT("1:"&amp;LEN((--TRIM(RIGHT(SUBSTITUTE(LEFT(A122,_xlfn.AGGREGATE(16,6,FIND({0,1,2,3,4,5,6,7,8,9},A122,ROW(INDIRECT("1:"&amp;LEN(A122)))),1))," ",REPT(" ",LEN(A122))),LEN(A122))))))), 1)) * ROW(INDIRECT("1:"&amp;LEN((--TRIM(RIGHT(SUBSTITUTE(LEFT(A122,_xlfn.AGGREGATE(16,6,FIND({0,1,2,3,4,5,6,7,8,9},A122,ROW(INDIRECT("1:"&amp;LEN(A122)))),1))," ",REPT(" ",LEN(A122))),LEN(A122))))))), 0), ROW(INDIRECT("1:"&amp;LEN((--TRIM(RIGHT(SUBSTITUTE(LEFT(A122,_xlfn.AGGREGATE(16,6,FIND({0,1,2,3,4,5,6,7,8,9},A122,ROW(INDIRECT("1:"&amp;LEN(A122)))),1))," ",REPT(" ",LEN(A122))),LEN(A122))))))))+1, 1) * 10^ROW(INDIRECT("1:"&amp;LEN((--TRIM(RIGHT(SUBSTITUTE(LEFT(A122,_xlfn.AGGREGATE(16,6,FIND({0,1,2,3,4,5,6,7,8,9},A122,ROW(INDIRECT("1:"&amp;LEN(A122)))),1))," ",REPT(" ",LEN(A122))),LEN(A122)))))))/10))*1+1</f>
        <v>105 ,.., 1505</v>
      </c>
      <c r="B123" s="135"/>
      <c r="C123" s="58" t="s">
        <v>249</v>
      </c>
      <c r="D123" s="58">
        <f>(2.75*4.7+2.1*3.05+2.75*3.05+2.9*4.05+2.1*1.2+1.2*2.25+1.3*3.25+4*0.9+2.825*1.25)*10.764</f>
        <v>603.2011050000001</v>
      </c>
      <c r="E123" s="58">
        <v>0</v>
      </c>
      <c r="F123" s="65">
        <v>1055</v>
      </c>
      <c r="G123" s="190"/>
      <c r="H123" s="191"/>
      <c r="I123" s="35"/>
      <c r="J123" s="65">
        <v>1055</v>
      </c>
      <c r="K123" s="60">
        <f t="shared" si="0"/>
        <v>1.7490021010488697</v>
      </c>
      <c r="L123" s="180"/>
      <c r="M123" s="180"/>
      <c r="N123" s="35"/>
    </row>
    <row r="124" spans="1:14" s="60" customFormat="1" ht="15.75" customHeight="1" x14ac:dyDescent="0.35">
      <c r="A124" s="134" t="str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10^ROW(INDIRECT("1:"&amp;LEN((LEFT(A123,SUM(LEN(A123)-LEN(SUBSTITUTE(A123,{"0","1","2"},""))))))))/10))*1+1&amp;""&amp;" ,.., "&amp;""&amp;(SUMPRODUCT(MID(0&amp;(--TRIM(RIGHT(SUBSTITUTE(LEFT(A123,_xlfn.AGGREGATE(16,6,FIND({0,1,2,3,4,5,6,7,8,9},A123,ROW(INDIRECT("1:"&amp;LEN(A123)))),1)),"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",LEN(A123))),LEN(A123)))))))/10))*1+1</f>
        <v>106 ,.., 1506</v>
      </c>
      <c r="B124" s="135"/>
      <c r="C124" s="58" t="s">
        <v>249</v>
      </c>
      <c r="D124" s="58">
        <f>(2.75*4.7+2.1*3.05+2.75*3.05+2.9*4.05+2.1*1.2+1.2*2.25+1.3*3.25+4*0.9+2.825*1.25)*10.764</f>
        <v>603.2011050000001</v>
      </c>
      <c r="E124" s="58">
        <v>0</v>
      </c>
      <c r="F124" s="65">
        <v>1055</v>
      </c>
      <c r="G124" s="190"/>
      <c r="H124" s="191"/>
      <c r="I124" s="35"/>
      <c r="J124" s="65">
        <v>1055</v>
      </c>
      <c r="K124" s="60">
        <f t="shared" si="0"/>
        <v>1.7490021010488697</v>
      </c>
      <c r="L124" s="180"/>
      <c r="M124" s="180"/>
      <c r="N124" s="35"/>
    </row>
    <row r="125" spans="1:14" s="60" customFormat="1" ht="15.75" customHeight="1" x14ac:dyDescent="0.35">
      <c r="A125" s="134" t="str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10^ROW(INDIRECT("1:"&amp;LEN((LEFT(A124,SUM(LEN(A124)-LEN(SUBSTITUTE(A124,{"0","1","2"},""))))))))/10))*1+1&amp;""&amp;" ,.., "&amp;""&amp;(SUMPRODUCT(MID(0&amp;(--TRIM(RIGHT(SUBSTITUTE(LEFT(A124,_xlfn.AGGREGATE(16,6,FIND({0,1,2,3,4,5,6,7,8,9},A124,ROW(INDIRECT("1:"&amp;LEN(A124)))),1)),"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",LEN(A124))),LEN(A124)))))))/10))*1+1</f>
        <v>107 ,.., 1507</v>
      </c>
      <c r="B125" s="135"/>
      <c r="C125" s="58" t="s">
        <v>249</v>
      </c>
      <c r="D125" s="58">
        <f>(2.75*4.7+2.1*3.05+2.75*3.05+2.9*4.05+2.1*1.2+1.2*2.25+1.3*2.8+4*0.9+2.825*1.25)*10.764</f>
        <v>596.90416500000003</v>
      </c>
      <c r="E125" s="58">
        <v>0</v>
      </c>
      <c r="F125" s="65">
        <v>1045</v>
      </c>
      <c r="G125" s="190"/>
      <c r="H125" s="191"/>
      <c r="I125" s="35"/>
      <c r="J125" s="65">
        <v>1045</v>
      </c>
      <c r="K125" s="60">
        <f t="shared" si="0"/>
        <v>1.7506997961724726</v>
      </c>
      <c r="L125" s="180"/>
      <c r="M125" s="180"/>
      <c r="N125" s="35"/>
    </row>
    <row r="126" spans="1:14" s="60" customFormat="1" ht="15.75" customHeight="1" x14ac:dyDescent="0.35">
      <c r="A126" s="134" t="str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10^ROW(INDIRECT("1:"&amp;LEN((LEFT(A125,SUM(LEN(A125)-LEN(SUBSTITUTE(A125,{"0","1","2"},""))))))))/10))*1+1&amp;""&amp;" ,.., "&amp;""&amp;(SUMPRODUCT(MID(0&amp;(--TRIM(RIGHT(SUBSTITUTE(LEFT(A125,_xlfn.AGGREGATE(16,6,FIND({0,1,2,3,4,5,6,7,8,9},A125,ROW(INDIRECT("1:"&amp;LEN(A125)))),1)),"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",LEN(A125))),LEN(A125)))))))/10))*1+1</f>
        <v>108 ,.., 1508</v>
      </c>
      <c r="B126" s="135"/>
      <c r="C126" s="58" t="s">
        <v>248</v>
      </c>
      <c r="D126" s="58">
        <f>(4.7*2.9+2.65*2.1+3.65*2.75+1.8*1.2+1.2*1.85+1.2*1.2+0.9*1.1+2.775*1.25)*10.764</f>
        <v>425.29909500000002</v>
      </c>
      <c r="E126" s="58">
        <v>0</v>
      </c>
      <c r="F126" s="65">
        <v>740</v>
      </c>
      <c r="G126" s="192"/>
      <c r="H126" s="193"/>
      <c r="I126" s="35"/>
      <c r="J126" s="65">
        <v>740</v>
      </c>
      <c r="K126" s="60">
        <f t="shared" si="0"/>
        <v>1.7399519742688376</v>
      </c>
      <c r="L126" s="180"/>
      <c r="M126" s="180"/>
      <c r="N126" s="35"/>
    </row>
    <row r="127" spans="1:14" s="60" customFormat="1" x14ac:dyDescent="0.35">
      <c r="A127" s="129" t="s">
        <v>250</v>
      </c>
      <c r="B127" s="130"/>
      <c r="C127" s="130"/>
      <c r="D127" s="130"/>
      <c r="E127" s="130"/>
      <c r="F127" s="130"/>
      <c r="G127" s="130"/>
      <c r="H127" s="131"/>
      <c r="J127" s="35"/>
      <c r="L127" s="60">
        <v>4500</v>
      </c>
    </row>
    <row r="128" spans="1:14" s="60" customFormat="1" ht="15.75" customHeight="1" x14ac:dyDescent="0.35">
      <c r="A128" s="134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10^ROW(INDIRECT("1:"&amp;LEN((LEFT(A127,SUM(LEN(A127)-LEN(SUBSTITUTE(A127,{"0","1","2"},""))))))))/10))*100+1&amp;""&amp;" &amp;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701 &amp; 1201</v>
      </c>
      <c r="B128" s="135"/>
      <c r="C128" s="58" t="s">
        <v>248</v>
      </c>
      <c r="D128" s="58">
        <f>(2.9*4.7+2.1*2.75+3.65*2.75+2.35*1.2+1.2*1.8+1.2*1.2+1.85*0.4+2.85*1.25)*10.764</f>
        <v>432.33605999999997</v>
      </c>
      <c r="E128" s="58">
        <v>0</v>
      </c>
      <c r="F128" s="65">
        <v>750</v>
      </c>
      <c r="G128" s="188" t="str">
        <f>A127</f>
        <v>7th &amp; 12th Floor (Part Refuge Area)</v>
      </c>
      <c r="H128" s="189"/>
      <c r="I128" s="35"/>
      <c r="J128" s="60">
        <f>3600000/F128</f>
        <v>4800</v>
      </c>
      <c r="K128" s="60">
        <f>403100000/F128</f>
        <v>537466.66666666663</v>
      </c>
      <c r="L128" s="180">
        <f>L$127*F128</f>
        <v>3375000</v>
      </c>
      <c r="M128" s="180"/>
      <c r="N128" s="35">
        <f>L128+700000</f>
        <v>4075000</v>
      </c>
    </row>
    <row r="129" spans="1:14" s="60" customFormat="1" ht="15.75" customHeight="1" x14ac:dyDescent="0.35">
      <c r="A129" s="134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&amp;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702 &amp; 1202</v>
      </c>
      <c r="B129" s="135"/>
      <c r="C129" s="58" t="s">
        <v>249</v>
      </c>
      <c r="D129" s="58">
        <f>(2.75*4.7+2.1*3.05+2.75*3.05+2.9*4.05+2.1*1.2+1.2*2.25+1.3*3.25+4*0.9+2.825*1.25)*10.764</f>
        <v>603.2011050000001</v>
      </c>
      <c r="E129" s="58">
        <v>0</v>
      </c>
      <c r="F129" s="65">
        <v>1055</v>
      </c>
      <c r="G129" s="190"/>
      <c r="H129" s="191"/>
      <c r="I129" s="35"/>
      <c r="J129" s="35">
        <f t="shared" ref="J129:J134" si="1">4500000/F129</f>
        <v>4265.4028436018962</v>
      </c>
      <c r="L129" s="180">
        <f t="shared" ref="L129:L134" si="2">L$127*F129</f>
        <v>4747500</v>
      </c>
      <c r="M129" s="180"/>
      <c r="N129" s="35">
        <f t="shared" ref="N129:N134" si="3">L129+700000</f>
        <v>5447500</v>
      </c>
    </row>
    <row r="130" spans="1:14" s="60" customFormat="1" ht="15.75" customHeight="1" x14ac:dyDescent="0.35">
      <c r="A130" s="134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&amp;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703 &amp; 1203</v>
      </c>
      <c r="B130" s="135"/>
      <c r="C130" s="58" t="s">
        <v>249</v>
      </c>
      <c r="D130" s="58">
        <f>(2.75*4.7+2.1*3.05+2.75*3.05+2.9*4.05+2.1*1.2+1.2*2.25+1.3*3.25+4*0.9+2.825*1.25)*10.764</f>
        <v>603.2011050000001</v>
      </c>
      <c r="E130" s="58">
        <v>0</v>
      </c>
      <c r="F130" s="65">
        <v>1055</v>
      </c>
      <c r="G130" s="190"/>
      <c r="H130" s="191"/>
      <c r="I130" s="35"/>
      <c r="J130" s="35">
        <f t="shared" si="1"/>
        <v>4265.4028436018962</v>
      </c>
      <c r="L130" s="180">
        <f t="shared" si="2"/>
        <v>4747500</v>
      </c>
      <c r="M130" s="180"/>
      <c r="N130" s="35">
        <f t="shared" si="3"/>
        <v>5447500</v>
      </c>
    </row>
    <row r="131" spans="1:14" s="60" customFormat="1" ht="15.75" customHeight="1" x14ac:dyDescent="0.35">
      <c r="A131" s="134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&amp;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704 &amp; 1204</v>
      </c>
      <c r="B131" s="135"/>
      <c r="C131" s="58" t="s">
        <v>249</v>
      </c>
      <c r="D131" s="58">
        <f>(2.75*4.7+2.1*3.05+2.75*3.05+2.9*4.05+2.1*1.2+1.2*2.25+1.3*3.25+4*0.9+2.9*1.25)*10.764</f>
        <v>604.21023000000002</v>
      </c>
      <c r="E131" s="58">
        <v>0</v>
      </c>
      <c r="F131" s="65">
        <v>1055</v>
      </c>
      <c r="G131" s="190"/>
      <c r="H131" s="191"/>
      <c r="I131" s="35"/>
      <c r="J131" s="35">
        <f t="shared" si="1"/>
        <v>4265.4028436018962</v>
      </c>
      <c r="L131" s="180">
        <f t="shared" si="2"/>
        <v>4747500</v>
      </c>
      <c r="M131" s="180"/>
      <c r="N131" s="35">
        <f t="shared" si="3"/>
        <v>5447500</v>
      </c>
    </row>
    <row r="132" spans="1:14" s="60" customFormat="1" ht="15.75" customHeight="1" x14ac:dyDescent="0.35">
      <c r="A132" s="134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&amp;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705 &amp; 1205</v>
      </c>
      <c r="B132" s="135"/>
      <c r="C132" s="58" t="s">
        <v>249</v>
      </c>
      <c r="D132" s="58">
        <f>(2.75*4.7+2.1*3.05+2.75*3.05+2.9*4.05+2.1*1.2+1.2*2.25+1.3*3.25+4*0.9+2.825*1.25)*10.764</f>
        <v>603.2011050000001</v>
      </c>
      <c r="E132" s="58">
        <v>0</v>
      </c>
      <c r="F132" s="65">
        <v>1055</v>
      </c>
      <c r="G132" s="190"/>
      <c r="H132" s="191"/>
      <c r="I132" s="35"/>
      <c r="J132" s="35">
        <f t="shared" si="1"/>
        <v>4265.4028436018962</v>
      </c>
      <c r="L132" s="180">
        <f t="shared" si="2"/>
        <v>4747500</v>
      </c>
      <c r="M132" s="180"/>
      <c r="N132" s="35">
        <f t="shared" si="3"/>
        <v>5447500</v>
      </c>
    </row>
    <row r="133" spans="1:14" s="60" customFormat="1" ht="15.75" customHeight="1" x14ac:dyDescent="0.35">
      <c r="A133" s="134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10^ROW(INDIRECT("1:"&amp;LEN((LEFT(A132,SUM(LEN(A132)-LEN(SUBSTITUTE(A132,{"0","1","2"},""))))))))/10))*1+1&amp;""&amp;" &amp;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",LEN(A132))),LEN(A132)))))))/10))*1+1</f>
        <v>706 &amp; 1206</v>
      </c>
      <c r="B133" s="135"/>
      <c r="C133" s="58" t="s">
        <v>249</v>
      </c>
      <c r="D133" s="58">
        <f>(2.75*4.7+2.1*3.05+2.75*3.05+2.9*4.05+2.1*1.2+1.2*2.25+1.3*3.25+4*0.9+2.825*1.25)*10.764</f>
        <v>603.2011050000001</v>
      </c>
      <c r="E133" s="58">
        <v>0</v>
      </c>
      <c r="F133" s="65">
        <v>1055</v>
      </c>
      <c r="G133" s="190"/>
      <c r="H133" s="191"/>
      <c r="I133" s="35"/>
      <c r="J133" s="35">
        <f t="shared" si="1"/>
        <v>4265.4028436018962</v>
      </c>
      <c r="L133" s="180">
        <f t="shared" si="2"/>
        <v>4747500</v>
      </c>
      <c r="M133" s="180"/>
      <c r="N133" s="35">
        <f t="shared" si="3"/>
        <v>5447500</v>
      </c>
    </row>
    <row r="134" spans="1:14" s="60" customFormat="1" ht="15.75" customHeight="1" x14ac:dyDescent="0.35">
      <c r="A134" s="134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&amp;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707 &amp; 1207</v>
      </c>
      <c r="B134" s="135"/>
      <c r="C134" s="58" t="s">
        <v>249</v>
      </c>
      <c r="D134" s="58">
        <f>(2.75*4.7+2.1*3.05+2.75*3.05+2.9*4.05+2.1*1.2+1.2*2.25+1.3*2.8+4*0.9+2.825*1.25)*10.764</f>
        <v>596.90416500000003</v>
      </c>
      <c r="E134" s="58">
        <v>0</v>
      </c>
      <c r="F134" s="65">
        <v>1045</v>
      </c>
      <c r="G134" s="190"/>
      <c r="H134" s="191"/>
      <c r="I134" s="35"/>
      <c r="J134" s="35">
        <f t="shared" si="1"/>
        <v>4306.2200956937795</v>
      </c>
      <c r="K134" s="60">
        <f>5487000/F134</f>
        <v>5250.7177033492826</v>
      </c>
      <c r="L134" s="180">
        <f t="shared" si="2"/>
        <v>4702500</v>
      </c>
      <c r="M134" s="180"/>
      <c r="N134" s="35">
        <f t="shared" si="3"/>
        <v>5402500</v>
      </c>
    </row>
    <row r="135" spans="1:14" s="60" customFormat="1" ht="15.75" customHeight="1" x14ac:dyDescent="0.35">
      <c r="A135" s="134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&amp;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708 &amp; 1208</v>
      </c>
      <c r="B135" s="135"/>
      <c r="C135" s="134" t="s">
        <v>251</v>
      </c>
      <c r="D135" s="136"/>
      <c r="E135" s="136"/>
      <c r="F135" s="135"/>
      <c r="G135" s="192"/>
      <c r="H135" s="193"/>
      <c r="I135" s="35"/>
      <c r="L135" s="180"/>
      <c r="M135" s="180"/>
      <c r="N135" s="35"/>
    </row>
    <row r="136" spans="1:14" s="60" customFormat="1" x14ac:dyDescent="0.35">
      <c r="A136" s="129" t="s">
        <v>252</v>
      </c>
      <c r="B136" s="130"/>
      <c r="C136" s="130"/>
      <c r="D136" s="130"/>
      <c r="E136" s="130"/>
      <c r="F136" s="130"/>
      <c r="G136" s="130"/>
      <c r="H136" s="131"/>
      <c r="J136" s="35"/>
    </row>
    <row r="137" spans="1:14" s="60" customFormat="1" x14ac:dyDescent="0.35">
      <c r="A137" s="129" t="s">
        <v>254</v>
      </c>
      <c r="B137" s="130"/>
      <c r="C137" s="130"/>
      <c r="D137" s="130"/>
      <c r="E137" s="130"/>
      <c r="F137" s="130"/>
      <c r="G137" s="130"/>
      <c r="H137" s="131"/>
      <c r="J137" s="35"/>
    </row>
    <row r="138" spans="1:14" s="60" customFormat="1" x14ac:dyDescent="0.35">
      <c r="A138" s="129" t="s">
        <v>247</v>
      </c>
      <c r="B138" s="130"/>
      <c r="C138" s="130"/>
      <c r="D138" s="130"/>
      <c r="E138" s="130"/>
      <c r="F138" s="130"/>
      <c r="G138" s="130"/>
      <c r="H138" s="131"/>
      <c r="J138" s="35"/>
    </row>
    <row r="139" spans="1:14" s="60" customFormat="1" ht="15.75" customHeight="1" x14ac:dyDescent="0.35">
      <c r="A139" s="134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10^ROW(INDIRECT("1:"&amp;LEN((LEFT(A138,SUM(LEN(A138)-LEN(SUBSTITUTE(A138,{"0","1","2"},""))))))))/10))*100+1&amp;""&amp;" ,..,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",LEN(A138))),LEN(A138)))))))/10))*100+1</f>
        <v>101 ,.., 1501</v>
      </c>
      <c r="B139" s="135"/>
      <c r="C139" s="58" t="s">
        <v>248</v>
      </c>
      <c r="D139" s="58">
        <f>(2.9*4.7+2.1*2.75+3.65*2.75+2.35*1.2+1.2*1.8+1.2*1.2+1.65*0.4+2.85*1.25)*10.764</f>
        <v>431.47493999999989</v>
      </c>
      <c r="E139" s="58">
        <v>0</v>
      </c>
      <c r="F139" s="65">
        <v>750</v>
      </c>
      <c r="G139" s="188" t="str">
        <f>A138</f>
        <v>1st to 6th, 8th to 11th &amp; 13th to 15th Floor For Residential</v>
      </c>
      <c r="H139" s="189"/>
      <c r="I139" s="35"/>
      <c r="J139" s="65">
        <v>750</v>
      </c>
      <c r="K139" s="60">
        <f t="shared" ref="K139:K147" si="4">J139/D139</f>
        <v>1.7382237772603901</v>
      </c>
      <c r="L139" s="180"/>
      <c r="M139" s="180"/>
      <c r="N139" s="35"/>
    </row>
    <row r="140" spans="1:14" s="60" customFormat="1" ht="15.75" customHeight="1" x14ac:dyDescent="0.35">
      <c r="A140" s="134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,..,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102 ,.., 1502</v>
      </c>
      <c r="B140" s="135"/>
      <c r="C140" s="58" t="s">
        <v>248</v>
      </c>
      <c r="D140" s="58">
        <f>(2.9*4.7+2.1*2.75+3.65*2.75+2.35*1.2+1.2*1.8+1.2*1.2+1.65*0.4+2.85*1.25)*10.764</f>
        <v>431.47493999999989</v>
      </c>
      <c r="E140" s="58">
        <v>0</v>
      </c>
      <c r="F140" s="65">
        <v>750</v>
      </c>
      <c r="G140" s="190"/>
      <c r="H140" s="191"/>
      <c r="I140" s="35"/>
      <c r="J140" s="65">
        <v>750</v>
      </c>
      <c r="K140" s="60">
        <f t="shared" si="4"/>
        <v>1.7382237772603901</v>
      </c>
      <c r="L140" s="180"/>
      <c r="M140" s="180"/>
      <c r="N140" s="35"/>
    </row>
    <row r="141" spans="1:14" s="60" customFormat="1" ht="15.75" customHeight="1" x14ac:dyDescent="0.35">
      <c r="A141" s="134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,..,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103 ,.., 1503</v>
      </c>
      <c r="B141" s="135"/>
      <c r="C141" s="58" t="s">
        <v>248</v>
      </c>
      <c r="D141" s="58">
        <f>(2.9*4.7+2.1*2.65+2.75*3.65+1.85*1.2+1.2*1.8+1.2*1.2+0.9*1+2.93*1.25)*10.764</f>
        <v>426.4158599999999</v>
      </c>
      <c r="E141" s="58">
        <v>0</v>
      </c>
      <c r="F141" s="65">
        <v>740</v>
      </c>
      <c r="G141" s="190"/>
      <c r="H141" s="191"/>
      <c r="I141" s="35"/>
      <c r="J141" s="65">
        <v>740</v>
      </c>
      <c r="K141" s="60">
        <f t="shared" si="4"/>
        <v>1.7353951140560302</v>
      </c>
      <c r="L141" s="180"/>
      <c r="M141" s="180"/>
      <c r="N141" s="35"/>
    </row>
    <row r="142" spans="1:14" s="60" customFormat="1" ht="15.75" customHeight="1" x14ac:dyDescent="0.35">
      <c r="A142" s="134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,..,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104 ,.., 1504</v>
      </c>
      <c r="B142" s="135"/>
      <c r="C142" s="58" t="s">
        <v>248</v>
      </c>
      <c r="D142" s="58">
        <f>(2.9*4.7+2.1*2.65+2.75*3.65+1.85*1.2+1.2*1.8+1.2*1.2+0.9*1+2.815*1.25)*10.764</f>
        <v>424.86853499999989</v>
      </c>
      <c r="E142" s="58">
        <v>0</v>
      </c>
      <c r="F142" s="65">
        <v>740</v>
      </c>
      <c r="G142" s="190"/>
      <c r="H142" s="191"/>
      <c r="I142" s="35"/>
      <c r="J142" s="65">
        <v>740</v>
      </c>
      <c r="K142" s="60">
        <f t="shared" si="4"/>
        <v>1.7417152343371349</v>
      </c>
      <c r="L142" s="180"/>
      <c r="M142" s="180"/>
      <c r="N142" s="35"/>
    </row>
    <row r="143" spans="1:14" s="60" customFormat="1" ht="15.75" customHeight="1" x14ac:dyDescent="0.35">
      <c r="A143" s="134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10^ROW(INDIRECT("1:"&amp;LEN((LEFT(A142,SUM(LEN(A142)-LEN(SUBSTITUTE(A142,{"0","1","2"},""))))))))/10))*1+1&amp;""&amp;" ,..,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",LEN(A142))),LEN(A142)))))))/10))*1+1</f>
        <v>105 ,.., 1505</v>
      </c>
      <c r="B143" s="135"/>
      <c r="C143" s="58" t="s">
        <v>248</v>
      </c>
      <c r="D143" s="58">
        <f>(2.9*4.7+2.1*2.65+2.75*3.65+1.85*1.2+1.2*1.8+1.2*1.2+0.9*1+2.815*1.25)*10.764</f>
        <v>424.86853499999989</v>
      </c>
      <c r="E143" s="58">
        <v>0</v>
      </c>
      <c r="F143" s="65">
        <v>740</v>
      </c>
      <c r="G143" s="190"/>
      <c r="H143" s="191"/>
      <c r="I143" s="35"/>
      <c r="J143" s="65">
        <v>740</v>
      </c>
      <c r="K143" s="60">
        <f t="shared" si="4"/>
        <v>1.7417152343371349</v>
      </c>
      <c r="L143" s="180"/>
      <c r="M143" s="180"/>
      <c r="N143" s="35"/>
    </row>
    <row r="144" spans="1:14" s="60" customFormat="1" ht="15.75" customHeight="1" x14ac:dyDescent="0.35">
      <c r="A144" s="134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,..,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106 ,.., 1506</v>
      </c>
      <c r="B144" s="135"/>
      <c r="C144" s="58" t="s">
        <v>248</v>
      </c>
      <c r="D144" s="58">
        <f>(2.9*4.7+2.1*2.65+2.75*3.65+1.85*1.2+1.2*1.8+1.2*1.2+0.9*1+2.775*1.25)*10.764</f>
        <v>424.33033499999988</v>
      </c>
      <c r="E144" s="58">
        <v>0</v>
      </c>
      <c r="F144" s="65">
        <v>740</v>
      </c>
      <c r="G144" s="190"/>
      <c r="H144" s="191"/>
      <c r="I144" s="35"/>
      <c r="J144" s="65">
        <v>740</v>
      </c>
      <c r="K144" s="60">
        <f t="shared" si="4"/>
        <v>1.7439243413978409</v>
      </c>
      <c r="L144" s="180"/>
      <c r="M144" s="180"/>
      <c r="N144" s="35"/>
    </row>
    <row r="145" spans="1:14" s="60" customFormat="1" ht="15.75" customHeight="1" x14ac:dyDescent="0.35">
      <c r="A145" s="134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,..,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107 ,.., 1507</v>
      </c>
      <c r="B145" s="135"/>
      <c r="C145" s="58" t="s">
        <v>249</v>
      </c>
      <c r="D145" s="58">
        <f>(4.7*2.75+3.05*2.1+3.05*2.75+4.05*2.9+1.2*2.1+1.2*2.25+2.8*1.3+0.9*4+2.825*1.25)*10.764</f>
        <v>596.90416500000003</v>
      </c>
      <c r="E145" s="58">
        <v>0</v>
      </c>
      <c r="F145" s="65">
        <v>1045</v>
      </c>
      <c r="G145" s="190"/>
      <c r="H145" s="191"/>
      <c r="I145" s="35"/>
      <c r="J145" s="65">
        <v>1045</v>
      </c>
      <c r="K145" s="60">
        <f t="shared" si="4"/>
        <v>1.7506997961724726</v>
      </c>
      <c r="L145" s="180"/>
      <c r="M145" s="180"/>
      <c r="N145" s="35"/>
    </row>
    <row r="146" spans="1:14" s="60" customFormat="1" ht="15.75" customHeight="1" x14ac:dyDescent="0.35">
      <c r="A146" s="134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,..,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108 ,.., 1508</v>
      </c>
      <c r="B146" s="135"/>
      <c r="C146" s="58" t="s">
        <v>249</v>
      </c>
      <c r="D146" s="58">
        <f>(4.7*2.75+3.05*2.1+3.05*2.75+4.05*2.9+1.2*2.1+1.2*2.25+2.8*1.3+0.9*4+2.825*1.25)*10.764</f>
        <v>596.90416500000003</v>
      </c>
      <c r="E146" s="58">
        <v>0</v>
      </c>
      <c r="F146" s="65">
        <v>1045</v>
      </c>
      <c r="G146" s="190"/>
      <c r="H146" s="191"/>
      <c r="I146" s="35"/>
      <c r="J146" s="65">
        <v>1045</v>
      </c>
      <c r="K146" s="60">
        <f t="shared" si="4"/>
        <v>1.7506997961724726</v>
      </c>
      <c r="L146" s="180"/>
      <c r="M146" s="180"/>
      <c r="N146" s="35"/>
    </row>
    <row r="147" spans="1:14" s="60" customFormat="1" ht="15.75" customHeight="1" x14ac:dyDescent="0.35">
      <c r="A147" s="134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,..,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109 ,.., 1509</v>
      </c>
      <c r="B147" s="135"/>
      <c r="C147" s="58" t="s">
        <v>248</v>
      </c>
      <c r="D147" s="58">
        <f>(2.9*4.7+2.1*2.65+2.75*3.65+1.85*1.2+1.2*1.8+1.2*1.2+0.9*1+2.775*1.25)*10.764</f>
        <v>424.33033499999988</v>
      </c>
      <c r="E147" s="58">
        <v>0</v>
      </c>
      <c r="F147" s="65">
        <v>740</v>
      </c>
      <c r="G147" s="192"/>
      <c r="H147" s="193"/>
      <c r="I147" s="35">
        <f>3600000/F147</f>
        <v>4864.864864864865</v>
      </c>
      <c r="J147" s="65">
        <v>740</v>
      </c>
      <c r="K147" s="60">
        <f t="shared" si="4"/>
        <v>1.7439243413978409</v>
      </c>
      <c r="L147" s="180"/>
      <c r="M147" s="180"/>
      <c r="N147" s="35"/>
    </row>
    <row r="148" spans="1:14" s="60" customFormat="1" x14ac:dyDescent="0.35">
      <c r="A148" s="129" t="s">
        <v>250</v>
      </c>
      <c r="B148" s="130"/>
      <c r="C148" s="130"/>
      <c r="D148" s="130"/>
      <c r="E148" s="130"/>
      <c r="F148" s="130"/>
      <c r="G148" s="130"/>
      <c r="H148" s="131"/>
      <c r="J148" s="35"/>
    </row>
    <row r="149" spans="1:14" s="60" customFormat="1" ht="15.75" customHeight="1" x14ac:dyDescent="0.35">
      <c r="A149" s="134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10^ROW(INDIRECT("1:"&amp;LEN((LEFT(A148,SUM(LEN(A148)-LEN(SUBSTITUTE(A148,{"0","1","2"},""))))))))/10))*100+1&amp;""&amp;" &amp;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",LEN(A148))),LEN(A148)))))))/10))*100+1</f>
        <v>701 &amp; 1201</v>
      </c>
      <c r="B149" s="135"/>
      <c r="C149" s="58" t="s">
        <v>248</v>
      </c>
      <c r="D149" s="58">
        <f>(2.9*4.7+2.1*2.75+3.65*2.75+2.35*1.2+1.2*1.8+1.2*1.2+1.65*0.4+2.85*1.25)*10.764</f>
        <v>431.47493999999989</v>
      </c>
      <c r="E149" s="58">
        <v>0</v>
      </c>
      <c r="F149" s="65">
        <v>750</v>
      </c>
      <c r="G149" s="188" t="str">
        <f>A148</f>
        <v>7th &amp; 12th Floor (Part Refuge Area)</v>
      </c>
      <c r="H149" s="189"/>
      <c r="I149" s="35"/>
      <c r="J149" s="66">
        <f t="shared" ref="J149:J152" si="5">3600000/F149</f>
        <v>4800</v>
      </c>
      <c r="L149" s="180"/>
      <c r="M149" s="180"/>
      <c r="N149" s="35"/>
    </row>
    <row r="150" spans="1:14" s="60" customFormat="1" ht="15.75" customHeight="1" x14ac:dyDescent="0.35">
      <c r="A150" s="134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10^ROW(INDIRECT("1:"&amp;LEN((LEFT(A149,SUM(LEN(A149)-LEN(SUBSTITUTE(A149,{"0","1","2"},""))))))))/10))*1+1&amp;""&amp;" &amp;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",LEN(A149))),LEN(A149)))))))/10))*1+1</f>
        <v>702 &amp; 1202</v>
      </c>
      <c r="B150" s="135"/>
      <c r="C150" s="58" t="s">
        <v>248</v>
      </c>
      <c r="D150" s="58">
        <f>(2.9*4.7+2.1*2.75+3.65*2.75+2.35*1.2+1.2*1.8+1.2*1.2+1.65*0.4+2.85*1.25)*10.764</f>
        <v>431.47493999999989</v>
      </c>
      <c r="E150" s="58">
        <v>0</v>
      </c>
      <c r="F150" s="65">
        <v>750</v>
      </c>
      <c r="G150" s="190"/>
      <c r="H150" s="191"/>
      <c r="I150" s="35"/>
      <c r="J150" s="66">
        <f t="shared" si="5"/>
        <v>4800</v>
      </c>
      <c r="L150" s="180"/>
      <c r="M150" s="180"/>
      <c r="N150" s="35"/>
    </row>
    <row r="151" spans="1:14" s="60" customFormat="1" ht="15.75" customHeight="1" x14ac:dyDescent="0.35">
      <c r="A151" s="134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&amp;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703 &amp; 1203</v>
      </c>
      <c r="B151" s="135"/>
      <c r="C151" s="58" t="s">
        <v>248</v>
      </c>
      <c r="D151" s="58">
        <f>(2.9*4.7+2.1*2.65+2.75*3.65+1.85*1.2+1.2*1.8+1.2*1.2+0.9*1+2.93*1.25)*10.764</f>
        <v>426.4158599999999</v>
      </c>
      <c r="E151" s="58">
        <v>0</v>
      </c>
      <c r="F151" s="65">
        <v>740</v>
      </c>
      <c r="G151" s="190"/>
      <c r="H151" s="191"/>
      <c r="I151" s="35"/>
      <c r="J151" s="66">
        <f t="shared" si="5"/>
        <v>4864.864864864865</v>
      </c>
      <c r="L151" s="180"/>
      <c r="M151" s="180"/>
      <c r="N151" s="35"/>
    </row>
    <row r="152" spans="1:14" s="60" customFormat="1" ht="15.75" customHeight="1" x14ac:dyDescent="0.35">
      <c r="A152" s="134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&amp;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704 &amp; 1204</v>
      </c>
      <c r="B152" s="135"/>
      <c r="C152" s="58" t="s">
        <v>248</v>
      </c>
      <c r="D152" s="58">
        <f>(2.9*4.7+2.1*2.65+2.75*3.65+1.85*1.2+1.2*1.8+1.2*1.2+0.9*1+2.93*1.25)*10.764</f>
        <v>426.4158599999999</v>
      </c>
      <c r="E152" s="58">
        <v>0</v>
      </c>
      <c r="F152" s="65">
        <v>740</v>
      </c>
      <c r="G152" s="190"/>
      <c r="H152" s="191"/>
      <c r="I152" s="35"/>
      <c r="J152" s="66">
        <f t="shared" si="5"/>
        <v>4864.864864864865</v>
      </c>
      <c r="L152" s="180"/>
      <c r="M152" s="180"/>
      <c r="N152" s="35"/>
    </row>
    <row r="153" spans="1:14" s="60" customFormat="1" ht="15.75" customHeight="1" x14ac:dyDescent="0.35">
      <c r="A153" s="134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&amp;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705 &amp; 1205</v>
      </c>
      <c r="B153" s="135"/>
      <c r="C153" s="134" t="s">
        <v>251</v>
      </c>
      <c r="D153" s="136"/>
      <c r="E153" s="136"/>
      <c r="F153" s="135"/>
      <c r="G153" s="190"/>
      <c r="H153" s="191"/>
      <c r="I153" s="35"/>
      <c r="L153" s="180"/>
      <c r="M153" s="180"/>
      <c r="N153" s="35"/>
    </row>
    <row r="154" spans="1:14" s="60" customFormat="1" ht="15.75" customHeight="1" x14ac:dyDescent="0.35">
      <c r="A154" s="134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&amp;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706 &amp; 1206</v>
      </c>
      <c r="B154" s="135"/>
      <c r="C154" s="58" t="s">
        <v>248</v>
      </c>
      <c r="D154" s="58">
        <f>(2.9*4.7+2.1*2.65+2.75*3.65+1.85*1.2+1.2*1.8+1.2*1.2+0.9*1+2.775*1.25)*10.764</f>
        <v>424.33033499999988</v>
      </c>
      <c r="E154" s="58">
        <v>0</v>
      </c>
      <c r="F154" s="65">
        <v>740</v>
      </c>
      <c r="G154" s="190"/>
      <c r="H154" s="191"/>
      <c r="I154" s="35"/>
      <c r="J154" s="66">
        <f t="shared" ref="J154:J157" si="6">3600000/F154</f>
        <v>4864.864864864865</v>
      </c>
      <c r="L154" s="180"/>
      <c r="M154" s="180"/>
      <c r="N154" s="35"/>
    </row>
    <row r="155" spans="1:14" s="60" customFormat="1" ht="15.75" customHeight="1" x14ac:dyDescent="0.35">
      <c r="A155" s="134" t="str">
        <f ca="1">(SUMPRODUCT(MID(0&amp;(LEFT(A154,SUM(LEN(A154)-LEN(SUBSTITUTE(A154,{"0","1","2"},""))))), LARGE(INDEX(ISNUMBER(--MID((LEFT(A154,SUM(LEN(A154)-LEN(SUBSTITUTE(A154,{"0","1","2"},""))))), ROW(INDIRECT("1:"&amp;LEN((LEFT(A154,SUM(LEN(A154)-LEN(SUBSTITUTE(A154,{"0","1","2"},"")))))))), 1)) * ROW(INDIRECT("1:"&amp;LEN((LEFT(A154,SUM(LEN(A154)-LEN(SUBSTITUTE(A154,{"0","1","2"},"")))))))), 0), ROW(INDIRECT("1:"&amp;LEN((LEFT(A154,SUM(LEN(A154)-LEN(SUBSTITUTE(A154,{"0","1","2"},"")))))))))+1, 1) * 10^ROW(INDIRECT("1:"&amp;LEN((LEFT(A154,SUM(LEN(A154)-LEN(SUBSTITUTE(A154,{"0","1","2"},""))))))))/10))*1+1&amp;""&amp;" &amp; "&amp;""&amp;(SUMPRODUCT(MID(0&amp;(--TRIM(RIGHT(SUBSTITUTE(LEFT(A154,_xlfn.AGGREGATE(16,6,FIND({0,1,2,3,4,5,6,7,8,9},A154,ROW(INDIRECT("1:"&amp;LEN(A154)))),1))," ",REPT(" ",LEN(A154))),LEN(A154)))), LARGE(INDEX(ISNUMBER(--MID((--TRIM(RIGHT(SUBSTITUTE(LEFT(A154,_xlfn.AGGREGATE(16,6,FIND({0,1,2,3,4,5,6,7,8,9},A154,ROW(INDIRECT("1:"&amp;LEN(A154)))),1))," ",REPT(" ",LEN(A154))),LEN(A154)))), ROW(INDIRECT("1:"&amp;LEN((--TRIM(RIGHT(SUBSTITUTE(LEFT(A154,_xlfn.AGGREGATE(16,6,FIND({0,1,2,3,4,5,6,7,8,9},A154,ROW(INDIRECT("1:"&amp;LEN(A154)))),1))," ",REPT(" ",LEN(A154))),LEN(A154))))))), 1)) * ROW(INDIRECT("1:"&amp;LEN((--TRIM(RIGHT(SUBSTITUTE(LEFT(A154,_xlfn.AGGREGATE(16,6,FIND({0,1,2,3,4,5,6,7,8,9},A154,ROW(INDIRECT("1:"&amp;LEN(A154)))),1))," ",REPT(" ",LEN(A154))),LEN(A154))))))), 0), ROW(INDIRECT("1:"&amp;LEN((--TRIM(RIGHT(SUBSTITUTE(LEFT(A154,_xlfn.AGGREGATE(16,6,FIND({0,1,2,3,4,5,6,7,8,9},A154,ROW(INDIRECT("1:"&amp;LEN(A154)))),1))," ",REPT(" ",LEN(A154))),LEN(A154))))))))+1, 1) * 10^ROW(INDIRECT("1:"&amp;LEN((--TRIM(RIGHT(SUBSTITUTE(LEFT(A154,_xlfn.AGGREGATE(16,6,FIND({0,1,2,3,4,5,6,7,8,9},A154,ROW(INDIRECT("1:"&amp;LEN(A154)))),1))," ",REPT(" ",LEN(A154))),LEN(A154)))))))/10))*1+1</f>
        <v>707 &amp; 1207</v>
      </c>
      <c r="B155" s="135"/>
      <c r="C155" s="58" t="s">
        <v>249</v>
      </c>
      <c r="D155" s="58">
        <f>(4.7*2.75+3.05*2.1+3.05*2.75+4.05*2.9+1.2*2.1+1.2*2.25+2.8*1.3+0.9*4+2.825*1.25)*10.764</f>
        <v>596.90416500000003</v>
      </c>
      <c r="E155" s="58">
        <v>0</v>
      </c>
      <c r="F155" s="65">
        <v>1045</v>
      </c>
      <c r="G155" s="190"/>
      <c r="H155" s="191"/>
      <c r="I155" s="35"/>
      <c r="J155" s="66">
        <f>4500000/F155</f>
        <v>4306.2200956937795</v>
      </c>
      <c r="L155" s="180"/>
      <c r="M155" s="180"/>
      <c r="N155" s="35"/>
    </row>
    <row r="156" spans="1:14" s="60" customFormat="1" ht="15.75" customHeight="1" x14ac:dyDescent="0.35">
      <c r="A156" s="134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10^ROW(INDIRECT("1:"&amp;LEN((LEFT(A155,SUM(LEN(A155)-LEN(SUBSTITUTE(A155,{"0","1","2"},""))))))))/10))*1+1&amp;""&amp;" &amp;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",LEN(A155))),LEN(A155)))))))/10))*1+1</f>
        <v>708 &amp; 1208</v>
      </c>
      <c r="B156" s="135"/>
      <c r="C156" s="58" t="s">
        <v>249</v>
      </c>
      <c r="D156" s="58">
        <f>(4.7*2.75+3.05*2.1+3.05*2.75+4.05*2.9+1.2*2.1+1.2*2.25+2.8*1.3+0.9*4+2.825*1.25)*10.764</f>
        <v>596.90416500000003</v>
      </c>
      <c r="E156" s="58">
        <v>0</v>
      </c>
      <c r="F156" s="65">
        <v>1045</v>
      </c>
      <c r="G156" s="190"/>
      <c r="H156" s="191"/>
      <c r="I156" s="35"/>
      <c r="J156" s="66">
        <f>4500000/F155</f>
        <v>4306.2200956937795</v>
      </c>
      <c r="L156" s="180"/>
      <c r="M156" s="180"/>
      <c r="N156" s="35"/>
    </row>
    <row r="157" spans="1:14" s="60" customFormat="1" ht="15.75" customHeight="1" x14ac:dyDescent="0.35">
      <c r="A157" s="134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&amp;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709 &amp; 1209</v>
      </c>
      <c r="B157" s="135"/>
      <c r="C157" s="58" t="s">
        <v>248</v>
      </c>
      <c r="D157" s="58">
        <f>(2.9*4.7+2.1*2.65+2.75*3.65+1.85*1.2+1.2*1.8+1.2*1.2+0.9*1+2.775*1.25)*10.764</f>
        <v>424.33033499999988</v>
      </c>
      <c r="E157" s="58">
        <v>0</v>
      </c>
      <c r="F157" s="65">
        <v>740</v>
      </c>
      <c r="G157" s="192"/>
      <c r="H157" s="193"/>
      <c r="I157" s="35"/>
      <c r="J157" s="66">
        <f t="shared" si="6"/>
        <v>4864.864864864865</v>
      </c>
      <c r="L157" s="180"/>
      <c r="M157" s="180"/>
      <c r="N157" s="35"/>
    </row>
    <row r="158" spans="1:14" s="34" customFormat="1" x14ac:dyDescent="0.35">
      <c r="A158" s="133" t="s">
        <v>68</v>
      </c>
      <c r="B158" s="133"/>
      <c r="C158" s="133"/>
      <c r="D158" s="133"/>
      <c r="E158" s="133"/>
      <c r="F158" s="133"/>
      <c r="G158" s="133"/>
      <c r="H158" s="133"/>
    </row>
    <row r="159" spans="1:14" s="34" customFormat="1" x14ac:dyDescent="0.35">
      <c r="A159" s="45" t="s">
        <v>145</v>
      </c>
      <c r="B159" s="123" t="s">
        <v>276</v>
      </c>
      <c r="C159" s="124"/>
      <c r="D159" s="124"/>
      <c r="E159" s="124"/>
      <c r="F159" s="124"/>
      <c r="G159" s="124"/>
      <c r="H159" s="125"/>
    </row>
    <row r="160" spans="1:14" s="34" customFormat="1" x14ac:dyDescent="0.35">
      <c r="A160" s="45" t="s">
        <v>145</v>
      </c>
      <c r="B160" s="123" t="str">
        <f>(IF(F114="Saleable area Loading :","We have considered Saleable area of Flats as per our Calculation.","We considered Saleable area of Flat as per Builder area Sheet."))</f>
        <v>We considered Saleable area of Flat as per Builder area Sheet.</v>
      </c>
      <c r="C160" s="124"/>
      <c r="D160" s="124"/>
      <c r="E160" s="124"/>
      <c r="F160" s="124"/>
      <c r="G160" s="124"/>
      <c r="H160" s="125"/>
    </row>
    <row r="161" spans="1:8" s="34" customFormat="1" x14ac:dyDescent="0.35">
      <c r="A161" s="45" t="s">
        <v>145</v>
      </c>
      <c r="B161" s="120" t="s">
        <v>117</v>
      </c>
      <c r="C161" s="121"/>
      <c r="D161" s="121"/>
      <c r="E161" s="121"/>
      <c r="F161" s="121"/>
      <c r="G161" s="121"/>
      <c r="H161" s="122"/>
    </row>
    <row r="162" spans="1:8" s="34" customFormat="1" x14ac:dyDescent="0.35">
      <c r="A162" s="45" t="s">
        <v>145</v>
      </c>
      <c r="B162" s="123" t="s">
        <v>256</v>
      </c>
      <c r="C162" s="124"/>
      <c r="D162" s="124"/>
      <c r="E162" s="124"/>
      <c r="F162" s="124"/>
      <c r="G162" s="124"/>
      <c r="H162" s="125"/>
    </row>
    <row r="163" spans="1:8" s="34" customFormat="1" x14ac:dyDescent="0.35">
      <c r="A163" s="45" t="s">
        <v>145</v>
      </c>
      <c r="B163" s="120" t="s">
        <v>144</v>
      </c>
      <c r="C163" s="121"/>
      <c r="D163" s="121"/>
      <c r="E163" s="121"/>
      <c r="F163" s="121"/>
      <c r="G163" s="121"/>
      <c r="H163" s="122"/>
    </row>
    <row r="164" spans="1:8" s="34" customFormat="1" x14ac:dyDescent="0.35">
      <c r="A164" s="45" t="s">
        <v>145</v>
      </c>
      <c r="B164" s="120" t="s">
        <v>118</v>
      </c>
      <c r="C164" s="121"/>
      <c r="D164" s="121"/>
      <c r="E164" s="121"/>
      <c r="F164" s="121"/>
      <c r="G164" s="121"/>
      <c r="H164" s="122"/>
    </row>
    <row r="165" spans="1:8" s="34" customFormat="1" ht="34.5" hidden="1" customHeight="1" x14ac:dyDescent="0.35">
      <c r="A165" s="45" t="s">
        <v>145</v>
      </c>
      <c r="B165" s="120" t="s">
        <v>146</v>
      </c>
      <c r="C165" s="121"/>
      <c r="D165" s="121"/>
      <c r="E165" s="121"/>
      <c r="F165" s="121"/>
      <c r="G165" s="121"/>
      <c r="H165" s="122"/>
    </row>
    <row r="166" spans="1:8" s="34" customFormat="1" x14ac:dyDescent="0.35">
      <c r="A166" s="71" t="s">
        <v>145</v>
      </c>
      <c r="B166" s="120" t="s">
        <v>119</v>
      </c>
      <c r="C166" s="121"/>
      <c r="D166" s="121"/>
      <c r="E166" s="121"/>
      <c r="F166" s="121"/>
      <c r="G166" s="121"/>
      <c r="H166" s="122"/>
    </row>
    <row r="167" spans="1:8" s="34" customFormat="1" x14ac:dyDescent="0.35">
      <c r="A167" s="45" t="s">
        <v>145</v>
      </c>
      <c r="B167" s="120" t="s">
        <v>273</v>
      </c>
      <c r="C167" s="121"/>
      <c r="D167" s="121"/>
      <c r="E167" s="121"/>
      <c r="F167" s="121"/>
      <c r="G167" s="121"/>
      <c r="H167" s="122"/>
    </row>
    <row r="168" spans="1:8" x14ac:dyDescent="0.35">
      <c r="A168" s="112" t="s">
        <v>61</v>
      </c>
      <c r="B168" s="112"/>
      <c r="C168" s="112"/>
      <c r="D168" s="112"/>
      <c r="E168" s="112"/>
      <c r="F168" s="112"/>
      <c r="G168" s="112"/>
      <c r="H168" s="112"/>
    </row>
    <row r="169" spans="1:8" x14ac:dyDescent="0.35">
      <c r="A169" s="74" t="s">
        <v>62</v>
      </c>
      <c r="B169" s="74"/>
      <c r="C169" s="74"/>
      <c r="D169" s="74"/>
      <c r="E169" s="74"/>
      <c r="F169" s="74"/>
      <c r="G169" s="74"/>
      <c r="H169" s="74"/>
    </row>
    <row r="170" spans="1:8" ht="15.75" customHeight="1" x14ac:dyDescent="0.35">
      <c r="A170" s="128" t="s">
        <v>63</v>
      </c>
      <c r="B170" s="128"/>
      <c r="C170" s="128"/>
      <c r="D170" s="128"/>
      <c r="E170" s="128"/>
      <c r="F170" s="128"/>
      <c r="G170" s="128"/>
      <c r="H170" s="128"/>
    </row>
    <row r="171" spans="1:8" x14ac:dyDescent="0.35">
      <c r="A171" s="74" t="s">
        <v>64</v>
      </c>
      <c r="B171" s="74"/>
      <c r="C171" s="74"/>
      <c r="D171" s="74"/>
      <c r="E171" s="74"/>
      <c r="F171" s="74"/>
      <c r="G171" s="74"/>
      <c r="H171" s="74"/>
    </row>
    <row r="172" spans="1:8" x14ac:dyDescent="0.35">
      <c r="A172" s="74" t="s">
        <v>65</v>
      </c>
      <c r="B172" s="74"/>
      <c r="C172" s="74"/>
      <c r="D172" s="74"/>
      <c r="E172" s="74"/>
      <c r="F172" s="74"/>
      <c r="G172" s="74"/>
      <c r="H172" s="74"/>
    </row>
    <row r="173" spans="1:8" x14ac:dyDescent="0.35">
      <c r="A173" s="74" t="s">
        <v>120</v>
      </c>
      <c r="B173" s="74"/>
      <c r="C173" s="74"/>
      <c r="D173" s="74"/>
      <c r="E173" s="74"/>
      <c r="F173" s="74"/>
      <c r="G173" s="74"/>
      <c r="H173" s="74"/>
    </row>
    <row r="174" spans="1:8" ht="34" customHeight="1" x14ac:dyDescent="0.35">
      <c r="A174" s="86" t="s">
        <v>121</v>
      </c>
      <c r="B174" s="86"/>
      <c r="C174" s="86"/>
      <c r="D174" s="86"/>
      <c r="E174" s="86"/>
      <c r="F174" s="86"/>
      <c r="G174" s="86"/>
      <c r="H174" s="86"/>
    </row>
    <row r="175" spans="1:8" x14ac:dyDescent="0.35">
      <c r="A175" s="116" t="s">
        <v>76</v>
      </c>
      <c r="B175" s="116"/>
      <c r="C175" s="116" t="s">
        <v>224</v>
      </c>
      <c r="D175" s="116"/>
      <c r="E175" s="116" t="s">
        <v>102</v>
      </c>
      <c r="F175" s="116"/>
      <c r="G175" s="116" t="s">
        <v>277</v>
      </c>
      <c r="H175" s="116"/>
    </row>
    <row r="176" spans="1:8" x14ac:dyDescent="0.35">
      <c r="A176" s="115" t="s">
        <v>78</v>
      </c>
      <c r="B176" s="115"/>
      <c r="C176" s="115"/>
      <c r="D176" s="115"/>
      <c r="E176" s="115"/>
      <c r="F176" s="115"/>
      <c r="G176" s="115"/>
      <c r="H176" s="115"/>
    </row>
    <row r="177" spans="1:8" x14ac:dyDescent="0.35">
      <c r="A177" s="115"/>
      <c r="B177" s="115"/>
      <c r="C177" s="115"/>
      <c r="D177" s="115"/>
      <c r="E177" s="115"/>
      <c r="F177" s="115"/>
      <c r="G177" s="115"/>
      <c r="H177" s="115"/>
    </row>
    <row r="178" spans="1:8" x14ac:dyDescent="0.35">
      <c r="A178" s="115"/>
      <c r="B178" s="115"/>
      <c r="C178" s="115"/>
      <c r="D178" s="115"/>
      <c r="E178" s="115"/>
      <c r="F178" s="115"/>
      <c r="G178" s="115"/>
      <c r="H178" s="115"/>
    </row>
    <row r="179" spans="1:8" x14ac:dyDescent="0.35">
      <c r="A179" s="115"/>
      <c r="B179" s="115"/>
      <c r="C179" s="115"/>
      <c r="D179" s="115"/>
      <c r="E179" s="115"/>
      <c r="F179" s="115"/>
      <c r="G179" s="115"/>
      <c r="H179" s="115"/>
    </row>
    <row r="180" spans="1:8" x14ac:dyDescent="0.35">
      <c r="A180" s="37" t="s">
        <v>66</v>
      </c>
      <c r="B180" s="38"/>
      <c r="C180" s="38"/>
      <c r="D180" s="37" t="str">
        <f>E8</f>
        <v>Siddhivinayak Sankalp</v>
      </c>
      <c r="F180" s="38"/>
      <c r="G180" s="38"/>
      <c r="H180" s="38"/>
    </row>
    <row r="181" spans="1:8" x14ac:dyDescent="0.35">
      <c r="A181" s="38"/>
      <c r="B181" s="38"/>
      <c r="C181" s="38"/>
      <c r="D181" s="38"/>
      <c r="E181" s="38"/>
      <c r="F181" s="38"/>
      <c r="G181" s="38"/>
      <c r="H181" s="38"/>
    </row>
    <row r="182" spans="1:8" x14ac:dyDescent="0.35">
      <c r="A182" s="38"/>
      <c r="B182" s="38"/>
      <c r="C182" s="38"/>
      <c r="D182" s="38"/>
      <c r="E182" s="38"/>
      <c r="F182" s="38"/>
      <c r="G182" s="38"/>
      <c r="H182" s="38"/>
    </row>
    <row r="183" spans="1:8" ht="15" customHeight="1" x14ac:dyDescent="0.35"/>
    <row r="223" spans="1:1" x14ac:dyDescent="0.35">
      <c r="A223" s="40" t="s">
        <v>155</v>
      </c>
    </row>
    <row r="266" spans="1:1" x14ac:dyDescent="0.35">
      <c r="A266" s="40" t="s">
        <v>67</v>
      </c>
    </row>
  </sheetData>
  <mergeCells count="328">
    <mergeCell ref="B166:H166"/>
    <mergeCell ref="B165:H165"/>
    <mergeCell ref="L147:M147"/>
    <mergeCell ref="G139:H147"/>
    <mergeCell ref="A145:B145"/>
    <mergeCell ref="L145:M145"/>
    <mergeCell ref="A148:H148"/>
    <mergeCell ref="A149:B149"/>
    <mergeCell ref="G149:H157"/>
    <mergeCell ref="L149:M149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A154:B154"/>
    <mergeCell ref="L154:M154"/>
    <mergeCell ref="A155:B155"/>
    <mergeCell ref="L155:M155"/>
    <mergeCell ref="A156:B156"/>
    <mergeCell ref="L156:M156"/>
    <mergeCell ref="A157:B157"/>
    <mergeCell ref="L157:M157"/>
    <mergeCell ref="L146:M146"/>
    <mergeCell ref="A137:H137"/>
    <mergeCell ref="A115:H115"/>
    <mergeCell ref="L126:M126"/>
    <mergeCell ref="G119:H126"/>
    <mergeCell ref="A127:H127"/>
    <mergeCell ref="A128:B128"/>
    <mergeCell ref="G128:H135"/>
    <mergeCell ref="L128:M128"/>
    <mergeCell ref="A129:B129"/>
    <mergeCell ref="L129:M129"/>
    <mergeCell ref="A130:B130"/>
    <mergeCell ref="L130:M130"/>
    <mergeCell ref="A131:B131"/>
    <mergeCell ref="L131:M131"/>
    <mergeCell ref="A132:B132"/>
    <mergeCell ref="L132:M132"/>
    <mergeCell ref="A133:B133"/>
    <mergeCell ref="A139:B139"/>
    <mergeCell ref="L139:M139"/>
    <mergeCell ref="A140:B140"/>
    <mergeCell ref="L140:M140"/>
    <mergeCell ref="L120:M120"/>
    <mergeCell ref="L121:M121"/>
    <mergeCell ref="C110:D110"/>
    <mergeCell ref="E110:F110"/>
    <mergeCell ref="G110:H110"/>
    <mergeCell ref="A126:B126"/>
    <mergeCell ref="A121:B121"/>
    <mergeCell ref="L119:M119"/>
    <mergeCell ref="A120:B120"/>
    <mergeCell ref="A118:H118"/>
    <mergeCell ref="A117:H117"/>
    <mergeCell ref="A123:B123"/>
    <mergeCell ref="L123:M123"/>
    <mergeCell ref="A124:B124"/>
    <mergeCell ref="L124:M124"/>
    <mergeCell ref="A125:B125"/>
    <mergeCell ref="L125:M125"/>
    <mergeCell ref="A116:H116"/>
    <mergeCell ref="C111:D111"/>
    <mergeCell ref="A112:H112"/>
    <mergeCell ref="G114:H114"/>
    <mergeCell ref="A113:H113"/>
    <mergeCell ref="A111:B111"/>
    <mergeCell ref="L144:M144"/>
    <mergeCell ref="L122:M122"/>
    <mergeCell ref="A138:H138"/>
    <mergeCell ref="A142:B142"/>
    <mergeCell ref="L142:M142"/>
    <mergeCell ref="A143:B143"/>
    <mergeCell ref="L143:M143"/>
    <mergeCell ref="L133:M133"/>
    <mergeCell ref="A134:B134"/>
    <mergeCell ref="L134:M134"/>
    <mergeCell ref="A135:B135"/>
    <mergeCell ref="L135:M135"/>
    <mergeCell ref="L141:M141"/>
    <mergeCell ref="A141:B141"/>
    <mergeCell ref="A38:B38"/>
    <mergeCell ref="C38:H38"/>
    <mergeCell ref="A45:D45"/>
    <mergeCell ref="A77:B77"/>
    <mergeCell ref="C109:D109"/>
    <mergeCell ref="E109:F109"/>
    <mergeCell ref="G109:H109"/>
    <mergeCell ref="F100:H100"/>
    <mergeCell ref="A95:E95"/>
    <mergeCell ref="E70:F79"/>
    <mergeCell ref="G70:H79"/>
    <mergeCell ref="A78:B78"/>
    <mergeCell ref="A79:B79"/>
    <mergeCell ref="A63:C63"/>
    <mergeCell ref="A76:B76"/>
    <mergeCell ref="A39:B39"/>
    <mergeCell ref="A61:C61"/>
    <mergeCell ref="D61:H61"/>
    <mergeCell ref="C68:H68"/>
    <mergeCell ref="A71:B71"/>
    <mergeCell ref="A104:E104"/>
    <mergeCell ref="D65:H65"/>
    <mergeCell ref="D64:H64"/>
    <mergeCell ref="A70:B70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C39:H39"/>
    <mergeCell ref="A48:B48"/>
    <mergeCell ref="C48:H48"/>
    <mergeCell ref="C52:H52"/>
    <mergeCell ref="C51:E51"/>
    <mergeCell ref="A58:C58"/>
    <mergeCell ref="D58:H58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7:B17"/>
    <mergeCell ref="C17:H17"/>
    <mergeCell ref="A16:B16"/>
    <mergeCell ref="A13:D13"/>
    <mergeCell ref="E11:H1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22:D23"/>
    <mergeCell ref="E22:H23"/>
    <mergeCell ref="E14:H14"/>
    <mergeCell ref="A46:D46"/>
    <mergeCell ref="A47:H47"/>
    <mergeCell ref="D57:H57"/>
    <mergeCell ref="A57:C57"/>
    <mergeCell ref="G50:H50"/>
    <mergeCell ref="G53:H53"/>
    <mergeCell ref="F34:H34"/>
    <mergeCell ref="E42:H42"/>
    <mergeCell ref="A42:D42"/>
    <mergeCell ref="F33:H33"/>
    <mergeCell ref="A15:B15"/>
    <mergeCell ref="C15:H15"/>
    <mergeCell ref="C16:H16"/>
    <mergeCell ref="A53:B53"/>
    <mergeCell ref="C53:E53"/>
    <mergeCell ref="D55:H55"/>
    <mergeCell ref="E26:H26"/>
    <mergeCell ref="A28:D28"/>
    <mergeCell ref="E28:H28"/>
    <mergeCell ref="A25:D25"/>
    <mergeCell ref="E25:H25"/>
    <mergeCell ref="A12:D12"/>
    <mergeCell ref="E12:H12"/>
    <mergeCell ref="A11:D11"/>
    <mergeCell ref="A136:H136"/>
    <mergeCell ref="B163:H163"/>
    <mergeCell ref="F96:H96"/>
    <mergeCell ref="A96:E96"/>
    <mergeCell ref="A98:E98"/>
    <mergeCell ref="A97:E97"/>
    <mergeCell ref="A94:E94"/>
    <mergeCell ref="F98:H98"/>
    <mergeCell ref="B161:H161"/>
    <mergeCell ref="B162:H162"/>
    <mergeCell ref="A158:H158"/>
    <mergeCell ref="A122:B122"/>
    <mergeCell ref="G111:H111"/>
    <mergeCell ref="A110:B110"/>
    <mergeCell ref="A144:B144"/>
    <mergeCell ref="A146:B146"/>
    <mergeCell ref="A147:B147"/>
    <mergeCell ref="C153:F153"/>
    <mergeCell ref="A119:B119"/>
    <mergeCell ref="A100:E100"/>
    <mergeCell ref="C135:F135"/>
    <mergeCell ref="A176:H179"/>
    <mergeCell ref="A175:B175"/>
    <mergeCell ref="E175:F175"/>
    <mergeCell ref="C175:D175"/>
    <mergeCell ref="G175:H175"/>
    <mergeCell ref="A105:E105"/>
    <mergeCell ref="F105:H105"/>
    <mergeCell ref="A106:E106"/>
    <mergeCell ref="F106:H106"/>
    <mergeCell ref="A109:B109"/>
    <mergeCell ref="A171:H171"/>
    <mergeCell ref="A107:H107"/>
    <mergeCell ref="A174:H174"/>
    <mergeCell ref="A172:H172"/>
    <mergeCell ref="A168:H168"/>
    <mergeCell ref="G108:H108"/>
    <mergeCell ref="A169:H169"/>
    <mergeCell ref="B167:H167"/>
    <mergeCell ref="B164:H164"/>
    <mergeCell ref="B159:H159"/>
    <mergeCell ref="B160:H160"/>
    <mergeCell ref="E111:F111"/>
    <mergeCell ref="A173:H173"/>
    <mergeCell ref="A170:H170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A51:B51"/>
    <mergeCell ref="A52:B52"/>
    <mergeCell ref="C50:E50"/>
    <mergeCell ref="F104:H104"/>
    <mergeCell ref="F102:H102"/>
    <mergeCell ref="A103:E103"/>
    <mergeCell ref="C108:D108"/>
    <mergeCell ref="A75:B75"/>
    <mergeCell ref="F94:H94"/>
    <mergeCell ref="F99:H99"/>
    <mergeCell ref="F97:H97"/>
    <mergeCell ref="A101:E101"/>
    <mergeCell ref="E108:F108"/>
    <mergeCell ref="A108:B108"/>
    <mergeCell ref="A99:E99"/>
    <mergeCell ref="A62:C62"/>
    <mergeCell ref="D62:H62"/>
    <mergeCell ref="A65:C65"/>
    <mergeCell ref="G69:H69"/>
    <mergeCell ref="D63:H63"/>
    <mergeCell ref="A64:C64"/>
    <mergeCell ref="F95:H95"/>
    <mergeCell ref="A69:B69"/>
    <mergeCell ref="A72:B72"/>
    <mergeCell ref="A68:B68"/>
    <mergeCell ref="A92:B92"/>
    <mergeCell ref="A93:B93"/>
    <mergeCell ref="G84:H93"/>
    <mergeCell ref="A85:B85"/>
    <mergeCell ref="A86:B86"/>
    <mergeCell ref="A66:B66"/>
    <mergeCell ref="A80:B80"/>
    <mergeCell ref="C80:H80"/>
    <mergeCell ref="A82:B82"/>
    <mergeCell ref="C82:H82"/>
    <mergeCell ref="A83:B83"/>
    <mergeCell ref="E83:F83"/>
    <mergeCell ref="C66:H66"/>
    <mergeCell ref="A74:B74"/>
    <mergeCell ref="A73:B73"/>
    <mergeCell ref="E69:F69"/>
    <mergeCell ref="A102:E102"/>
    <mergeCell ref="F103:H103"/>
    <mergeCell ref="A87:B87"/>
    <mergeCell ref="A88:B88"/>
    <mergeCell ref="A89:B89"/>
    <mergeCell ref="A90:B90"/>
    <mergeCell ref="A91:B91"/>
    <mergeCell ref="G83:H83"/>
    <mergeCell ref="A84:B84"/>
    <mergeCell ref="E84:F93"/>
    <mergeCell ref="F101:H101"/>
  </mergeCells>
  <dataValidations count="9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F94:H94">
      <formula1>"On Saleable Area,On Builtup Area,On Carpet Area,On Plot Area"</formula1>
    </dataValidation>
    <dataValidation type="list" allowBlank="1" showInputMessage="1" showErrorMessage="1" sqref="F105:H105">
      <formula1>"100000,150000,200000,250000,300000,350000,400000,500000,600000,700000,800000,900000,1000000,1200000,1400000,1500000"</formula1>
    </dataValidation>
    <dataValidation type="list" allowBlank="1" showInputMessage="1" showErrorMessage="1" sqref="F114">
      <formula1>"Saleable area Loading :,Builder Saleable area"</formula1>
    </dataValidation>
    <dataValidation type="list" allowBlank="1" showInputMessage="1" showErrorMessage="1" sqref="B114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79" max="16383" man="1"/>
    <brk id="222" max="16383" man="1"/>
    <brk id="26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4" t="s">
        <v>103</v>
      </c>
      <c r="C3" s="194"/>
      <c r="D3" s="194"/>
      <c r="E3" s="194"/>
      <c r="F3" s="194"/>
      <c r="G3" s="194"/>
      <c r="H3" s="194"/>
    </row>
    <row r="4" spans="1:9" x14ac:dyDescent="0.35">
      <c r="A4" s="2"/>
      <c r="B4" s="3" t="s">
        <v>104</v>
      </c>
      <c r="C4" s="3" t="s">
        <v>105</v>
      </c>
      <c r="D4" s="3" t="s">
        <v>69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35">
      <c r="A5" s="2"/>
      <c r="B5" s="5" t="s">
        <v>108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6"/>
      <c r="C4" s="56" t="s">
        <v>12</v>
      </c>
      <c r="D4" s="57" t="s">
        <v>167</v>
      </c>
      <c r="E4" s="57" t="s">
        <v>177</v>
      </c>
      <c r="F4" s="57" t="s">
        <v>163</v>
      </c>
      <c r="G4" s="57" t="s">
        <v>182</v>
      </c>
      <c r="H4" s="57" t="s">
        <v>200</v>
      </c>
      <c r="J4" t="s">
        <v>182</v>
      </c>
      <c r="K4" t="s">
        <v>198</v>
      </c>
    </row>
    <row r="5" spans="2:11" x14ac:dyDescent="0.35">
      <c r="B5" s="56"/>
      <c r="C5" s="56"/>
      <c r="D5" s="57" t="s">
        <v>168</v>
      </c>
      <c r="E5" s="57" t="s">
        <v>175</v>
      </c>
      <c r="F5" s="57" t="s">
        <v>197</v>
      </c>
      <c r="G5" s="57" t="s">
        <v>183</v>
      </c>
      <c r="H5" s="57" t="s">
        <v>201</v>
      </c>
    </row>
    <row r="6" spans="2:11" x14ac:dyDescent="0.35">
      <c r="B6" s="56"/>
      <c r="C6" s="56"/>
      <c r="D6" s="57" t="s">
        <v>169</v>
      </c>
      <c r="E6" s="57" t="s">
        <v>176</v>
      </c>
      <c r="F6" s="57" t="s">
        <v>198</v>
      </c>
      <c r="G6" s="57" t="s">
        <v>184</v>
      </c>
      <c r="H6" s="57" t="s">
        <v>214</v>
      </c>
    </row>
    <row r="7" spans="2:11" x14ac:dyDescent="0.35">
      <c r="B7" s="56"/>
      <c r="C7" s="56"/>
      <c r="D7" s="57" t="s">
        <v>170</v>
      </c>
      <c r="E7" s="57" t="s">
        <v>178</v>
      </c>
      <c r="F7" s="57" t="s">
        <v>199</v>
      </c>
      <c r="G7" s="57" t="s">
        <v>185</v>
      </c>
      <c r="H7" s="57" t="s">
        <v>202</v>
      </c>
    </row>
    <row r="8" spans="2:11" x14ac:dyDescent="0.35">
      <c r="B8" s="56"/>
      <c r="C8" s="56"/>
      <c r="D8" s="57" t="s">
        <v>171</v>
      </c>
      <c r="E8" s="57" t="s">
        <v>179</v>
      </c>
      <c r="F8" s="57"/>
      <c r="G8" s="57" t="s">
        <v>186</v>
      </c>
      <c r="H8" s="57" t="s">
        <v>203</v>
      </c>
    </row>
    <row r="9" spans="2:11" x14ac:dyDescent="0.35">
      <c r="B9" s="56"/>
      <c r="C9" s="56"/>
      <c r="D9" s="57" t="s">
        <v>172</v>
      </c>
      <c r="E9" s="57" t="s">
        <v>177</v>
      </c>
      <c r="F9" s="57"/>
      <c r="G9" s="57" t="s">
        <v>187</v>
      </c>
      <c r="H9" s="57" t="s">
        <v>204</v>
      </c>
    </row>
    <row r="10" spans="2:11" x14ac:dyDescent="0.35">
      <c r="B10" s="56"/>
      <c r="C10" s="56"/>
      <c r="D10" s="57" t="s">
        <v>173</v>
      </c>
      <c r="E10" s="57" t="s">
        <v>180</v>
      </c>
      <c r="F10" s="57"/>
      <c r="G10" s="57" t="s">
        <v>188</v>
      </c>
      <c r="H10" s="57" t="s">
        <v>205</v>
      </c>
    </row>
    <row r="11" spans="2:11" x14ac:dyDescent="0.35">
      <c r="B11" s="56"/>
      <c r="C11" s="56"/>
      <c r="D11" s="57" t="s">
        <v>174</v>
      </c>
      <c r="E11" s="57" t="s">
        <v>181</v>
      </c>
      <c r="F11" s="57"/>
      <c r="G11" s="57" t="s">
        <v>189</v>
      </c>
      <c r="H11" s="57" t="s">
        <v>206</v>
      </c>
    </row>
    <row r="12" spans="2:11" x14ac:dyDescent="0.35">
      <c r="B12" s="56"/>
      <c r="C12" s="56"/>
      <c r="D12" s="57"/>
      <c r="E12" s="57"/>
      <c r="F12" s="57"/>
      <c r="G12" s="57" t="s">
        <v>190</v>
      </c>
      <c r="H12" s="57" t="s">
        <v>207</v>
      </c>
    </row>
    <row r="13" spans="2:11" x14ac:dyDescent="0.35">
      <c r="B13" s="56"/>
      <c r="C13" s="56"/>
      <c r="D13" s="57"/>
      <c r="E13" s="57"/>
      <c r="F13" s="57"/>
      <c r="G13" s="57" t="s">
        <v>191</v>
      </c>
      <c r="H13" s="57" t="s">
        <v>208</v>
      </c>
    </row>
    <row r="14" spans="2:11" x14ac:dyDescent="0.35">
      <c r="B14" s="56"/>
      <c r="C14" s="56"/>
      <c r="D14" s="57"/>
      <c r="E14" s="57"/>
      <c r="F14" s="57"/>
      <c r="G14" s="57" t="s">
        <v>192</v>
      </c>
      <c r="H14" s="57" t="s">
        <v>209</v>
      </c>
    </row>
    <row r="15" spans="2:11" x14ac:dyDescent="0.35">
      <c r="B15" s="56"/>
      <c r="C15" s="56"/>
      <c r="D15" s="57"/>
      <c r="E15" s="57"/>
      <c r="F15" s="57"/>
      <c r="G15" s="57" t="s">
        <v>193</v>
      </c>
      <c r="H15" s="57" t="s">
        <v>210</v>
      </c>
    </row>
    <row r="16" spans="2:11" x14ac:dyDescent="0.35">
      <c r="B16" s="56"/>
      <c r="C16" s="56"/>
      <c r="D16" s="57"/>
      <c r="E16" s="57"/>
      <c r="F16" s="57"/>
      <c r="G16" s="57" t="s">
        <v>194</v>
      </c>
      <c r="H16" s="57" t="s">
        <v>211</v>
      </c>
    </row>
    <row r="17" spans="2:8" x14ac:dyDescent="0.35">
      <c r="B17" s="56"/>
      <c r="C17" s="56"/>
      <c r="D17" s="57"/>
      <c r="E17" s="57"/>
      <c r="F17" s="57"/>
      <c r="G17" s="57" t="s">
        <v>195</v>
      </c>
      <c r="H17" s="57" t="s">
        <v>212</v>
      </c>
    </row>
    <row r="18" spans="2:8" x14ac:dyDescent="0.35">
      <c r="B18" s="56"/>
      <c r="C18" s="56"/>
      <c r="D18" s="57"/>
      <c r="E18" s="57"/>
      <c r="F18" s="57"/>
      <c r="G18" s="57" t="s">
        <v>196</v>
      </c>
      <c r="H18" s="57" t="s">
        <v>213</v>
      </c>
    </row>
    <row r="24" spans="2:8" x14ac:dyDescent="0.35">
      <c r="C24" t="s">
        <v>161</v>
      </c>
    </row>
    <row r="25" spans="2:8" x14ac:dyDescent="0.35">
      <c r="C25" t="s">
        <v>215</v>
      </c>
    </row>
    <row r="26" spans="2:8" x14ac:dyDescent="0.35">
      <c r="C26" t="s">
        <v>216</v>
      </c>
    </row>
    <row r="27" spans="2:8" x14ac:dyDescent="0.35">
      <c r="C27" t="s">
        <v>217</v>
      </c>
    </row>
    <row r="28" spans="2:8" x14ac:dyDescent="0.35">
      <c r="C28" t="s">
        <v>218</v>
      </c>
    </row>
    <row r="29" spans="2:8" x14ac:dyDescent="0.35">
      <c r="C29" t="s">
        <v>219</v>
      </c>
    </row>
    <row r="30" spans="2:8" x14ac:dyDescent="0.35">
      <c r="C30" t="s">
        <v>161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2025-07-12T14:14:59Z</cp:lastPrinted>
  <dcterms:created xsi:type="dcterms:W3CDTF">2019-07-16T09:29:46Z</dcterms:created>
  <dcterms:modified xsi:type="dcterms:W3CDTF">2025-07-12T14:15:35Z</dcterms:modified>
</cp:coreProperties>
</file>