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1" i="1" l="1"/>
  <c r="M179" i="1"/>
  <c r="E166" i="1"/>
  <c r="E167" i="1"/>
  <c r="E168" i="1"/>
  <c r="E169" i="1"/>
  <c r="E184" i="1"/>
  <c r="E185" i="1"/>
  <c r="E186" i="1"/>
  <c r="E187" i="1"/>
  <c r="D166" i="1"/>
  <c r="M166" i="1" s="1"/>
  <c r="D164" i="1"/>
  <c r="M164" i="1" s="1"/>
  <c r="B95" i="1" l="1"/>
  <c r="H95" i="1"/>
  <c r="J99" i="1" l="1"/>
  <c r="C98" i="1" s="1"/>
  <c r="D98" i="1" s="1"/>
  <c r="J97" i="1"/>
  <c r="J94" i="1"/>
  <c r="J96" i="1" s="1"/>
  <c r="D107" i="1"/>
  <c r="D105" i="1"/>
  <c r="D103" i="1"/>
  <c r="D101" i="1"/>
  <c r="D106" i="1"/>
  <c r="D104" i="1"/>
  <c r="D102" i="1"/>
  <c r="D100" i="1"/>
  <c r="J98" i="1"/>
  <c r="J100" i="1"/>
  <c r="J101" i="1" s="1"/>
  <c r="J102" i="1"/>
  <c r="J104" i="1"/>
  <c r="J103" i="1"/>
  <c r="J105" i="1"/>
  <c r="D196" i="1"/>
  <c r="D195" i="1"/>
  <c r="D194" i="1"/>
  <c r="D193" i="1"/>
  <c r="J193" i="1" s="1"/>
  <c r="D192" i="1"/>
  <c r="D191" i="1"/>
  <c r="D190" i="1"/>
  <c r="D188" i="1"/>
  <c r="D187" i="1"/>
  <c r="D186" i="1"/>
  <c r="D185" i="1"/>
  <c r="D184" i="1"/>
  <c r="D183" i="1"/>
  <c r="D182" i="1"/>
  <c r="D178" i="1"/>
  <c r="M178" i="1" s="1"/>
  <c r="D177" i="1"/>
  <c r="M177" i="1" s="1"/>
  <c r="D176" i="1"/>
  <c r="M176" i="1" s="1"/>
  <c r="D175" i="1"/>
  <c r="M175" i="1" s="1"/>
  <c r="D174" i="1"/>
  <c r="M174" i="1" s="1"/>
  <c r="D173" i="1"/>
  <c r="D172" i="1"/>
  <c r="M172" i="1" s="1"/>
  <c r="D170" i="1"/>
  <c r="M170" i="1" s="1"/>
  <c r="D169" i="1"/>
  <c r="M169" i="1" s="1"/>
  <c r="K168" i="1"/>
  <c r="D168" i="1"/>
  <c r="M168" i="1" s="1"/>
  <c r="D167" i="1"/>
  <c r="M167" i="1" s="1"/>
  <c r="D165" i="1"/>
  <c r="M165" i="1" s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L114" i="1"/>
  <c r="G190" i="1"/>
  <c r="G172" i="1"/>
  <c r="F216" i="1"/>
  <c r="F215" i="1"/>
  <c r="A183" i="1"/>
  <c r="A184" i="1" s="1"/>
  <c r="A185" i="1" s="1"/>
  <c r="A186" i="1" s="1"/>
  <c r="A187" i="1" s="1"/>
  <c r="A188" i="1" s="1"/>
  <c r="G182" i="1"/>
  <c r="J164" i="1"/>
  <c r="I164" i="1"/>
  <c r="I158" i="1"/>
  <c r="I138" i="1"/>
  <c r="A190" i="1"/>
  <c r="A172" i="1"/>
  <c r="K174" i="1" l="1"/>
  <c r="M173" i="1"/>
  <c r="J106" i="1"/>
  <c r="C130" i="1"/>
  <c r="G130" i="1"/>
  <c r="C125" i="1"/>
  <c r="C126" i="1" s="1"/>
  <c r="C129" i="1"/>
  <c r="E129" i="1"/>
  <c r="E130" i="1"/>
  <c r="E125" i="1"/>
  <c r="E126" i="1" s="1"/>
  <c r="A173" i="1"/>
  <c r="A191" i="1"/>
  <c r="J107" i="1" l="1"/>
  <c r="C99" i="1"/>
  <c r="C131" i="1"/>
  <c r="C132" i="1" s="1"/>
  <c r="E131" i="1"/>
  <c r="E132" i="1" s="1"/>
  <c r="A192" i="1"/>
  <c r="A174" i="1"/>
  <c r="E98" i="1" l="1"/>
  <c r="D99" i="1"/>
  <c r="I95" i="1" s="1"/>
  <c r="G98" i="1"/>
  <c r="J95" i="1"/>
  <c r="E42" i="1"/>
  <c r="E43" i="1" s="1"/>
  <c r="A175" i="1"/>
  <c r="A193" i="1"/>
  <c r="I96" i="1" l="1"/>
  <c r="I94" i="1" s="1"/>
  <c r="C96" i="1" s="1"/>
  <c r="C14" i="1"/>
  <c r="A194" i="1"/>
  <c r="A176" i="1"/>
  <c r="E29" i="1" l="1"/>
  <c r="A195" i="1"/>
  <c r="A177" i="1"/>
  <c r="K166" i="1" l="1"/>
  <c r="K167" i="1"/>
  <c r="A165" i="1"/>
  <c r="A166" i="1" s="1"/>
  <c r="A167" i="1" s="1"/>
  <c r="A168" i="1" s="1"/>
  <c r="A169" i="1" s="1"/>
  <c r="A170" i="1" s="1"/>
  <c r="G164" i="1"/>
  <c r="A178" i="1"/>
  <c r="A196" i="1"/>
  <c r="M110" i="1" l="1"/>
  <c r="I110" i="1" s="1"/>
  <c r="G129" i="1"/>
  <c r="G131" i="1" s="1"/>
  <c r="F122" i="1"/>
  <c r="G125" i="1" l="1"/>
  <c r="G126" i="1" s="1"/>
  <c r="G132" i="1" s="1"/>
  <c r="B225" i="1"/>
  <c r="A204" i="1"/>
  <c r="A210" i="1"/>
  <c r="A218" i="1"/>
  <c r="F222" i="1" l="1"/>
  <c r="F221" i="1"/>
  <c r="F220" i="1"/>
  <c r="F219" i="1"/>
  <c r="F218" i="1"/>
  <c r="F214" i="1"/>
  <c r="F213" i="1"/>
  <c r="F212" i="1"/>
  <c r="F211" i="1"/>
  <c r="F210" i="1"/>
  <c r="F208" i="1"/>
  <c r="F207" i="1"/>
  <c r="F206" i="1"/>
  <c r="F205" i="1"/>
  <c r="F204" i="1"/>
  <c r="F202" i="1"/>
  <c r="F201" i="1"/>
  <c r="F199" i="1"/>
  <c r="F198" i="1"/>
  <c r="F200" i="1"/>
  <c r="A211" i="1"/>
  <c r="A205" i="1"/>
  <c r="A219" i="1"/>
  <c r="B226" i="1" l="1"/>
  <c r="A220" i="1"/>
  <c r="A212" i="1"/>
  <c r="A20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5" i="1"/>
  <c r="G218" i="1"/>
  <c r="G219" i="1" s="1"/>
  <c r="G220" i="1" s="1"/>
  <c r="G221" i="1" s="1"/>
  <c r="G222" i="1" s="1"/>
  <c r="G210" i="1"/>
  <c r="G211" i="1" s="1"/>
  <c r="G212" i="1" s="1"/>
  <c r="G213" i="1" s="1"/>
  <c r="G214" i="1" s="1"/>
  <c r="G215" i="1" s="1"/>
  <c r="G216" i="1" s="1"/>
  <c r="G204" i="1"/>
  <c r="G205" i="1" s="1"/>
  <c r="G206" i="1" s="1"/>
  <c r="G207" i="1" s="1"/>
  <c r="G208" i="1" s="1"/>
  <c r="G198" i="1"/>
  <c r="G199" i="1" s="1"/>
  <c r="G200" i="1" s="1"/>
  <c r="G201" i="1" s="1"/>
  <c r="G202" i="1" s="1"/>
  <c r="A198" i="1"/>
  <c r="A199" i="1" s="1"/>
  <c r="A200" i="1" s="1"/>
  <c r="A201" i="1" s="1"/>
  <c r="A202" i="1" s="1"/>
  <c r="A139" i="1"/>
  <c r="A140" i="1" s="1"/>
  <c r="A141" i="1" s="1"/>
  <c r="G138" i="1"/>
  <c r="B81" i="1"/>
  <c r="C66" i="1"/>
  <c r="B67" i="1" s="1"/>
  <c r="D54" i="1"/>
  <c r="G49" i="1"/>
  <c r="G50" i="1" s="1"/>
  <c r="C49" i="1"/>
  <c r="C50" i="1" s="1"/>
  <c r="E26" i="1"/>
  <c r="E24" i="1"/>
  <c r="E3" i="1"/>
  <c r="A207" i="1"/>
  <c r="H81" i="1"/>
  <c r="H67" i="1"/>
  <c r="A221" i="1"/>
  <c r="A213" i="1"/>
  <c r="A142" i="1" l="1"/>
  <c r="A143" i="1" s="1"/>
  <c r="A144" i="1" s="1"/>
  <c r="A145" i="1" s="1"/>
  <c r="J86" i="1"/>
  <c r="J87" i="1" s="1"/>
  <c r="J80" i="1"/>
  <c r="J82" i="1" s="1"/>
  <c r="D60" i="1"/>
  <c r="D91" i="1"/>
  <c r="D92" i="1"/>
  <c r="D93" i="1"/>
  <c r="D87" i="1"/>
  <c r="D88" i="1"/>
  <c r="D89" i="1"/>
  <c r="D9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84" i="1"/>
  <c r="J85" i="1"/>
  <c r="C84" i="1" s="1"/>
  <c r="J83" i="1"/>
  <c r="A214" i="1"/>
  <c r="A222" i="1"/>
  <c r="A208" i="1"/>
  <c r="J73" i="1" l="1"/>
  <c r="J78" i="1" s="1"/>
  <c r="J79" i="1" s="1"/>
  <c r="C71" i="1" s="1"/>
  <c r="A146" i="1"/>
  <c r="A147" i="1" s="1"/>
  <c r="A148" i="1" s="1"/>
  <c r="A149" i="1" s="1"/>
  <c r="J92" i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A215" i="1"/>
  <c r="A150" i="1" l="1"/>
  <c r="A151" i="1" s="1"/>
  <c r="A152" i="1" s="1"/>
  <c r="A153" i="1" s="1"/>
  <c r="A154" i="1" s="1"/>
  <c r="G70" i="1"/>
  <c r="D64" i="1" s="1"/>
  <c r="D65" i="1" s="1"/>
  <c r="J93" i="1"/>
  <c r="A216" i="1"/>
  <c r="C85" i="1" l="1"/>
  <c r="E84" i="1" s="1"/>
  <c r="C108" i="1" s="1"/>
  <c r="A155" i="1"/>
  <c r="A156" i="1" s="1"/>
  <c r="A157" i="1" s="1"/>
  <c r="A158" i="1" s="1"/>
  <c r="J67" i="1"/>
  <c r="D71" i="1"/>
  <c r="I67" i="1" s="1"/>
  <c r="I68" i="1" s="1"/>
  <c r="E70" i="1"/>
  <c r="F65" i="1"/>
  <c r="D85" i="1" l="1"/>
  <c r="I81" i="1" s="1"/>
  <c r="I82" i="1" s="1"/>
  <c r="G84" i="1"/>
  <c r="G108" i="1" s="1"/>
  <c r="J81" i="1"/>
  <c r="I66" i="1"/>
  <c r="C68" i="1" s="1"/>
  <c r="I80" i="1" l="1"/>
  <c r="C82" i="1" s="1"/>
</calcChain>
</file>

<file path=xl/sharedStrings.xml><?xml version="1.0" encoding="utf-8"?>
<sst xmlns="http://schemas.openxmlformats.org/spreadsheetml/2006/main" count="402" uniqueCount="233">
  <si>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</si>
  <si>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</si>
  <si>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</si>
  <si>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</si>
  <si>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</si>
  <si>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</si>
  <si>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</si>
  <si>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</si>
  <si>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</si>
  <si>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</si>
  <si>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</si>
  <si>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</si>
  <si>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</si>
  <si>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</si>
  <si>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</si>
  <si>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</si>
  <si>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</si>
  <si>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</si>
  <si>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</si>
  <si>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</si>
  <si>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</si>
  <si>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</si>
  <si>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</si>
  <si>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</si>
  <si>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</si>
  <si>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</si>
  <si>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</si>
  <si>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</si>
  <si>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</si>
  <si>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</si>
  <si>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</si>
  <si>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</si>
  <si>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</si>
  <si>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</si>
  <si>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</si>
  <si>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</si>
  <si>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</si>
  <si>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</si>
  <si>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</si>
  <si>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</si>
  <si>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</si>
  <si>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</si>
  <si>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</si>
  <si>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</si>
  <si>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</si>
  <si>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</si>
  <si>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</si>
  <si>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</si>
  <si>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</si>
  <si>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</si>
  <si>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</si>
  <si>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</si>
  <si>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</si>
  <si>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</si>
  <si>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</si>
  <si>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</si>
  <si>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</si>
  <si>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</si>
  <si>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</si>
  <si>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</si>
  <si>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</si>
  <si>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</si>
  <si>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</si>
  <si>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</si>
  <si>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</si>
  <si>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</si>
  <si>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</si>
  <si>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</si>
  <si>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</si>
  <si>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</si>
  <si>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</si>
  <si>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</si>
  <si>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</si>
  <si>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</si>
  <si>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</si>
  <si>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</si>
  <si>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</si>
  <si>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</si>
  <si>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</si>
  <si>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</si>
  <si>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</si>
  <si>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</si>
  <si>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</si>
  <si>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</si>
  <si>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</si>
  <si>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</si>
  <si>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</si>
  <si>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</si>
  <si>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</si>
  <si>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</si>
  <si>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</si>
  <si>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</si>
  <si>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</si>
  <si>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</si>
  <si>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</si>
  <si>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</si>
  <si>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</si>
  <si>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</si>
  <si>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</si>
  <si>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</si>
  <si>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</si>
  <si>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</si>
  <si>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</si>
  <si>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</si>
  <si>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</si>
  <si>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</si>
  <si>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</si>
  <si>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</si>
  <si>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</si>
  <si>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</si>
  <si>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</si>
  <si>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</si>
  <si>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</si>
  <si>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</si>
  <si>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</si>
  <si>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</si>
  <si>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</si>
  <si>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</si>
  <si>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</si>
  <si>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</si>
  <si>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</si>
  <si>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</si>
  <si>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</si>
  <si>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</si>
  <si>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</si>
  <si>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</si>
  <si>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</si>
  <si>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</si>
  <si>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</si>
  <si>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</si>
  <si>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</si>
  <si>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</si>
  <si>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</si>
  <si>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</si>
  <si>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</si>
  <si>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</si>
  <si>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</si>
  <si>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</si>
  <si>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</si>
  <si>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</si>
  <si>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</si>
  <si>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</si>
  <si>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</si>
  <si>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</si>
  <si>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</si>
  <si>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</si>
  <si>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</si>
  <si>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</si>
  <si>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</si>
  <si>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</si>
  <si>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</si>
  <si>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</si>
  <si>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</si>
  <si>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</si>
  <si>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</si>
  <si>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</si>
  <si>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</si>
  <si>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</si>
  <si>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</si>
  <si>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</si>
  <si>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</si>
  <si>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</si>
  <si>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</si>
  <si>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</si>
  <si>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</si>
  <si>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</si>
  <si>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</si>
  <si>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</si>
  <si>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</si>
  <si>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</si>
  <si>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</si>
  <si>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</si>
  <si>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</si>
  <si>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</si>
  <si>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</si>
  <si>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</si>
  <si>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</si>
  <si>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</si>
  <si>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Name of the builder</t>
  </si>
  <si>
    <t>Tejas Neelkamal</t>
  </si>
  <si>
    <t>P52000050567</t>
  </si>
  <si>
    <t>Wing A + B</t>
  </si>
  <si>
    <t>Ground Floor for Commercial &amp; Parking</t>
  </si>
  <si>
    <t>Shop</t>
  </si>
  <si>
    <t>1st Floor for Residential</t>
  </si>
  <si>
    <t>1BHK</t>
  </si>
  <si>
    <t>Wing A</t>
  </si>
  <si>
    <t>Wing B</t>
  </si>
  <si>
    <t>2nd to 4th Floor</t>
  </si>
  <si>
    <t>Pooja</t>
  </si>
  <si>
    <t>Flats - 56, Shops - 21</t>
  </si>
  <si>
    <t>As per RERA - 31/12/2027</t>
  </si>
  <si>
    <t>CIDCO-NAINA</t>
  </si>
  <si>
    <t>Wing A &amp; B = Gr/St + 1st to 4th Floor</t>
  </si>
  <si>
    <t>Wing A &amp; B = Gr/Stilt + 1st to 4th Floor</t>
  </si>
  <si>
    <t>Wing A = Gr/Stilt + 1st to 4th Floor</t>
  </si>
  <si>
    <t>Wing B = Gr/Stilt + 1st to 4th Floor</t>
  </si>
  <si>
    <t>Gut No</t>
  </si>
  <si>
    <t>116/2, 151/3, 151/4</t>
  </si>
  <si>
    <t>Deravali</t>
  </si>
  <si>
    <t>Raigad</t>
  </si>
  <si>
    <t>Panvel</t>
  </si>
  <si>
    <t>Tejas Enterprises</t>
  </si>
  <si>
    <t>Part II = Wing B = Gr/Stilt + 1st to 4th Floor</t>
  </si>
  <si>
    <t>Average Progress %</t>
  </si>
  <si>
    <t>Average Disbursement %</t>
  </si>
  <si>
    <t>Cost Sheet</t>
  </si>
  <si>
    <t>Society Charges</t>
  </si>
  <si>
    <t>Grill &amp; Legal Charges</t>
  </si>
  <si>
    <t>Inspection</t>
  </si>
  <si>
    <t>MIS</t>
  </si>
  <si>
    <t>Online</t>
  </si>
  <si>
    <t>https://goo.gl/maps/6KELzWGXZMLjEvxt9</t>
  </si>
  <si>
    <t>18.9587332, 73.1429221</t>
  </si>
  <si>
    <t>0.9 KM from Somatne Railway Station</t>
  </si>
  <si>
    <t>Internal Road</t>
  </si>
  <si>
    <t>Kolkhe</t>
  </si>
  <si>
    <t>Nirmal Ganesh Building</t>
  </si>
  <si>
    <t>Open Plot</t>
  </si>
  <si>
    <t>Ravindra</t>
  </si>
  <si>
    <t>(Wing A + B) Shops</t>
  </si>
  <si>
    <t>Somatane West</t>
  </si>
  <si>
    <t>Mr. Ajay Sable 8369500049</t>
  </si>
  <si>
    <t>We considered Gross carpet area = Net carpet + Open Balcony + Covered Area.</t>
  </si>
  <si>
    <t>CIDCO/NAINA/Panvel/Derwali/
BP00584/ACC/2023/0342</t>
  </si>
  <si>
    <t>Fitness Centre, Children's Play Area, Indoor Games</t>
  </si>
  <si>
    <t>Mr. Sangram Vilasrao Patil</t>
  </si>
  <si>
    <t>Builder Saleable area</t>
  </si>
  <si>
    <t>Ground Floor for Commercial, Dirvers Room, Meter Room &amp; Parking</t>
  </si>
  <si>
    <t>Approved Plans, CC, Sale Plans, Cost Sheet, Builder Saleable Area</t>
  </si>
  <si>
    <t>Wing A &amp; B</t>
  </si>
  <si>
    <t>Mr. Rohit : 9320502234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</si>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</sst>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24" fillId="2" borderId="14" xfId="0" applyFont="1" applyFill="1" applyBorder="1"/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3" borderId="34" xfId="1" applyFont="1" applyFill="1" applyBorder="1" applyAlignment="1" applyProtection="1">
      <alignment horizontal="center" vertical="center" wrapText="1"/>
      <protection locked="0"/>
    </xf>
    <xf numFmtId="0" fontId="8" fillId="3" borderId="35" xfId="1" applyFont="1" applyFill="1" applyBorder="1" applyAlignment="1" applyProtection="1">
      <alignment horizontal="center" vertical="center" wrapText="1"/>
      <protection locked="0"/>
    </xf>
    <xf numFmtId="9" fontId="8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34" xfId="1" applyFont="1" applyFill="1" applyBorder="1" applyAlignment="1" applyProtection="1">
      <alignment horizontal="center" vertical="top" wrapText="1"/>
      <protection locked="0"/>
    </xf>
    <xf numFmtId="0" fontId="8" fillId="3" borderId="35" xfId="1" applyFont="1" applyFill="1" applyBorder="1" applyAlignment="1" applyProtection="1">
      <alignment horizontal="center" vertical="top" wrapText="1"/>
      <protection locked="0"/>
    </xf>
    <xf numFmtId="0" fontId="8" fillId="3" borderId="36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554179</xdr:colOff>
      <xdr:row>288</xdr:row>
      <xdr:rowOff>129885</xdr:rowOff>
    </xdr:from>
    <xdr:to>
      <xdr:col>7</xdr:col>
      <xdr:colOff>265156</xdr:colOff>
      <xdr:row>307</xdr:row>
      <xdr:rowOff>109498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4179" y="58007249"/>
          <a:ext cx="5400000" cy="37636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165543</xdr:colOff>
      <xdr:row>308</xdr:row>
      <xdr:rowOff>185303</xdr:rowOff>
    </xdr:from>
    <xdr:to>
      <xdr:col>5</xdr:col>
      <xdr:colOff>653793</xdr:colOff>
      <xdr:row>328</xdr:row>
      <xdr:rowOff>158750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3843" y="54547653"/>
          <a:ext cx="3187000" cy="39104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311727</xdr:colOff>
      <xdr:row>297</xdr:row>
      <xdr:rowOff>69273</xdr:rowOff>
    </xdr:from>
    <xdr:to>
      <xdr:col>3</xdr:col>
      <xdr:colOff>710046</xdr:colOff>
      <xdr:row>303</xdr:row>
      <xdr:rowOff>0</xdr:rowOff>
    </xdr:to>
    <xdr:sp macro="" textlink="">
      <xdr:nvSpPr>
        <xdr:cNvPr id="4" name="Rounded Rectangle 3"/>
        <xdr:cNvSpPr/>
      </xdr:nvSpPr>
      <xdr:spPr>
        <a:xfrm>
          <a:off x="1073727" y="59739068"/>
          <a:ext cx="2043546" cy="1125682"/>
        </a:xfrm>
        <a:prstGeom prst="round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727361</xdr:colOff>
      <xdr:row>297</xdr:row>
      <xdr:rowOff>69272</xdr:rowOff>
    </xdr:from>
    <xdr:to>
      <xdr:col>6</xdr:col>
      <xdr:colOff>268429</xdr:colOff>
      <xdr:row>302</xdr:row>
      <xdr:rowOff>199158</xdr:rowOff>
    </xdr:to>
    <xdr:sp macro="" textlink="">
      <xdr:nvSpPr>
        <xdr:cNvPr id="5" name="Rounded Rectangle 4"/>
        <xdr:cNvSpPr/>
      </xdr:nvSpPr>
      <xdr:spPr>
        <a:xfrm>
          <a:off x="3134588" y="59739067"/>
          <a:ext cx="2043546" cy="1125682"/>
        </a:xfrm>
        <a:prstGeom prst="round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112565</xdr:colOff>
      <xdr:row>292</xdr:row>
      <xdr:rowOff>164522</xdr:rowOff>
    </xdr:from>
    <xdr:ext cx="708912" cy="311496"/>
    <xdr:sp macro="" textlink="">
      <xdr:nvSpPr>
        <xdr:cNvPr id="7" name="TextBox 6"/>
        <xdr:cNvSpPr txBox="1"/>
      </xdr:nvSpPr>
      <xdr:spPr>
        <a:xfrm>
          <a:off x="874565" y="58838522"/>
          <a:ext cx="708912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/>
            <a:t>Wing A</a:t>
          </a:r>
        </a:p>
      </xdr:txBody>
    </xdr:sp>
    <xdr:clientData/>
  </xdr:oneCellAnchor>
  <xdr:oneCellAnchor>
    <xdr:from>
      <xdr:col>6</xdr:col>
      <xdr:colOff>43293</xdr:colOff>
      <xdr:row>289</xdr:row>
      <xdr:rowOff>103908</xdr:rowOff>
    </xdr:from>
    <xdr:ext cx="702693" cy="311496"/>
    <xdr:sp macro="" textlink="">
      <xdr:nvSpPr>
        <xdr:cNvPr id="8" name="TextBox 7"/>
        <xdr:cNvSpPr txBox="1"/>
      </xdr:nvSpPr>
      <xdr:spPr>
        <a:xfrm>
          <a:off x="4952998" y="58180431"/>
          <a:ext cx="702693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/>
            <a:t>Wing B</a:t>
          </a:r>
        </a:p>
      </xdr:txBody>
    </xdr:sp>
    <xdr:clientData/>
  </xdr:oneCellAnchor>
  <xdr:twoCellAnchor>
    <xdr:from>
      <xdr:col>1</xdr:col>
      <xdr:colOff>467021</xdr:colOff>
      <xdr:row>294</xdr:row>
      <xdr:rowOff>77700</xdr:rowOff>
    </xdr:from>
    <xdr:to>
      <xdr:col>1</xdr:col>
      <xdr:colOff>684068</xdr:colOff>
      <xdr:row>297</xdr:row>
      <xdr:rowOff>86591</xdr:rowOff>
    </xdr:to>
    <xdr:cxnSp macro="">
      <xdr:nvCxnSpPr>
        <xdr:cNvPr id="10" name="Straight Arrow Connector 9"/>
        <xdr:cNvCxnSpPr>
          <a:stCxn id="7" idx="2"/>
        </xdr:cNvCxnSpPr>
      </xdr:nvCxnSpPr>
      <xdr:spPr>
        <a:xfrm>
          <a:off x="1229021" y="59150018"/>
          <a:ext cx="217047" cy="60636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17318</xdr:colOff>
      <xdr:row>291</xdr:row>
      <xdr:rowOff>17086</xdr:rowOff>
    </xdr:from>
    <xdr:to>
      <xdr:col>6</xdr:col>
      <xdr:colOff>394640</xdr:colOff>
      <xdr:row>297</xdr:row>
      <xdr:rowOff>43296</xdr:rowOff>
    </xdr:to>
    <xdr:cxnSp macro="">
      <xdr:nvCxnSpPr>
        <xdr:cNvPr id="13" name="Straight Arrow Connector 12"/>
        <xdr:cNvCxnSpPr>
          <a:stCxn id="8" idx="2"/>
        </xdr:cNvCxnSpPr>
      </xdr:nvCxnSpPr>
      <xdr:spPr>
        <a:xfrm flipH="1">
          <a:off x="4927023" y="58491927"/>
          <a:ext cx="377322" cy="122116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684066</xdr:colOff>
      <xdr:row>352</xdr:row>
      <xdr:rowOff>147780</xdr:rowOff>
    </xdr:from>
    <xdr:to>
      <xdr:col>7</xdr:col>
      <xdr:colOff>75043</xdr:colOff>
      <xdr:row>371</xdr:row>
      <xdr:rowOff>55224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4066" y="67628075"/>
          <a:ext cx="5080000" cy="36914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23666</xdr:colOff>
      <xdr:row>331</xdr:row>
      <xdr:rowOff>164521</xdr:rowOff>
    </xdr:from>
    <xdr:to>
      <xdr:col>6</xdr:col>
      <xdr:colOff>752761</xdr:colOff>
      <xdr:row>351</xdr:row>
      <xdr:rowOff>76006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5666" y="63462476"/>
          <a:ext cx="4876800" cy="3894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692728</xdr:colOff>
      <xdr:row>360</xdr:row>
      <xdr:rowOff>51954</xdr:rowOff>
    </xdr:from>
    <xdr:to>
      <xdr:col>5</xdr:col>
      <xdr:colOff>51955</xdr:colOff>
      <xdr:row>366</xdr:row>
      <xdr:rowOff>164523</xdr:rowOff>
    </xdr:to>
    <xdr:sp macro="" textlink="">
      <xdr:nvSpPr>
        <xdr:cNvPr id="9" name="Rectangle 8"/>
        <xdr:cNvSpPr/>
      </xdr:nvSpPr>
      <xdr:spPr>
        <a:xfrm>
          <a:off x="2251364" y="68406818"/>
          <a:ext cx="1930977" cy="1307523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8</xdr:col>
      <xdr:colOff>774700</xdr:colOff>
      <xdr:row>246</xdr:row>
      <xdr:rowOff>31750</xdr:rowOff>
    </xdr:from>
    <xdr:ext cx="708912" cy="311496"/>
    <xdr:sp macro="" textlink="">
      <xdr:nvSpPr>
        <xdr:cNvPr id="25" name="TextBox 24"/>
        <xdr:cNvSpPr txBox="1"/>
      </xdr:nvSpPr>
      <xdr:spPr>
        <a:xfrm>
          <a:off x="7620000" y="42195750"/>
          <a:ext cx="708912" cy="3114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>
              <a:solidFill>
                <a:srgbClr val="FFFF00"/>
              </a:solidFill>
            </a:rPr>
            <a:t>A Wing</a:t>
          </a:r>
        </a:p>
      </xdr:txBody>
    </xdr:sp>
    <xdr:clientData/>
  </xdr:oneCellAnchor>
  <xdr:twoCellAnchor>
    <xdr:from>
      <xdr:col>0</xdr:col>
      <xdr:colOff>241300</xdr:colOff>
      <xdr:row>245</xdr:row>
      <xdr:rowOff>127000</xdr:rowOff>
    </xdr:from>
    <xdr:to>
      <xdr:col>7</xdr:col>
      <xdr:colOff>647567</xdr:colOff>
      <xdr:row>279</xdr:row>
      <xdr:rowOff>184144</xdr:rowOff>
    </xdr:to>
    <xdr:grpSp>
      <xdr:nvGrpSpPr>
        <xdr:cNvPr id="11" name="Group 10"/>
        <xdr:cNvGrpSpPr/>
      </xdr:nvGrpSpPr>
      <xdr:grpSpPr>
        <a:xfrm>
          <a:off x="241300" y="42297350"/>
          <a:ext cx="6381617" cy="6743694"/>
          <a:chOff x="241300" y="42297350"/>
          <a:chExt cx="6381617" cy="6743694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5584" y="4688104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850" y="44589197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00" y="468810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3969" y="44589197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3442" y="468810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851" y="422973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3970" y="422973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15</xdr:row>
      <xdr:rowOff>33617</xdr:rowOff>
    </xdr:from>
    <xdr:to>
      <xdr:col>8</xdr:col>
      <xdr:colOff>404658</xdr:colOff>
      <xdr:row>43</xdr:row>
      <xdr:rowOff>99617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2" y="2902323"/>
          <a:ext cx="9604687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KELzWGXZMLjEvxt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1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80" t="s">
        <v>172</v>
      </c>
      <c r="B1" s="180"/>
      <c r="C1" s="180"/>
      <c r="D1" s="180"/>
      <c r="E1" s="180"/>
      <c r="F1" s="180"/>
      <c r="G1" s="180"/>
      <c r="H1" s="180"/>
    </row>
    <row r="2" spans="1:8" ht="16.5" customHeight="1" x14ac:dyDescent="0.35">
      <c r="A2" s="181" t="s">
        <v>0</v>
      </c>
      <c r="B2" s="181"/>
      <c r="C2" s="181"/>
      <c r="D2" s="181"/>
      <c r="E2" s="181"/>
      <c r="F2" s="181"/>
      <c r="G2" s="181"/>
      <c r="H2" s="181"/>
    </row>
    <row r="3" spans="1:8" x14ac:dyDescent="0.35">
      <c r="A3" s="161" t="s">
        <v>1</v>
      </c>
      <c r="B3" s="161"/>
      <c r="C3" s="161"/>
      <c r="D3" s="161"/>
      <c r="E3" s="161" t="str">
        <f ca="1">TEXT(TODAY(),"DD/MM/YYYY")</f>
        <v>12/07/2025</v>
      </c>
      <c r="F3" s="161"/>
      <c r="G3" s="161"/>
      <c r="H3" s="161"/>
    </row>
    <row r="4" spans="1:8" ht="15" customHeight="1" x14ac:dyDescent="0.35">
      <c r="A4" s="161" t="s">
        <v>2</v>
      </c>
      <c r="B4" s="161"/>
      <c r="C4" s="161"/>
      <c r="D4" s="161"/>
      <c r="E4" s="161" t="s">
        <v>177</v>
      </c>
      <c r="F4" s="161"/>
      <c r="G4" s="161"/>
      <c r="H4" s="161"/>
    </row>
    <row r="5" spans="1:8" x14ac:dyDescent="0.35">
      <c r="A5" s="161" t="s">
        <v>3</v>
      </c>
      <c r="B5" s="161"/>
      <c r="C5" s="161"/>
      <c r="D5" s="161"/>
      <c r="E5" s="182">
        <v>45847</v>
      </c>
      <c r="F5" s="161"/>
      <c r="G5" s="161"/>
      <c r="H5" s="161"/>
    </row>
    <row r="6" spans="1:8" ht="16.5" customHeight="1" x14ac:dyDescent="0.35">
      <c r="A6" s="161" t="s">
        <v>178</v>
      </c>
      <c r="B6" s="161"/>
      <c r="C6" s="161"/>
      <c r="D6" s="161"/>
      <c r="E6" s="161" t="s">
        <v>226</v>
      </c>
      <c r="F6" s="161"/>
      <c r="G6" s="161"/>
      <c r="H6" s="161"/>
    </row>
    <row r="7" spans="1:8" x14ac:dyDescent="0.35">
      <c r="A7" s="161" t="s">
        <v>4</v>
      </c>
      <c r="B7" s="161"/>
      <c r="C7" s="161"/>
      <c r="D7" s="161"/>
      <c r="E7" s="161" t="s">
        <v>202</v>
      </c>
      <c r="F7" s="161"/>
      <c r="G7" s="161"/>
      <c r="H7" s="161"/>
    </row>
    <row r="8" spans="1:8" x14ac:dyDescent="0.35">
      <c r="A8" s="161" t="s">
        <v>5</v>
      </c>
      <c r="B8" s="161"/>
      <c r="C8" s="161"/>
      <c r="D8" s="161"/>
      <c r="E8" s="126" t="s">
        <v>179</v>
      </c>
      <c r="F8" s="126"/>
      <c r="G8" s="126"/>
      <c r="H8" s="126"/>
    </row>
    <row r="9" spans="1:8" x14ac:dyDescent="0.35">
      <c r="A9" s="161" t="s">
        <v>175</v>
      </c>
      <c r="B9" s="161"/>
      <c r="C9" s="161"/>
      <c r="D9" s="161"/>
      <c r="E9" s="161" t="s">
        <v>222</v>
      </c>
      <c r="F9" s="161"/>
      <c r="G9" s="161"/>
      <c r="H9" s="161"/>
    </row>
    <row r="10" spans="1:8" hidden="1" x14ac:dyDescent="0.35">
      <c r="A10" s="161" t="s">
        <v>176</v>
      </c>
      <c r="B10" s="161"/>
      <c r="C10" s="161"/>
      <c r="D10" s="161"/>
      <c r="E10" s="161" t="s">
        <v>231</v>
      </c>
      <c r="F10" s="161"/>
      <c r="G10" s="161"/>
      <c r="H10" s="161"/>
    </row>
    <row r="11" spans="1:8" x14ac:dyDescent="0.35">
      <c r="A11" s="161" t="s">
        <v>6</v>
      </c>
      <c r="B11" s="161"/>
      <c r="C11" s="161"/>
      <c r="D11" s="161"/>
      <c r="E11" s="161" t="s">
        <v>230</v>
      </c>
      <c r="F11" s="161"/>
      <c r="G11" s="161"/>
      <c r="H11" s="161"/>
    </row>
    <row r="12" spans="1:8" s="20" customFormat="1" ht="32.25" customHeight="1" x14ac:dyDescent="0.35">
      <c r="A12" s="161" t="s">
        <v>7</v>
      </c>
      <c r="B12" s="161"/>
      <c r="C12" s="161"/>
      <c r="D12" s="161"/>
      <c r="E12" s="110" t="s">
        <v>229</v>
      </c>
      <c r="F12" s="110"/>
      <c r="G12" s="110"/>
      <c r="H12" s="110"/>
    </row>
    <row r="13" spans="1:8" x14ac:dyDescent="0.35">
      <c r="A13" s="83" t="s">
        <v>8</v>
      </c>
      <c r="B13" s="83"/>
      <c r="C13" s="83"/>
      <c r="D13" s="83"/>
      <c r="E13" s="110" t="s">
        <v>180</v>
      </c>
      <c r="F13" s="161"/>
      <c r="G13" s="161"/>
      <c r="H13" s="161"/>
    </row>
    <row r="14" spans="1:8" ht="33" customHeight="1" x14ac:dyDescent="0.35">
      <c r="A14" s="110" t="s">
        <v>9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Tejas Neelkamal, Gut No.116/2, 151/3, 151/4, near Nirmal Ganesh Building, Internal Road, Kolkhe, Deravali, Somatane West, Panvel, Raigad - 410221.</v>
      </c>
      <c r="D14" s="110"/>
      <c r="E14" s="110"/>
      <c r="F14" s="110"/>
      <c r="G14" s="110"/>
      <c r="H14" s="110"/>
    </row>
    <row r="15" spans="1:8" x14ac:dyDescent="0.35">
      <c r="A15" s="110" t="s">
        <v>197</v>
      </c>
      <c r="B15" s="110"/>
      <c r="C15" s="110" t="s">
        <v>198</v>
      </c>
      <c r="D15" s="110"/>
      <c r="E15" s="110"/>
      <c r="F15" s="110"/>
      <c r="G15" s="110"/>
      <c r="H15" s="110"/>
    </row>
    <row r="16" spans="1:8" ht="15.75" customHeight="1" x14ac:dyDescent="0.35">
      <c r="A16" s="110" t="s">
        <v>170</v>
      </c>
      <c r="B16" s="110"/>
      <c r="C16" s="110" t="s">
        <v>216</v>
      </c>
      <c r="D16" s="110"/>
      <c r="E16" s="110"/>
      <c r="F16" s="110"/>
      <c r="G16" s="110"/>
      <c r="H16" s="110"/>
    </row>
    <row r="17" spans="1:8" ht="15.75" customHeight="1" x14ac:dyDescent="0.35">
      <c r="A17" s="176" t="s">
        <v>10</v>
      </c>
      <c r="B17" s="176"/>
      <c r="C17" s="161" t="s">
        <v>215</v>
      </c>
      <c r="D17" s="161"/>
      <c r="E17" s="176" t="s">
        <v>74</v>
      </c>
      <c r="F17" s="176"/>
      <c r="G17" s="110" t="s">
        <v>199</v>
      </c>
      <c r="H17" s="110"/>
    </row>
    <row r="18" spans="1:8" x14ac:dyDescent="0.35">
      <c r="A18" s="83" t="s">
        <v>12</v>
      </c>
      <c r="B18" s="83"/>
      <c r="C18" s="110" t="s">
        <v>221</v>
      </c>
      <c r="D18" s="110"/>
      <c r="E18" s="176" t="s">
        <v>11</v>
      </c>
      <c r="F18" s="176"/>
      <c r="G18" s="179" t="s">
        <v>200</v>
      </c>
      <c r="H18" s="179"/>
    </row>
    <row r="19" spans="1:8" x14ac:dyDescent="0.35">
      <c r="A19" s="83" t="s">
        <v>75</v>
      </c>
      <c r="B19" s="83"/>
      <c r="C19" s="110" t="s">
        <v>201</v>
      </c>
      <c r="D19" s="110"/>
      <c r="E19" s="176" t="s">
        <v>13</v>
      </c>
      <c r="F19" s="176"/>
      <c r="G19" s="110">
        <v>410221</v>
      </c>
      <c r="H19" s="110"/>
    </row>
    <row r="20" spans="1:8" ht="32.25" customHeight="1" x14ac:dyDescent="0.35">
      <c r="A20" s="83" t="s">
        <v>127</v>
      </c>
      <c r="B20" s="83"/>
      <c r="C20" s="110" t="s">
        <v>217</v>
      </c>
      <c r="D20" s="110"/>
      <c r="E20" s="176" t="s">
        <v>14</v>
      </c>
      <c r="F20" s="176"/>
      <c r="G20" s="110" t="s">
        <v>214</v>
      </c>
      <c r="H20" s="110"/>
    </row>
    <row r="21" spans="1:8" ht="15" customHeight="1" x14ac:dyDescent="0.35">
      <c r="A21" s="176" t="s">
        <v>78</v>
      </c>
      <c r="B21" s="176"/>
      <c r="C21" s="176"/>
      <c r="D21" s="176"/>
      <c r="E21" s="161" t="s">
        <v>15</v>
      </c>
      <c r="F21" s="161"/>
      <c r="G21" s="161"/>
      <c r="H21" s="161"/>
    </row>
    <row r="22" spans="1:8" ht="18.75" customHeight="1" x14ac:dyDescent="0.35">
      <c r="A22" s="176"/>
      <c r="B22" s="176"/>
      <c r="C22" s="176"/>
      <c r="D22" s="176"/>
      <c r="E22" s="161"/>
      <c r="F22" s="161"/>
      <c r="G22" s="161"/>
      <c r="H22" s="161"/>
    </row>
    <row r="23" spans="1:8" ht="15" customHeight="1" x14ac:dyDescent="0.35">
      <c r="A23" s="176" t="s">
        <v>16</v>
      </c>
      <c r="B23" s="176"/>
      <c r="C23" s="176"/>
      <c r="D23" s="176"/>
      <c r="E23" s="110" t="s">
        <v>17</v>
      </c>
      <c r="F23" s="110"/>
      <c r="G23" s="110"/>
      <c r="H23" s="110"/>
    </row>
    <row r="24" spans="1:8" ht="15" customHeight="1" x14ac:dyDescent="0.35">
      <c r="A24" s="83" t="s">
        <v>18</v>
      </c>
      <c r="B24" s="83"/>
      <c r="C24" s="83"/>
      <c r="D24" s="83"/>
      <c r="E24" s="110" t="str">
        <f>IF(AND(G18="Mumbai"),"Upper Class","Middle Class")</f>
        <v>Middle Class</v>
      </c>
      <c r="F24" s="110"/>
      <c r="G24" s="110"/>
      <c r="H24" s="110"/>
    </row>
    <row r="25" spans="1:8" x14ac:dyDescent="0.35">
      <c r="A25" s="83" t="s">
        <v>19</v>
      </c>
      <c r="B25" s="83"/>
      <c r="C25" s="83"/>
      <c r="D25" s="83"/>
      <c r="E25" s="110" t="s">
        <v>20</v>
      </c>
      <c r="F25" s="110"/>
      <c r="G25" s="110"/>
      <c r="H25" s="110"/>
    </row>
    <row r="26" spans="1:8" ht="15.75" customHeight="1" x14ac:dyDescent="0.35">
      <c r="A26" s="83" t="s">
        <v>21</v>
      </c>
      <c r="B26" s="83"/>
      <c r="C26" s="83"/>
      <c r="D26" s="83"/>
      <c r="E26" s="110" t="str">
        <f>IF(AND(G18="Mumbai"),"Developed","Developing")</f>
        <v>Developing</v>
      </c>
      <c r="F26" s="110"/>
      <c r="G26" s="110"/>
      <c r="H26" s="110"/>
    </row>
    <row r="27" spans="1:8" x14ac:dyDescent="0.35">
      <c r="A27" s="83" t="s">
        <v>22</v>
      </c>
      <c r="B27" s="83"/>
      <c r="C27" s="83"/>
      <c r="D27" s="83"/>
      <c r="E27" s="110" t="s">
        <v>23</v>
      </c>
      <c r="F27" s="110"/>
      <c r="G27" s="110"/>
      <c r="H27" s="110"/>
    </row>
    <row r="28" spans="1:8" ht="15.75" customHeight="1" x14ac:dyDescent="0.35">
      <c r="A28" s="83" t="s">
        <v>83</v>
      </c>
      <c r="B28" s="83"/>
      <c r="C28" s="83"/>
      <c r="D28" s="83"/>
      <c r="E28" s="110" t="s">
        <v>84</v>
      </c>
      <c r="F28" s="110"/>
      <c r="G28" s="110"/>
      <c r="H28" s="110"/>
    </row>
    <row r="29" spans="1:8" ht="15" customHeight="1" x14ac:dyDescent="0.35">
      <c r="A29" s="83" t="s">
        <v>32</v>
      </c>
      <c r="B29" s="83"/>
      <c r="C29" s="83"/>
      <c r="D29" s="83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0"/>
      <c r="G29" s="110"/>
      <c r="H29" s="110"/>
    </row>
    <row r="30" spans="1:8" ht="15.75" customHeight="1" x14ac:dyDescent="0.35">
      <c r="A30" s="83" t="s">
        <v>95</v>
      </c>
      <c r="B30" s="83"/>
      <c r="C30" s="83"/>
      <c r="D30" s="83"/>
      <c r="E30" s="110" t="s">
        <v>33</v>
      </c>
      <c r="F30" s="110"/>
      <c r="G30" s="110"/>
      <c r="H30" s="110"/>
    </row>
    <row r="31" spans="1:8" s="19" customFormat="1" x14ac:dyDescent="0.35">
      <c r="A31" s="178" t="s">
        <v>96</v>
      </c>
      <c r="B31" s="178"/>
      <c r="C31" s="177" t="s">
        <v>28</v>
      </c>
      <c r="D31" s="177"/>
      <c r="E31" s="177"/>
      <c r="F31" s="177" t="s">
        <v>30</v>
      </c>
      <c r="G31" s="177"/>
      <c r="H31" s="177"/>
    </row>
    <row r="32" spans="1:8" s="19" customFormat="1" x14ac:dyDescent="0.35">
      <c r="A32" s="151" t="s">
        <v>24</v>
      </c>
      <c r="B32" s="151" t="s">
        <v>29</v>
      </c>
      <c r="C32" s="152" t="s">
        <v>29</v>
      </c>
      <c r="D32" s="152"/>
      <c r="E32" s="152"/>
      <c r="F32" s="152" t="s">
        <v>215</v>
      </c>
      <c r="G32" s="152"/>
      <c r="H32" s="152"/>
    </row>
    <row r="33" spans="1:8" x14ac:dyDescent="0.35">
      <c r="A33" s="151" t="s">
        <v>25</v>
      </c>
      <c r="B33" s="151" t="s">
        <v>29</v>
      </c>
      <c r="C33" s="152" t="s">
        <v>29</v>
      </c>
      <c r="D33" s="152"/>
      <c r="E33" s="152"/>
      <c r="F33" s="152" t="s">
        <v>218</v>
      </c>
      <c r="G33" s="152"/>
      <c r="H33" s="152"/>
    </row>
    <row r="34" spans="1:8" s="19" customFormat="1" x14ac:dyDescent="0.35">
      <c r="A34" s="151" t="s">
        <v>27</v>
      </c>
      <c r="B34" s="151" t="s">
        <v>29</v>
      </c>
      <c r="C34" s="152" t="s">
        <v>29</v>
      </c>
      <c r="D34" s="152"/>
      <c r="E34" s="152"/>
      <c r="F34" s="152" t="s">
        <v>215</v>
      </c>
      <c r="G34" s="152"/>
      <c r="H34" s="152"/>
    </row>
    <row r="35" spans="1:8" x14ac:dyDescent="0.35">
      <c r="A35" s="151" t="s">
        <v>26</v>
      </c>
      <c r="B35" s="151" t="s">
        <v>29</v>
      </c>
      <c r="C35" s="152" t="s">
        <v>29</v>
      </c>
      <c r="D35" s="152"/>
      <c r="E35" s="152"/>
      <c r="F35" s="152" t="s">
        <v>218</v>
      </c>
      <c r="G35" s="152"/>
      <c r="H35" s="152"/>
    </row>
    <row r="36" spans="1:8" x14ac:dyDescent="0.35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35">
      <c r="A37" s="108" t="s">
        <v>173</v>
      </c>
      <c r="B37" s="108"/>
      <c r="C37" s="83" t="s">
        <v>213</v>
      </c>
      <c r="D37" s="83"/>
      <c r="E37" s="83"/>
      <c r="F37" s="83"/>
      <c r="G37" s="83"/>
      <c r="H37" s="83"/>
    </row>
    <row r="38" spans="1:8" x14ac:dyDescent="0.35">
      <c r="A38" s="108" t="s">
        <v>169</v>
      </c>
      <c r="B38" s="108"/>
      <c r="C38" s="109" t="s">
        <v>212</v>
      </c>
      <c r="D38" s="110"/>
      <c r="E38" s="110"/>
      <c r="F38" s="110"/>
      <c r="G38" s="110"/>
      <c r="H38" s="110"/>
    </row>
    <row r="39" spans="1:8" x14ac:dyDescent="0.35">
      <c r="A39" s="108" t="s">
        <v>34</v>
      </c>
      <c r="B39" s="108"/>
      <c r="C39" s="108"/>
      <c r="D39" s="108"/>
      <c r="E39" s="108"/>
      <c r="F39" s="108"/>
      <c r="G39" s="108"/>
      <c r="H39" s="108"/>
    </row>
    <row r="40" spans="1:8" x14ac:dyDescent="0.35">
      <c r="A40" s="83" t="s">
        <v>35</v>
      </c>
      <c r="B40" s="83"/>
      <c r="C40" s="83"/>
      <c r="D40" s="83"/>
      <c r="E40" s="153">
        <v>2793.471</v>
      </c>
      <c r="F40" s="153"/>
      <c r="G40" s="153"/>
      <c r="H40" s="153"/>
    </row>
    <row r="41" spans="1:8" x14ac:dyDescent="0.35">
      <c r="A41" s="83" t="s">
        <v>36</v>
      </c>
      <c r="B41" s="83"/>
      <c r="C41" s="83"/>
      <c r="D41" s="83"/>
      <c r="E41" s="166">
        <v>1</v>
      </c>
      <c r="F41" s="166"/>
      <c r="G41" s="166"/>
      <c r="H41" s="166"/>
    </row>
    <row r="42" spans="1:8" x14ac:dyDescent="0.35">
      <c r="A42" s="83" t="s">
        <v>37</v>
      </c>
      <c r="B42" s="83"/>
      <c r="C42" s="83"/>
      <c r="D42" s="83"/>
      <c r="E42" s="166">
        <f>E44/E40-E41</f>
        <v>9.6592375578625989E-2</v>
      </c>
      <c r="F42" s="166"/>
      <c r="G42" s="166"/>
      <c r="H42" s="166"/>
    </row>
    <row r="43" spans="1:8" x14ac:dyDescent="0.35">
      <c r="A43" s="83" t="s">
        <v>38</v>
      </c>
      <c r="B43" s="83"/>
      <c r="C43" s="83"/>
      <c r="D43" s="83"/>
      <c r="E43" s="166">
        <f>E41+E42</f>
        <v>1.096592375578626</v>
      </c>
      <c r="F43" s="166"/>
      <c r="G43" s="166"/>
      <c r="H43" s="166"/>
    </row>
    <row r="44" spans="1:8" x14ac:dyDescent="0.35">
      <c r="A44" s="83" t="s">
        <v>94</v>
      </c>
      <c r="B44" s="83"/>
      <c r="C44" s="83"/>
      <c r="D44" s="83"/>
      <c r="E44" s="167">
        <v>3063.299</v>
      </c>
      <c r="F44" s="167"/>
      <c r="G44" s="167"/>
      <c r="H44" s="167"/>
    </row>
    <row r="45" spans="1:8" x14ac:dyDescent="0.35">
      <c r="A45" s="161" t="s">
        <v>39</v>
      </c>
      <c r="B45" s="161"/>
      <c r="C45" s="161"/>
      <c r="D45" s="161"/>
      <c r="E45" s="161" t="s">
        <v>126</v>
      </c>
      <c r="F45" s="161"/>
      <c r="G45" s="161"/>
      <c r="H45" s="161"/>
    </row>
    <row r="46" spans="1:8" x14ac:dyDescent="0.35">
      <c r="A46" s="108" t="s">
        <v>40</v>
      </c>
      <c r="B46" s="108"/>
      <c r="C46" s="108"/>
      <c r="D46" s="108"/>
      <c r="E46" s="108"/>
      <c r="F46" s="108"/>
      <c r="G46" s="108"/>
      <c r="H46" s="108"/>
    </row>
    <row r="47" spans="1:8" ht="33.75" customHeight="1" x14ac:dyDescent="0.35">
      <c r="A47" s="77" t="s">
        <v>157</v>
      </c>
      <c r="B47" s="79"/>
      <c r="C47" s="114" t="s">
        <v>192</v>
      </c>
      <c r="D47" s="115"/>
      <c r="E47" s="115"/>
      <c r="F47" s="115"/>
      <c r="G47" s="115"/>
      <c r="H47" s="116"/>
    </row>
    <row r="48" spans="1:8" ht="31.5" customHeight="1" x14ac:dyDescent="0.35">
      <c r="A48" s="77" t="s">
        <v>41</v>
      </c>
      <c r="B48" s="79"/>
      <c r="C48" s="77" t="s">
        <v>224</v>
      </c>
      <c r="D48" s="78"/>
      <c r="E48" s="79"/>
      <c r="F48" s="17" t="s">
        <v>42</v>
      </c>
      <c r="G48" s="155">
        <v>44993</v>
      </c>
      <c r="H48" s="156"/>
    </row>
    <row r="49" spans="1:14" ht="31.5" customHeight="1" x14ac:dyDescent="0.35">
      <c r="A49" s="77" t="s">
        <v>43</v>
      </c>
      <c r="B49" s="79"/>
      <c r="C49" s="77" t="str">
        <f>C48</f>
        <v>CIDCO/NAINA/Panvel/Derwali/
BP00584/ACC/2023/0342</v>
      </c>
      <c r="D49" s="78"/>
      <c r="E49" s="79"/>
      <c r="F49" s="17" t="s">
        <v>42</v>
      </c>
      <c r="G49" s="155">
        <f>G48</f>
        <v>44993</v>
      </c>
      <c r="H49" s="156"/>
    </row>
    <row r="50" spans="1:14" s="20" customFormat="1" ht="30.75" customHeight="1" x14ac:dyDescent="0.35">
      <c r="A50" s="171" t="s">
        <v>161</v>
      </c>
      <c r="B50" s="172"/>
      <c r="C50" s="77" t="str">
        <f>C49</f>
        <v>CIDCO/NAINA/Panvel/Derwali/
BP00584/ACC/2023/0342</v>
      </c>
      <c r="D50" s="78"/>
      <c r="E50" s="79"/>
      <c r="F50" s="17" t="s">
        <v>42</v>
      </c>
      <c r="G50" s="155">
        <f>G49</f>
        <v>44993</v>
      </c>
      <c r="H50" s="156"/>
    </row>
    <row r="51" spans="1:14" s="20" customFormat="1" ht="15.75" customHeight="1" x14ac:dyDescent="0.35">
      <c r="A51" s="173"/>
      <c r="B51" s="174"/>
      <c r="C51" s="77" t="s">
        <v>193</v>
      </c>
      <c r="D51" s="78"/>
      <c r="E51" s="78"/>
      <c r="F51" s="78"/>
      <c r="G51" s="78"/>
      <c r="H51" s="79"/>
    </row>
    <row r="52" spans="1:14" x14ac:dyDescent="0.35">
      <c r="A52" s="162" t="s">
        <v>44</v>
      </c>
      <c r="B52" s="163"/>
      <c r="C52" s="162" t="s">
        <v>107</v>
      </c>
      <c r="D52" s="164"/>
      <c r="E52" s="163"/>
      <c r="F52" s="40" t="s">
        <v>42</v>
      </c>
      <c r="G52" s="194" t="s">
        <v>29</v>
      </c>
      <c r="H52" s="195"/>
    </row>
    <row r="53" spans="1:14" x14ac:dyDescent="0.35">
      <c r="A53" s="187" t="s">
        <v>46</v>
      </c>
      <c r="B53" s="187"/>
      <c r="C53" s="187"/>
      <c r="D53" s="187"/>
      <c r="E53" s="187"/>
      <c r="F53" s="187"/>
      <c r="G53" s="187"/>
      <c r="H53" s="187"/>
    </row>
    <row r="54" spans="1:14" x14ac:dyDescent="0.35">
      <c r="A54" s="176" t="s">
        <v>93</v>
      </c>
      <c r="B54" s="176"/>
      <c r="C54" s="176"/>
      <c r="D54" s="83">
        <f>E44</f>
        <v>3063.299</v>
      </c>
      <c r="E54" s="83"/>
      <c r="F54" s="83"/>
      <c r="G54" s="83"/>
      <c r="H54" s="83"/>
    </row>
    <row r="55" spans="1:14" x14ac:dyDescent="0.35">
      <c r="A55" s="110" t="s">
        <v>47</v>
      </c>
      <c r="B55" s="161"/>
      <c r="C55" s="161"/>
      <c r="D55" s="161" t="s">
        <v>190</v>
      </c>
      <c r="E55" s="161"/>
      <c r="F55" s="161"/>
      <c r="G55" s="161"/>
      <c r="H55" s="161"/>
      <c r="I55" s="21"/>
    </row>
    <row r="56" spans="1:14" s="20" customFormat="1" x14ac:dyDescent="0.35">
      <c r="A56" s="157" t="s">
        <v>48</v>
      </c>
      <c r="B56" s="158"/>
      <c r="C56" s="170"/>
      <c r="D56" s="168" t="s">
        <v>194</v>
      </c>
      <c r="E56" s="169"/>
      <c r="F56" s="169"/>
      <c r="G56" s="169"/>
      <c r="H56" s="169"/>
    </row>
    <row r="57" spans="1:14" ht="15.75" customHeight="1" x14ac:dyDescent="0.35">
      <c r="A57" s="157" t="s">
        <v>91</v>
      </c>
      <c r="B57" s="158"/>
      <c r="C57" s="158"/>
      <c r="D57" s="110" t="s">
        <v>195</v>
      </c>
      <c r="E57" s="161"/>
      <c r="F57" s="161"/>
      <c r="G57" s="161"/>
      <c r="H57" s="161"/>
    </row>
    <row r="58" spans="1:14" ht="15.75" customHeight="1" x14ac:dyDescent="0.35">
      <c r="A58" s="159"/>
      <c r="B58" s="160"/>
      <c r="C58" s="160"/>
      <c r="D58" s="110" t="s">
        <v>196</v>
      </c>
      <c r="E58" s="161"/>
      <c r="F58" s="161"/>
      <c r="G58" s="161"/>
      <c r="H58" s="161"/>
    </row>
    <row r="59" spans="1:14" ht="15.75" customHeight="1" x14ac:dyDescent="0.35">
      <c r="A59" s="83" t="s">
        <v>45</v>
      </c>
      <c r="B59" s="83"/>
      <c r="C59" s="83"/>
      <c r="D59" s="154" t="s">
        <v>191</v>
      </c>
      <c r="E59" s="154"/>
      <c r="F59" s="154"/>
      <c r="G59" s="154"/>
      <c r="H59" s="154"/>
      <c r="J59" s="22"/>
      <c r="K59" s="21"/>
      <c r="N59" s="21"/>
    </row>
    <row r="60" spans="1:14" ht="15.75" customHeight="1" x14ac:dyDescent="0.35">
      <c r="A60" s="83" t="s">
        <v>89</v>
      </c>
      <c r="B60" s="83"/>
      <c r="C60" s="83"/>
      <c r="D60" s="165" t="str">
        <f>(IF(G52="NA","60 Years After Completion",IF(G52&lt;&gt;"NA",""&amp;60-ROUNDDOWN((E3-G52)/360,0)&amp;" Years"," ")))</f>
        <v>60 Years After Completion</v>
      </c>
      <c r="E60" s="165"/>
      <c r="F60" s="165"/>
      <c r="G60" s="165"/>
      <c r="H60" s="165"/>
      <c r="N60" s="21"/>
    </row>
    <row r="61" spans="1:14" ht="15.75" customHeight="1" x14ac:dyDescent="0.35">
      <c r="A61" s="83" t="s">
        <v>90</v>
      </c>
      <c r="B61" s="83"/>
      <c r="C61" s="83"/>
      <c r="D61" s="176" t="s">
        <v>23</v>
      </c>
      <c r="E61" s="176"/>
      <c r="F61" s="176"/>
      <c r="G61" s="176"/>
      <c r="H61" s="176"/>
      <c r="J61" s="23"/>
      <c r="K61" s="23"/>
    </row>
    <row r="62" spans="1:14" x14ac:dyDescent="0.35">
      <c r="A62" s="83" t="s">
        <v>76</v>
      </c>
      <c r="B62" s="83"/>
      <c r="C62" s="83"/>
      <c r="D62" s="110" t="s">
        <v>225</v>
      </c>
      <c r="E62" s="176"/>
      <c r="F62" s="176"/>
      <c r="G62" s="176"/>
      <c r="H62" s="176"/>
    </row>
    <row r="63" spans="1:14" x14ac:dyDescent="0.35">
      <c r="A63" s="176" t="s">
        <v>154</v>
      </c>
      <c r="B63" s="176"/>
      <c r="C63" s="176"/>
      <c r="D63" s="176" t="s">
        <v>29</v>
      </c>
      <c r="E63" s="176"/>
      <c r="F63" s="176"/>
      <c r="G63" s="176"/>
      <c r="H63" s="176"/>
      <c r="I63" s="24"/>
      <c r="J63" s="24"/>
      <c r="K63" s="24"/>
      <c r="L63" s="24"/>
      <c r="M63" s="24"/>
      <c r="N63" s="24"/>
    </row>
    <row r="64" spans="1:14" ht="15.75" customHeight="1" x14ac:dyDescent="0.35">
      <c r="A64" s="184" t="s">
        <v>88</v>
      </c>
      <c r="B64" s="184"/>
      <c r="C64" s="184"/>
      <c r="D64" s="168" t="str">
        <f ca="1">(IF(G70&gt;95%,"Nothing",IF(G70&gt;0%,"Cement, Aggregate, Steel, etc",IF(G70=0%,"Work not yet Started"))))</f>
        <v>Cement, Aggregate, Steel, etc</v>
      </c>
      <c r="E64" s="168"/>
      <c r="F64" s="168"/>
      <c r="G64" s="168"/>
      <c r="H64" s="168"/>
      <c r="J64" s="23"/>
    </row>
    <row r="65" spans="1:10" ht="33.75" customHeight="1" thickBot="1" x14ac:dyDescent="0.4">
      <c r="A65" s="183" t="s">
        <v>120</v>
      </c>
      <c r="B65" s="183"/>
      <c r="C65" s="183"/>
      <c r="D65" s="168" t="str">
        <f ca="1">(IF(D64="Nothing","Yes",IF(D64="Cement, Aggregate, Steel, etc","Under Construction",IF(D64="Work not yet Started","Work not yet Started"))))</f>
        <v>Under Construction</v>
      </c>
      <c r="E65" s="168"/>
      <c r="F65" s="168" t="str">
        <f ca="1">(IF(D64="Nothing","Yes",IF(D64="Cement, Aggregate, Steel, etc","Under Construction",IF(D64="Work not yet Started","Work not yet Started"))))</f>
        <v>Under Construction</v>
      </c>
      <c r="G65" s="168"/>
      <c r="H65" s="168"/>
    </row>
    <row r="66" spans="1:10" ht="15.75" customHeight="1" x14ac:dyDescent="0.35">
      <c r="A66" s="175" t="s">
        <v>145</v>
      </c>
      <c r="B66" s="175"/>
      <c r="C66" s="127" t="str">
        <f>D57</f>
        <v>Wing A = Gr/Stilt + 1st to 4th Floor</v>
      </c>
      <c r="D66" s="127"/>
      <c r="E66" s="127"/>
      <c r="F66" s="127"/>
      <c r="G66" s="127"/>
      <c r="H66" s="127"/>
      <c r="I66" s="62" t="str">
        <f ca="1">IF(D79=100%,"All work Completed. Possession granted to the Building.",IF(D78=100%,"All work Completed, Waiting for OC",I67&amp;""&amp;I68&amp;""&amp;J67&amp;""&amp;J66&amp;" "&amp;J68))</f>
        <v>Excavation, Plinth Completed, RCC upto 4 Slab, Brickwork upto 1 Floor Completed</v>
      </c>
      <c r="J66" s="43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4 Slab, Brickwork upto 1 Floor</v>
      </c>
    </row>
    <row r="67" spans="1:10" x14ac:dyDescent="0.35">
      <c r="A67" s="73" t="s">
        <v>147</v>
      </c>
      <c r="B67" s="73">
        <f>IF(AND(ISNUMBER(SEARCH("1B",C66))),1,IF(AND(ISNUMBER(SEARCH("2B",C66))),2,IF(AND(ISNUMBER(SEARCH("3B",C66))),3,IF(AND(ISNUMBER(SEARCH("4B",C66))),4,IF(ISNUMBER(SEARCH("5B",C66)),5,0)))))</f>
        <v>0</v>
      </c>
      <c r="C67" s="73" t="s">
        <v>73</v>
      </c>
      <c r="D67" s="73">
        <v>1</v>
      </c>
      <c r="E67" s="73" t="s">
        <v>72</v>
      </c>
      <c r="F67" s="73">
        <v>0</v>
      </c>
      <c r="G67" s="73" t="s">
        <v>82</v>
      </c>
      <c r="H67" s="73">
        <f ca="1">--TRIM(RIGHT(SUBSTITUTE(LEFT(C66,_xlfn.AGGREGATE(16,6,FIND({0,1,2,3,4,5,6,7,8,9},C66,ROW(INDIRECT("1:"&amp;LEN(C66)))),1))," ",REPT(" ",LEN(C66))),LEN(C66)))</f>
        <v>4</v>
      </c>
      <c r="I67" s="7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" customHeight="1" x14ac:dyDescent="0.35">
      <c r="A68" s="126" t="s">
        <v>92</v>
      </c>
      <c r="B68" s="126"/>
      <c r="C68" s="127" t="str">
        <f ca="1">I66</f>
        <v>Excavation, Plinth Completed, RCC upto 4 Slab, Brickwork upto 1 Floor Completed</v>
      </c>
      <c r="D68" s="127"/>
      <c r="E68" s="127"/>
      <c r="F68" s="127"/>
      <c r="G68" s="127"/>
      <c r="H68" s="127"/>
      <c r="I68" s="74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35">
      <c r="A69" s="124" t="s">
        <v>49</v>
      </c>
      <c r="B69" s="124"/>
      <c r="C69" s="71" t="s">
        <v>144</v>
      </c>
      <c r="D69" s="71" t="s">
        <v>85</v>
      </c>
      <c r="E69" s="87" t="s">
        <v>87</v>
      </c>
      <c r="F69" s="87"/>
      <c r="G69" s="87" t="s">
        <v>86</v>
      </c>
      <c r="H69" s="87"/>
      <c r="I69" s="13" t="s">
        <v>146</v>
      </c>
      <c r="J69" s="25">
        <f ca="1">H67*25%</f>
        <v>1</v>
      </c>
    </row>
    <row r="70" spans="1:10" x14ac:dyDescent="0.35">
      <c r="A70" s="124" t="s">
        <v>133</v>
      </c>
      <c r="B70" s="124"/>
      <c r="C70" s="71">
        <f ca="1">J71</f>
        <v>4</v>
      </c>
      <c r="D70" s="48">
        <f ca="1">((100/H67)*C70)/100</f>
        <v>1</v>
      </c>
      <c r="E70" s="150">
        <f ca="1">(((C71/H67*10)+(40/(D67+F67+H67)*C72)+(7.5/(H67)*C73)+(7.5/(H67)*C74)+(10/H67*C75)+(10/H67*C76)+(5/H67*C77)+(5/H67*C78)+(5/H67*C79))/100)</f>
        <v>0.43874999999999997</v>
      </c>
      <c r="F70" s="150"/>
      <c r="G70" s="150">
        <f ca="1">((((C70/H67)*20)+((C71/H67)*25)+(30/(H67+F67+D67)*C72)+(5/H67*C73)+(5/H67*C74)+(5/H67*C75)+(5/H67*C76)+(0/H67*C77)+(0/H67*C78)+(5/H67*C79))/100)</f>
        <v>0.70250000000000001</v>
      </c>
      <c r="H70" s="150"/>
      <c r="I70" s="13" t="s">
        <v>102</v>
      </c>
      <c r="J70" s="26">
        <f ca="1">H67*50%</f>
        <v>2</v>
      </c>
    </row>
    <row r="71" spans="1:10" x14ac:dyDescent="0.35">
      <c r="A71" s="124" t="s">
        <v>50</v>
      </c>
      <c r="B71" s="124"/>
      <c r="C71" s="49">
        <f ca="1">J79</f>
        <v>4</v>
      </c>
      <c r="D71" s="48">
        <f ca="1">((100/H67)*C71)/100</f>
        <v>1</v>
      </c>
      <c r="E71" s="150"/>
      <c r="F71" s="150"/>
      <c r="G71" s="150"/>
      <c r="H71" s="150"/>
      <c r="I71" s="13" t="s">
        <v>103</v>
      </c>
      <c r="J71" s="26">
        <f ca="1">H67</f>
        <v>4</v>
      </c>
    </row>
    <row r="72" spans="1:10" ht="15.75" customHeight="1" x14ac:dyDescent="0.35">
      <c r="A72" s="124" t="s">
        <v>134</v>
      </c>
      <c r="B72" s="124"/>
      <c r="C72" s="71">
        <v>4</v>
      </c>
      <c r="D72" s="48">
        <f ca="1">((100/(D67+F67+H67))*C72)/100</f>
        <v>0.8</v>
      </c>
      <c r="E72" s="150"/>
      <c r="F72" s="150"/>
      <c r="G72" s="150"/>
      <c r="H72" s="150"/>
      <c r="I72" s="13" t="s">
        <v>104</v>
      </c>
      <c r="J72" s="27">
        <f ca="1">(IF(B67&gt;1,(H67/(B67+2)),H67/4))</f>
        <v>1</v>
      </c>
    </row>
    <row r="73" spans="1:10" ht="15.75" customHeight="1" x14ac:dyDescent="0.35">
      <c r="A73" s="124" t="s">
        <v>141</v>
      </c>
      <c r="B73" s="124" t="s">
        <v>135</v>
      </c>
      <c r="C73" s="71">
        <v>1</v>
      </c>
      <c r="D73" s="48">
        <f ca="1">((100/H67)*C73)/100</f>
        <v>0.25</v>
      </c>
      <c r="E73" s="150"/>
      <c r="F73" s="150"/>
      <c r="G73" s="150"/>
      <c r="H73" s="150"/>
      <c r="I73" s="13" t="s">
        <v>105</v>
      </c>
      <c r="J73" s="27">
        <f ca="1">(IF(B67&gt;1,(H67/(B67+2)+J72),H67/4+J72))</f>
        <v>2</v>
      </c>
    </row>
    <row r="74" spans="1:10" ht="15.75" customHeight="1" x14ac:dyDescent="0.35">
      <c r="A74" s="124" t="s">
        <v>142</v>
      </c>
      <c r="B74" s="124" t="s">
        <v>135</v>
      </c>
      <c r="C74" s="71">
        <v>0</v>
      </c>
      <c r="D74" s="48">
        <f ca="1">((100/H67)*C74)/100</f>
        <v>0</v>
      </c>
      <c r="E74" s="150"/>
      <c r="F74" s="150"/>
      <c r="G74" s="150"/>
      <c r="H74" s="150"/>
      <c r="I74" s="13" t="s">
        <v>152</v>
      </c>
      <c r="J74" s="27">
        <f>(IF(B67&gt;1,(H67/(B67+2)+J73),0))</f>
        <v>0</v>
      </c>
    </row>
    <row r="75" spans="1:10" ht="15" customHeight="1" x14ac:dyDescent="0.35">
      <c r="A75" s="124" t="s">
        <v>140</v>
      </c>
      <c r="B75" s="124" t="s">
        <v>137</v>
      </c>
      <c r="C75" s="71">
        <v>0</v>
      </c>
      <c r="D75" s="48">
        <f ca="1">((100/(H67))*C75)/100</f>
        <v>0</v>
      </c>
      <c r="E75" s="150"/>
      <c r="F75" s="150"/>
      <c r="G75" s="150"/>
      <c r="H75" s="150"/>
      <c r="I75" s="13" t="s">
        <v>148</v>
      </c>
      <c r="J75" s="27">
        <f>(IF(B67&gt;2,(H67/(B67+2)+J74),0))</f>
        <v>0</v>
      </c>
    </row>
    <row r="76" spans="1:10" ht="15.75" customHeight="1" x14ac:dyDescent="0.35">
      <c r="A76" s="124" t="s">
        <v>136</v>
      </c>
      <c r="B76" s="124" t="s">
        <v>136</v>
      </c>
      <c r="C76" s="71">
        <v>0</v>
      </c>
      <c r="D76" s="48">
        <f ca="1">((100/H67)*C76)/100</f>
        <v>0</v>
      </c>
      <c r="E76" s="150"/>
      <c r="F76" s="150"/>
      <c r="G76" s="150"/>
      <c r="H76" s="150"/>
      <c r="I76" s="13" t="s">
        <v>149</v>
      </c>
      <c r="J76" s="28">
        <f>(IF(B67&gt;3,(H67/(B67+2)+J75),0))</f>
        <v>0</v>
      </c>
    </row>
    <row r="77" spans="1:10" ht="15.75" customHeight="1" x14ac:dyDescent="0.35">
      <c r="A77" s="124" t="s">
        <v>143</v>
      </c>
      <c r="B77" s="124"/>
      <c r="C77" s="71">
        <v>0</v>
      </c>
      <c r="D77" s="48">
        <f ca="1">((100/H67)*C77)/100</f>
        <v>0</v>
      </c>
      <c r="E77" s="150"/>
      <c r="F77" s="150"/>
      <c r="G77" s="150"/>
      <c r="H77" s="150"/>
      <c r="I77" s="13" t="s">
        <v>150</v>
      </c>
      <c r="J77" s="27">
        <f>(IF(B67&gt;4,(H67/(B67+2)+J76),0))</f>
        <v>0</v>
      </c>
    </row>
    <row r="78" spans="1:10" ht="15.75" customHeight="1" x14ac:dyDescent="0.35">
      <c r="A78" s="124" t="s">
        <v>138</v>
      </c>
      <c r="B78" s="124" t="s">
        <v>138</v>
      </c>
      <c r="C78" s="71">
        <v>0</v>
      </c>
      <c r="D78" s="48">
        <f ca="1">((100/(H67))*C78)/100</f>
        <v>0</v>
      </c>
      <c r="E78" s="150"/>
      <c r="F78" s="150"/>
      <c r="G78" s="150"/>
      <c r="H78" s="150"/>
      <c r="I78" s="13" t="s">
        <v>153</v>
      </c>
      <c r="J78" s="27">
        <f ca="1">(IF(B67=1,(H67/(B67+3)+J73),IF(B67=0,(H67/4+J73),IF(B67&gt;1,0))))</f>
        <v>3</v>
      </c>
    </row>
    <row r="79" spans="1:10" ht="16" thickBot="1" x14ac:dyDescent="0.4">
      <c r="A79" s="124" t="s">
        <v>139</v>
      </c>
      <c r="B79" s="124"/>
      <c r="C79" s="71">
        <v>0</v>
      </c>
      <c r="D79" s="48">
        <f ca="1">((100/(H67))*C79)/100</f>
        <v>0</v>
      </c>
      <c r="E79" s="150"/>
      <c r="F79" s="150"/>
      <c r="G79" s="150"/>
      <c r="H79" s="150"/>
      <c r="I79" s="14" t="s">
        <v>106</v>
      </c>
      <c r="J79" s="29">
        <f ca="1">(IF(B67&gt;1.5,(H67/(B67+2)+J73+MAX(0,J74-J73)+MAX(0,J75-J74)+MAX(0,J76-J75)+MAX(0,J77-J76)+MAX(0,J78-J77)),IF(B67=1,(H67/(B67+3)+J78),IF(B67=0,H67/4+J78))))</f>
        <v>4</v>
      </c>
    </row>
    <row r="80" spans="1:10" ht="15.75" customHeight="1" x14ac:dyDescent="0.35">
      <c r="A80" s="175" t="s">
        <v>145</v>
      </c>
      <c r="B80" s="175"/>
      <c r="C80" s="127" t="s">
        <v>196</v>
      </c>
      <c r="D80" s="127"/>
      <c r="E80" s="127"/>
      <c r="F80" s="127"/>
      <c r="G80" s="127"/>
      <c r="H80" s="127"/>
      <c r="I80" s="62" t="str">
        <f ca="1">IF(D93=100%,"All work Completed. Possession granted to the Building.",IF(D92=100%,"All work Completed, Waiting for OC",I81&amp;""&amp;I82&amp;""&amp;J81&amp;""&amp;J80&amp;" "&amp;J82))</f>
        <v>Excavation, Plinth Completed, RCC upto 3 Slab, Brickwork upto 1 Floor Completed</v>
      </c>
      <c r="J80" s="43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3 Slab, Brickwork upto 1 Floor</v>
      </c>
    </row>
    <row r="81" spans="1:10" x14ac:dyDescent="0.35">
      <c r="A81" s="73" t="s">
        <v>147</v>
      </c>
      <c r="B81" s="73">
        <f>IF(AND(ISNUMBER(SEARCH("1B",C80))),1,IF(AND(ISNUMBER(SEARCH("2B",C80))),2,IF(AND(ISNUMBER(SEARCH("3B",C80))),3,IF(AND(ISNUMBER(SEARCH("4B",C80))),4,IF(ISNUMBER(SEARCH("5B",C80)),5,0)))))</f>
        <v>0</v>
      </c>
      <c r="C81" s="73" t="s">
        <v>73</v>
      </c>
      <c r="D81" s="73">
        <v>1</v>
      </c>
      <c r="E81" s="73" t="s">
        <v>72</v>
      </c>
      <c r="F81" s="73">
        <v>0</v>
      </c>
      <c r="G81" s="73" t="s">
        <v>82</v>
      </c>
      <c r="H81" s="73">
        <f ca="1">--TRIM(RIGHT(SUBSTITUTE(LEFT(C80,_xlfn.AGGREGATE(16,6,FIND({0,1,2,3,4,5,6,7,8,9},C80,ROW(INDIRECT("1:"&amp;LEN(C80)))),1))," ",REPT(" ",LEN(C80))),LEN(C80)))</f>
        <v>4</v>
      </c>
      <c r="I81" s="74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5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0.5" customHeight="1" x14ac:dyDescent="0.35">
      <c r="A82" s="125" t="s">
        <v>92</v>
      </c>
      <c r="B82" s="126"/>
      <c r="C82" s="127" t="str">
        <f ca="1">(IF($G$52="NA",I80,"All work Completed. OC Received."))</f>
        <v>Excavation, Plinth Completed, RCC upto 3 Slab, Brickwork upto 1 Floor Completed</v>
      </c>
      <c r="D82" s="127"/>
      <c r="E82" s="127"/>
      <c r="F82" s="127"/>
      <c r="G82" s="127"/>
      <c r="H82" s="128"/>
      <c r="I82" s="44" t="str">
        <f ca="1">IF(I81&lt;&gt;""," Completed","")</f>
        <v xml:space="preserve"> Completed</v>
      </c>
      <c r="J82" s="45" t="str">
        <f ca="1">IF(J80&lt;&gt;"","Completed","")</f>
        <v>Completed</v>
      </c>
    </row>
    <row r="83" spans="1:10" ht="15.75" customHeight="1" x14ac:dyDescent="0.35">
      <c r="A83" s="123" t="s">
        <v>49</v>
      </c>
      <c r="B83" s="124"/>
      <c r="C83" s="52" t="s">
        <v>144</v>
      </c>
      <c r="D83" s="52" t="s">
        <v>85</v>
      </c>
      <c r="E83" s="87" t="s">
        <v>87</v>
      </c>
      <c r="F83" s="87"/>
      <c r="G83" s="87" t="s">
        <v>86</v>
      </c>
      <c r="H83" s="88"/>
      <c r="I83" s="13" t="s">
        <v>146</v>
      </c>
      <c r="J83" s="25">
        <f ca="1">H81*25%</f>
        <v>1</v>
      </c>
    </row>
    <row r="84" spans="1:10" x14ac:dyDescent="0.35">
      <c r="A84" s="123" t="s">
        <v>133</v>
      </c>
      <c r="B84" s="124"/>
      <c r="C84" s="52">
        <f ca="1">J85</f>
        <v>4</v>
      </c>
      <c r="D84" s="48">
        <f ca="1">((100/H81)*C84)/100</f>
        <v>1</v>
      </c>
      <c r="E84" s="117">
        <f ca="1">(((C85/H81*10)+(40/(D81+F81+H81)*C86)+(7.5/(H81)*C87)+(7.5/(H81)*C88)+(10/H81*C89)+(10/H81*C90)+(5/H81*C91)+(5/H81*C92)+(5/H81*C93))/100)</f>
        <v>0.35875000000000001</v>
      </c>
      <c r="F84" s="145"/>
      <c r="G84" s="117">
        <f ca="1">((((C84/H81)*20)+((C85/H81)*25)+(30/(H81+F81+D81)*C86)+(5/H81*C87)+(5/H81*C88)+(5/H81*C89)+(5/H81*C90)+(0/H81*C91)+(0/H81*C92)+(5/H81*C93))/100)</f>
        <v>0.64249999999999996</v>
      </c>
      <c r="H84" s="118"/>
      <c r="I84" s="13" t="s">
        <v>102</v>
      </c>
      <c r="J84" s="26">
        <f ca="1">H81*50%</f>
        <v>2</v>
      </c>
    </row>
    <row r="85" spans="1:10" x14ac:dyDescent="0.35">
      <c r="A85" s="123" t="s">
        <v>50</v>
      </c>
      <c r="B85" s="124"/>
      <c r="C85" s="49">
        <f ca="1">J93</f>
        <v>4</v>
      </c>
      <c r="D85" s="48">
        <f ca="1">((100/H81)*C85)/100</f>
        <v>1</v>
      </c>
      <c r="E85" s="119"/>
      <c r="F85" s="146"/>
      <c r="G85" s="119"/>
      <c r="H85" s="120"/>
      <c r="I85" s="13" t="s">
        <v>103</v>
      </c>
      <c r="J85" s="26">
        <f ca="1">H81</f>
        <v>4</v>
      </c>
    </row>
    <row r="86" spans="1:10" ht="15.75" customHeight="1" x14ac:dyDescent="0.35">
      <c r="A86" s="123" t="s">
        <v>134</v>
      </c>
      <c r="B86" s="124"/>
      <c r="C86" s="52">
        <v>3</v>
      </c>
      <c r="D86" s="48">
        <f ca="1">((100/(D81+F81+H81))*C86)/100</f>
        <v>0.6</v>
      </c>
      <c r="E86" s="119"/>
      <c r="F86" s="146"/>
      <c r="G86" s="119"/>
      <c r="H86" s="120"/>
      <c r="I86" s="13" t="s">
        <v>104</v>
      </c>
      <c r="J86" s="27">
        <f ca="1">(IF(B81&gt;1,(H81/(B81+2)),H81/4))</f>
        <v>1</v>
      </c>
    </row>
    <row r="87" spans="1:10" ht="15.75" customHeight="1" x14ac:dyDescent="0.35">
      <c r="A87" s="123" t="s">
        <v>141</v>
      </c>
      <c r="B87" s="124" t="s">
        <v>135</v>
      </c>
      <c r="C87" s="52">
        <v>1</v>
      </c>
      <c r="D87" s="48">
        <f ca="1">((100/H81)*C87)/100</f>
        <v>0.25</v>
      </c>
      <c r="E87" s="119"/>
      <c r="F87" s="146"/>
      <c r="G87" s="119"/>
      <c r="H87" s="120"/>
      <c r="I87" s="13" t="s">
        <v>105</v>
      </c>
      <c r="J87" s="27">
        <f ca="1">(IF(B81&gt;1,(H81/(B81+2)+J86),H81/4+J86))</f>
        <v>2</v>
      </c>
    </row>
    <row r="88" spans="1:10" ht="15.75" customHeight="1" x14ac:dyDescent="0.35">
      <c r="A88" s="123" t="s">
        <v>142</v>
      </c>
      <c r="B88" s="124" t="s">
        <v>135</v>
      </c>
      <c r="C88" s="52">
        <v>0</v>
      </c>
      <c r="D88" s="48">
        <f ca="1">((100/H81)*C88)/100</f>
        <v>0</v>
      </c>
      <c r="E88" s="119"/>
      <c r="F88" s="146"/>
      <c r="G88" s="119"/>
      <c r="H88" s="120"/>
      <c r="I88" s="13" t="s">
        <v>152</v>
      </c>
      <c r="J88" s="27">
        <f>(IF(B81&gt;1,(H81/(B81+2)+J87),0))</f>
        <v>0</v>
      </c>
    </row>
    <row r="89" spans="1:10" ht="15" customHeight="1" x14ac:dyDescent="0.35">
      <c r="A89" s="123" t="s">
        <v>140</v>
      </c>
      <c r="B89" s="124" t="s">
        <v>137</v>
      </c>
      <c r="C89" s="52">
        <v>0</v>
      </c>
      <c r="D89" s="48">
        <f ca="1">((100/(H81))*C89)/100</f>
        <v>0</v>
      </c>
      <c r="E89" s="119"/>
      <c r="F89" s="146"/>
      <c r="G89" s="119"/>
      <c r="H89" s="120"/>
      <c r="I89" s="13" t="s">
        <v>148</v>
      </c>
      <c r="J89" s="27">
        <f>(IF(B81&gt;2,(H81/(B81+2)+J88),0))</f>
        <v>0</v>
      </c>
    </row>
    <row r="90" spans="1:10" ht="15.75" customHeight="1" x14ac:dyDescent="0.35">
      <c r="A90" s="123" t="s">
        <v>136</v>
      </c>
      <c r="B90" s="124" t="s">
        <v>136</v>
      </c>
      <c r="C90" s="52">
        <v>0</v>
      </c>
      <c r="D90" s="48">
        <f ca="1">((100/H81)*C90)/100</f>
        <v>0</v>
      </c>
      <c r="E90" s="119"/>
      <c r="F90" s="146"/>
      <c r="G90" s="119"/>
      <c r="H90" s="120"/>
      <c r="I90" s="13" t="s">
        <v>149</v>
      </c>
      <c r="J90" s="28">
        <f>(IF(B81&gt;3,(H81/(B81+2)+J89),0))</f>
        <v>0</v>
      </c>
    </row>
    <row r="91" spans="1:10" ht="15.75" customHeight="1" x14ac:dyDescent="0.35">
      <c r="A91" s="123" t="s">
        <v>143</v>
      </c>
      <c r="B91" s="124"/>
      <c r="C91" s="52">
        <v>0</v>
      </c>
      <c r="D91" s="48">
        <f ca="1">((100/H81)*C91)/100</f>
        <v>0</v>
      </c>
      <c r="E91" s="119"/>
      <c r="F91" s="146"/>
      <c r="G91" s="119"/>
      <c r="H91" s="120"/>
      <c r="I91" s="13" t="s">
        <v>150</v>
      </c>
      <c r="J91" s="27">
        <f>(IF(B81&gt;4,(H81/(B81+2)+J90),0))</f>
        <v>0</v>
      </c>
    </row>
    <row r="92" spans="1:10" ht="15.75" customHeight="1" x14ac:dyDescent="0.35">
      <c r="A92" s="123" t="s">
        <v>138</v>
      </c>
      <c r="B92" s="124" t="s">
        <v>138</v>
      </c>
      <c r="C92" s="52">
        <v>0</v>
      </c>
      <c r="D92" s="48">
        <f ca="1">((100/(H81))*C92)/100</f>
        <v>0</v>
      </c>
      <c r="E92" s="119"/>
      <c r="F92" s="146"/>
      <c r="G92" s="119"/>
      <c r="H92" s="120"/>
      <c r="I92" s="13" t="s">
        <v>153</v>
      </c>
      <c r="J92" s="27">
        <f ca="1">(IF(B81=1,(H81/(B81+3)+J87),IF(B81=0,(H81/4+J87),IF(B81&gt;1,0))))</f>
        <v>3</v>
      </c>
    </row>
    <row r="93" spans="1:10" ht="16" thickBot="1" x14ac:dyDescent="0.4">
      <c r="A93" s="148" t="s">
        <v>139</v>
      </c>
      <c r="B93" s="149"/>
      <c r="C93" s="50">
        <v>0</v>
      </c>
      <c r="D93" s="51">
        <f ca="1">((100/(H81))*C93)/100</f>
        <v>0</v>
      </c>
      <c r="E93" s="121"/>
      <c r="F93" s="147"/>
      <c r="G93" s="121"/>
      <c r="H93" s="122"/>
      <c r="I93" s="14" t="s">
        <v>106</v>
      </c>
      <c r="J93" s="29">
        <f ca="1">(IF(B81&gt;1.5,(H81/(B81+2)+J87+MAX(0,J88-J87)+MAX(0,J89-J88)+MAX(0,J90-J89)+MAX(0,J91-J90)+MAX(0,J92-J91)),IF(B81=1,(H81/(B81+3)+J92),IF(B81=0,H81/4+J92))))</f>
        <v>4</v>
      </c>
    </row>
    <row r="94" spans="1:10" ht="15.75" hidden="1" customHeight="1" x14ac:dyDescent="0.35">
      <c r="A94" s="211" t="s">
        <v>145</v>
      </c>
      <c r="B94" s="212"/>
      <c r="C94" s="213" t="s">
        <v>203</v>
      </c>
      <c r="D94" s="214"/>
      <c r="E94" s="214"/>
      <c r="F94" s="214"/>
      <c r="G94" s="214"/>
      <c r="H94" s="215"/>
      <c r="I94" s="42" t="str">
        <f ca="1">IF(D107=100%,"All work Completed. Possession granted to the Building.",IF(D106=100%,"All work Completed, Waiting for OC",I95&amp;""&amp;I96&amp;""&amp;J95&amp;""&amp;J94&amp;" "&amp;J96))</f>
        <v xml:space="preserve">Excavation Completed, Plinth work is process </v>
      </c>
      <c r="J94" s="43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/>
      </c>
    </row>
    <row r="95" spans="1:10" hidden="1" x14ac:dyDescent="0.35">
      <c r="A95" s="15" t="s">
        <v>147</v>
      </c>
      <c r="B95" s="53">
        <f>IF(AND(ISNUMBER(SEARCH("1B",C94))),1,IF(AND(ISNUMBER(SEARCH("2B",C94))),2,IF(AND(ISNUMBER(SEARCH("3B",C94))),3,IF(AND(ISNUMBER(SEARCH("4B",C94))),4,IF(ISNUMBER(SEARCH("5B",C94)),5,0)))))</f>
        <v>0</v>
      </c>
      <c r="C95" s="53" t="s">
        <v>73</v>
      </c>
      <c r="D95" s="53">
        <v>1</v>
      </c>
      <c r="E95" s="53" t="s">
        <v>72</v>
      </c>
      <c r="F95" s="53">
        <v>0</v>
      </c>
      <c r="G95" s="53" t="s">
        <v>82</v>
      </c>
      <c r="H95" s="16">
        <f ca="1">--TRIM(RIGHT(SUBSTITUTE(LEFT(C94,_xlfn.AGGREGATE(16,6,FIND({0,1,2,3,4,5,6,7,8,9},C94,ROW(INDIRECT("1:"&amp;LEN(C94)))),1))," ",REPT(" ",LEN(C94))),LEN(C94)))</f>
        <v>4</v>
      </c>
      <c r="I95" s="44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</v>
      </c>
      <c r="J95" s="45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>, Plinth work is process</v>
      </c>
    </row>
    <row r="96" spans="1:10" hidden="1" x14ac:dyDescent="0.35">
      <c r="A96" s="125" t="s">
        <v>92</v>
      </c>
      <c r="B96" s="126"/>
      <c r="C96" s="127" t="str">
        <f ca="1">(IF($G$52="NA",I94,"All work Completed. OC Received."))</f>
        <v xml:space="preserve">Excavation Completed, Plinth work is process </v>
      </c>
      <c r="D96" s="127"/>
      <c r="E96" s="127"/>
      <c r="F96" s="127"/>
      <c r="G96" s="127"/>
      <c r="H96" s="128"/>
      <c r="I96" s="44" t="str">
        <f ca="1">IF(I95&lt;&gt;""," Completed","")</f>
        <v xml:space="preserve"> Completed</v>
      </c>
      <c r="J96" s="45" t="str">
        <f ca="1">IF(J94&lt;&gt;"","Completed","")</f>
        <v/>
      </c>
    </row>
    <row r="97" spans="1:14" ht="15.75" hidden="1" customHeight="1" x14ac:dyDescent="0.35">
      <c r="A97" s="123" t="s">
        <v>49</v>
      </c>
      <c r="B97" s="124"/>
      <c r="C97" s="52" t="s">
        <v>144</v>
      </c>
      <c r="D97" s="52" t="s">
        <v>85</v>
      </c>
      <c r="E97" s="87" t="s">
        <v>87</v>
      </c>
      <c r="F97" s="87"/>
      <c r="G97" s="87" t="s">
        <v>86</v>
      </c>
      <c r="H97" s="88"/>
      <c r="I97" s="13" t="s">
        <v>146</v>
      </c>
      <c r="J97" s="25">
        <f ca="1">H95*25%</f>
        <v>1</v>
      </c>
    </row>
    <row r="98" spans="1:14" hidden="1" x14ac:dyDescent="0.35">
      <c r="A98" s="123" t="s">
        <v>133</v>
      </c>
      <c r="B98" s="124"/>
      <c r="C98" s="52">
        <f ca="1">J99</f>
        <v>4</v>
      </c>
      <c r="D98" s="48">
        <f ca="1">((100/H95)*C98)/100</f>
        <v>1</v>
      </c>
      <c r="E98" s="117">
        <f ca="1">(((C99/H95*10)+(40/(D95+F95+H95)*C100)+(7.5/(H95)*C101)+(7.5/(H95)*C102)+(10/H95*C103)+(10/H95*C104)+(5/H95*C105)+(5/H95*C106)+(5/H95*C107))/100)</f>
        <v>7.4999999999999997E-2</v>
      </c>
      <c r="F98" s="145"/>
      <c r="G98" s="117">
        <f ca="1">((((C98/H95)*20)+((C99/H95)*25)+(30/(H95+F95+D95)*C100)+(5/H95*C101)+(5/H95*C102)+(5/H95*C103)+(5/H95*C104)+(0/H95*C105)+(0/H95*C106)+(5/H95*C107))/100)</f>
        <v>0.38750000000000001</v>
      </c>
      <c r="H98" s="118"/>
      <c r="I98" s="13" t="s">
        <v>102</v>
      </c>
      <c r="J98" s="26">
        <f ca="1">H95*50%</f>
        <v>2</v>
      </c>
    </row>
    <row r="99" spans="1:14" hidden="1" x14ac:dyDescent="0.35">
      <c r="A99" s="123" t="s">
        <v>50</v>
      </c>
      <c r="B99" s="124"/>
      <c r="C99" s="49">
        <f ca="1">J106</f>
        <v>3</v>
      </c>
      <c r="D99" s="48">
        <f ca="1">((100/H95)*C99)/100</f>
        <v>0.75</v>
      </c>
      <c r="E99" s="119"/>
      <c r="F99" s="146"/>
      <c r="G99" s="119"/>
      <c r="H99" s="120"/>
      <c r="I99" s="13" t="s">
        <v>103</v>
      </c>
      <c r="J99" s="26">
        <f ca="1">H95</f>
        <v>4</v>
      </c>
    </row>
    <row r="100" spans="1:14" ht="15.75" hidden="1" customHeight="1" x14ac:dyDescent="0.35">
      <c r="A100" s="123" t="s">
        <v>134</v>
      </c>
      <c r="B100" s="124"/>
      <c r="C100" s="52">
        <v>0</v>
      </c>
      <c r="D100" s="48">
        <f ca="1">((100/(D95+F95+H95))*C100)/100</f>
        <v>0</v>
      </c>
      <c r="E100" s="119"/>
      <c r="F100" s="146"/>
      <c r="G100" s="119"/>
      <c r="H100" s="120"/>
      <c r="I100" s="13" t="s">
        <v>104</v>
      </c>
      <c r="J100" s="27">
        <f ca="1">(IF(B95&gt;1,(H95/(B95+2)),H95/4))</f>
        <v>1</v>
      </c>
    </row>
    <row r="101" spans="1:14" ht="15.75" hidden="1" customHeight="1" x14ac:dyDescent="0.35">
      <c r="A101" s="123" t="s">
        <v>141</v>
      </c>
      <c r="B101" s="124" t="s">
        <v>135</v>
      </c>
      <c r="C101" s="52">
        <v>0</v>
      </c>
      <c r="D101" s="48">
        <f ca="1">((100/H95)*C101)/100</f>
        <v>0</v>
      </c>
      <c r="E101" s="119"/>
      <c r="F101" s="146"/>
      <c r="G101" s="119"/>
      <c r="H101" s="120"/>
      <c r="I101" s="13" t="s">
        <v>105</v>
      </c>
      <c r="J101" s="27">
        <f ca="1">(IF(B95&gt;1,(H95/(B95+2)+J100),H95/4+J100))</f>
        <v>2</v>
      </c>
    </row>
    <row r="102" spans="1:14" ht="15.75" hidden="1" customHeight="1" x14ac:dyDescent="0.35">
      <c r="A102" s="123" t="s">
        <v>142</v>
      </c>
      <c r="B102" s="124" t="s">
        <v>135</v>
      </c>
      <c r="C102" s="52">
        <v>0</v>
      </c>
      <c r="D102" s="48">
        <f ca="1">((100/H95)*C102)/100</f>
        <v>0</v>
      </c>
      <c r="E102" s="119"/>
      <c r="F102" s="146"/>
      <c r="G102" s="119"/>
      <c r="H102" s="120"/>
      <c r="I102" s="13" t="s">
        <v>152</v>
      </c>
      <c r="J102" s="27">
        <f>(IF(B95&gt;1,(H95/(B95+2)+J101),0))</f>
        <v>0</v>
      </c>
    </row>
    <row r="103" spans="1:14" ht="15" hidden="1" customHeight="1" x14ac:dyDescent="0.35">
      <c r="A103" s="123" t="s">
        <v>140</v>
      </c>
      <c r="B103" s="124" t="s">
        <v>137</v>
      </c>
      <c r="C103" s="52">
        <v>0</v>
      </c>
      <c r="D103" s="48">
        <f ca="1">((100/(H95))*C103)/100</f>
        <v>0</v>
      </c>
      <c r="E103" s="119"/>
      <c r="F103" s="146"/>
      <c r="G103" s="119"/>
      <c r="H103" s="120"/>
      <c r="I103" s="13" t="s">
        <v>148</v>
      </c>
      <c r="J103" s="27">
        <f>(IF(B95&gt;2,(H95/(B95+2)+J102),0))</f>
        <v>0</v>
      </c>
    </row>
    <row r="104" spans="1:14" ht="15.75" hidden="1" customHeight="1" x14ac:dyDescent="0.35">
      <c r="A104" s="123" t="s">
        <v>136</v>
      </c>
      <c r="B104" s="124" t="s">
        <v>136</v>
      </c>
      <c r="C104" s="52">
        <v>0</v>
      </c>
      <c r="D104" s="48">
        <f ca="1">((100/H95)*C104)/100</f>
        <v>0</v>
      </c>
      <c r="E104" s="119"/>
      <c r="F104" s="146"/>
      <c r="G104" s="119"/>
      <c r="H104" s="120"/>
      <c r="I104" s="13" t="s">
        <v>149</v>
      </c>
      <c r="J104" s="28">
        <f>(IF(B95&gt;3,(H95/(B95+2)+J103),0))</f>
        <v>0</v>
      </c>
    </row>
    <row r="105" spans="1:14" ht="15.75" hidden="1" customHeight="1" x14ac:dyDescent="0.35">
      <c r="A105" s="123" t="s">
        <v>143</v>
      </c>
      <c r="B105" s="124"/>
      <c r="C105" s="52">
        <v>0</v>
      </c>
      <c r="D105" s="48">
        <f ca="1">((100/H95)*C105)/100</f>
        <v>0</v>
      </c>
      <c r="E105" s="119"/>
      <c r="F105" s="146"/>
      <c r="G105" s="119"/>
      <c r="H105" s="120"/>
      <c r="I105" s="13" t="s">
        <v>150</v>
      </c>
      <c r="J105" s="27">
        <f>(IF(B95&gt;4,(H95/(B95+2)+J104),0))</f>
        <v>0</v>
      </c>
    </row>
    <row r="106" spans="1:14" ht="15.75" hidden="1" customHeight="1" x14ac:dyDescent="0.35">
      <c r="A106" s="123" t="s">
        <v>138</v>
      </c>
      <c r="B106" s="124" t="s">
        <v>138</v>
      </c>
      <c r="C106" s="52">
        <v>0</v>
      </c>
      <c r="D106" s="48">
        <f ca="1">((100/(H95))*C106)/100</f>
        <v>0</v>
      </c>
      <c r="E106" s="119"/>
      <c r="F106" s="146"/>
      <c r="G106" s="119"/>
      <c r="H106" s="120"/>
      <c r="I106" s="13" t="s">
        <v>153</v>
      </c>
      <c r="J106" s="27">
        <f ca="1">(IF(B95=1,(H95/(B95+3)+J101),IF(B95=0,(H95/4+J101),IF(B95&gt;1,0))))</f>
        <v>3</v>
      </c>
    </row>
    <row r="107" spans="1:14" ht="16" hidden="1" thickBot="1" x14ac:dyDescent="0.4">
      <c r="A107" s="148" t="s">
        <v>139</v>
      </c>
      <c r="B107" s="149"/>
      <c r="C107" s="50">
        <v>0</v>
      </c>
      <c r="D107" s="51">
        <f ca="1">((100/(H95))*C107)/100</f>
        <v>0</v>
      </c>
      <c r="E107" s="121"/>
      <c r="F107" s="147"/>
      <c r="G107" s="121"/>
      <c r="H107" s="122"/>
      <c r="I107" s="14" t="s">
        <v>106</v>
      </c>
      <c r="J107" s="29">
        <f ca="1">(IF(B95&gt;1.5,(H95/(B95+2)+J101+MAX(0,J102-J101)+MAX(0,J103-J102)+MAX(0,J104-J103)+MAX(0,J105-J104)+MAX(0,J106-J105)),IF(B95=1,(H95/(B95+3)+J106),IF(B95=0,H95/4+J106))))</f>
        <v>4</v>
      </c>
    </row>
    <row r="108" spans="1:14" ht="31.5" hidden="1" customHeight="1" thickBot="1" x14ac:dyDescent="0.4">
      <c r="A108" s="202" t="s">
        <v>204</v>
      </c>
      <c r="B108" s="203"/>
      <c r="C108" s="204">
        <f ca="1">AVERAGE(E84,E98)</f>
        <v>0.21687500000000001</v>
      </c>
      <c r="D108" s="203"/>
      <c r="E108" s="205" t="s">
        <v>205</v>
      </c>
      <c r="F108" s="206"/>
      <c r="G108" s="204">
        <f ca="1">AVERAGE(G84,G98)</f>
        <v>0.51500000000000001</v>
      </c>
      <c r="H108" s="207"/>
      <c r="I108" s="62"/>
      <c r="J108" s="43"/>
    </row>
    <row r="109" spans="1:14" x14ac:dyDescent="0.35">
      <c r="A109" s="91" t="s">
        <v>163</v>
      </c>
      <c r="B109" s="91"/>
      <c r="C109" s="91"/>
      <c r="D109" s="91"/>
      <c r="E109" s="91"/>
      <c r="F109" s="92" t="s">
        <v>168</v>
      </c>
      <c r="G109" s="92"/>
      <c r="H109" s="92"/>
      <c r="I109" s="65"/>
      <c r="J109" s="65" t="s">
        <v>206</v>
      </c>
      <c r="K109" s="65" t="s">
        <v>209</v>
      </c>
      <c r="L109" s="65" t="s">
        <v>210</v>
      </c>
      <c r="M109" s="65" t="s">
        <v>211</v>
      </c>
      <c r="N109" s="65"/>
    </row>
    <row r="110" spans="1:14" x14ac:dyDescent="0.35">
      <c r="A110" s="83" t="s">
        <v>166</v>
      </c>
      <c r="B110" s="83"/>
      <c r="C110" s="83"/>
      <c r="D110" s="83"/>
      <c r="E110" s="83"/>
      <c r="F110" s="89">
        <v>4800</v>
      </c>
      <c r="G110" s="89"/>
      <c r="H110" s="89"/>
      <c r="I110" s="67">
        <f>AVERAGE(J110:M110)</f>
        <v>4751.5568283309458</v>
      </c>
      <c r="J110" s="65">
        <v>5300</v>
      </c>
      <c r="K110" s="65">
        <v>4250</v>
      </c>
      <c r="L110" s="65">
        <v>4500</v>
      </c>
      <c r="M110" s="67">
        <f>AVERAGE(K166:K174)</f>
        <v>4956.2273133237841</v>
      </c>
      <c r="N110" s="65"/>
    </row>
    <row r="111" spans="1:14" x14ac:dyDescent="0.35">
      <c r="A111" s="83" t="s">
        <v>165</v>
      </c>
      <c r="B111" s="83"/>
      <c r="C111" s="83"/>
      <c r="D111" s="83"/>
      <c r="E111" s="83"/>
      <c r="F111" s="89">
        <v>10000</v>
      </c>
      <c r="G111" s="89"/>
      <c r="H111" s="89"/>
      <c r="I111" s="65"/>
      <c r="J111" s="65">
        <v>10000</v>
      </c>
      <c r="K111" s="65"/>
      <c r="L111" s="65"/>
      <c r="M111" s="65"/>
      <c r="N111" s="65"/>
    </row>
    <row r="112" spans="1:14" hidden="1" x14ac:dyDescent="0.35">
      <c r="A112" s="83" t="s">
        <v>167</v>
      </c>
      <c r="B112" s="83"/>
      <c r="C112" s="83"/>
      <c r="D112" s="83"/>
      <c r="E112" s="83"/>
      <c r="F112" s="90"/>
      <c r="G112" s="90"/>
      <c r="H112" s="90"/>
      <c r="I112" s="65"/>
      <c r="J112" s="65"/>
      <c r="K112" s="65"/>
      <c r="L112" s="65"/>
      <c r="M112" s="65"/>
      <c r="N112" s="65"/>
    </row>
    <row r="113" spans="1:14" s="30" customFormat="1" hidden="1" x14ac:dyDescent="0.3">
      <c r="A113" s="83" t="s">
        <v>164</v>
      </c>
      <c r="B113" s="83"/>
      <c r="C113" s="83"/>
      <c r="D113" s="83"/>
      <c r="E113" s="83"/>
      <c r="F113" s="90"/>
      <c r="G113" s="90"/>
      <c r="H113" s="90"/>
      <c r="I113" s="66"/>
      <c r="J113" s="66"/>
      <c r="K113" s="66"/>
      <c r="L113" s="66"/>
      <c r="M113" s="66"/>
      <c r="N113" s="66"/>
    </row>
    <row r="114" spans="1:14" s="30" customFormat="1" x14ac:dyDescent="0.3">
      <c r="A114" s="83" t="s">
        <v>97</v>
      </c>
      <c r="B114" s="83"/>
      <c r="C114" s="83"/>
      <c r="D114" s="83"/>
      <c r="E114" s="83"/>
      <c r="F114" s="89">
        <v>175000</v>
      </c>
      <c r="G114" s="89"/>
      <c r="H114" s="89"/>
      <c r="I114" s="66"/>
      <c r="J114" s="66"/>
      <c r="K114" s="66"/>
      <c r="L114" s="66">
        <f>3577500/F192</f>
        <v>5300</v>
      </c>
      <c r="M114" s="66"/>
      <c r="N114" s="66"/>
    </row>
    <row r="115" spans="1:14" s="30" customFormat="1" hidden="1" x14ac:dyDescent="0.3">
      <c r="A115" s="83" t="s">
        <v>98</v>
      </c>
      <c r="B115" s="83"/>
      <c r="C115" s="83"/>
      <c r="D115" s="83"/>
      <c r="E115" s="83"/>
      <c r="F115" s="89"/>
      <c r="G115" s="89"/>
      <c r="H115" s="89"/>
      <c r="I115" s="66"/>
      <c r="J115" s="66"/>
      <c r="K115" s="66"/>
      <c r="L115" s="66"/>
      <c r="M115" s="66"/>
      <c r="N115" s="66"/>
    </row>
    <row r="116" spans="1:14" s="30" customFormat="1" x14ac:dyDescent="0.3">
      <c r="A116" s="83" t="s">
        <v>208</v>
      </c>
      <c r="B116" s="83"/>
      <c r="C116" s="83"/>
      <c r="D116" s="83"/>
      <c r="E116" s="83"/>
      <c r="F116" s="89">
        <v>50000</v>
      </c>
      <c r="G116" s="89"/>
      <c r="H116" s="89"/>
      <c r="I116" s="66"/>
      <c r="J116" s="66"/>
      <c r="K116" s="66"/>
      <c r="L116" s="66"/>
      <c r="M116" s="66"/>
      <c r="N116" s="66"/>
    </row>
    <row r="117" spans="1:14" s="30" customFormat="1" hidden="1" x14ac:dyDescent="0.3">
      <c r="A117" s="83" t="s">
        <v>99</v>
      </c>
      <c r="B117" s="83"/>
      <c r="C117" s="83"/>
      <c r="D117" s="83"/>
      <c r="E117" s="83"/>
      <c r="F117" s="89"/>
      <c r="G117" s="89"/>
      <c r="H117" s="89"/>
      <c r="I117" s="66"/>
      <c r="J117" s="66"/>
      <c r="K117" s="66"/>
      <c r="L117" s="66"/>
      <c r="M117" s="66"/>
      <c r="N117" s="66"/>
    </row>
    <row r="118" spans="1:14" s="30" customFormat="1" hidden="1" x14ac:dyDescent="0.3">
      <c r="A118" s="83" t="s">
        <v>100</v>
      </c>
      <c r="B118" s="83"/>
      <c r="C118" s="83"/>
      <c r="D118" s="83"/>
      <c r="E118" s="83"/>
      <c r="F118" s="89"/>
      <c r="G118" s="89"/>
      <c r="H118" s="89"/>
      <c r="I118" s="66"/>
      <c r="J118" s="66"/>
      <c r="K118" s="66"/>
      <c r="L118" s="66"/>
      <c r="M118" s="66"/>
      <c r="N118" s="66"/>
    </row>
    <row r="119" spans="1:14" s="30" customFormat="1" x14ac:dyDescent="0.3">
      <c r="A119" s="83" t="s">
        <v>207</v>
      </c>
      <c r="B119" s="83"/>
      <c r="C119" s="83"/>
      <c r="D119" s="83"/>
      <c r="E119" s="83"/>
      <c r="F119" s="89">
        <v>75000</v>
      </c>
      <c r="G119" s="89"/>
      <c r="H119" s="89"/>
      <c r="I119" s="66"/>
      <c r="J119" s="66"/>
      <c r="K119" s="66"/>
      <c r="L119" s="66"/>
      <c r="M119" s="66"/>
      <c r="N119" s="66"/>
    </row>
    <row r="120" spans="1:14" s="30" customFormat="1" hidden="1" x14ac:dyDescent="0.3">
      <c r="A120" s="83" t="s">
        <v>101</v>
      </c>
      <c r="B120" s="83"/>
      <c r="C120" s="83"/>
      <c r="D120" s="83"/>
      <c r="E120" s="83"/>
      <c r="F120" s="89"/>
      <c r="G120" s="89"/>
      <c r="H120" s="89"/>
      <c r="I120" s="66"/>
      <c r="J120" s="66"/>
      <c r="K120" s="66"/>
      <c r="L120" s="66"/>
      <c r="M120" s="66"/>
      <c r="N120" s="66"/>
    </row>
    <row r="121" spans="1:14" x14ac:dyDescent="0.35">
      <c r="A121" s="83" t="s">
        <v>51</v>
      </c>
      <c r="B121" s="83"/>
      <c r="C121" s="83"/>
      <c r="D121" s="83"/>
      <c r="E121" s="83"/>
      <c r="F121" s="89">
        <v>250000</v>
      </c>
      <c r="G121" s="89"/>
      <c r="H121" s="89"/>
      <c r="I121" s="65"/>
      <c r="J121" s="65"/>
      <c r="K121" s="65"/>
      <c r="L121" s="65"/>
      <c r="M121" s="65"/>
      <c r="N121" s="65"/>
    </row>
    <row r="122" spans="1:14" s="31" customFormat="1" x14ac:dyDescent="0.35">
      <c r="A122" s="108" t="s">
        <v>52</v>
      </c>
      <c r="B122" s="108"/>
      <c r="C122" s="108"/>
      <c r="D122" s="108"/>
      <c r="E122" s="108"/>
      <c r="F122" s="89">
        <f>F110*0.8</f>
        <v>3840</v>
      </c>
      <c r="G122" s="89"/>
      <c r="H122" s="89"/>
    </row>
    <row r="123" spans="1:14" s="32" customFormat="1" ht="15.75" customHeight="1" x14ac:dyDescent="0.35">
      <c r="A123" s="135" t="s">
        <v>77</v>
      </c>
      <c r="B123" s="135"/>
      <c r="C123" s="135"/>
      <c r="D123" s="135"/>
      <c r="E123" s="135"/>
      <c r="F123" s="135"/>
      <c r="G123" s="135"/>
      <c r="H123" s="135"/>
    </row>
    <row r="124" spans="1:14" s="32" customFormat="1" ht="15.75" customHeight="1" x14ac:dyDescent="0.35">
      <c r="A124" s="140" t="s">
        <v>53</v>
      </c>
      <c r="B124" s="140"/>
      <c r="C124" s="137" t="s">
        <v>80</v>
      </c>
      <c r="D124" s="137"/>
      <c r="E124" s="139" t="s">
        <v>54</v>
      </c>
      <c r="F124" s="139"/>
      <c r="G124" s="140" t="s">
        <v>55</v>
      </c>
      <c r="H124" s="140"/>
    </row>
    <row r="125" spans="1:14" s="32" customFormat="1" x14ac:dyDescent="0.35">
      <c r="A125" s="141" t="s">
        <v>220</v>
      </c>
      <c r="B125" s="141"/>
      <c r="C125" s="191">
        <f>COUNT(D138:D158)</f>
        <v>21</v>
      </c>
      <c r="D125" s="142"/>
      <c r="E125" s="143">
        <f>SUM(D138:D158)</f>
        <v>2143.521432</v>
      </c>
      <c r="F125" s="192"/>
      <c r="G125" s="143">
        <f>SUM(F138:F158)</f>
        <v>4318</v>
      </c>
      <c r="H125" s="192"/>
    </row>
    <row r="126" spans="1:14" s="32" customFormat="1" x14ac:dyDescent="0.35">
      <c r="A126" s="135" t="s">
        <v>156</v>
      </c>
      <c r="B126" s="135"/>
      <c r="C126" s="136">
        <f>SUM(C125)</f>
        <v>21</v>
      </c>
      <c r="D126" s="137"/>
      <c r="E126" s="138">
        <f>SUM(E125)</f>
        <v>2143.521432</v>
      </c>
      <c r="F126" s="139"/>
      <c r="G126" s="140">
        <f>SUM(G125)</f>
        <v>4318</v>
      </c>
      <c r="H126" s="140"/>
    </row>
    <row r="127" spans="1:14" s="32" customFormat="1" x14ac:dyDescent="0.35">
      <c r="A127" s="135" t="s">
        <v>71</v>
      </c>
      <c r="B127" s="135"/>
      <c r="C127" s="135"/>
      <c r="D127" s="135"/>
      <c r="E127" s="135"/>
      <c r="F127" s="135"/>
      <c r="G127" s="135"/>
      <c r="H127" s="135"/>
    </row>
    <row r="128" spans="1:14" s="32" customFormat="1" ht="15.75" customHeight="1" x14ac:dyDescent="0.35">
      <c r="A128" s="140" t="s">
        <v>53</v>
      </c>
      <c r="B128" s="140"/>
      <c r="C128" s="137" t="s">
        <v>80</v>
      </c>
      <c r="D128" s="137"/>
      <c r="E128" s="139" t="s">
        <v>54</v>
      </c>
      <c r="F128" s="139"/>
      <c r="G128" s="140" t="s">
        <v>55</v>
      </c>
      <c r="H128" s="140"/>
    </row>
    <row r="129" spans="1:14" s="32" customFormat="1" x14ac:dyDescent="0.35">
      <c r="A129" s="141" t="s">
        <v>186</v>
      </c>
      <c r="B129" s="141"/>
      <c r="C129" s="142">
        <f>COUNT(D164:D170)+COUNT(D172:D178)*3</f>
        <v>28</v>
      </c>
      <c r="D129" s="142"/>
      <c r="E129" s="143">
        <f>SUM(D164:D170)+SUM(D172:D178)*3</f>
        <v>11151.883430999998</v>
      </c>
      <c r="F129" s="143"/>
      <c r="G129" s="143">
        <f>SUM(F164:F170)+SUM(F172:F178)*3</f>
        <v>18232</v>
      </c>
      <c r="H129" s="143"/>
    </row>
    <row r="130" spans="1:14" s="32" customFormat="1" x14ac:dyDescent="0.35">
      <c r="A130" s="141" t="s">
        <v>187</v>
      </c>
      <c r="B130" s="141"/>
      <c r="C130" s="142">
        <f>COUNT(D182:D188)+COUNT(D190:D196)*3</f>
        <v>28</v>
      </c>
      <c r="D130" s="142"/>
      <c r="E130" s="143">
        <f>SUM(D182:D188)+SUM(D190:D196)*3</f>
        <v>11162.031191999999</v>
      </c>
      <c r="F130" s="143"/>
      <c r="G130" s="143">
        <f>SUM(F182:F188)+SUM(F190:F196)*3</f>
        <v>18232</v>
      </c>
      <c r="H130" s="143"/>
    </row>
    <row r="131" spans="1:14" s="32" customFormat="1" ht="16" thickBot="1" x14ac:dyDescent="0.4">
      <c r="A131" s="84" t="s">
        <v>156</v>
      </c>
      <c r="B131" s="84"/>
      <c r="C131" s="193">
        <f>SUM(C129:C130)</f>
        <v>56</v>
      </c>
      <c r="D131" s="193"/>
      <c r="E131" s="85">
        <f>SUM(E129:E130)</f>
        <v>22313.914622999997</v>
      </c>
      <c r="F131" s="86"/>
      <c r="G131" s="134">
        <f>SUM(G129:G130)</f>
        <v>36464</v>
      </c>
      <c r="H131" s="134"/>
    </row>
    <row r="132" spans="1:14" s="32" customFormat="1" ht="16" thickBot="1" x14ac:dyDescent="0.4">
      <c r="A132" s="196" t="s">
        <v>174</v>
      </c>
      <c r="B132" s="197"/>
      <c r="C132" s="198">
        <f>C126+C131</f>
        <v>77</v>
      </c>
      <c r="D132" s="198"/>
      <c r="E132" s="199">
        <f>E126+E131</f>
        <v>24457.436054999998</v>
      </c>
      <c r="F132" s="199"/>
      <c r="G132" s="200">
        <f>G126+G131</f>
        <v>40782</v>
      </c>
      <c r="H132" s="201"/>
    </row>
    <row r="133" spans="1:14" s="31" customFormat="1" x14ac:dyDescent="0.35">
      <c r="A133" s="92" t="s">
        <v>56</v>
      </c>
      <c r="B133" s="92"/>
      <c r="C133" s="92"/>
      <c r="D133" s="92"/>
      <c r="E133" s="92"/>
      <c r="F133" s="92"/>
      <c r="G133" s="92"/>
      <c r="H133" s="92"/>
    </row>
    <row r="134" spans="1:14" x14ac:dyDescent="0.35">
      <c r="A134" s="181" t="s">
        <v>57</v>
      </c>
      <c r="B134" s="181"/>
      <c r="C134" s="181"/>
      <c r="D134" s="181"/>
      <c r="E134" s="181"/>
      <c r="F134" s="181"/>
      <c r="G134" s="181"/>
      <c r="H134" s="181"/>
    </row>
    <row r="135" spans="1:14" ht="47.25" customHeight="1" x14ac:dyDescent="0.35">
      <c r="A135" s="75" t="s">
        <v>123</v>
      </c>
      <c r="B135" s="75" t="s">
        <v>122</v>
      </c>
      <c r="C135" s="75" t="s">
        <v>58</v>
      </c>
      <c r="D135" s="75" t="s">
        <v>59</v>
      </c>
      <c r="E135" s="76" t="s">
        <v>162</v>
      </c>
      <c r="F135" s="75" t="s">
        <v>227</v>
      </c>
      <c r="G135" s="144" t="s">
        <v>61</v>
      </c>
      <c r="H135" s="144"/>
    </row>
    <row r="136" spans="1:14" s="47" customFormat="1" x14ac:dyDescent="0.35">
      <c r="A136" s="103" t="s">
        <v>181</v>
      </c>
      <c r="B136" s="103"/>
      <c r="C136" s="103"/>
      <c r="D136" s="103"/>
      <c r="E136" s="103"/>
      <c r="F136" s="103"/>
      <c r="G136" s="103"/>
      <c r="H136" s="103"/>
      <c r="J136" s="56"/>
      <c r="K136" s="55"/>
    </row>
    <row r="137" spans="1:14" s="34" customFormat="1" x14ac:dyDescent="0.35">
      <c r="A137" s="104" t="s">
        <v>182</v>
      </c>
      <c r="B137" s="104"/>
      <c r="C137" s="104"/>
      <c r="D137" s="104"/>
      <c r="E137" s="104"/>
      <c r="F137" s="104"/>
      <c r="G137" s="104"/>
      <c r="H137" s="104"/>
      <c r="J137" s="56"/>
      <c r="K137" s="55"/>
    </row>
    <row r="138" spans="1:14" s="34" customFormat="1" ht="15.75" customHeight="1" x14ac:dyDescent="0.35">
      <c r="A138" s="82">
        <v>1</v>
      </c>
      <c r="B138" s="82"/>
      <c r="C138" s="72" t="s">
        <v>183</v>
      </c>
      <c r="D138" s="54">
        <f>(9.99)*10.764</f>
        <v>107.53236</v>
      </c>
      <c r="E138" s="54">
        <v>0</v>
      </c>
      <c r="F138" s="72">
        <v>215</v>
      </c>
      <c r="G138" s="82" t="str">
        <f>A137</f>
        <v>Ground Floor for Commercial &amp; Parking</v>
      </c>
      <c r="H138" s="82"/>
      <c r="I138" s="68">
        <f>2.7*3.7</f>
        <v>9.990000000000002</v>
      </c>
      <c r="J138" s="56"/>
      <c r="K138" s="55"/>
      <c r="L138" s="93"/>
      <c r="M138" s="93"/>
      <c r="N138" s="33"/>
    </row>
    <row r="139" spans="1:14" s="34" customFormat="1" ht="15.75" customHeight="1" x14ac:dyDescent="0.35">
      <c r="A139" s="82">
        <f t="shared" ref="A139:A158" si="0">A138+1</f>
        <v>2</v>
      </c>
      <c r="B139" s="82"/>
      <c r="C139" s="72" t="s">
        <v>183</v>
      </c>
      <c r="D139" s="54">
        <f>(9.99)*10.764</f>
        <v>107.53236</v>
      </c>
      <c r="E139" s="54">
        <v>0</v>
      </c>
      <c r="F139" s="72">
        <v>215</v>
      </c>
      <c r="G139" s="82"/>
      <c r="H139" s="82"/>
      <c r="I139" s="33"/>
      <c r="J139" s="55"/>
      <c r="K139" s="55"/>
      <c r="L139" s="93"/>
      <c r="M139" s="93"/>
      <c r="N139" s="33"/>
    </row>
    <row r="140" spans="1:14" s="34" customFormat="1" ht="15.75" customHeight="1" x14ac:dyDescent="0.35">
      <c r="A140" s="82">
        <f t="shared" si="0"/>
        <v>3</v>
      </c>
      <c r="B140" s="82"/>
      <c r="C140" s="72" t="s">
        <v>183</v>
      </c>
      <c r="D140" s="54">
        <f>(9.468)*10.764</f>
        <v>101.913552</v>
      </c>
      <c r="E140" s="54">
        <v>0</v>
      </c>
      <c r="F140" s="72">
        <v>205</v>
      </c>
      <c r="G140" s="82"/>
      <c r="H140" s="82"/>
      <c r="I140" s="33"/>
      <c r="J140" s="55"/>
      <c r="K140" s="55"/>
      <c r="L140" s="93"/>
      <c r="M140" s="93"/>
      <c r="N140" s="33"/>
    </row>
    <row r="141" spans="1:14" s="34" customFormat="1" ht="15.75" customHeight="1" x14ac:dyDescent="0.35">
      <c r="A141" s="82">
        <f t="shared" si="0"/>
        <v>4</v>
      </c>
      <c r="B141" s="82"/>
      <c r="C141" s="72" t="s">
        <v>183</v>
      </c>
      <c r="D141" s="54">
        <f>(9.468)*10.764</f>
        <v>101.913552</v>
      </c>
      <c r="E141" s="54">
        <v>0</v>
      </c>
      <c r="F141" s="72">
        <v>205</v>
      </c>
      <c r="G141" s="82"/>
      <c r="H141" s="82"/>
      <c r="I141" s="33"/>
      <c r="L141" s="93"/>
      <c r="M141" s="93"/>
      <c r="N141" s="33"/>
    </row>
    <row r="142" spans="1:14" s="47" customFormat="1" x14ac:dyDescent="0.35">
      <c r="A142" s="82">
        <f t="shared" si="0"/>
        <v>5</v>
      </c>
      <c r="B142" s="82"/>
      <c r="C142" s="72" t="s">
        <v>183</v>
      </c>
      <c r="D142" s="54">
        <f>(9.468)*10.764</f>
        <v>101.913552</v>
      </c>
      <c r="E142" s="54">
        <v>0</v>
      </c>
      <c r="F142" s="72">
        <v>205</v>
      </c>
      <c r="G142" s="82"/>
      <c r="H142" s="82"/>
      <c r="I142" s="33"/>
      <c r="L142" s="93"/>
      <c r="M142" s="93"/>
      <c r="N142" s="33"/>
    </row>
    <row r="143" spans="1:14" s="47" customFormat="1" x14ac:dyDescent="0.35">
      <c r="A143" s="82">
        <f t="shared" si="0"/>
        <v>6</v>
      </c>
      <c r="B143" s="82"/>
      <c r="C143" s="72" t="s">
        <v>183</v>
      </c>
      <c r="D143" s="54">
        <f>(9.468)*10.764</f>
        <v>101.913552</v>
      </c>
      <c r="E143" s="54">
        <v>0</v>
      </c>
      <c r="F143" s="72">
        <v>205</v>
      </c>
      <c r="G143" s="82"/>
      <c r="H143" s="82"/>
      <c r="I143" s="33"/>
      <c r="L143" s="93"/>
      <c r="M143" s="93"/>
      <c r="N143" s="33"/>
    </row>
    <row r="144" spans="1:14" s="47" customFormat="1" x14ac:dyDescent="0.35">
      <c r="A144" s="82">
        <f t="shared" si="0"/>
        <v>7</v>
      </c>
      <c r="B144" s="82"/>
      <c r="C144" s="72" t="s">
        <v>183</v>
      </c>
      <c r="D144" s="54">
        <f>(9.328)*10.764</f>
        <v>100.40659199999999</v>
      </c>
      <c r="E144" s="54">
        <v>0</v>
      </c>
      <c r="F144" s="72">
        <v>205</v>
      </c>
      <c r="G144" s="82"/>
      <c r="H144" s="82"/>
      <c r="I144" s="33"/>
      <c r="L144" s="93"/>
      <c r="M144" s="93"/>
      <c r="N144" s="33"/>
    </row>
    <row r="145" spans="1:14" s="47" customFormat="1" x14ac:dyDescent="0.35">
      <c r="A145" s="82">
        <f t="shared" si="0"/>
        <v>8</v>
      </c>
      <c r="B145" s="82"/>
      <c r="C145" s="72" t="s">
        <v>183</v>
      </c>
      <c r="D145" s="54">
        <f>(9.328)*10.764</f>
        <v>100.40659199999999</v>
      </c>
      <c r="E145" s="54">
        <v>0</v>
      </c>
      <c r="F145" s="72">
        <v>205</v>
      </c>
      <c r="G145" s="82"/>
      <c r="H145" s="82"/>
      <c r="I145" s="33"/>
      <c r="L145" s="93"/>
      <c r="M145" s="93"/>
      <c r="N145" s="33"/>
    </row>
    <row r="146" spans="1:14" s="47" customFormat="1" x14ac:dyDescent="0.35">
      <c r="A146" s="82">
        <f t="shared" si="0"/>
        <v>9</v>
      </c>
      <c r="B146" s="82"/>
      <c r="C146" s="72" t="s">
        <v>183</v>
      </c>
      <c r="D146" s="54">
        <f>(9.468)*10.764</f>
        <v>101.913552</v>
      </c>
      <c r="E146" s="54">
        <v>0</v>
      </c>
      <c r="F146" s="72">
        <v>205</v>
      </c>
      <c r="G146" s="82"/>
      <c r="H146" s="82"/>
      <c r="I146" s="33"/>
      <c r="L146" s="93"/>
      <c r="M146" s="93"/>
      <c r="N146" s="33"/>
    </row>
    <row r="147" spans="1:14" s="47" customFormat="1" x14ac:dyDescent="0.35">
      <c r="A147" s="82">
        <f t="shared" si="0"/>
        <v>10</v>
      </c>
      <c r="B147" s="82"/>
      <c r="C147" s="72" t="s">
        <v>183</v>
      </c>
      <c r="D147" s="54">
        <f>(9.468)*10.764</f>
        <v>101.913552</v>
      </c>
      <c r="E147" s="54">
        <v>0</v>
      </c>
      <c r="F147" s="72">
        <v>205</v>
      </c>
      <c r="G147" s="82"/>
      <c r="H147" s="82"/>
      <c r="I147" s="33"/>
      <c r="L147" s="93"/>
      <c r="M147" s="93"/>
      <c r="N147" s="33"/>
    </row>
    <row r="148" spans="1:14" s="47" customFormat="1" x14ac:dyDescent="0.35">
      <c r="A148" s="82">
        <f t="shared" si="0"/>
        <v>11</v>
      </c>
      <c r="B148" s="82"/>
      <c r="C148" s="72" t="s">
        <v>183</v>
      </c>
      <c r="D148" s="54">
        <f>(9.468)*10.764</f>
        <v>101.913552</v>
      </c>
      <c r="E148" s="54">
        <v>0</v>
      </c>
      <c r="F148" s="72">
        <v>205</v>
      </c>
      <c r="G148" s="82"/>
      <c r="H148" s="82"/>
      <c r="I148" s="33"/>
      <c r="L148" s="93"/>
      <c r="M148" s="93"/>
      <c r="N148" s="33"/>
    </row>
    <row r="149" spans="1:14" s="47" customFormat="1" x14ac:dyDescent="0.35">
      <c r="A149" s="82">
        <f t="shared" si="0"/>
        <v>12</v>
      </c>
      <c r="B149" s="82"/>
      <c r="C149" s="72" t="s">
        <v>183</v>
      </c>
      <c r="D149" s="54">
        <f>(9.468)*10.764</f>
        <v>101.913552</v>
      </c>
      <c r="E149" s="54">
        <v>0</v>
      </c>
      <c r="F149" s="72">
        <v>205</v>
      </c>
      <c r="G149" s="82"/>
      <c r="H149" s="82"/>
      <c r="I149" s="33"/>
      <c r="L149" s="93"/>
      <c r="M149" s="93"/>
      <c r="N149" s="33"/>
    </row>
    <row r="150" spans="1:14" s="47" customFormat="1" x14ac:dyDescent="0.35">
      <c r="A150" s="82">
        <f t="shared" si="0"/>
        <v>13</v>
      </c>
      <c r="B150" s="82"/>
      <c r="C150" s="72" t="s">
        <v>183</v>
      </c>
      <c r="D150" s="54">
        <f>(9.328)*10.764</f>
        <v>100.40659199999999</v>
      </c>
      <c r="E150" s="54">
        <v>0</v>
      </c>
      <c r="F150" s="72">
        <v>205</v>
      </c>
      <c r="G150" s="82"/>
      <c r="H150" s="82"/>
      <c r="I150" s="33"/>
      <c r="L150" s="93"/>
      <c r="M150" s="93"/>
      <c r="N150" s="33"/>
    </row>
    <row r="151" spans="1:14" s="47" customFormat="1" x14ac:dyDescent="0.35">
      <c r="A151" s="82">
        <f t="shared" si="0"/>
        <v>14</v>
      </c>
      <c r="B151" s="82"/>
      <c r="C151" s="72" t="s">
        <v>183</v>
      </c>
      <c r="D151" s="54">
        <f>(9.328)*10.764</f>
        <v>100.40659199999999</v>
      </c>
      <c r="E151" s="54">
        <v>0</v>
      </c>
      <c r="F151" s="72">
        <v>205</v>
      </c>
      <c r="G151" s="82"/>
      <c r="H151" s="82"/>
      <c r="I151" s="33"/>
      <c r="L151" s="93"/>
      <c r="M151" s="93"/>
      <c r="N151" s="33"/>
    </row>
    <row r="152" spans="1:14" s="47" customFormat="1" x14ac:dyDescent="0.35">
      <c r="A152" s="82">
        <f t="shared" si="0"/>
        <v>15</v>
      </c>
      <c r="B152" s="82"/>
      <c r="C152" s="72" t="s">
        <v>183</v>
      </c>
      <c r="D152" s="54">
        <f>(9.468)*10.764</f>
        <v>101.913552</v>
      </c>
      <c r="E152" s="54">
        <v>0</v>
      </c>
      <c r="F152" s="72">
        <v>205</v>
      </c>
      <c r="G152" s="82"/>
      <c r="H152" s="82"/>
      <c r="I152" s="33"/>
      <c r="L152" s="93"/>
      <c r="M152" s="93"/>
      <c r="N152" s="33"/>
    </row>
    <row r="153" spans="1:14" s="47" customFormat="1" x14ac:dyDescent="0.35">
      <c r="A153" s="82">
        <f t="shared" si="0"/>
        <v>16</v>
      </c>
      <c r="B153" s="82"/>
      <c r="C153" s="72" t="s">
        <v>183</v>
      </c>
      <c r="D153" s="54">
        <f>(9.468)*10.764</f>
        <v>101.913552</v>
      </c>
      <c r="E153" s="54">
        <v>0</v>
      </c>
      <c r="F153" s="72">
        <v>205</v>
      </c>
      <c r="G153" s="82"/>
      <c r="H153" s="82"/>
      <c r="I153" s="33"/>
      <c r="L153" s="93"/>
      <c r="M153" s="93"/>
      <c r="N153" s="33"/>
    </row>
    <row r="154" spans="1:14" s="47" customFormat="1" x14ac:dyDescent="0.35">
      <c r="A154" s="82">
        <f t="shared" si="0"/>
        <v>17</v>
      </c>
      <c r="B154" s="82"/>
      <c r="C154" s="72" t="s">
        <v>183</v>
      </c>
      <c r="D154" s="54">
        <f>(9.468)*10.764</f>
        <v>101.913552</v>
      </c>
      <c r="E154" s="54">
        <v>0</v>
      </c>
      <c r="F154" s="72">
        <v>205</v>
      </c>
      <c r="G154" s="82"/>
      <c r="H154" s="82"/>
      <c r="I154" s="33"/>
      <c r="L154" s="93"/>
      <c r="M154" s="93"/>
      <c r="N154" s="33"/>
    </row>
    <row r="155" spans="1:14" s="47" customFormat="1" x14ac:dyDescent="0.35">
      <c r="A155" s="82">
        <f t="shared" si="0"/>
        <v>18</v>
      </c>
      <c r="B155" s="82"/>
      <c r="C155" s="72" t="s">
        <v>183</v>
      </c>
      <c r="D155" s="54">
        <f>(9.468)*10.764</f>
        <v>101.913552</v>
      </c>
      <c r="E155" s="54">
        <v>0</v>
      </c>
      <c r="F155" s="72">
        <v>205</v>
      </c>
      <c r="G155" s="82"/>
      <c r="H155" s="82"/>
      <c r="I155" s="33"/>
      <c r="L155" s="93"/>
      <c r="M155" s="93"/>
      <c r="N155" s="33"/>
    </row>
    <row r="156" spans="1:14" s="47" customFormat="1" x14ac:dyDescent="0.35">
      <c r="A156" s="82">
        <f t="shared" si="0"/>
        <v>19</v>
      </c>
      <c r="B156" s="82"/>
      <c r="C156" s="72" t="s">
        <v>183</v>
      </c>
      <c r="D156" s="54">
        <f>(9.99)*10.764</f>
        <v>107.53236</v>
      </c>
      <c r="E156" s="54">
        <v>0</v>
      </c>
      <c r="F156" s="72">
        <v>215</v>
      </c>
      <c r="G156" s="82"/>
      <c r="H156" s="82"/>
      <c r="I156" s="33"/>
      <c r="L156" s="93"/>
      <c r="M156" s="93"/>
      <c r="N156" s="33"/>
    </row>
    <row r="157" spans="1:14" s="47" customFormat="1" x14ac:dyDescent="0.35">
      <c r="A157" s="82">
        <f t="shared" si="0"/>
        <v>20</v>
      </c>
      <c r="B157" s="82"/>
      <c r="C157" s="72" t="s">
        <v>183</v>
      </c>
      <c r="D157" s="54">
        <f>(9.99)*10.764</f>
        <v>107.53236</v>
      </c>
      <c r="E157" s="54">
        <v>0</v>
      </c>
      <c r="F157" s="72">
        <v>215</v>
      </c>
      <c r="G157" s="82"/>
      <c r="H157" s="82"/>
      <c r="I157" s="33"/>
      <c r="L157" s="93"/>
      <c r="M157" s="93"/>
      <c r="N157" s="33"/>
    </row>
    <row r="158" spans="1:14" s="47" customFormat="1" x14ac:dyDescent="0.35">
      <c r="A158" s="82">
        <f t="shared" si="0"/>
        <v>21</v>
      </c>
      <c r="B158" s="82"/>
      <c r="C158" s="72" t="s">
        <v>183</v>
      </c>
      <c r="D158" s="54">
        <f>(8.25)*10.764</f>
        <v>88.802999999999997</v>
      </c>
      <c r="E158" s="54">
        <v>0</v>
      </c>
      <c r="F158" s="72">
        <v>178</v>
      </c>
      <c r="G158" s="82"/>
      <c r="H158" s="82"/>
      <c r="I158" s="33">
        <f>2.2*3.75</f>
        <v>8.25</v>
      </c>
      <c r="L158" s="93"/>
      <c r="M158" s="93"/>
      <c r="N158" s="33"/>
    </row>
    <row r="159" spans="1:14" s="34" customFormat="1" x14ac:dyDescent="0.35">
      <c r="A159" s="80"/>
      <c r="B159" s="133"/>
      <c r="C159" s="133"/>
      <c r="D159" s="133"/>
      <c r="E159" s="133"/>
      <c r="F159" s="133"/>
      <c r="G159" s="133"/>
      <c r="H159" s="81"/>
      <c r="I159" s="33"/>
      <c r="N159" s="33"/>
    </row>
    <row r="160" spans="1:14" ht="47.25" customHeight="1" x14ac:dyDescent="0.35">
      <c r="A160" s="60" t="s">
        <v>124</v>
      </c>
      <c r="B160" s="60" t="s">
        <v>125</v>
      </c>
      <c r="C160" s="59" t="s">
        <v>58</v>
      </c>
      <c r="D160" s="59" t="s">
        <v>59</v>
      </c>
      <c r="E160" s="61" t="s">
        <v>60</v>
      </c>
      <c r="F160" s="59" t="s">
        <v>227</v>
      </c>
      <c r="G160" s="209" t="s">
        <v>61</v>
      </c>
      <c r="H160" s="210"/>
      <c r="I160" s="33"/>
    </row>
    <row r="161" spans="1:14" s="47" customFormat="1" x14ac:dyDescent="0.35">
      <c r="A161" s="100" t="s">
        <v>186</v>
      </c>
      <c r="B161" s="101"/>
      <c r="C161" s="101"/>
      <c r="D161" s="101"/>
      <c r="E161" s="101"/>
      <c r="F161" s="101"/>
      <c r="G161" s="101"/>
      <c r="H161" s="102"/>
      <c r="J161" s="33"/>
    </row>
    <row r="162" spans="1:14" s="47" customFormat="1" hidden="1" x14ac:dyDescent="0.35">
      <c r="A162" s="105" t="s">
        <v>228</v>
      </c>
      <c r="B162" s="106"/>
      <c r="C162" s="106"/>
      <c r="D162" s="106"/>
      <c r="E162" s="106"/>
      <c r="F162" s="106"/>
      <c r="G162" s="106"/>
      <c r="H162" s="107"/>
      <c r="J162" s="33"/>
    </row>
    <row r="163" spans="1:14" s="34" customFormat="1" x14ac:dyDescent="0.35">
      <c r="A163" s="130" t="s">
        <v>184</v>
      </c>
      <c r="B163" s="131"/>
      <c r="C163" s="131"/>
      <c r="D163" s="131"/>
      <c r="E163" s="131"/>
      <c r="F163" s="131"/>
      <c r="G163" s="131"/>
      <c r="H163" s="132"/>
      <c r="J163" s="33"/>
    </row>
    <row r="164" spans="1:14" s="34" customFormat="1" ht="15.75" customHeight="1" x14ac:dyDescent="0.35">
      <c r="A164" s="80">
        <v>1</v>
      </c>
      <c r="B164" s="81"/>
      <c r="C164" s="39" t="s">
        <v>185</v>
      </c>
      <c r="D164" s="54">
        <f>(29.992+2.45*1.2+2.9*1.2)*10.764</f>
        <v>391.93876799999998</v>
      </c>
      <c r="E164" s="54">
        <v>0</v>
      </c>
      <c r="F164" s="39">
        <v>637</v>
      </c>
      <c r="G164" s="94" t="str">
        <f>A163</f>
        <v>1st Floor for Residential</v>
      </c>
      <c r="H164" s="95"/>
      <c r="I164" s="33">
        <f>2.75*3.65+2.2*2.5+2.9*2.5+1.2*1.2+1.2*0.9+0.9*2.35+1.3*1</f>
        <v>28.722500000000007</v>
      </c>
      <c r="J164" s="34">
        <f>2.45*1.2+2.9*1.2</f>
        <v>6.42</v>
      </c>
      <c r="L164" s="57">
        <v>637</v>
      </c>
      <c r="M164" s="69">
        <f>L164/D164</f>
        <v>1.6252538712883846</v>
      </c>
      <c r="N164" s="33"/>
    </row>
    <row r="165" spans="1:14" s="34" customFormat="1" x14ac:dyDescent="0.35">
      <c r="A165" s="80">
        <f t="shared" ref="A165:A170" si="1">A164+1</f>
        <v>2</v>
      </c>
      <c r="B165" s="81"/>
      <c r="C165" s="39" t="s">
        <v>185</v>
      </c>
      <c r="D165" s="54">
        <f>(29.963+1.94*1.5+2.5*1.25)*10.764</f>
        <v>387.48247200000003</v>
      </c>
      <c r="E165" s="54">
        <v>0</v>
      </c>
      <c r="F165" s="39">
        <v>630</v>
      </c>
      <c r="G165" s="96"/>
      <c r="H165" s="97"/>
      <c r="I165" s="33"/>
      <c r="L165" s="57">
        <v>630</v>
      </c>
      <c r="M165" s="69">
        <f t="shared" ref="M165:M179" si="2">L165/D165</f>
        <v>1.6258799959343708</v>
      </c>
      <c r="N165" s="33"/>
    </row>
    <row r="166" spans="1:14" s="34" customFormat="1" x14ac:dyDescent="0.35">
      <c r="A166" s="80">
        <f t="shared" si="1"/>
        <v>3</v>
      </c>
      <c r="B166" s="81"/>
      <c r="C166" s="46" t="s">
        <v>185</v>
      </c>
      <c r="D166" s="54">
        <f>(33.255+2.5*1+2.095*1)*10.764</f>
        <v>407.41739999999999</v>
      </c>
      <c r="E166" s="70">
        <f>(2.925*1.1+0.6*1.45)*10.764</f>
        <v>43.99785</v>
      </c>
      <c r="F166" s="39">
        <v>714</v>
      </c>
      <c r="G166" s="96"/>
      <c r="H166" s="97"/>
      <c r="I166" s="33"/>
      <c r="K166" s="33">
        <f>3300000/(F166-E166)</f>
        <v>4925.3573290772274</v>
      </c>
      <c r="L166" s="57">
        <v>714</v>
      </c>
      <c r="M166" s="69">
        <f t="shared" si="2"/>
        <v>1.752502470439407</v>
      </c>
      <c r="N166" s="33"/>
    </row>
    <row r="167" spans="1:14" s="34" customFormat="1" x14ac:dyDescent="0.35">
      <c r="A167" s="80">
        <f t="shared" si="1"/>
        <v>4</v>
      </c>
      <c r="B167" s="81"/>
      <c r="C167" s="46" t="s">
        <v>185</v>
      </c>
      <c r="D167" s="54">
        <f>(31.635+2.5*1+2.095*1.45)*10.764</f>
        <v>400.12748100000005</v>
      </c>
      <c r="E167" s="70">
        <f>(0.6*1.45+2.925*1.1)*10.764</f>
        <v>43.99785</v>
      </c>
      <c r="F167" s="39">
        <v>685</v>
      </c>
      <c r="G167" s="96"/>
      <c r="H167" s="97"/>
      <c r="I167" s="33"/>
      <c r="K167" s="33">
        <f t="shared" ref="K167:K168" si="3">3300000/(F167-E167)</f>
        <v>5148.1886605216532</v>
      </c>
      <c r="L167" s="57">
        <v>685</v>
      </c>
      <c r="M167" s="69">
        <f t="shared" si="2"/>
        <v>1.711954395854155</v>
      </c>
      <c r="N167" s="33"/>
    </row>
    <row r="168" spans="1:14" s="47" customFormat="1" x14ac:dyDescent="0.35">
      <c r="A168" s="80">
        <f t="shared" si="1"/>
        <v>5</v>
      </c>
      <c r="B168" s="81"/>
      <c r="C168" s="46" t="s">
        <v>185</v>
      </c>
      <c r="D168" s="54">
        <f>(31.635+2.5*1+2.095*1.45)*10.764</f>
        <v>400.12748100000005</v>
      </c>
      <c r="E168" s="70">
        <f>(0.6*1.45+2.925*1.1)*10.764</f>
        <v>43.99785</v>
      </c>
      <c r="F168" s="46">
        <v>685</v>
      </c>
      <c r="G168" s="96"/>
      <c r="H168" s="97"/>
      <c r="I168" s="33"/>
      <c r="K168" s="33">
        <f t="shared" si="3"/>
        <v>5148.1886605216532</v>
      </c>
      <c r="L168" s="57">
        <v>685</v>
      </c>
      <c r="M168" s="69">
        <f t="shared" si="2"/>
        <v>1.711954395854155</v>
      </c>
      <c r="N168" s="33"/>
    </row>
    <row r="169" spans="1:14" s="47" customFormat="1" x14ac:dyDescent="0.35">
      <c r="A169" s="80">
        <f t="shared" si="1"/>
        <v>6</v>
      </c>
      <c r="B169" s="81"/>
      <c r="C169" s="46" t="s">
        <v>185</v>
      </c>
      <c r="D169" s="54">
        <f>(31.455+2.5*1+2.095*1.45)*10.764</f>
        <v>398.18996099999998</v>
      </c>
      <c r="E169" s="70">
        <f>(0.6*1.45)*10.764</f>
        <v>9.3646799999999999</v>
      </c>
      <c r="F169" s="46">
        <v>650</v>
      </c>
      <c r="G169" s="96"/>
      <c r="H169" s="97"/>
      <c r="I169" s="33"/>
      <c r="L169" s="57">
        <v>650</v>
      </c>
      <c r="M169" s="69">
        <f t="shared" si="2"/>
        <v>1.6323867090160016</v>
      </c>
      <c r="N169" s="33"/>
    </row>
    <row r="170" spans="1:14" s="47" customFormat="1" x14ac:dyDescent="0.35">
      <c r="A170" s="80">
        <f t="shared" si="1"/>
        <v>7</v>
      </c>
      <c r="B170" s="81"/>
      <c r="C170" s="46" t="s">
        <v>185</v>
      </c>
      <c r="D170" s="54">
        <f>(31.342+2.77*1.45+1.75*1)*10.764</f>
        <v>399.43589399999996</v>
      </c>
      <c r="E170" s="54">
        <v>0</v>
      </c>
      <c r="F170" s="46">
        <v>650</v>
      </c>
      <c r="G170" s="98"/>
      <c r="H170" s="99"/>
      <c r="I170" s="33"/>
      <c r="L170" s="57">
        <v>650</v>
      </c>
      <c r="M170" s="69">
        <f t="shared" si="2"/>
        <v>1.6272949170662165</v>
      </c>
      <c r="N170" s="33"/>
    </row>
    <row r="171" spans="1:14" s="47" customFormat="1" x14ac:dyDescent="0.35">
      <c r="A171" s="130" t="s">
        <v>188</v>
      </c>
      <c r="B171" s="131"/>
      <c r="C171" s="131"/>
      <c r="D171" s="131"/>
      <c r="E171" s="131"/>
      <c r="F171" s="131"/>
      <c r="G171" s="131"/>
      <c r="H171" s="132"/>
      <c r="I171" s="33"/>
      <c r="M171" s="69" t="e">
        <f t="shared" si="2"/>
        <v>#DIV/0!</v>
      </c>
    </row>
    <row r="172" spans="1:14" s="47" customFormat="1" ht="15.75" customHeight="1" x14ac:dyDescent="0.35">
      <c r="A172" s="80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201 to 401</v>
      </c>
      <c r="B172" s="81"/>
      <c r="C172" s="46" t="s">
        <v>185</v>
      </c>
      <c r="D172" s="54">
        <f>(29.992+2.45*1.2+2.9*1.2)*10.764</f>
        <v>391.93876799999998</v>
      </c>
      <c r="E172" s="54">
        <v>0</v>
      </c>
      <c r="F172" s="46">
        <v>637</v>
      </c>
      <c r="G172" s="94" t="str">
        <f>A171</f>
        <v>2nd to 4th Floor</v>
      </c>
      <c r="H172" s="95"/>
      <c r="I172" s="33"/>
      <c r="L172" s="47">
        <v>637</v>
      </c>
      <c r="M172" s="69">
        <f t="shared" si="2"/>
        <v>1.6252538712883846</v>
      </c>
    </row>
    <row r="173" spans="1:14" s="47" customFormat="1" ht="15.75" customHeight="1" x14ac:dyDescent="0.35">
      <c r="A173" s="80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202 to 402</v>
      </c>
      <c r="B173" s="81"/>
      <c r="C173" s="46" t="s">
        <v>185</v>
      </c>
      <c r="D173" s="54">
        <f>(29.963+1.94*1.5+2.5*1.25)*10.764</f>
        <v>387.48247200000003</v>
      </c>
      <c r="E173" s="54">
        <v>0</v>
      </c>
      <c r="F173" s="46">
        <v>630</v>
      </c>
      <c r="G173" s="96"/>
      <c r="H173" s="97"/>
      <c r="I173" s="33"/>
      <c r="L173" s="47">
        <v>630</v>
      </c>
      <c r="M173" s="69">
        <f t="shared" si="2"/>
        <v>1.6258799959343708</v>
      </c>
    </row>
    <row r="174" spans="1:14" s="47" customFormat="1" ht="15.75" customHeight="1" x14ac:dyDescent="0.35">
      <c r="A174" s="80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203 to 403</v>
      </c>
      <c r="B174" s="81"/>
      <c r="C174" s="46" t="s">
        <v>185</v>
      </c>
      <c r="D174" s="54">
        <f>(33.075+2.5*1+2.095*1.45)*10.764</f>
        <v>415.62764100000004</v>
      </c>
      <c r="E174" s="54">
        <v>0</v>
      </c>
      <c r="F174" s="46">
        <v>675</v>
      </c>
      <c r="G174" s="96"/>
      <c r="H174" s="97"/>
      <c r="I174" s="33"/>
      <c r="K174" s="33">
        <f>2900000/F173</f>
        <v>4603.1746031746034</v>
      </c>
      <c r="L174" s="47">
        <v>675</v>
      </c>
      <c r="M174" s="69">
        <f t="shared" si="2"/>
        <v>1.6240498306993012</v>
      </c>
    </row>
    <row r="175" spans="1:14" s="47" customFormat="1" ht="15.75" customHeight="1" x14ac:dyDescent="0.35">
      <c r="A175" s="80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to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204 to 404</v>
      </c>
      <c r="B175" s="81"/>
      <c r="C175" s="46" t="s">
        <v>185</v>
      </c>
      <c r="D175" s="54">
        <f>(31.455+2.5*1+2.095*1.45)*10.764</f>
        <v>398.18996099999998</v>
      </c>
      <c r="E175" s="54">
        <v>0</v>
      </c>
      <c r="F175" s="46">
        <v>645</v>
      </c>
      <c r="G175" s="96"/>
      <c r="H175" s="97"/>
      <c r="I175" s="33"/>
      <c r="L175" s="47">
        <v>645</v>
      </c>
      <c r="M175" s="69">
        <f t="shared" si="2"/>
        <v>1.6198298881774169</v>
      </c>
    </row>
    <row r="176" spans="1:14" s="47" customFormat="1" ht="15.75" customHeight="1" x14ac:dyDescent="0.35">
      <c r="A176" s="80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205 to 405</v>
      </c>
      <c r="B176" s="81"/>
      <c r="C176" s="46" t="s">
        <v>185</v>
      </c>
      <c r="D176" s="54">
        <f>(31.455+2.5*1+2.095*1.45)*10.764</f>
        <v>398.18996099999998</v>
      </c>
      <c r="E176" s="54">
        <v>0</v>
      </c>
      <c r="F176" s="46">
        <v>645</v>
      </c>
      <c r="G176" s="96"/>
      <c r="H176" s="97"/>
      <c r="I176" s="33"/>
      <c r="L176" s="47">
        <v>645</v>
      </c>
      <c r="M176" s="69">
        <f t="shared" si="2"/>
        <v>1.6198298881774169</v>
      </c>
    </row>
    <row r="177" spans="1:14" s="47" customFormat="1" ht="15.75" customHeight="1" x14ac:dyDescent="0.35">
      <c r="A177" s="80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206 to 406</v>
      </c>
      <c r="B177" s="81"/>
      <c r="C177" s="46" t="s">
        <v>185</v>
      </c>
      <c r="D177" s="54">
        <f>(31.455+2.5*1+2.095*1.45)*10.764</f>
        <v>398.18996099999998</v>
      </c>
      <c r="E177" s="54">
        <v>0</v>
      </c>
      <c r="F177" s="46">
        <v>645</v>
      </c>
      <c r="G177" s="96"/>
      <c r="H177" s="97"/>
      <c r="I177" s="33"/>
      <c r="L177" s="47">
        <v>645</v>
      </c>
      <c r="M177" s="69">
        <f t="shared" si="2"/>
        <v>1.6198298881774169</v>
      </c>
    </row>
    <row r="178" spans="1:14" s="47" customFormat="1" ht="15.75" customHeight="1" x14ac:dyDescent="0.35">
      <c r="A178" s="80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207 to 407</v>
      </c>
      <c r="B178" s="81"/>
      <c r="C178" s="46" t="s">
        <v>185</v>
      </c>
      <c r="D178" s="54">
        <f>(31.342+2.77*1.45+1.75*1)*10.764</f>
        <v>399.43589399999996</v>
      </c>
      <c r="E178" s="54">
        <v>0</v>
      </c>
      <c r="F178" s="46">
        <v>650</v>
      </c>
      <c r="G178" s="98"/>
      <c r="H178" s="99"/>
      <c r="I178" s="33"/>
      <c r="L178" s="47">
        <v>650</v>
      </c>
      <c r="M178" s="69">
        <f t="shared" si="2"/>
        <v>1.6272949170662165</v>
      </c>
    </row>
    <row r="179" spans="1:14" s="47" customFormat="1" x14ac:dyDescent="0.35">
      <c r="A179" s="103" t="s">
        <v>187</v>
      </c>
      <c r="B179" s="103"/>
      <c r="C179" s="103"/>
      <c r="D179" s="103"/>
      <c r="E179" s="103"/>
      <c r="F179" s="103"/>
      <c r="G179" s="103"/>
      <c r="H179" s="103"/>
      <c r="J179" s="33"/>
      <c r="M179" s="69" t="e">
        <f t="shared" si="2"/>
        <v>#DIV/0!</v>
      </c>
    </row>
    <row r="180" spans="1:14" s="47" customFormat="1" hidden="1" x14ac:dyDescent="0.35">
      <c r="A180" s="104" t="s">
        <v>182</v>
      </c>
      <c r="B180" s="104"/>
      <c r="C180" s="104"/>
      <c r="D180" s="104"/>
      <c r="E180" s="104"/>
      <c r="F180" s="104"/>
      <c r="G180" s="104"/>
      <c r="H180" s="104"/>
      <c r="J180" s="33"/>
    </row>
    <row r="181" spans="1:14" s="47" customFormat="1" x14ac:dyDescent="0.35">
      <c r="A181" s="104" t="s">
        <v>184</v>
      </c>
      <c r="B181" s="104"/>
      <c r="C181" s="104"/>
      <c r="D181" s="104"/>
      <c r="E181" s="104"/>
      <c r="F181" s="104"/>
      <c r="G181" s="104"/>
      <c r="H181" s="104"/>
      <c r="J181" s="33"/>
    </row>
    <row r="182" spans="1:14" s="47" customFormat="1" ht="15.75" customHeight="1" x14ac:dyDescent="0.35">
      <c r="A182" s="82">
        <v>1</v>
      </c>
      <c r="B182" s="82"/>
      <c r="C182" s="72" t="s">
        <v>185</v>
      </c>
      <c r="D182" s="54">
        <f>(29.992+2.45*1.2+2.9*1.2)*10.764</f>
        <v>391.93876799999998</v>
      </c>
      <c r="E182" s="54">
        <v>0</v>
      </c>
      <c r="F182" s="72">
        <v>637</v>
      </c>
      <c r="G182" s="82" t="str">
        <f>A181</f>
        <v>1st Floor for Residential</v>
      </c>
      <c r="H182" s="82"/>
      <c r="I182" s="33"/>
      <c r="L182" s="93"/>
      <c r="M182" s="93"/>
      <c r="N182" s="33"/>
    </row>
    <row r="183" spans="1:14" s="47" customFormat="1" x14ac:dyDescent="0.35">
      <c r="A183" s="82">
        <f t="shared" ref="A183:A188" si="4">A182+1</f>
        <v>2</v>
      </c>
      <c r="B183" s="82"/>
      <c r="C183" s="72" t="s">
        <v>185</v>
      </c>
      <c r="D183" s="54">
        <f>(29.963+1.94*1.5+2.5*1.25)*10.764</f>
        <v>387.48247200000003</v>
      </c>
      <c r="E183" s="54">
        <v>0</v>
      </c>
      <c r="F183" s="72">
        <v>630</v>
      </c>
      <c r="G183" s="82"/>
      <c r="H183" s="82"/>
      <c r="I183" s="33"/>
      <c r="L183" s="93"/>
      <c r="M183" s="93"/>
      <c r="N183" s="33"/>
    </row>
    <row r="184" spans="1:14" s="47" customFormat="1" x14ac:dyDescent="0.35">
      <c r="A184" s="82">
        <f t="shared" si="4"/>
        <v>3</v>
      </c>
      <c r="B184" s="82"/>
      <c r="C184" s="72" t="s">
        <v>185</v>
      </c>
      <c r="D184" s="54">
        <f>(33.255+2.5*1+2.095*1.45)*10.764</f>
        <v>417.56516100000005</v>
      </c>
      <c r="E184" s="70">
        <f>(2.925*1.1+0.6*1.45)*10.764</f>
        <v>43.99785</v>
      </c>
      <c r="F184" s="72">
        <v>714</v>
      </c>
      <c r="G184" s="82"/>
      <c r="H184" s="82"/>
      <c r="I184" s="33"/>
      <c r="L184" s="93"/>
      <c r="M184" s="93"/>
      <c r="N184" s="33"/>
    </row>
    <row r="185" spans="1:14" s="47" customFormat="1" x14ac:dyDescent="0.35">
      <c r="A185" s="82">
        <f t="shared" si="4"/>
        <v>4</v>
      </c>
      <c r="B185" s="82"/>
      <c r="C185" s="72" t="s">
        <v>185</v>
      </c>
      <c r="D185" s="54">
        <f>(31.635+2.5*1+2.095*1.45)*10.764</f>
        <v>400.12748100000005</v>
      </c>
      <c r="E185" s="70">
        <f>(0.6*1.45+2.925*1.1)*10.764</f>
        <v>43.99785</v>
      </c>
      <c r="F185" s="72">
        <v>685</v>
      </c>
      <c r="G185" s="82"/>
      <c r="H185" s="82"/>
      <c r="I185" s="33"/>
      <c r="L185" s="93"/>
      <c r="M185" s="93"/>
      <c r="N185" s="33"/>
    </row>
    <row r="186" spans="1:14" s="47" customFormat="1" x14ac:dyDescent="0.35">
      <c r="A186" s="82">
        <f t="shared" si="4"/>
        <v>5</v>
      </c>
      <c r="B186" s="82"/>
      <c r="C186" s="72" t="s">
        <v>185</v>
      </c>
      <c r="D186" s="54">
        <f>(31.635+2.5*1+2.095*1.45)*10.764</f>
        <v>400.12748100000005</v>
      </c>
      <c r="E186" s="70">
        <f>(0.6*1.45+2.925*1.1)*10.764</f>
        <v>43.99785</v>
      </c>
      <c r="F186" s="72">
        <v>685</v>
      </c>
      <c r="G186" s="82"/>
      <c r="H186" s="82"/>
      <c r="I186" s="33"/>
      <c r="L186" s="93"/>
      <c r="M186" s="93"/>
      <c r="N186" s="33"/>
    </row>
    <row r="187" spans="1:14" s="47" customFormat="1" x14ac:dyDescent="0.35">
      <c r="A187" s="82">
        <f t="shared" si="4"/>
        <v>6</v>
      </c>
      <c r="B187" s="82"/>
      <c r="C187" s="72" t="s">
        <v>185</v>
      </c>
      <c r="D187" s="54">
        <f>(31.455+2.5*1+2.095*1.45)*10.764</f>
        <v>398.18996099999998</v>
      </c>
      <c r="E187" s="70">
        <f>(0.6*1.45)*10.764</f>
        <v>9.3646799999999999</v>
      </c>
      <c r="F187" s="72">
        <v>650</v>
      </c>
      <c r="G187" s="82"/>
      <c r="H187" s="82"/>
      <c r="I187" s="33"/>
      <c r="L187" s="93"/>
      <c r="M187" s="93"/>
      <c r="N187" s="33"/>
    </row>
    <row r="188" spans="1:14" s="47" customFormat="1" x14ac:dyDescent="0.35">
      <c r="A188" s="82">
        <f t="shared" si="4"/>
        <v>7</v>
      </c>
      <c r="B188" s="82"/>
      <c r="C188" s="72" t="s">
        <v>185</v>
      </c>
      <c r="D188" s="54">
        <f>(31.342+2.77*1.45+1.75*1)*10.764</f>
        <v>399.43589399999996</v>
      </c>
      <c r="E188" s="54">
        <v>0</v>
      </c>
      <c r="F188" s="72">
        <v>650</v>
      </c>
      <c r="G188" s="82"/>
      <c r="H188" s="82"/>
      <c r="I188" s="33"/>
      <c r="L188" s="93"/>
      <c r="M188" s="93"/>
      <c r="N188" s="33"/>
    </row>
    <row r="189" spans="1:14" s="47" customFormat="1" x14ac:dyDescent="0.35">
      <c r="A189" s="130" t="s">
        <v>188</v>
      </c>
      <c r="B189" s="131"/>
      <c r="C189" s="131"/>
      <c r="D189" s="131"/>
      <c r="E189" s="131"/>
      <c r="F189" s="131"/>
      <c r="G189" s="131"/>
      <c r="H189" s="132"/>
      <c r="I189" s="33"/>
    </row>
    <row r="190" spans="1:14" s="47" customFormat="1" ht="15.75" customHeight="1" x14ac:dyDescent="0.35">
      <c r="A190" s="80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10^ROW(INDIRECT("1:"&amp;LEN((LEFT(A189,SUM(LEN(A189)-LEN(SUBSTITUTE(A189,{"0","1","2"},""))))))))/10))*100+1&amp;""&amp;"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",LEN(A189))),LEN(A189)))))))/10))*100+1</f>
        <v>201 to 401</v>
      </c>
      <c r="B190" s="81"/>
      <c r="C190" s="46" t="s">
        <v>185</v>
      </c>
      <c r="D190" s="54">
        <f>(29.992+2.45*1.2+2.9*1.2)*10.764</f>
        <v>391.93876799999998</v>
      </c>
      <c r="E190" s="54">
        <v>0</v>
      </c>
      <c r="F190" s="58">
        <v>637</v>
      </c>
      <c r="G190" s="94" t="str">
        <f>A189</f>
        <v>2nd to 4th Floor</v>
      </c>
      <c r="H190" s="95"/>
      <c r="I190" s="33"/>
    </row>
    <row r="191" spans="1:14" s="47" customFormat="1" ht="15.75" customHeight="1" x14ac:dyDescent="0.35">
      <c r="A191" s="80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202 to 402</v>
      </c>
      <c r="B191" s="81"/>
      <c r="C191" s="46" t="s">
        <v>185</v>
      </c>
      <c r="D191" s="54">
        <f>(29.963+1.94*1.5+2.5*1.25)*10.764</f>
        <v>387.48247200000003</v>
      </c>
      <c r="E191" s="54">
        <v>0</v>
      </c>
      <c r="F191" s="58">
        <v>630</v>
      </c>
      <c r="G191" s="96"/>
      <c r="H191" s="97"/>
      <c r="I191" s="33"/>
    </row>
    <row r="192" spans="1:14" s="47" customFormat="1" ht="15.75" customHeight="1" x14ac:dyDescent="0.35">
      <c r="A192" s="80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203 to 403</v>
      </c>
      <c r="B192" s="81"/>
      <c r="C192" s="46" t="s">
        <v>185</v>
      </c>
      <c r="D192" s="54">
        <f>(33.075+2.5*1+2.095*1.45)*10.764</f>
        <v>415.62764100000004</v>
      </c>
      <c r="E192" s="54">
        <v>0</v>
      </c>
      <c r="F192" s="58">
        <v>675</v>
      </c>
      <c r="G192" s="96"/>
      <c r="H192" s="97"/>
      <c r="I192" s="33"/>
    </row>
    <row r="193" spans="1:14" s="47" customFormat="1" ht="15.75" customHeight="1" x14ac:dyDescent="0.35">
      <c r="A193" s="80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204 to 404</v>
      </c>
      <c r="B193" s="81"/>
      <c r="C193" s="46" t="s">
        <v>185</v>
      </c>
      <c r="D193" s="54">
        <f>(31.455+2.5*1+2.095*1.45)*10.764</f>
        <v>398.18996099999998</v>
      </c>
      <c r="E193" s="54">
        <v>0</v>
      </c>
      <c r="F193" s="58">
        <v>645</v>
      </c>
      <c r="G193" s="96"/>
      <c r="H193" s="97"/>
      <c r="I193" s="33"/>
      <c r="J193" s="47">
        <f>3300000/F193</f>
        <v>5116.2790697674418</v>
      </c>
    </row>
    <row r="194" spans="1:14" s="47" customFormat="1" ht="15.75" customHeight="1" x14ac:dyDescent="0.35">
      <c r="A194" s="80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205 to 405</v>
      </c>
      <c r="B194" s="81"/>
      <c r="C194" s="46" t="s">
        <v>185</v>
      </c>
      <c r="D194" s="54">
        <f>(31.455+2.5*1+2.095*1.45)*10.764</f>
        <v>398.18996099999998</v>
      </c>
      <c r="E194" s="54">
        <v>0</v>
      </c>
      <c r="F194" s="58">
        <v>645</v>
      </c>
      <c r="G194" s="96"/>
      <c r="H194" s="97"/>
      <c r="I194" s="33"/>
    </row>
    <row r="195" spans="1:14" s="47" customFormat="1" ht="15.75" customHeight="1" x14ac:dyDescent="0.35">
      <c r="A195" s="80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206 to 406</v>
      </c>
      <c r="B195" s="81"/>
      <c r="C195" s="46" t="s">
        <v>185</v>
      </c>
      <c r="D195" s="54">
        <f>(31.455+2.5*1+2.095*1.45)*10.764</f>
        <v>398.18996099999998</v>
      </c>
      <c r="E195" s="54">
        <v>0</v>
      </c>
      <c r="F195" s="58">
        <v>645</v>
      </c>
      <c r="G195" s="96"/>
      <c r="H195" s="97"/>
      <c r="I195" s="33"/>
    </row>
    <row r="196" spans="1:14" s="47" customFormat="1" ht="15.75" customHeight="1" x14ac:dyDescent="0.35">
      <c r="A196" s="80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to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207 to 407</v>
      </c>
      <c r="B196" s="81"/>
      <c r="C196" s="46" t="s">
        <v>185</v>
      </c>
      <c r="D196" s="54">
        <f>(31.342+2.77*1.45+1.75*1)*10.764</f>
        <v>399.43589399999996</v>
      </c>
      <c r="E196" s="54">
        <v>0</v>
      </c>
      <c r="F196" s="58">
        <v>650</v>
      </c>
      <c r="G196" s="98"/>
      <c r="H196" s="99"/>
      <c r="I196" s="33"/>
    </row>
    <row r="197" spans="1:14" s="34" customFormat="1" hidden="1" x14ac:dyDescent="0.35">
      <c r="A197" s="104" t="s">
        <v>121</v>
      </c>
      <c r="B197" s="104"/>
      <c r="C197" s="104"/>
      <c r="D197" s="104"/>
      <c r="E197" s="104"/>
      <c r="F197" s="104"/>
      <c r="G197" s="104"/>
      <c r="H197" s="104"/>
      <c r="I197" s="33"/>
      <c r="L197" s="93"/>
      <c r="M197" s="93"/>
    </row>
    <row r="198" spans="1:14" s="34" customFormat="1" hidden="1" x14ac:dyDescent="0.35">
      <c r="A198" s="82">
        <f>LEFT(A197,SUM(LEN(A197)-LEN(SUBSTITUTE(A197,{"0","1","2","3","4","5","6","7","8","9"},""))))*100+1</f>
        <v>201</v>
      </c>
      <c r="B198" s="82"/>
      <c r="C198" s="39"/>
      <c r="D198" s="39"/>
      <c r="E198" s="39">
        <v>0</v>
      </c>
      <c r="F198" s="39" t="e">
        <f>D198*((#REF!)+1)+(IF(E198&lt;101,E198,IF(E198&lt;201,E198/2,IF(E198&lt;=301,E198/3,E198/4))))</f>
        <v>#REF!</v>
      </c>
      <c r="G198" s="82" t="str">
        <f>A197</f>
        <v>2nd Floor</v>
      </c>
      <c r="H198" s="82"/>
      <c r="I198" s="33"/>
      <c r="N198" s="33"/>
    </row>
    <row r="199" spans="1:14" s="34" customFormat="1" hidden="1" x14ac:dyDescent="0.35">
      <c r="A199" s="82">
        <f>A198+1</f>
        <v>202</v>
      </c>
      <c r="B199" s="82"/>
      <c r="C199" s="39"/>
      <c r="D199" s="39"/>
      <c r="E199" s="39">
        <v>0</v>
      </c>
      <c r="F199" s="39" t="e">
        <f>D199*((#REF!)+1)+(IF(E199&lt;101,E199,IF(E199&lt;201,E199/2,IF(E199&lt;=301,E199/3,E199/4))))</f>
        <v>#REF!</v>
      </c>
      <c r="G199" s="82" t="str">
        <f>G198</f>
        <v>2nd Floor</v>
      </c>
      <c r="H199" s="82"/>
      <c r="I199" s="33"/>
      <c r="N199" s="33"/>
    </row>
    <row r="200" spans="1:14" s="34" customFormat="1" hidden="1" x14ac:dyDescent="0.35">
      <c r="A200" s="82">
        <f>A199+1</f>
        <v>203</v>
      </c>
      <c r="B200" s="82"/>
      <c r="C200" s="39"/>
      <c r="D200" s="39"/>
      <c r="E200" s="39">
        <v>0</v>
      </c>
      <c r="F200" s="39" t="e">
        <f>D200*((#REF!)+1)+(IF(E200&lt;101,E200,IF(E200&lt;201,E200/2,IF(E200&lt;=301,E200/3,E200/4))))</f>
        <v>#REF!</v>
      </c>
      <c r="G200" s="82" t="str">
        <f>G199</f>
        <v>2nd Floor</v>
      </c>
      <c r="H200" s="82"/>
      <c r="I200" s="33"/>
      <c r="N200" s="33"/>
    </row>
    <row r="201" spans="1:14" s="34" customFormat="1" hidden="1" x14ac:dyDescent="0.35">
      <c r="A201" s="82">
        <f>A200+1</f>
        <v>204</v>
      </c>
      <c r="B201" s="82"/>
      <c r="C201" s="39"/>
      <c r="D201" s="39"/>
      <c r="E201" s="39">
        <v>0</v>
      </c>
      <c r="F201" s="39" t="e">
        <f>D201*((#REF!)+1)+(IF(E201&lt;101,E201,IF(E201&lt;201,E201/2,IF(E201&lt;=301,E201/3,E201/4))))</f>
        <v>#REF!</v>
      </c>
      <c r="G201" s="82" t="str">
        <f>G200</f>
        <v>2nd Floor</v>
      </c>
      <c r="H201" s="82"/>
      <c r="I201" s="33"/>
      <c r="N201" s="33"/>
    </row>
    <row r="202" spans="1:14" s="34" customFormat="1" hidden="1" x14ac:dyDescent="0.35">
      <c r="A202" s="82">
        <f>A201+1</f>
        <v>205</v>
      </c>
      <c r="B202" s="82"/>
      <c r="C202" s="39"/>
      <c r="D202" s="39"/>
      <c r="E202" s="39">
        <v>0</v>
      </c>
      <c r="F202" s="39" t="e">
        <f>D202*((#REF!)+1)+(IF(E202&lt;101,E202,IF(E202&lt;201,E202/2,IF(E202&lt;=301,E202/3,E202/4))))</f>
        <v>#REF!</v>
      </c>
      <c r="G202" s="82" t="str">
        <f>G201</f>
        <v>2nd Floor</v>
      </c>
      <c r="H202" s="82"/>
      <c r="I202" s="33"/>
      <c r="N202" s="33"/>
    </row>
    <row r="203" spans="1:14" s="34" customFormat="1" ht="15.75" hidden="1" customHeight="1" x14ac:dyDescent="0.35">
      <c r="A203" s="130" t="s">
        <v>155</v>
      </c>
      <c r="B203" s="131"/>
      <c r="C203" s="131"/>
      <c r="D203" s="131"/>
      <c r="E203" s="131"/>
      <c r="F203" s="131"/>
      <c r="G203" s="131"/>
      <c r="H203" s="132"/>
      <c r="I203" s="33"/>
    </row>
    <row r="204" spans="1:14" s="34" customFormat="1" hidden="1" x14ac:dyDescent="0.35">
      <c r="A204" s="80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301 ,.., 1501</v>
      </c>
      <c r="B204" s="81"/>
      <c r="C204" s="39"/>
      <c r="D204" s="39"/>
      <c r="E204" s="39">
        <v>0</v>
      </c>
      <c r="F204" s="39" t="e">
        <f>D204*((#REF!)+1)+(IF(E204&lt;101,E204,IF(E204&lt;201,E204/2,IF(E204&lt;=301,E204/3,E204/4))))</f>
        <v>#REF!</v>
      </c>
      <c r="G204" s="80" t="str">
        <f>A203</f>
        <v>3rd, 5th, 7th, 9th, 11th, 13th, 15th Floor</v>
      </c>
      <c r="H204" s="81"/>
      <c r="I204" s="33"/>
    </row>
    <row r="205" spans="1:14" s="34" customFormat="1" hidden="1" x14ac:dyDescent="0.35">
      <c r="A205" s="80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302 ,.., 1502</v>
      </c>
      <c r="B205" s="81"/>
      <c r="C205" s="39"/>
      <c r="D205" s="39"/>
      <c r="E205" s="39">
        <v>0</v>
      </c>
      <c r="F205" s="39" t="e">
        <f>D205*((#REF!)+1)+(IF(E205&lt;101,E205,IF(E205&lt;201,E205/2,IF(E205&lt;=301,E205/3,E205/4))))</f>
        <v>#REF!</v>
      </c>
      <c r="G205" s="80" t="str">
        <f>G204</f>
        <v>3rd, 5th, 7th, 9th, 11th, 13th, 15th Floor</v>
      </c>
      <c r="H205" s="81"/>
      <c r="I205" s="33"/>
    </row>
    <row r="206" spans="1:14" s="34" customFormat="1" ht="15.75" hidden="1" customHeight="1" x14ac:dyDescent="0.35">
      <c r="A206" s="80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303 ,.., 1503</v>
      </c>
      <c r="B206" s="81"/>
      <c r="C206" s="39"/>
      <c r="D206" s="39"/>
      <c r="E206" s="39">
        <v>0</v>
      </c>
      <c r="F206" s="39" t="e">
        <f>D206*((#REF!)+1)+(IF(E206&lt;101,E206,IF(E206&lt;201,E206/2,IF(E206&lt;=301,E206/3,E206/4))))</f>
        <v>#REF!</v>
      </c>
      <c r="G206" s="80" t="str">
        <f>G205</f>
        <v>3rd, 5th, 7th, 9th, 11th, 13th, 15th Floor</v>
      </c>
      <c r="H206" s="81"/>
      <c r="I206" s="33"/>
    </row>
    <row r="207" spans="1:14" s="34" customFormat="1" ht="15.75" hidden="1" customHeight="1" x14ac:dyDescent="0.35">
      <c r="A207" s="80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304 ,.., 1504</v>
      </c>
      <c r="B207" s="81"/>
      <c r="C207" s="39"/>
      <c r="D207" s="39"/>
      <c r="E207" s="39">
        <v>0</v>
      </c>
      <c r="F207" s="39" t="e">
        <f>D207*((#REF!)+1)+(IF(E207&lt;101,E207,IF(E207&lt;201,E207/2,IF(E207&lt;=301,E207/3,E207/4))))</f>
        <v>#REF!</v>
      </c>
      <c r="G207" s="80" t="str">
        <f>G206</f>
        <v>3rd, 5th, 7th, 9th, 11th, 13th, 15th Floor</v>
      </c>
      <c r="H207" s="81"/>
      <c r="I207" s="33"/>
    </row>
    <row r="208" spans="1:14" s="34" customFormat="1" ht="15.75" hidden="1" customHeight="1" x14ac:dyDescent="0.35">
      <c r="A208" s="80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305 ,.., 1505</v>
      </c>
      <c r="B208" s="81"/>
      <c r="C208" s="39"/>
      <c r="D208" s="39"/>
      <c r="E208" s="39">
        <v>0</v>
      </c>
      <c r="F208" s="39" t="e">
        <f>D208*((#REF!)+1)+(IF(E208&lt;101,E208,IF(E208&lt;201,E208/2,IF(E208&lt;=301,E208/3,E208/4))))</f>
        <v>#REF!</v>
      </c>
      <c r="G208" s="80" t="str">
        <f>G207</f>
        <v>3rd, 5th, 7th, 9th, 11th, 13th, 15th Floor</v>
      </c>
      <c r="H208" s="81"/>
      <c r="I208" s="33"/>
    </row>
    <row r="209" spans="1:9" s="34" customFormat="1" hidden="1" x14ac:dyDescent="0.35">
      <c r="A209" s="130" t="s">
        <v>188</v>
      </c>
      <c r="B209" s="131"/>
      <c r="C209" s="131"/>
      <c r="D209" s="131"/>
      <c r="E209" s="131"/>
      <c r="F209" s="131"/>
      <c r="G209" s="131"/>
      <c r="H209" s="132"/>
      <c r="I209" s="33"/>
    </row>
    <row r="210" spans="1:9" s="34" customFormat="1" hidden="1" x14ac:dyDescent="0.35">
      <c r="A210" s="80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10^ROW(INDIRECT("1:"&amp;LEN((LEFT(A209,SUM(LEN(A209)-LEN(SUBSTITUTE(A209,{"0","1","2"},""))))))))/10))*100+1&amp;""&amp;" to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201 to 401</v>
      </c>
      <c r="B210" s="81"/>
      <c r="C210" s="39"/>
      <c r="D210" s="39"/>
      <c r="E210" s="39">
        <v>0</v>
      </c>
      <c r="F210" s="39" t="e">
        <f>D210*((#REF!)+1)+(IF(E210&lt;101,E210,IF(E210&lt;201,E210/2,IF(E210&lt;=301,E210/3,E210/4))))</f>
        <v>#REF!</v>
      </c>
      <c r="G210" s="80" t="str">
        <f>A209</f>
        <v>2nd to 4th Floor</v>
      </c>
      <c r="H210" s="81"/>
      <c r="I210" s="33"/>
    </row>
    <row r="211" spans="1:9" s="34" customFormat="1" hidden="1" x14ac:dyDescent="0.35">
      <c r="A211" s="80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to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202 to 402</v>
      </c>
      <c r="B211" s="81"/>
      <c r="C211" s="39"/>
      <c r="D211" s="39"/>
      <c r="E211" s="39">
        <v>0</v>
      </c>
      <c r="F211" s="39" t="e">
        <f>D211*((#REF!)+1)+(IF(E211&lt;101,E211,IF(E211&lt;201,E211/2,IF(E211&lt;=301,E211/3,E211/4))))</f>
        <v>#REF!</v>
      </c>
      <c r="G211" s="80" t="str">
        <f t="shared" ref="G211:G216" si="5">G210</f>
        <v>2nd to 4th Floor</v>
      </c>
      <c r="H211" s="81"/>
      <c r="I211" s="33"/>
    </row>
    <row r="212" spans="1:9" s="34" customFormat="1" hidden="1" x14ac:dyDescent="0.35">
      <c r="A212" s="80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to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203 to 403</v>
      </c>
      <c r="B212" s="81"/>
      <c r="C212" s="39"/>
      <c r="D212" s="39"/>
      <c r="E212" s="39">
        <v>0</v>
      </c>
      <c r="F212" s="39" t="e">
        <f>D212*((#REF!)+1)+(IF(E212&lt;101,E212,IF(E212&lt;201,E212/2,IF(E212&lt;=301,E212/3,E212/4))))</f>
        <v>#REF!</v>
      </c>
      <c r="G212" s="80" t="str">
        <f t="shared" si="5"/>
        <v>2nd to 4th Floor</v>
      </c>
      <c r="H212" s="81"/>
      <c r="I212" s="33"/>
    </row>
    <row r="213" spans="1:9" s="34" customFormat="1" hidden="1" x14ac:dyDescent="0.35">
      <c r="A213" s="80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to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204 to 404</v>
      </c>
      <c r="B213" s="81"/>
      <c r="C213" s="39"/>
      <c r="D213" s="39"/>
      <c r="E213" s="39">
        <v>0</v>
      </c>
      <c r="F213" s="39" t="e">
        <f>D213*((#REF!)+1)+(IF(E213&lt;101,E213,IF(E213&lt;201,E213/2,IF(E213&lt;=301,E213/3,E213/4))))</f>
        <v>#REF!</v>
      </c>
      <c r="G213" s="80" t="str">
        <f t="shared" si="5"/>
        <v>2nd to 4th Floor</v>
      </c>
      <c r="H213" s="81"/>
      <c r="I213" s="33"/>
    </row>
    <row r="214" spans="1:9" s="34" customFormat="1" hidden="1" x14ac:dyDescent="0.35">
      <c r="A214" s="80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to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205 to 405</v>
      </c>
      <c r="B214" s="81"/>
      <c r="C214" s="39"/>
      <c r="D214" s="39"/>
      <c r="E214" s="39">
        <v>0</v>
      </c>
      <c r="F214" s="39" t="e">
        <f>D214*((#REF!)+1)+(IF(E214&lt;101,E214,IF(E214&lt;201,E214/2,IF(E214&lt;=301,E214/3,E214/4))))</f>
        <v>#REF!</v>
      </c>
      <c r="G214" s="80" t="str">
        <f t="shared" si="5"/>
        <v>2nd to 4th Floor</v>
      </c>
      <c r="H214" s="81"/>
      <c r="I214" s="33"/>
    </row>
    <row r="215" spans="1:9" s="47" customFormat="1" hidden="1" x14ac:dyDescent="0.35">
      <c r="A215" s="80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to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206 to 406</v>
      </c>
      <c r="B215" s="81"/>
      <c r="C215" s="46"/>
      <c r="D215" s="46"/>
      <c r="E215" s="46">
        <v>0</v>
      </c>
      <c r="F215" s="46" t="e">
        <f>D215*((#REF!)+1)+(IF(E215&lt;101,E215,IF(E215&lt;201,E215/2,IF(E215&lt;=301,E215/3,E215/4))))</f>
        <v>#REF!</v>
      </c>
      <c r="G215" s="80" t="str">
        <f t="shared" si="5"/>
        <v>2nd to 4th Floor</v>
      </c>
      <c r="H215" s="81"/>
      <c r="I215" s="33"/>
    </row>
    <row r="216" spans="1:9" s="47" customFormat="1" hidden="1" x14ac:dyDescent="0.35">
      <c r="A216" s="80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to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207 to 407</v>
      </c>
      <c r="B216" s="81"/>
      <c r="C216" s="46"/>
      <c r="D216" s="46"/>
      <c r="E216" s="46">
        <v>0</v>
      </c>
      <c r="F216" s="46" t="e">
        <f>D216*((#REF!)+1)+(IF(E216&lt;101,E216,IF(E216&lt;201,E216/2,IF(E216&lt;=301,E216/3,E216/4))))</f>
        <v>#REF!</v>
      </c>
      <c r="G216" s="80" t="str">
        <f t="shared" si="5"/>
        <v>2nd to 4th Floor</v>
      </c>
      <c r="H216" s="81"/>
      <c r="I216" s="33"/>
    </row>
    <row r="217" spans="1:9" s="34" customFormat="1" hidden="1" x14ac:dyDescent="0.35">
      <c r="A217" s="130" t="s">
        <v>151</v>
      </c>
      <c r="B217" s="131"/>
      <c r="C217" s="131"/>
      <c r="D217" s="131"/>
      <c r="E217" s="131"/>
      <c r="F217" s="131"/>
      <c r="G217" s="131"/>
      <c r="H217" s="132"/>
      <c r="I217" s="33"/>
    </row>
    <row r="218" spans="1:9" s="34" customFormat="1" hidden="1" x14ac:dyDescent="0.35">
      <c r="A218" s="80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10^ROW(INDIRECT("1:"&amp;LEN((LEFT(A217,SUM(LEN(A217)-LEN(SUBSTITUTE(A217,{"0","1","2"},""))))))))/10))*100+1&amp;""&amp;"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",LEN(A217))),LEN(A217)))))))/10))*100+1</f>
        <v>201 &amp; 501</v>
      </c>
      <c r="B218" s="81"/>
      <c r="C218" s="39"/>
      <c r="D218" s="39"/>
      <c r="E218" s="39">
        <v>0</v>
      </c>
      <c r="F218" s="39" t="e">
        <f>D218*((#REF!)+1)+(IF(E218&lt;101,E218,IF(E218&lt;201,E218/2,IF(E218&lt;=301,E218/3,E218/4))))</f>
        <v>#REF!</v>
      </c>
      <c r="G218" s="80" t="str">
        <f>A217</f>
        <v>2nd &amp; 5th Floor</v>
      </c>
      <c r="H218" s="81"/>
      <c r="I218" s="33"/>
    </row>
    <row r="219" spans="1:9" s="34" customFormat="1" hidden="1" x14ac:dyDescent="0.35">
      <c r="A219" s="80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202 &amp; 502</v>
      </c>
      <c r="B219" s="81"/>
      <c r="C219" s="39"/>
      <c r="D219" s="39"/>
      <c r="E219" s="39">
        <v>0</v>
      </c>
      <c r="F219" s="39" t="e">
        <f>D219*((#REF!)+1)+(IF(E219&lt;101,E219,IF(E219&lt;201,E219/2,IF(E219&lt;=301,E219/3,E219/4))))</f>
        <v>#REF!</v>
      </c>
      <c r="G219" s="80" t="str">
        <f t="shared" ref="G219:G222" si="6">G218</f>
        <v>2nd &amp; 5th Floor</v>
      </c>
      <c r="H219" s="81"/>
      <c r="I219" s="33"/>
    </row>
    <row r="220" spans="1:9" s="34" customFormat="1" hidden="1" x14ac:dyDescent="0.35">
      <c r="A220" s="80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203 &amp; 503</v>
      </c>
      <c r="B220" s="81"/>
      <c r="C220" s="39"/>
      <c r="D220" s="39"/>
      <c r="E220" s="39">
        <v>0</v>
      </c>
      <c r="F220" s="39" t="e">
        <f>D220*((#REF!)+1)+(IF(E220&lt;101,E220,IF(E220&lt;201,E220/2,IF(E220&lt;=301,E220/3,E220/4))))</f>
        <v>#REF!</v>
      </c>
      <c r="G220" s="80" t="str">
        <f t="shared" si="6"/>
        <v>2nd &amp; 5th Floor</v>
      </c>
      <c r="H220" s="81"/>
      <c r="I220" s="33"/>
    </row>
    <row r="221" spans="1:9" s="34" customFormat="1" hidden="1" x14ac:dyDescent="0.35">
      <c r="A221" s="80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&amp;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204 &amp; 504</v>
      </c>
      <c r="B221" s="81"/>
      <c r="C221" s="39"/>
      <c r="D221" s="39"/>
      <c r="E221" s="39">
        <v>0</v>
      </c>
      <c r="F221" s="39" t="e">
        <f>D221*((#REF!)+1)+(IF(E221&lt;101,E221,IF(E221&lt;201,E221/2,IF(E221&lt;=301,E221/3,E221/4))))</f>
        <v>#REF!</v>
      </c>
      <c r="G221" s="80" t="str">
        <f t="shared" si="6"/>
        <v>2nd &amp; 5th Floor</v>
      </c>
      <c r="H221" s="81"/>
      <c r="I221" s="33"/>
    </row>
    <row r="222" spans="1:9" s="34" customFormat="1" hidden="1" x14ac:dyDescent="0.35">
      <c r="A222" s="80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&amp;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205 &amp; 505</v>
      </c>
      <c r="B222" s="81"/>
      <c r="C222" s="39"/>
      <c r="D222" s="39"/>
      <c r="E222" s="39">
        <v>0</v>
      </c>
      <c r="F222" s="39" t="e">
        <f>D222*((#REF!)+1)+(IF(E222&lt;101,E222,IF(E222&lt;201,E222/2,IF(E222&lt;=301,E222/3,E222/4))))</f>
        <v>#REF!</v>
      </c>
      <c r="G222" s="80" t="str">
        <f t="shared" si="6"/>
        <v>2nd &amp; 5th Floor</v>
      </c>
      <c r="H222" s="81"/>
      <c r="I222" s="33"/>
    </row>
    <row r="223" spans="1:9" s="32" customFormat="1" x14ac:dyDescent="0.35">
      <c r="A223" s="129" t="s">
        <v>69</v>
      </c>
      <c r="B223" s="129"/>
      <c r="C223" s="129"/>
      <c r="D223" s="129"/>
      <c r="E223" s="129"/>
      <c r="F223" s="129"/>
      <c r="G223" s="129"/>
      <c r="H223" s="129"/>
    </row>
    <row r="224" spans="1:9" s="64" customFormat="1" x14ac:dyDescent="0.35">
      <c r="A224" s="63" t="s">
        <v>159</v>
      </c>
      <c r="B224" s="188" t="s">
        <v>232</v>
      </c>
      <c r="C224" s="189"/>
      <c r="D224" s="189"/>
      <c r="E224" s="189"/>
      <c r="F224" s="189"/>
      <c r="G224" s="189"/>
      <c r="H224" s="190"/>
    </row>
    <row r="225" spans="1:8" s="32" customFormat="1" x14ac:dyDescent="0.35">
      <c r="A225" s="41" t="s">
        <v>159</v>
      </c>
      <c r="B225" s="188" t="str">
        <f>(IF(F160="Saleable area Loading :","We have considered Saleable area of Flats as per our Calculation.","We considered Saleable area of Flat as per Builder area Sheet."))</f>
        <v>We considered Saleable area of Flat as per Builder area Sheet.</v>
      </c>
      <c r="C225" s="189"/>
      <c r="D225" s="189"/>
      <c r="E225" s="189"/>
      <c r="F225" s="189"/>
      <c r="G225" s="189"/>
      <c r="H225" s="190"/>
    </row>
    <row r="226" spans="1:8" s="32" customFormat="1" x14ac:dyDescent="0.35">
      <c r="A226" s="41" t="s">
        <v>159</v>
      </c>
      <c r="B226" s="188" t="str">
        <f>(IF(F135="Saleable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6" s="189"/>
      <c r="D226" s="189"/>
      <c r="E226" s="189"/>
      <c r="F226" s="189"/>
      <c r="G226" s="189"/>
      <c r="H226" s="190"/>
    </row>
    <row r="227" spans="1:8" s="32" customFormat="1" x14ac:dyDescent="0.35">
      <c r="A227" s="41" t="s">
        <v>159</v>
      </c>
      <c r="B227" s="111" t="s">
        <v>128</v>
      </c>
      <c r="C227" s="112"/>
      <c r="D227" s="112"/>
      <c r="E227" s="112"/>
      <c r="F227" s="112"/>
      <c r="G227" s="112"/>
      <c r="H227" s="113"/>
    </row>
    <row r="228" spans="1:8" s="32" customFormat="1" x14ac:dyDescent="0.35">
      <c r="A228" s="41" t="s">
        <v>159</v>
      </c>
      <c r="B228" s="111" t="s">
        <v>223</v>
      </c>
      <c r="C228" s="112"/>
      <c r="D228" s="112"/>
      <c r="E228" s="112"/>
      <c r="F228" s="112"/>
      <c r="G228" s="112"/>
      <c r="H228" s="113"/>
    </row>
    <row r="229" spans="1:8" s="32" customFormat="1" x14ac:dyDescent="0.35">
      <c r="A229" s="41" t="s">
        <v>159</v>
      </c>
      <c r="B229" s="111" t="s">
        <v>158</v>
      </c>
      <c r="C229" s="112"/>
      <c r="D229" s="112"/>
      <c r="E229" s="112"/>
      <c r="F229" s="112"/>
      <c r="G229" s="112"/>
      <c r="H229" s="113"/>
    </row>
    <row r="230" spans="1:8" s="32" customFormat="1" x14ac:dyDescent="0.35">
      <c r="A230" s="41" t="s">
        <v>159</v>
      </c>
      <c r="B230" s="111" t="s">
        <v>129</v>
      </c>
      <c r="C230" s="112"/>
      <c r="D230" s="112"/>
      <c r="E230" s="112"/>
      <c r="F230" s="112"/>
      <c r="G230" s="112"/>
      <c r="H230" s="113"/>
    </row>
    <row r="231" spans="1:8" s="32" customFormat="1" ht="34.5" customHeight="1" x14ac:dyDescent="0.35">
      <c r="A231" s="41" t="s">
        <v>159</v>
      </c>
      <c r="B231" s="111" t="s">
        <v>160</v>
      </c>
      <c r="C231" s="112"/>
      <c r="D231" s="112"/>
      <c r="E231" s="112"/>
      <c r="F231" s="112"/>
      <c r="G231" s="112"/>
      <c r="H231" s="113"/>
    </row>
    <row r="232" spans="1:8" s="32" customFormat="1" x14ac:dyDescent="0.35">
      <c r="A232" s="41" t="s">
        <v>159</v>
      </c>
      <c r="B232" s="111" t="s">
        <v>130</v>
      </c>
      <c r="C232" s="112"/>
      <c r="D232" s="112"/>
      <c r="E232" s="112"/>
      <c r="F232" s="112"/>
      <c r="G232" s="112"/>
      <c r="H232" s="113"/>
    </row>
    <row r="233" spans="1:8" x14ac:dyDescent="0.35">
      <c r="A233" s="187" t="s">
        <v>62</v>
      </c>
      <c r="B233" s="187"/>
      <c r="C233" s="187"/>
      <c r="D233" s="187"/>
      <c r="E233" s="187"/>
      <c r="F233" s="187"/>
      <c r="G233" s="187"/>
      <c r="H233" s="187"/>
    </row>
    <row r="234" spans="1:8" x14ac:dyDescent="0.35">
      <c r="A234" s="83" t="s">
        <v>63</v>
      </c>
      <c r="B234" s="83"/>
      <c r="C234" s="83"/>
      <c r="D234" s="83"/>
      <c r="E234" s="83"/>
      <c r="F234" s="83"/>
      <c r="G234" s="83"/>
      <c r="H234" s="83"/>
    </row>
    <row r="235" spans="1:8" ht="15.75" customHeight="1" x14ac:dyDescent="0.35">
      <c r="A235" s="208" t="s">
        <v>64</v>
      </c>
      <c r="B235" s="208"/>
      <c r="C235" s="208"/>
      <c r="D235" s="208"/>
      <c r="E235" s="208"/>
      <c r="F235" s="208"/>
      <c r="G235" s="208"/>
      <c r="H235" s="208"/>
    </row>
    <row r="236" spans="1:8" x14ac:dyDescent="0.35">
      <c r="A236" s="83" t="s">
        <v>65</v>
      </c>
      <c r="B236" s="83"/>
      <c r="C236" s="83"/>
      <c r="D236" s="83"/>
      <c r="E236" s="83"/>
      <c r="F236" s="83"/>
      <c r="G236" s="83"/>
      <c r="H236" s="83"/>
    </row>
    <row r="237" spans="1:8" x14ac:dyDescent="0.35">
      <c r="A237" s="83" t="s">
        <v>66</v>
      </c>
      <c r="B237" s="83"/>
      <c r="C237" s="83"/>
      <c r="D237" s="83"/>
      <c r="E237" s="83"/>
      <c r="F237" s="83"/>
      <c r="G237" s="83"/>
      <c r="H237" s="83"/>
    </row>
    <row r="238" spans="1:8" x14ac:dyDescent="0.35">
      <c r="A238" s="83" t="s">
        <v>131</v>
      </c>
      <c r="B238" s="83"/>
      <c r="C238" s="83"/>
      <c r="D238" s="83"/>
      <c r="E238" s="83"/>
      <c r="F238" s="83"/>
      <c r="G238" s="83"/>
      <c r="H238" s="83"/>
    </row>
    <row r="239" spans="1:8" ht="32.25" customHeight="1" x14ac:dyDescent="0.35">
      <c r="A239" s="176" t="s">
        <v>132</v>
      </c>
      <c r="B239" s="176"/>
      <c r="C239" s="176"/>
      <c r="D239" s="176"/>
      <c r="E239" s="176"/>
      <c r="F239" s="176"/>
      <c r="G239" s="176"/>
      <c r="H239" s="176"/>
    </row>
    <row r="240" spans="1:8" x14ac:dyDescent="0.35">
      <c r="A240" s="186" t="s">
        <v>79</v>
      </c>
      <c r="B240" s="186"/>
      <c r="C240" s="186" t="s">
        <v>219</v>
      </c>
      <c r="D240" s="186"/>
      <c r="E240" s="186" t="s">
        <v>108</v>
      </c>
      <c r="F240" s="186"/>
      <c r="G240" s="186" t="s">
        <v>189</v>
      </c>
      <c r="H240" s="186"/>
    </row>
    <row r="241" spans="1:8" x14ac:dyDescent="0.35">
      <c r="A241" s="185" t="s">
        <v>81</v>
      </c>
      <c r="B241" s="185"/>
      <c r="C241" s="185"/>
      <c r="D241" s="185"/>
      <c r="E241" s="185"/>
      <c r="F241" s="185"/>
      <c r="G241" s="185"/>
      <c r="H241" s="185"/>
    </row>
    <row r="242" spans="1:8" x14ac:dyDescent="0.35">
      <c r="A242" s="185"/>
      <c r="B242" s="185"/>
      <c r="C242" s="185"/>
      <c r="D242" s="185"/>
      <c r="E242" s="185"/>
      <c r="F242" s="185"/>
      <c r="G242" s="185"/>
      <c r="H242" s="185"/>
    </row>
    <row r="243" spans="1:8" x14ac:dyDescent="0.35">
      <c r="A243" s="185"/>
      <c r="B243" s="185"/>
      <c r="C243" s="185"/>
      <c r="D243" s="185"/>
      <c r="E243" s="185"/>
      <c r="F243" s="185"/>
      <c r="G243" s="185"/>
      <c r="H243" s="185"/>
    </row>
    <row r="244" spans="1:8" x14ac:dyDescent="0.35">
      <c r="A244" s="185"/>
      <c r="B244" s="185"/>
      <c r="C244" s="185"/>
      <c r="D244" s="185"/>
      <c r="E244" s="185"/>
      <c r="F244" s="185"/>
      <c r="G244" s="185"/>
      <c r="H244" s="185"/>
    </row>
    <row r="245" spans="1:8" x14ac:dyDescent="0.35">
      <c r="A245" s="35" t="s">
        <v>67</v>
      </c>
      <c r="B245" s="36"/>
      <c r="C245" s="36"/>
      <c r="D245" s="35" t="str">
        <f>E8</f>
        <v>Tejas Neelkamal</v>
      </c>
      <c r="F245" s="36"/>
      <c r="G245" s="36"/>
      <c r="H245" s="36"/>
    </row>
    <row r="246" spans="1:8" x14ac:dyDescent="0.35">
      <c r="A246" s="36"/>
      <c r="B246" s="36"/>
      <c r="C246" s="36"/>
      <c r="D246" s="36"/>
      <c r="E246" s="36"/>
      <c r="F246" s="36"/>
      <c r="G246" s="36"/>
      <c r="H246" s="36"/>
    </row>
    <row r="247" spans="1:8" x14ac:dyDescent="0.35">
      <c r="A247" s="36"/>
      <c r="B247" s="36"/>
      <c r="C247" s="36"/>
      <c r="D247" s="36"/>
      <c r="E247" s="36"/>
      <c r="F247" s="36"/>
      <c r="G247" s="36"/>
      <c r="H247" s="36"/>
    </row>
    <row r="248" spans="1:8" ht="15" customHeight="1" x14ac:dyDescent="0.35"/>
    <row r="288" spans="1:1" x14ac:dyDescent="0.35">
      <c r="A288" s="38" t="s">
        <v>171</v>
      </c>
    </row>
    <row r="331" spans="1:1" x14ac:dyDescent="0.35">
      <c r="A331" s="38" t="s">
        <v>68</v>
      </c>
    </row>
  </sheetData>
  <mergeCells count="428">
    <mergeCell ref="E41:H41"/>
    <mergeCell ref="A41:D41"/>
    <mergeCell ref="A238:H238"/>
    <mergeCell ref="A235:H235"/>
    <mergeCell ref="G213:H213"/>
    <mergeCell ref="A198:B198"/>
    <mergeCell ref="A128:B128"/>
    <mergeCell ref="G160:H160"/>
    <mergeCell ref="A88:B88"/>
    <mergeCell ref="A89:B89"/>
    <mergeCell ref="A90:B90"/>
    <mergeCell ref="A80:B80"/>
    <mergeCell ref="C80:H80"/>
    <mergeCell ref="A75:B75"/>
    <mergeCell ref="F110:H110"/>
    <mergeCell ref="G125:H125"/>
    <mergeCell ref="A94:B94"/>
    <mergeCell ref="C94:H94"/>
    <mergeCell ref="A96:B96"/>
    <mergeCell ref="C96:H96"/>
    <mergeCell ref="A97:B97"/>
    <mergeCell ref="E97:F97"/>
    <mergeCell ref="A53:H53"/>
    <mergeCell ref="A54:C54"/>
    <mergeCell ref="A55:C55"/>
    <mergeCell ref="D55:H55"/>
    <mergeCell ref="G52:H52"/>
    <mergeCell ref="A132:B132"/>
    <mergeCell ref="C132:D132"/>
    <mergeCell ref="E132:F132"/>
    <mergeCell ref="G132:H132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C108:D108"/>
    <mergeCell ref="E108:F108"/>
    <mergeCell ref="G108:H108"/>
    <mergeCell ref="B224:H224"/>
    <mergeCell ref="B225:H225"/>
    <mergeCell ref="A210:B210"/>
    <mergeCell ref="F117:H117"/>
    <mergeCell ref="C124:D124"/>
    <mergeCell ref="G211:H211"/>
    <mergeCell ref="F120:H120"/>
    <mergeCell ref="F118:H118"/>
    <mergeCell ref="A205:B205"/>
    <mergeCell ref="A134:H134"/>
    <mergeCell ref="G124:H124"/>
    <mergeCell ref="A119:E119"/>
    <mergeCell ref="C125:D125"/>
    <mergeCell ref="E125:F125"/>
    <mergeCell ref="G199:H199"/>
    <mergeCell ref="C131:D131"/>
    <mergeCell ref="A163:H163"/>
    <mergeCell ref="A207:B207"/>
    <mergeCell ref="A204:B204"/>
    <mergeCell ref="E124:F124"/>
    <mergeCell ref="A220:B220"/>
    <mergeCell ref="G220:H220"/>
    <mergeCell ref="G219:H219"/>
    <mergeCell ref="A217:H217"/>
    <mergeCell ref="G216:H216"/>
    <mergeCell ref="A171:H171"/>
    <mergeCell ref="A172:B172"/>
    <mergeCell ref="A173:B173"/>
    <mergeCell ref="A174:B174"/>
    <mergeCell ref="A175:B175"/>
    <mergeCell ref="A176:B176"/>
    <mergeCell ref="A177:B177"/>
    <mergeCell ref="A178:B178"/>
    <mergeCell ref="G172:H178"/>
    <mergeCell ref="A189:H189"/>
    <mergeCell ref="G182:H188"/>
    <mergeCell ref="A187:B187"/>
    <mergeCell ref="A196:B196"/>
    <mergeCell ref="G190:H196"/>
    <mergeCell ref="A201:B201"/>
    <mergeCell ref="G202:H202"/>
    <mergeCell ref="A241:H244"/>
    <mergeCell ref="A240:B240"/>
    <mergeCell ref="E240:F240"/>
    <mergeCell ref="C240:D240"/>
    <mergeCell ref="G240:H240"/>
    <mergeCell ref="A123:H123"/>
    <mergeCell ref="A121:E121"/>
    <mergeCell ref="F121:H121"/>
    <mergeCell ref="A122:E122"/>
    <mergeCell ref="F122:H122"/>
    <mergeCell ref="A197:H197"/>
    <mergeCell ref="A129:B129"/>
    <mergeCell ref="A206:B206"/>
    <mergeCell ref="A125:B125"/>
    <mergeCell ref="A236:H236"/>
    <mergeCell ref="A127:H127"/>
    <mergeCell ref="A239:H239"/>
    <mergeCell ref="A237:H237"/>
    <mergeCell ref="A233:H233"/>
    <mergeCell ref="A234:H234"/>
    <mergeCell ref="E128:F128"/>
    <mergeCell ref="B232:H232"/>
    <mergeCell ref="B230:H230"/>
    <mergeCell ref="B226:H226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79:B79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37:B37"/>
    <mergeCell ref="C37:H37"/>
    <mergeCell ref="A44:D44"/>
    <mergeCell ref="L141:M141"/>
    <mergeCell ref="L140:M140"/>
    <mergeCell ref="L139:M139"/>
    <mergeCell ref="L138:M138"/>
    <mergeCell ref="A77:B77"/>
    <mergeCell ref="C129:D129"/>
    <mergeCell ref="E129:F129"/>
    <mergeCell ref="G129:H129"/>
    <mergeCell ref="F116:H116"/>
    <mergeCell ref="A110:E110"/>
    <mergeCell ref="A137:H137"/>
    <mergeCell ref="G135:H135"/>
    <mergeCell ref="A84:B84"/>
    <mergeCell ref="E84:F93"/>
    <mergeCell ref="A91:B91"/>
    <mergeCell ref="A92:B92"/>
    <mergeCell ref="A93:B93"/>
    <mergeCell ref="A60:C60"/>
    <mergeCell ref="E70:F79"/>
    <mergeCell ref="G70:H79"/>
    <mergeCell ref="A78:B78"/>
    <mergeCell ref="F114:H114"/>
    <mergeCell ref="L197:M197"/>
    <mergeCell ref="A159:H159"/>
    <mergeCell ref="A202:B202"/>
    <mergeCell ref="A199:B199"/>
    <mergeCell ref="A200:B200"/>
    <mergeCell ref="A120:E120"/>
    <mergeCell ref="G131:H131"/>
    <mergeCell ref="A126:B126"/>
    <mergeCell ref="C126:D126"/>
    <mergeCell ref="E126:F126"/>
    <mergeCell ref="G126:H126"/>
    <mergeCell ref="A130:B130"/>
    <mergeCell ref="C130:D130"/>
    <mergeCell ref="E130:F130"/>
    <mergeCell ref="G130:H130"/>
    <mergeCell ref="C128:D128"/>
    <mergeCell ref="G128:H128"/>
    <mergeCell ref="A133:H133"/>
    <mergeCell ref="G200:H200"/>
    <mergeCell ref="A124:B124"/>
    <mergeCell ref="L150:M150"/>
    <mergeCell ref="A145:B145"/>
    <mergeCell ref="F119:H119"/>
    <mergeCell ref="B228:H228"/>
    <mergeCell ref="G218:H218"/>
    <mergeCell ref="G214:H214"/>
    <mergeCell ref="A223:H223"/>
    <mergeCell ref="A213:B213"/>
    <mergeCell ref="A214:B214"/>
    <mergeCell ref="G212:H212"/>
    <mergeCell ref="A209:H209"/>
    <mergeCell ref="A203:H203"/>
    <mergeCell ref="G206:H206"/>
    <mergeCell ref="G204:H204"/>
    <mergeCell ref="A211:B211"/>
    <mergeCell ref="A212:B212"/>
    <mergeCell ref="G208:H208"/>
    <mergeCell ref="G207:H207"/>
    <mergeCell ref="G210:H210"/>
    <mergeCell ref="A208:B208"/>
    <mergeCell ref="A218:B218"/>
    <mergeCell ref="A219:B219"/>
    <mergeCell ref="A222:B222"/>
    <mergeCell ref="G222:H222"/>
    <mergeCell ref="A221:B221"/>
    <mergeCell ref="G221:H221"/>
    <mergeCell ref="A216:B216"/>
    <mergeCell ref="A38:B38"/>
    <mergeCell ref="C38:H38"/>
    <mergeCell ref="B231:H231"/>
    <mergeCell ref="A47:B47"/>
    <mergeCell ref="C47:H47"/>
    <mergeCell ref="B229:H229"/>
    <mergeCell ref="G84:H93"/>
    <mergeCell ref="A85:B85"/>
    <mergeCell ref="A86:B86"/>
    <mergeCell ref="A87:B87"/>
    <mergeCell ref="F111:H111"/>
    <mergeCell ref="A111:E111"/>
    <mergeCell ref="G205:H205"/>
    <mergeCell ref="G201:H201"/>
    <mergeCell ref="G198:H198"/>
    <mergeCell ref="A113:E113"/>
    <mergeCell ref="A138:B138"/>
    <mergeCell ref="A139:B139"/>
    <mergeCell ref="A140:B140"/>
    <mergeCell ref="A82:B82"/>
    <mergeCell ref="C82:H82"/>
    <mergeCell ref="A83:B83"/>
    <mergeCell ref="E83:F83"/>
    <mergeCell ref="B227:H227"/>
    <mergeCell ref="A146:B146"/>
    <mergeCell ref="L146:M146"/>
    <mergeCell ref="A147:B147"/>
    <mergeCell ref="L147:M147"/>
    <mergeCell ref="A136:H136"/>
    <mergeCell ref="A142:B142"/>
    <mergeCell ref="L142:M142"/>
    <mergeCell ref="A143:B143"/>
    <mergeCell ref="L143:M143"/>
    <mergeCell ref="A144:B144"/>
    <mergeCell ref="L144:M144"/>
    <mergeCell ref="A141:B141"/>
    <mergeCell ref="L157:M157"/>
    <mergeCell ref="A158:B158"/>
    <mergeCell ref="L158:M158"/>
    <mergeCell ref="G138:H158"/>
    <mergeCell ref="A162:H162"/>
    <mergeCell ref="A168:B168"/>
    <mergeCell ref="A154:B154"/>
    <mergeCell ref="L154:M154"/>
    <mergeCell ref="A155:B155"/>
    <mergeCell ref="L155:M155"/>
    <mergeCell ref="A156:B156"/>
    <mergeCell ref="L156:M156"/>
    <mergeCell ref="A151:B151"/>
    <mergeCell ref="L151:M151"/>
    <mergeCell ref="A152:B152"/>
    <mergeCell ref="L152:M152"/>
    <mergeCell ref="A153:B153"/>
    <mergeCell ref="L153:M153"/>
    <mergeCell ref="A148:B148"/>
    <mergeCell ref="L148:M148"/>
    <mergeCell ref="A149:B149"/>
    <mergeCell ref="L149:M149"/>
    <mergeCell ref="A150:B150"/>
    <mergeCell ref="L145:M145"/>
    <mergeCell ref="L187:M187"/>
    <mergeCell ref="A188:B188"/>
    <mergeCell ref="L188:M188"/>
    <mergeCell ref="A169:B169"/>
    <mergeCell ref="A170:B170"/>
    <mergeCell ref="G164:H170"/>
    <mergeCell ref="A161:H161"/>
    <mergeCell ref="A179:H179"/>
    <mergeCell ref="A166:B166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67:B167"/>
    <mergeCell ref="A164:B164"/>
    <mergeCell ref="A165:B165"/>
    <mergeCell ref="A180:H180"/>
    <mergeCell ref="A181:H181"/>
    <mergeCell ref="A182:B182"/>
    <mergeCell ref="C51:H51"/>
    <mergeCell ref="A192:B192"/>
    <mergeCell ref="A193:B193"/>
    <mergeCell ref="A194:B194"/>
    <mergeCell ref="A195:B195"/>
    <mergeCell ref="A215:B215"/>
    <mergeCell ref="G215:H215"/>
    <mergeCell ref="A157:B157"/>
    <mergeCell ref="A114:E114"/>
    <mergeCell ref="A131:B131"/>
    <mergeCell ref="E131:F131"/>
    <mergeCell ref="G83:H83"/>
    <mergeCell ref="A115:E115"/>
    <mergeCell ref="F115:H115"/>
    <mergeCell ref="A116:E116"/>
    <mergeCell ref="A118:E118"/>
    <mergeCell ref="F112:H112"/>
    <mergeCell ref="A117:E117"/>
    <mergeCell ref="A112:E112"/>
    <mergeCell ref="A109:E109"/>
    <mergeCell ref="F113:H113"/>
    <mergeCell ref="F109:H109"/>
    <mergeCell ref="A190:B190"/>
    <mergeCell ref="A191:B19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44" max="16383" man="1"/>
    <brk id="287" max="16383" man="1"/>
    <brk id="3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N16" sqref="M16:N16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6" t="s">
        <v>109</v>
      </c>
      <c r="C3" s="216"/>
      <c r="D3" s="216"/>
      <c r="E3" s="216"/>
      <c r="F3" s="216"/>
      <c r="G3" s="216"/>
      <c r="H3" s="216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2025-07-12T13:42:52Z</cp:lastPrinted>
  <dcterms:created xsi:type="dcterms:W3CDTF">2019-07-16T09:29:46Z</dcterms:created>
  <dcterms:modified xsi:type="dcterms:W3CDTF">2025-07-12T13:43:25Z</dcterms:modified>
</cp:coreProperties>
</file>