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L129" i="1" l="1"/>
  <c r="G147" i="1"/>
  <c r="D173" i="1"/>
  <c r="F173" i="1" s="1"/>
  <c r="D172" i="1"/>
  <c r="D171" i="1"/>
  <c r="F171" i="1" s="1"/>
  <c r="D170" i="1"/>
  <c r="F170" i="1" s="1"/>
  <c r="D168" i="1"/>
  <c r="D167" i="1"/>
  <c r="D166" i="1"/>
  <c r="D165" i="1"/>
  <c r="D144" i="1"/>
  <c r="D161" i="1"/>
  <c r="D160" i="1"/>
  <c r="D140" i="1"/>
  <c r="D139" i="1"/>
  <c r="D163" i="1"/>
  <c r="D162" i="1"/>
  <c r="D143" i="1"/>
  <c r="K166" i="1"/>
  <c r="J166" i="1"/>
  <c r="E158" i="1"/>
  <c r="E157" i="1"/>
  <c r="E160" i="1"/>
  <c r="E161" i="1"/>
  <c r="D158" i="1"/>
  <c r="D157" i="1"/>
  <c r="D150" i="1"/>
  <c r="F150" i="1" s="1"/>
  <c r="D149" i="1"/>
  <c r="F149" i="1" s="1"/>
  <c r="D148" i="1"/>
  <c r="F148" i="1" s="1"/>
  <c r="D147" i="1"/>
  <c r="F147" i="1" s="1"/>
  <c r="D145" i="1"/>
  <c r="D142" i="1"/>
  <c r="J137" i="1"/>
  <c r="D137" i="1"/>
  <c r="E140" i="1"/>
  <c r="E139" i="1"/>
  <c r="E138" i="1"/>
  <c r="E137" i="1"/>
  <c r="D130" i="1"/>
  <c r="D129" i="1"/>
  <c r="D128" i="1"/>
  <c r="D127" i="1"/>
  <c r="D126" i="1"/>
  <c r="D125" i="1"/>
  <c r="N130" i="1"/>
  <c r="N129" i="1"/>
  <c r="N128" i="1"/>
  <c r="N127" i="1"/>
  <c r="N126" i="1"/>
  <c r="N125" i="1"/>
  <c r="J126" i="1"/>
  <c r="J129" i="1"/>
  <c r="K126" i="1"/>
  <c r="L170" i="1" l="1"/>
  <c r="N170" i="1"/>
  <c r="K170" i="1"/>
  <c r="E110" i="1"/>
  <c r="F172" i="1"/>
  <c r="C115" i="1"/>
  <c r="E115" i="1"/>
  <c r="D138" i="1"/>
  <c r="E114" i="1" s="1"/>
  <c r="L172" i="1" l="1"/>
  <c r="K172" i="1"/>
  <c r="C114" i="1"/>
  <c r="C116" i="1" s="1"/>
  <c r="E116" i="1"/>
  <c r="E111" i="1"/>
  <c r="C110" i="1"/>
  <c r="C111" i="1" s="1"/>
  <c r="D195" i="1"/>
  <c r="G170" i="1"/>
  <c r="G165" i="1"/>
  <c r="F167" i="1"/>
  <c r="F166" i="1"/>
  <c r="F165" i="1"/>
  <c r="F163" i="1"/>
  <c r="F162" i="1"/>
  <c r="F161" i="1"/>
  <c r="G160" i="1"/>
  <c r="F168" i="1" l="1"/>
  <c r="F160" i="1"/>
  <c r="M170" i="1" s="1"/>
  <c r="F139" i="1"/>
  <c r="F130" i="1"/>
  <c r="F129" i="1"/>
  <c r="F137" i="1" l="1"/>
  <c r="G49" i="1"/>
  <c r="C49" i="1"/>
  <c r="E7" i="1" l="1"/>
  <c r="E117" i="1" l="1"/>
  <c r="C117" i="1"/>
  <c r="E42" i="1" l="1"/>
  <c r="E43" i="1" s="1"/>
  <c r="C14" i="1" l="1"/>
  <c r="E29" i="1" l="1"/>
  <c r="F138" i="1" l="1"/>
  <c r="F140" i="1"/>
  <c r="A138" i="1"/>
  <c r="A139" i="1" s="1"/>
  <c r="A140" i="1" s="1"/>
  <c r="G137" i="1"/>
  <c r="F107" i="1" l="1"/>
  <c r="F126" i="1" l="1"/>
  <c r="F127" i="1"/>
  <c r="L127" i="1" s="1"/>
  <c r="F128" i="1"/>
  <c r="F125" i="1"/>
  <c r="G110" i="1" l="1"/>
  <c r="G111" i="1" s="1"/>
  <c r="B176" i="1"/>
  <c r="F158" i="1" l="1"/>
  <c r="F157" i="1"/>
  <c r="G115" i="1" s="1"/>
  <c r="F145" i="1"/>
  <c r="F144" i="1"/>
  <c r="F143" i="1"/>
  <c r="F142" i="1"/>
  <c r="G114" i="1" l="1"/>
  <c r="B177" i="1"/>
  <c r="G116" i="1" l="1"/>
  <c r="G11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155" i="1"/>
  <c r="G142" i="1"/>
  <c r="A126" i="1"/>
  <c r="A127" i="1" s="1"/>
  <c r="A128" i="1" s="1"/>
  <c r="A129" i="1" s="1"/>
  <c r="A130" i="1" s="1"/>
  <c r="G125" i="1"/>
  <c r="C80" i="1"/>
  <c r="B81" i="1" s="1"/>
  <c r="C66" i="1"/>
  <c r="B67" i="1" s="1"/>
  <c r="D54" i="1"/>
  <c r="E26" i="1"/>
  <c r="E24" i="1"/>
  <c r="E3" i="1"/>
  <c r="D60" i="1" l="1"/>
  <c r="H67" i="1"/>
  <c r="H81" i="1"/>
  <c r="J86" i="1" l="1"/>
  <c r="J87" i="1" s="1"/>
  <c r="D89" i="1"/>
  <c r="J83" i="1"/>
  <c r="D91" i="1"/>
  <c r="J80" i="1"/>
  <c r="J82" i="1" s="1"/>
  <c r="D90" i="1"/>
  <c r="D88" i="1"/>
  <c r="J84" i="1"/>
  <c r="J85" i="1"/>
  <c r="C84" i="1" s="1"/>
  <c r="D84" i="1" s="1"/>
  <c r="D92" i="1"/>
  <c r="D87" i="1"/>
  <c r="D93" i="1"/>
  <c r="D78" i="1"/>
  <c r="J70" i="1"/>
  <c r="D77" i="1"/>
  <c r="J69" i="1"/>
  <c r="D75" i="1"/>
  <c r="J72" i="1"/>
  <c r="J73" i="1" s="1"/>
  <c r="J66" i="1"/>
  <c r="J68" i="1" s="1"/>
  <c r="D74" i="1"/>
  <c r="D73" i="1"/>
  <c r="D79" i="1"/>
  <c r="J71" i="1"/>
  <c r="C70" i="1" s="1"/>
  <c r="D70" i="1" s="1"/>
  <c r="D76" i="1"/>
  <c r="J92" i="1"/>
  <c r="D86" i="1"/>
  <c r="D72" i="1"/>
  <c r="J88" i="1" l="1"/>
  <c r="J78" i="1"/>
  <c r="J74" i="1"/>
  <c r="J89" i="1" l="1"/>
  <c r="J90" i="1" s="1"/>
  <c r="J91" i="1" s="1"/>
  <c r="E84" i="1"/>
  <c r="J75" i="1"/>
  <c r="J93" i="1" l="1"/>
  <c r="J81" i="1" s="1"/>
  <c r="D85" i="1"/>
  <c r="I81" i="1" s="1"/>
  <c r="I82" i="1" s="1"/>
  <c r="G84" i="1"/>
  <c r="J76" i="1"/>
  <c r="J77" i="1" s="1"/>
  <c r="J79" i="1" l="1"/>
  <c r="G70" i="1" s="1"/>
  <c r="D64" i="1" s="1"/>
  <c r="D65" i="1" s="1"/>
  <c r="I80" i="1"/>
  <c r="C82" i="1" s="1"/>
  <c r="E70" i="1"/>
  <c r="D71" i="1"/>
  <c r="I67" i="1" s="1"/>
  <c r="J67" i="1" l="1"/>
  <c r="F65" i="1"/>
  <c r="I68" i="1"/>
  <c r="I66" i="1" l="1"/>
  <c r="C68" i="1" s="1"/>
</calcChain>
</file>

<file path=xl/sharedStrings.xml><?xml version="1.0" encoding="utf-8"?>
<sst xmlns="http://schemas.openxmlformats.org/spreadsheetml/2006/main" count="349" uniqueCount="237">
  <si>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</si>
  <si>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</si>
  <si>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</si>
  <si>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</si>
  <si>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</si>
  <si>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</si>
  <si>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</si>
  <si>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</si>
  <si>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</si>
  <si>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</si>
  <si>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</si>
  <si>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</si>
  <si>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</si>
  <si>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</si>
  <si>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</si>
  <si>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</si>
  <si>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</si>
  <si>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</si>
  <si>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</si>
  <si>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</si>
  <si>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</si>
  <si>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</si>
  <si>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</si>
  <si>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</si>
  <si>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</si>
  <si>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</si>
  <si>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</si>
  <si>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</si>
  <si>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</si>
  <si>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</si>
  <si>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</si>
  <si>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</si>
  <si>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</si>
  <si>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</si>
  <si>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</si>
  <si>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</si>
  <si>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</si>
  <si>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</si>
  <si>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</si>
  <si>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</si>
  <si>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</si>
  <si>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</si>
  <si>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</si>
  <si>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</si>
  <si>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</si>
  <si>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</si>
  <si>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</si>
  <si>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</si>
  <si>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</si>
  <si>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</si>
  <si>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</si>
  <si>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</si>
  <si>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</si>
  <si>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</si>
  <si>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</si>
  <si>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</si>
  <si>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</si>
  <si>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</si>
  <si>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</si>
  <si>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</si>
  <si>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</si>
  <si>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</si>
  <si>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</si>
  <si>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</si>
  <si>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</si>
  <si>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</si>
  <si>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</si>
  <si>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</si>
  <si>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</si>
  <si>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</si>
  <si>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</si>
  <si>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</si>
  <si>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</si>
  <si>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</si>
  <si>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</si>
  <si>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</si>
  <si>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</si>
  <si>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</si>
  <si>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</si>
  <si>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</si>
  <si>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</si>
  <si>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</si>
  <si>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</si>
  <si>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</si>
  <si>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</si>
  <si>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</si>
  <si>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</si>
  <si>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</si>
  <si>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</si>
  <si>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</si>
  <si>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</si>
  <si>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</si>
  <si>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</si>
  <si>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</si>
  <si>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</si>
  <si>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</si>
  <si>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</si>
  <si>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</si>
  <si>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</si>
  <si>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</si>
  <si>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</si>
  <si>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</si>
  <si>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</si>
  <si>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</si>
  <si>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</si>
  <si>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</si>
  <si>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</si>
  <si>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</si>
  <si>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</si>
  <si>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</si>
  <si>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</si>
  <si>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</si>
  <si>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</si>
  <si>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</si>
  <si>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</si>
  <si>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</si>
  <si>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</si>
  <si>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</si>
  <si>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</si>
  <si>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</si>
  <si>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</si>
  <si>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</si>
  <si>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</si>
  <si>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</si>
  <si>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</si>
  <si>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</si>
  <si>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</si>
  <si>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</si>
  <si>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</si>
  <si>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</si>
  <si>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</si>
  <si>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</si>
  <si>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</si>
  <si>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</si>
  <si>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</si>
  <si>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</si>
  <si>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</si>
  <si>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</si>
  <si>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</si>
  <si>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</si>
  <si>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</si>
  <si>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</si>
  <si>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</si>
  <si>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</si>
  <si>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</si>
  <si>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</si>
  <si>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</si>
  <si>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</si>
  <si>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</si>
  <si>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</si>
  <si>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</si>
  <si>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</si>
  <si>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</si>
  <si>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</si>
  <si>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</si>
  <si>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</si>
  <si>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</si>
  <si>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</si>
  <si>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</si>
  <si>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</si>
  <si>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</si>
  <si>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</si>
  <si>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</si>
  <si>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</si>
  <si>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</si>
  <si>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</si>
  <si>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</si>
  <si>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</si>
  <si>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</si>
  <si>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</si>
  <si>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</si>
  <si>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</si>
  <si>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</si>
  <si>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</si>
  <si>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</si>
  <si>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</si>
  <si>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Sara Realty</t>
  </si>
  <si>
    <t>Antalya</t>
  </si>
  <si>
    <t>Sara Realties - 9321839130</t>
  </si>
  <si>
    <t>Wing A &amp; B</t>
  </si>
  <si>
    <t>P51700046637</t>
  </si>
  <si>
    <t xml:space="preserve">Approved Plans, CC, Sale Plans </t>
  </si>
  <si>
    <t xml:space="preserve">Navi Mumbai Municipal Corporation
</t>
  </si>
  <si>
    <t>NMMC/TPO/ABP/525/2023</t>
  </si>
  <si>
    <t>As per RERA - 30/06/2027</t>
  </si>
  <si>
    <t>Plot No</t>
  </si>
  <si>
    <t>Belapur CBD</t>
  </si>
  <si>
    <t>19.008097, 73.033633</t>
  </si>
  <si>
    <t xml:space="preserve">Belle Vista </t>
  </si>
  <si>
    <t>https://goo.gl/maps/mFzGp9CB15dcFjhg7</t>
  </si>
  <si>
    <t>Internal Road</t>
  </si>
  <si>
    <t>Thane</t>
  </si>
  <si>
    <t xml:space="preserve">D Y Patil University </t>
  </si>
  <si>
    <t>Wing  A</t>
  </si>
  <si>
    <t>Wing A</t>
  </si>
  <si>
    <t>2nd Floor For Residential</t>
  </si>
  <si>
    <t>3BHK</t>
  </si>
  <si>
    <t xml:space="preserve">2BHK </t>
  </si>
  <si>
    <t xml:space="preserve">3rd to 6th, 8th, 9th, 10th, 11th, 13th, 14th Floor </t>
  </si>
  <si>
    <t>Wing B</t>
  </si>
  <si>
    <t>Ground Floor For Drivers Room &amp; Parking</t>
  </si>
  <si>
    <t>Society Office &amp; Parking Area</t>
  </si>
  <si>
    <t xml:space="preserve">Kids Pool &amp; Gym </t>
  </si>
  <si>
    <t>1st Floor For  Residential &amp; Amenities</t>
  </si>
  <si>
    <t xml:space="preserve">2nd Floor </t>
  </si>
  <si>
    <t>2BHK</t>
  </si>
  <si>
    <t>Mayur Ranvare</t>
  </si>
  <si>
    <t xml:space="preserve">PHOTOGRAPHS OF PROPERTY : </t>
  </si>
  <si>
    <t xml:space="preserve">Wing A </t>
  </si>
  <si>
    <t xml:space="preserve">Wing B </t>
  </si>
  <si>
    <t>49, Sector - 15</t>
  </si>
  <si>
    <t>Neelsidhi Splendour</t>
  </si>
  <si>
    <t>2.3 KM from Belapur CBD Railway Station</t>
  </si>
  <si>
    <t>Belapur CBD West</t>
  </si>
  <si>
    <t>2 Wings</t>
  </si>
  <si>
    <t>Israni Towers</t>
  </si>
  <si>
    <t>Internal Road/ Neelsidhi Splendor</t>
  </si>
  <si>
    <t>Box Cricket, Swimming Pool, Party Lawm, Amphitheater, Jogging Track, Gymnasium, Deck, Kids Pool, Gentlemens Club, Yoga/ Meditation Area, Rooftop Sky Garden, Kids Play Area, Jacuzzi.</t>
  </si>
  <si>
    <t>Ground Floor For Commercial Duplex With First Floor, Fire Control Room,
 Swimming Pool, Gentlements Club, Meter Room, Lobby &amp; Parking</t>
  </si>
  <si>
    <t>7th &amp; 12th Floor (Part Refuge Balcony Area)</t>
  </si>
  <si>
    <t>We considered Gross carpet area = Net carpet + Balcony + Chajja Area.</t>
  </si>
  <si>
    <t>NRV/A/525</t>
  </si>
  <si>
    <t>99acre</t>
  </si>
  <si>
    <t>housing</t>
  </si>
  <si>
    <t>mb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</si>
  <si>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</si>
  <si>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A &amp; B Wing = 3B + Gr. + 1st to 14th Floor</t>
  </si>
  <si>
    <t>B Wing = 3B + Gr. + 1st to 14th Floor</t>
  </si>
  <si>
    <t>Flats - 106, Shops - 6</t>
  </si>
  <si>
    <t>Ground Floor For Commercial Duplex With First Floor</t>
  </si>
  <si>
    <t>Shop
(Duplex with 1st Floor)</t>
  </si>
  <si>
    <t xml:space="preserve">Basement 1 to 3 for Parking </t>
  </si>
  <si>
    <t>16500 to 17300</t>
  </si>
  <si>
    <t>sanket</t>
  </si>
  <si>
    <t>Verbal</t>
  </si>
  <si>
    <t>Shruti Tathare</t>
  </si>
  <si>
    <t>Construction work is in process at the time of Visit. Internal visit was not allowed.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</si>
</sst>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10" fillId="0" borderId="0" xfId="1" applyFont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microsoft.com/office/2007/relationships/hdphoto" Target="../media/hdphoto1.wdp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347383</xdr:colOff>
      <xdr:row>293</xdr:row>
      <xdr:rowOff>156885</xdr:rowOff>
    </xdr:from>
    <xdr:to>
      <xdr:col>7</xdr:col>
      <xdr:colOff>418360</xdr:colOff>
      <xdr:row>314</xdr:row>
      <xdr:rowOff>31198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1178" r="3402" b="18020"/>
        <a:stretch/>
      </xdr:blipFill>
      <xdr:spPr>
        <a:xfrm>
          <a:off x="347383" y="62753453"/>
          <a:ext cx="5760000" cy="405665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379878</xdr:colOff>
      <xdr:row>273</xdr:row>
      <xdr:rowOff>117662</xdr:rowOff>
    </xdr:from>
    <xdr:to>
      <xdr:col>7</xdr:col>
      <xdr:colOff>450855</xdr:colOff>
      <xdr:row>292</xdr:row>
      <xdr:rowOff>162790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878" y="58731048"/>
          <a:ext cx="5760000" cy="382915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850745</xdr:colOff>
      <xdr:row>303</xdr:row>
      <xdr:rowOff>25022</xdr:rowOff>
    </xdr:from>
    <xdr:to>
      <xdr:col>4</xdr:col>
      <xdr:colOff>212010</xdr:colOff>
      <xdr:row>307</xdr:row>
      <xdr:rowOff>22992</xdr:rowOff>
    </xdr:to>
    <xdr:sp macro="" textlink="">
      <xdr:nvSpPr>
        <xdr:cNvPr id="4" name="TextBox 3"/>
        <xdr:cNvSpPr txBox="1"/>
      </xdr:nvSpPr>
      <xdr:spPr>
        <a:xfrm rot="14960049">
          <a:off x="3233010" y="69595728"/>
          <a:ext cx="804793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ln w="12700">
                <a:noFill/>
              </a:ln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3</xdr:col>
      <xdr:colOff>297174</xdr:colOff>
      <xdr:row>304</xdr:row>
      <xdr:rowOff>98978</xdr:rowOff>
    </xdr:from>
    <xdr:to>
      <xdr:col>3</xdr:col>
      <xdr:colOff>666968</xdr:colOff>
      <xdr:row>308</xdr:row>
      <xdr:rowOff>96948</xdr:rowOff>
    </xdr:to>
    <xdr:sp macro="" textlink="">
      <xdr:nvSpPr>
        <xdr:cNvPr id="5" name="TextBox 4"/>
        <xdr:cNvSpPr txBox="1"/>
      </xdr:nvSpPr>
      <xdr:spPr>
        <a:xfrm rot="14796079">
          <a:off x="2679439" y="69871390"/>
          <a:ext cx="804793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ln w="12700">
                <a:noFill/>
              </a:ln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 editAs="oneCell">
    <xdr:from>
      <xdr:col>0</xdr:col>
      <xdr:colOff>750794</xdr:colOff>
      <xdr:row>239</xdr:row>
      <xdr:rowOff>134469</xdr:rowOff>
    </xdr:from>
    <xdr:to>
      <xdr:col>6</xdr:col>
      <xdr:colOff>627530</xdr:colOff>
      <xdr:row>261</xdr:row>
      <xdr:rowOff>11864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</a:extLst>
        </a:blip>
        <a:srcRect r="15568"/>
        <a:stretch/>
      </xdr:blipFill>
      <xdr:spPr>
        <a:xfrm>
          <a:off x="750794" y="55368263"/>
          <a:ext cx="5165912" cy="43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805223</xdr:colOff>
      <xdr:row>239</xdr:row>
      <xdr:rowOff>175291</xdr:rowOff>
    </xdr:from>
    <xdr:to>
      <xdr:col>6</xdr:col>
      <xdr:colOff>681959</xdr:colOff>
      <xdr:row>261</xdr:row>
      <xdr:rowOff>52686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</a:extLst>
        </a:blip>
        <a:srcRect r="15568"/>
        <a:stretch/>
      </xdr:blipFill>
      <xdr:spPr>
        <a:xfrm>
          <a:off x="805223" y="55882934"/>
          <a:ext cx="5156307" cy="436775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51879</xdr:colOff>
      <xdr:row>304</xdr:row>
      <xdr:rowOff>51004</xdr:rowOff>
    </xdr:from>
    <xdr:to>
      <xdr:col>4</xdr:col>
      <xdr:colOff>343570</xdr:colOff>
      <xdr:row>307</xdr:row>
      <xdr:rowOff>160368</xdr:rowOff>
    </xdr:to>
    <xdr:sp macro="" textlink="">
      <xdr:nvSpPr>
        <xdr:cNvPr id="7" name="TextBox 6"/>
        <xdr:cNvSpPr txBox="1"/>
      </xdr:nvSpPr>
      <xdr:spPr>
        <a:xfrm rot="19872483">
          <a:off x="2459106" y="67366777"/>
          <a:ext cx="1235532" cy="706841"/>
        </a:xfrm>
        <a:prstGeom prst="rect">
          <a:avLst/>
        </a:prstGeom>
        <a:noFill/>
        <a:ln w="5715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9</xdr:col>
      <xdr:colOff>256615</xdr:colOff>
      <xdr:row>195</xdr:row>
      <xdr:rowOff>179294</xdr:rowOff>
    </xdr:from>
    <xdr:to>
      <xdr:col>17</xdr:col>
      <xdr:colOff>559240</xdr:colOff>
      <xdr:row>230</xdr:row>
      <xdr:rowOff>193200</xdr:rowOff>
    </xdr:to>
    <xdr:grpSp>
      <xdr:nvGrpSpPr>
        <xdr:cNvPr id="8" name="Group 7"/>
        <xdr:cNvGrpSpPr/>
      </xdr:nvGrpSpPr>
      <xdr:grpSpPr>
        <a:xfrm>
          <a:off x="7943290" y="41460644"/>
          <a:ext cx="6236700" cy="7014781"/>
          <a:chOff x="133350" y="41517794"/>
          <a:chExt cx="6252949" cy="7073612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41517794"/>
            <a:ext cx="2026167" cy="27235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2457" y="41517794"/>
            <a:ext cx="2036252" cy="27235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6553" y="44419557"/>
            <a:ext cx="1713643" cy="23601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1649" y="41517794"/>
            <a:ext cx="1984650" cy="27235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4918" y="44419557"/>
            <a:ext cx="3109211" cy="23601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17750" y="46956278"/>
            <a:ext cx="1217235" cy="163512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2611" y="46956278"/>
            <a:ext cx="1220071" cy="163512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387724</xdr:colOff>
      <xdr:row>195</xdr:row>
      <xdr:rowOff>29134</xdr:rowOff>
    </xdr:from>
    <xdr:to>
      <xdr:col>7</xdr:col>
      <xdr:colOff>463985</xdr:colOff>
      <xdr:row>236</xdr:row>
      <xdr:rowOff>78441</xdr:rowOff>
    </xdr:to>
    <xdr:grpSp>
      <xdr:nvGrpSpPr>
        <xdr:cNvPr id="9" name="Group 8"/>
        <xdr:cNvGrpSpPr/>
      </xdr:nvGrpSpPr>
      <xdr:grpSpPr>
        <a:xfrm>
          <a:off x="387724" y="41310484"/>
          <a:ext cx="5772211" cy="8250332"/>
          <a:chOff x="387724" y="41804663"/>
          <a:chExt cx="5780055" cy="8319249"/>
        </a:xfrm>
      </xdr:grpSpPr>
      <xdr:pic>
        <xdr:nvPicPr>
          <xdr:cNvPr id="31" name="Picture 30" descr="https://vsjcllp.vsjadon.com/upload/insp-22601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79796" y="48322016"/>
            <a:ext cx="1344706" cy="17879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601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7724" y="41804663"/>
            <a:ext cx="2841873" cy="37786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2601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44589" y="45681714"/>
            <a:ext cx="3365764" cy="25371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601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79713" y="48324259"/>
            <a:ext cx="1344706" cy="17879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26018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5906" y="41806905"/>
            <a:ext cx="2841873" cy="37786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26018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43217" y="45679658"/>
            <a:ext cx="1908206" cy="25392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2601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23030" y="48319764"/>
            <a:ext cx="1351232" cy="18041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FzGp9CB15dcFjhg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76"/>
  <sheetViews>
    <sheetView tabSelected="1" view="pageBreakPreview" zoomScaleNormal="100" zoomScaleSheetLayoutView="100" zoomScalePageLayoutView="85" workbookViewId="0">
      <selection activeCell="K8" sqref="K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7" t="s">
        <v>225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121" t="s">
        <v>1</v>
      </c>
      <c r="B3" s="121"/>
      <c r="C3" s="121"/>
      <c r="D3" s="121"/>
      <c r="E3" s="121" t="str">
        <f ca="1">TEXT(TODAY(),"DD/MM/YYYY")</f>
        <v>10/07/2025</v>
      </c>
      <c r="F3" s="121"/>
      <c r="G3" s="121"/>
      <c r="H3" s="121"/>
    </row>
    <row r="4" spans="1:8" ht="15" customHeight="1" x14ac:dyDescent="0.25">
      <c r="A4" s="121" t="s">
        <v>2</v>
      </c>
      <c r="B4" s="121"/>
      <c r="C4" s="121"/>
      <c r="D4" s="121"/>
      <c r="E4" s="121" t="s">
        <v>175</v>
      </c>
      <c r="F4" s="121"/>
      <c r="G4" s="121"/>
      <c r="H4" s="121"/>
    </row>
    <row r="5" spans="1:8" x14ac:dyDescent="0.25">
      <c r="A5" s="121" t="s">
        <v>3</v>
      </c>
      <c r="B5" s="121"/>
      <c r="C5" s="121"/>
      <c r="D5" s="121"/>
      <c r="E5" s="158">
        <v>45755</v>
      </c>
      <c r="F5" s="159"/>
      <c r="G5" s="159"/>
      <c r="H5" s="159"/>
    </row>
    <row r="6" spans="1:8" ht="16.5" customHeight="1" x14ac:dyDescent="0.25">
      <c r="A6" s="121" t="s">
        <v>4</v>
      </c>
      <c r="B6" s="121"/>
      <c r="C6" s="121"/>
      <c r="D6" s="121"/>
      <c r="E6" s="120" t="s">
        <v>176</v>
      </c>
      <c r="F6" s="121"/>
      <c r="G6" s="121"/>
      <c r="H6" s="121"/>
    </row>
    <row r="7" spans="1:8" ht="15" customHeight="1" x14ac:dyDescent="0.25">
      <c r="A7" s="121" t="s">
        <v>5</v>
      </c>
      <c r="B7" s="121"/>
      <c r="C7" s="121"/>
      <c r="D7" s="121"/>
      <c r="E7" s="121" t="str">
        <f>E6</f>
        <v>Sara Realty</v>
      </c>
      <c r="F7" s="121"/>
      <c r="G7" s="121"/>
      <c r="H7" s="121"/>
    </row>
    <row r="8" spans="1:8" x14ac:dyDescent="0.25">
      <c r="A8" s="121" t="s">
        <v>6</v>
      </c>
      <c r="B8" s="121"/>
      <c r="C8" s="121"/>
      <c r="D8" s="121"/>
      <c r="E8" s="132" t="s">
        <v>177</v>
      </c>
      <c r="F8" s="132"/>
      <c r="G8" s="132"/>
      <c r="H8" s="132"/>
    </row>
    <row r="9" spans="1:8" x14ac:dyDescent="0.25">
      <c r="A9" s="121" t="s">
        <v>173</v>
      </c>
      <c r="B9" s="121"/>
      <c r="C9" s="121"/>
      <c r="D9" s="121"/>
      <c r="E9" s="121" t="s">
        <v>178</v>
      </c>
      <c r="F9" s="121"/>
      <c r="G9" s="121"/>
      <c r="H9" s="121"/>
    </row>
    <row r="10" spans="1:8" x14ac:dyDescent="0.25">
      <c r="A10" s="121" t="s">
        <v>174</v>
      </c>
      <c r="B10" s="121"/>
      <c r="C10" s="121"/>
      <c r="D10" s="121"/>
      <c r="E10" s="121" t="s">
        <v>30</v>
      </c>
      <c r="F10" s="121"/>
      <c r="G10" s="121"/>
      <c r="H10" s="121"/>
    </row>
    <row r="11" spans="1:8" x14ac:dyDescent="0.25">
      <c r="A11" s="121" t="s">
        <v>7</v>
      </c>
      <c r="B11" s="121"/>
      <c r="C11" s="121"/>
      <c r="D11" s="121"/>
      <c r="E11" s="121" t="s">
        <v>179</v>
      </c>
      <c r="F11" s="121"/>
      <c r="G11" s="121"/>
      <c r="H11" s="121"/>
    </row>
    <row r="12" spans="1:8" x14ac:dyDescent="0.25">
      <c r="A12" s="77" t="s">
        <v>8</v>
      </c>
      <c r="B12" s="77"/>
      <c r="C12" s="77"/>
      <c r="D12" s="77"/>
      <c r="E12" s="160" t="s">
        <v>181</v>
      </c>
      <c r="F12" s="160"/>
      <c r="G12" s="160"/>
      <c r="H12" s="160"/>
    </row>
    <row r="13" spans="1:8" x14ac:dyDescent="0.25">
      <c r="A13" s="77" t="s">
        <v>9</v>
      </c>
      <c r="B13" s="77"/>
      <c r="C13" s="77"/>
      <c r="D13" s="77"/>
      <c r="E13" s="160" t="s">
        <v>180</v>
      </c>
      <c r="F13" s="159"/>
      <c r="G13" s="159"/>
      <c r="H13" s="159"/>
    </row>
    <row r="14" spans="1:8" ht="36" customHeight="1" x14ac:dyDescent="0.25">
      <c r="A14" s="155" t="s">
        <v>10</v>
      </c>
      <c r="B14" s="155"/>
      <c r="C14" s="15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Antalya, Plot No.49, Sector - 15, near Neelsidhi Splendour, Internal Road, Belapur CBD, Belapur CBD, Belapur CBD West, Thane, Thane - 400614.</v>
      </c>
      <c r="D14" s="155"/>
      <c r="E14" s="155"/>
      <c r="F14" s="155"/>
      <c r="G14" s="155"/>
      <c r="H14" s="155"/>
    </row>
    <row r="15" spans="1:8" x14ac:dyDescent="0.25">
      <c r="A15" s="160" t="s">
        <v>185</v>
      </c>
      <c r="B15" s="160"/>
      <c r="C15" s="160" t="s">
        <v>210</v>
      </c>
      <c r="D15" s="160"/>
      <c r="E15" s="160"/>
      <c r="F15" s="160"/>
      <c r="G15" s="160"/>
      <c r="H15" s="160"/>
    </row>
    <row r="16" spans="1:8" ht="15.75" customHeight="1" x14ac:dyDescent="0.25">
      <c r="A16" s="120" t="s">
        <v>169</v>
      </c>
      <c r="B16" s="120"/>
      <c r="C16" s="120" t="s">
        <v>186</v>
      </c>
      <c r="D16" s="120"/>
      <c r="E16" s="120"/>
      <c r="F16" s="120"/>
      <c r="G16" s="120"/>
      <c r="H16" s="120"/>
    </row>
    <row r="17" spans="1:8" ht="15.75" customHeight="1" x14ac:dyDescent="0.25">
      <c r="A17" s="155" t="s">
        <v>11</v>
      </c>
      <c r="B17" s="155"/>
      <c r="C17" s="121" t="s">
        <v>190</v>
      </c>
      <c r="D17" s="121"/>
      <c r="E17" s="155" t="s">
        <v>74</v>
      </c>
      <c r="F17" s="155"/>
      <c r="G17" s="120" t="s">
        <v>186</v>
      </c>
      <c r="H17" s="120"/>
    </row>
    <row r="18" spans="1:8" ht="15.75" customHeight="1" x14ac:dyDescent="0.25">
      <c r="A18" s="77" t="s">
        <v>13</v>
      </c>
      <c r="B18" s="77"/>
      <c r="C18" s="120" t="s">
        <v>213</v>
      </c>
      <c r="D18" s="120"/>
      <c r="E18" s="155" t="s">
        <v>12</v>
      </c>
      <c r="F18" s="155"/>
      <c r="G18" s="161" t="s">
        <v>191</v>
      </c>
      <c r="H18" s="162"/>
    </row>
    <row r="19" spans="1:8" x14ac:dyDescent="0.25">
      <c r="A19" s="77" t="s">
        <v>75</v>
      </c>
      <c r="B19" s="77"/>
      <c r="C19" s="161" t="s">
        <v>191</v>
      </c>
      <c r="D19" s="162"/>
      <c r="E19" s="155" t="s">
        <v>14</v>
      </c>
      <c r="F19" s="155"/>
      <c r="G19" s="120">
        <v>400614</v>
      </c>
      <c r="H19" s="120"/>
    </row>
    <row r="20" spans="1:8" ht="32.25" customHeight="1" x14ac:dyDescent="0.25">
      <c r="A20" s="77" t="s">
        <v>126</v>
      </c>
      <c r="B20" s="77"/>
      <c r="C20" s="120" t="s">
        <v>211</v>
      </c>
      <c r="D20" s="120"/>
      <c r="E20" s="155" t="s">
        <v>15</v>
      </c>
      <c r="F20" s="155"/>
      <c r="G20" s="160" t="s">
        <v>212</v>
      </c>
      <c r="H20" s="160"/>
    </row>
    <row r="21" spans="1:8" ht="15" customHeight="1" x14ac:dyDescent="0.25">
      <c r="A21" s="155" t="s">
        <v>78</v>
      </c>
      <c r="B21" s="155"/>
      <c r="C21" s="155"/>
      <c r="D21" s="155"/>
      <c r="E21" s="121" t="s">
        <v>16</v>
      </c>
      <c r="F21" s="121"/>
      <c r="G21" s="121"/>
      <c r="H21" s="121"/>
    </row>
    <row r="22" spans="1:8" ht="18.75" customHeight="1" x14ac:dyDescent="0.25">
      <c r="A22" s="155"/>
      <c r="B22" s="155"/>
      <c r="C22" s="155"/>
      <c r="D22" s="155"/>
      <c r="E22" s="121"/>
      <c r="F22" s="121"/>
      <c r="G22" s="121"/>
      <c r="H22" s="121"/>
    </row>
    <row r="23" spans="1:8" ht="15" customHeight="1" x14ac:dyDescent="0.25">
      <c r="A23" s="155" t="s">
        <v>17</v>
      </c>
      <c r="B23" s="155"/>
      <c r="C23" s="155"/>
      <c r="D23" s="155"/>
      <c r="E23" s="120" t="s">
        <v>18</v>
      </c>
      <c r="F23" s="120"/>
      <c r="G23" s="120"/>
      <c r="H23" s="120"/>
    </row>
    <row r="24" spans="1:8" ht="15" customHeight="1" x14ac:dyDescent="0.25">
      <c r="A24" s="77" t="s">
        <v>19</v>
      </c>
      <c r="B24" s="77"/>
      <c r="C24" s="77"/>
      <c r="D24" s="77"/>
      <c r="E24" s="120" t="str">
        <f>IF(AND(G18="Mumbai"),"Upper Class","Middle Class")</f>
        <v>Middle Class</v>
      </c>
      <c r="F24" s="120"/>
      <c r="G24" s="120"/>
      <c r="H24" s="120"/>
    </row>
    <row r="25" spans="1:8" x14ac:dyDescent="0.25">
      <c r="A25" s="77" t="s">
        <v>20</v>
      </c>
      <c r="B25" s="77"/>
      <c r="C25" s="77"/>
      <c r="D25" s="77"/>
      <c r="E25" s="120" t="s">
        <v>21</v>
      </c>
      <c r="F25" s="120"/>
      <c r="G25" s="120"/>
      <c r="H25" s="120"/>
    </row>
    <row r="26" spans="1:8" ht="15.75" customHeight="1" x14ac:dyDescent="0.25">
      <c r="A26" s="77" t="s">
        <v>22</v>
      </c>
      <c r="B26" s="77"/>
      <c r="C26" s="77"/>
      <c r="D26" s="77"/>
      <c r="E26" s="120" t="str">
        <f>IF(AND(G18="Mumbai"),"Developed","Developing")</f>
        <v>Developing</v>
      </c>
      <c r="F26" s="120"/>
      <c r="G26" s="120"/>
      <c r="H26" s="120"/>
    </row>
    <row r="27" spans="1:8" x14ac:dyDescent="0.25">
      <c r="A27" s="77" t="s">
        <v>23</v>
      </c>
      <c r="B27" s="77"/>
      <c r="C27" s="77"/>
      <c r="D27" s="77"/>
      <c r="E27" s="120" t="s">
        <v>24</v>
      </c>
      <c r="F27" s="120"/>
      <c r="G27" s="120"/>
      <c r="H27" s="120"/>
    </row>
    <row r="28" spans="1:8" ht="15.75" customHeight="1" x14ac:dyDescent="0.25">
      <c r="A28" s="77" t="s">
        <v>83</v>
      </c>
      <c r="B28" s="77"/>
      <c r="C28" s="77"/>
      <c r="D28" s="77"/>
      <c r="E28" s="120" t="s">
        <v>84</v>
      </c>
      <c r="F28" s="120"/>
      <c r="G28" s="120"/>
      <c r="H28" s="120"/>
    </row>
    <row r="29" spans="1:8" ht="15" customHeight="1" x14ac:dyDescent="0.25">
      <c r="A29" s="77" t="s">
        <v>33</v>
      </c>
      <c r="B29" s="77"/>
      <c r="C29" s="77"/>
      <c r="D29" s="77"/>
      <c r="E29" s="12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0"/>
      <c r="G29" s="120"/>
      <c r="H29" s="120"/>
    </row>
    <row r="30" spans="1:8" ht="15.75" customHeight="1" x14ac:dyDescent="0.25">
      <c r="A30" s="77" t="s">
        <v>95</v>
      </c>
      <c r="B30" s="77"/>
      <c r="C30" s="77"/>
      <c r="D30" s="77"/>
      <c r="E30" s="120" t="s">
        <v>34</v>
      </c>
      <c r="F30" s="120"/>
      <c r="G30" s="120"/>
      <c r="H30" s="120"/>
    </row>
    <row r="31" spans="1:8" s="22" customFormat="1" x14ac:dyDescent="0.25">
      <c r="A31" s="166" t="s">
        <v>96</v>
      </c>
      <c r="B31" s="166"/>
      <c r="C31" s="165" t="s">
        <v>29</v>
      </c>
      <c r="D31" s="165"/>
      <c r="E31" s="165"/>
      <c r="F31" s="165" t="s">
        <v>31</v>
      </c>
      <c r="G31" s="165"/>
      <c r="H31" s="165"/>
    </row>
    <row r="32" spans="1:8" s="22" customFormat="1" x14ac:dyDescent="0.25">
      <c r="A32" s="163" t="s">
        <v>25</v>
      </c>
      <c r="B32" s="163" t="s">
        <v>30</v>
      </c>
      <c r="C32" s="164" t="s">
        <v>30</v>
      </c>
      <c r="D32" s="164"/>
      <c r="E32" s="164"/>
      <c r="F32" s="164" t="s">
        <v>216</v>
      </c>
      <c r="G32" s="164"/>
      <c r="H32" s="164"/>
    </row>
    <row r="33" spans="1:8" x14ac:dyDescent="0.25">
      <c r="A33" s="163" t="s">
        <v>26</v>
      </c>
      <c r="B33" s="163" t="s">
        <v>30</v>
      </c>
      <c r="C33" s="164" t="s">
        <v>30</v>
      </c>
      <c r="D33" s="164"/>
      <c r="E33" s="164"/>
      <c r="F33" s="164" t="s">
        <v>215</v>
      </c>
      <c r="G33" s="164"/>
      <c r="H33" s="164"/>
    </row>
    <row r="34" spans="1:8" s="22" customFormat="1" x14ac:dyDescent="0.25">
      <c r="A34" s="163" t="s">
        <v>28</v>
      </c>
      <c r="B34" s="163" t="s">
        <v>30</v>
      </c>
      <c r="C34" s="164" t="s">
        <v>30</v>
      </c>
      <c r="D34" s="164"/>
      <c r="E34" s="164"/>
      <c r="F34" s="164" t="s">
        <v>192</v>
      </c>
      <c r="G34" s="164"/>
      <c r="H34" s="164"/>
    </row>
    <row r="35" spans="1:8" x14ac:dyDescent="0.25">
      <c r="A35" s="163" t="s">
        <v>27</v>
      </c>
      <c r="B35" s="163" t="s">
        <v>30</v>
      </c>
      <c r="C35" s="164" t="s">
        <v>30</v>
      </c>
      <c r="D35" s="164"/>
      <c r="E35" s="164"/>
      <c r="F35" s="164" t="s">
        <v>188</v>
      </c>
      <c r="G35" s="164"/>
      <c r="H35" s="164"/>
    </row>
    <row r="36" spans="1:8" x14ac:dyDescent="0.2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25">
      <c r="A37" s="152" t="s">
        <v>171</v>
      </c>
      <c r="B37" s="152"/>
      <c r="C37" s="77" t="s">
        <v>187</v>
      </c>
      <c r="D37" s="77"/>
      <c r="E37" s="77"/>
      <c r="F37" s="77"/>
      <c r="G37" s="77"/>
      <c r="H37" s="77"/>
    </row>
    <row r="38" spans="1:8" x14ac:dyDescent="0.25">
      <c r="A38" s="152" t="s">
        <v>168</v>
      </c>
      <c r="B38" s="152"/>
      <c r="C38" s="186" t="s">
        <v>189</v>
      </c>
      <c r="D38" s="120"/>
      <c r="E38" s="120"/>
      <c r="F38" s="120"/>
      <c r="G38" s="120"/>
      <c r="H38" s="120"/>
    </row>
    <row r="39" spans="1:8" x14ac:dyDescent="0.25">
      <c r="A39" s="152" t="s">
        <v>35</v>
      </c>
      <c r="B39" s="152"/>
      <c r="C39" s="152"/>
      <c r="D39" s="152"/>
      <c r="E39" s="152"/>
      <c r="F39" s="152"/>
      <c r="G39" s="152"/>
      <c r="H39" s="152"/>
    </row>
    <row r="40" spans="1:8" x14ac:dyDescent="0.25">
      <c r="A40" s="77" t="s">
        <v>36</v>
      </c>
      <c r="B40" s="77"/>
      <c r="C40" s="77"/>
      <c r="D40" s="77"/>
      <c r="E40" s="181">
        <v>2629.05</v>
      </c>
      <c r="F40" s="181"/>
      <c r="G40" s="181"/>
      <c r="H40" s="181"/>
    </row>
    <row r="41" spans="1:8" x14ac:dyDescent="0.25">
      <c r="A41" s="77" t="s">
        <v>37</v>
      </c>
      <c r="B41" s="77"/>
      <c r="C41" s="77"/>
      <c r="D41" s="77"/>
      <c r="E41" s="76">
        <v>1.5</v>
      </c>
      <c r="F41" s="76"/>
      <c r="G41" s="76"/>
      <c r="H41" s="76"/>
    </row>
    <row r="42" spans="1:8" x14ac:dyDescent="0.25">
      <c r="A42" s="77" t="s">
        <v>38</v>
      </c>
      <c r="B42" s="77"/>
      <c r="C42" s="77"/>
      <c r="D42" s="77"/>
      <c r="E42" s="76">
        <f>E44/E40-E41</f>
        <v>3.7938985565128087</v>
      </c>
      <c r="F42" s="76"/>
      <c r="G42" s="76"/>
      <c r="H42" s="76"/>
    </row>
    <row r="43" spans="1:8" x14ac:dyDescent="0.25">
      <c r="A43" s="77" t="s">
        <v>39</v>
      </c>
      <c r="B43" s="77"/>
      <c r="C43" s="77"/>
      <c r="D43" s="77"/>
      <c r="E43" s="76">
        <f>E41+E42</f>
        <v>5.2938985565128087</v>
      </c>
      <c r="F43" s="76"/>
      <c r="G43" s="76"/>
      <c r="H43" s="76"/>
    </row>
    <row r="44" spans="1:8" x14ac:dyDescent="0.25">
      <c r="A44" s="77" t="s">
        <v>94</v>
      </c>
      <c r="B44" s="77"/>
      <c r="C44" s="77"/>
      <c r="D44" s="77"/>
      <c r="E44" s="177">
        <v>13917.924000000001</v>
      </c>
      <c r="F44" s="177"/>
      <c r="G44" s="177"/>
      <c r="H44" s="177"/>
    </row>
    <row r="45" spans="1:8" x14ac:dyDescent="0.25">
      <c r="A45" s="121" t="s">
        <v>40</v>
      </c>
      <c r="B45" s="121"/>
      <c r="C45" s="121"/>
      <c r="D45" s="121"/>
      <c r="E45" s="159" t="s">
        <v>214</v>
      </c>
      <c r="F45" s="159"/>
      <c r="G45" s="159"/>
      <c r="H45" s="159"/>
    </row>
    <row r="46" spans="1:8" x14ac:dyDescent="0.25">
      <c r="A46" s="152" t="s">
        <v>41</v>
      </c>
      <c r="B46" s="152"/>
      <c r="C46" s="152"/>
      <c r="D46" s="152"/>
      <c r="E46" s="152"/>
      <c r="F46" s="152"/>
      <c r="G46" s="152"/>
      <c r="H46" s="152"/>
    </row>
    <row r="47" spans="1:8" ht="33.75" customHeight="1" x14ac:dyDescent="0.25">
      <c r="A47" s="85" t="s">
        <v>155</v>
      </c>
      <c r="B47" s="86"/>
      <c r="C47" s="187" t="s">
        <v>182</v>
      </c>
      <c r="D47" s="188"/>
      <c r="E47" s="188"/>
      <c r="F47" s="188"/>
      <c r="G47" s="188"/>
      <c r="H47" s="189"/>
    </row>
    <row r="48" spans="1:8" ht="15.75" customHeight="1" x14ac:dyDescent="0.25">
      <c r="A48" s="85" t="s">
        <v>42</v>
      </c>
      <c r="B48" s="86"/>
      <c r="C48" s="85" t="s">
        <v>221</v>
      </c>
      <c r="D48" s="87"/>
      <c r="E48" s="86"/>
      <c r="F48" s="18" t="s">
        <v>43</v>
      </c>
      <c r="G48" s="88">
        <v>44967</v>
      </c>
      <c r="H48" s="86"/>
    </row>
    <row r="49" spans="1:14" x14ac:dyDescent="0.25">
      <c r="A49" s="85" t="s">
        <v>44</v>
      </c>
      <c r="B49" s="86"/>
      <c r="C49" s="85" t="str">
        <f>C48</f>
        <v>NRV/A/525</v>
      </c>
      <c r="D49" s="87"/>
      <c r="E49" s="86"/>
      <c r="F49" s="18" t="s">
        <v>43</v>
      </c>
      <c r="G49" s="88">
        <f>G48</f>
        <v>44967</v>
      </c>
      <c r="H49" s="86"/>
    </row>
    <row r="50" spans="1:14" s="23" customFormat="1" ht="15.75" customHeight="1" x14ac:dyDescent="0.25">
      <c r="A50" s="182" t="s">
        <v>159</v>
      </c>
      <c r="B50" s="183"/>
      <c r="C50" s="85" t="s">
        <v>183</v>
      </c>
      <c r="D50" s="87"/>
      <c r="E50" s="86"/>
      <c r="F50" s="18" t="s">
        <v>43</v>
      </c>
      <c r="G50" s="88">
        <v>44967</v>
      </c>
      <c r="H50" s="86"/>
    </row>
    <row r="51" spans="1:14" s="23" customFormat="1" x14ac:dyDescent="0.25">
      <c r="A51" s="184"/>
      <c r="B51" s="185"/>
      <c r="C51" s="85" t="s">
        <v>226</v>
      </c>
      <c r="D51" s="87"/>
      <c r="E51" s="87"/>
      <c r="F51" s="87"/>
      <c r="G51" s="87"/>
      <c r="H51" s="86"/>
    </row>
    <row r="52" spans="1:14" x14ac:dyDescent="0.25">
      <c r="A52" s="95" t="s">
        <v>45</v>
      </c>
      <c r="B52" s="96"/>
      <c r="C52" s="95" t="s">
        <v>108</v>
      </c>
      <c r="D52" s="97"/>
      <c r="E52" s="96"/>
      <c r="F52" s="45" t="s">
        <v>43</v>
      </c>
      <c r="G52" s="122" t="s">
        <v>30</v>
      </c>
      <c r="H52" s="123"/>
    </row>
    <row r="53" spans="1:14" x14ac:dyDescent="0.25">
      <c r="A53" s="190" t="s">
        <v>47</v>
      </c>
      <c r="B53" s="190"/>
      <c r="C53" s="190"/>
      <c r="D53" s="190"/>
      <c r="E53" s="190"/>
      <c r="F53" s="190"/>
      <c r="G53" s="190"/>
      <c r="H53" s="190"/>
    </row>
    <row r="54" spans="1:14" x14ac:dyDescent="0.25">
      <c r="A54" s="155" t="s">
        <v>93</v>
      </c>
      <c r="B54" s="155"/>
      <c r="C54" s="155"/>
      <c r="D54" s="77">
        <f>E44</f>
        <v>13917.924000000001</v>
      </c>
      <c r="E54" s="77"/>
      <c r="F54" s="77"/>
      <c r="G54" s="77"/>
      <c r="H54" s="77"/>
    </row>
    <row r="55" spans="1:14" x14ac:dyDescent="0.25">
      <c r="A55" s="120" t="s">
        <v>48</v>
      </c>
      <c r="B55" s="121"/>
      <c r="C55" s="121"/>
      <c r="D55" s="121" t="s">
        <v>228</v>
      </c>
      <c r="E55" s="121"/>
      <c r="F55" s="121"/>
      <c r="G55" s="121"/>
      <c r="H55" s="121"/>
      <c r="I55" s="24"/>
    </row>
    <row r="56" spans="1:14" x14ac:dyDescent="0.25">
      <c r="A56" s="124" t="s">
        <v>49</v>
      </c>
      <c r="B56" s="125"/>
      <c r="C56" s="180"/>
      <c r="D56" s="178" t="s">
        <v>226</v>
      </c>
      <c r="E56" s="179"/>
      <c r="F56" s="179"/>
      <c r="G56" s="179"/>
      <c r="H56" s="179"/>
    </row>
    <row r="57" spans="1:14" ht="15.75" customHeight="1" x14ac:dyDescent="0.25">
      <c r="A57" s="124" t="s">
        <v>91</v>
      </c>
      <c r="B57" s="125"/>
      <c r="C57" s="125"/>
      <c r="D57" s="89" t="s">
        <v>226</v>
      </c>
      <c r="E57" s="90"/>
      <c r="F57" s="90"/>
      <c r="G57" s="90"/>
      <c r="H57" s="91"/>
    </row>
    <row r="58" spans="1:14" ht="15.75" hidden="1" customHeight="1" x14ac:dyDescent="0.25">
      <c r="A58" s="126"/>
      <c r="B58" s="127"/>
      <c r="C58" s="127"/>
      <c r="D58" s="92" t="s">
        <v>227</v>
      </c>
      <c r="E58" s="93"/>
      <c r="F58" s="93"/>
      <c r="G58" s="93"/>
      <c r="H58" s="94"/>
    </row>
    <row r="59" spans="1:14" ht="15.75" customHeight="1" x14ac:dyDescent="0.25">
      <c r="A59" s="77" t="s">
        <v>46</v>
      </c>
      <c r="B59" s="77"/>
      <c r="C59" s="77"/>
      <c r="D59" s="155" t="s">
        <v>184</v>
      </c>
      <c r="E59" s="155"/>
      <c r="F59" s="155"/>
      <c r="G59" s="155"/>
      <c r="H59" s="155"/>
      <c r="J59" s="25"/>
      <c r="K59" s="24"/>
      <c r="N59" s="24"/>
    </row>
    <row r="60" spans="1:14" ht="15.75" customHeight="1" x14ac:dyDescent="0.25">
      <c r="A60" s="77" t="s">
        <v>89</v>
      </c>
      <c r="B60" s="77"/>
      <c r="C60" s="77"/>
      <c r="D60" s="176" t="str">
        <f>(IF(G52="NA","60 Years After Completion",IF(G52&lt;&gt;"NA",""&amp;60-ROUNDDOWN((E3-G52)/360,0)&amp;" Years"," ")))</f>
        <v>60 Years After Completion</v>
      </c>
      <c r="E60" s="176"/>
      <c r="F60" s="176"/>
      <c r="G60" s="176"/>
      <c r="H60" s="176"/>
      <c r="N60" s="24"/>
    </row>
    <row r="61" spans="1:14" ht="15.75" customHeight="1" x14ac:dyDescent="0.25">
      <c r="A61" s="77" t="s">
        <v>90</v>
      </c>
      <c r="B61" s="77"/>
      <c r="C61" s="77"/>
      <c r="D61" s="155" t="s">
        <v>24</v>
      </c>
      <c r="E61" s="155"/>
      <c r="F61" s="155"/>
      <c r="G61" s="155"/>
      <c r="H61" s="155"/>
      <c r="J61" s="26"/>
      <c r="K61" s="26"/>
    </row>
    <row r="62" spans="1:14" ht="51" customHeight="1" x14ac:dyDescent="0.25">
      <c r="A62" s="77" t="s">
        <v>76</v>
      </c>
      <c r="B62" s="77"/>
      <c r="C62" s="77"/>
      <c r="D62" s="120" t="s">
        <v>217</v>
      </c>
      <c r="E62" s="155"/>
      <c r="F62" s="155"/>
      <c r="G62" s="155"/>
      <c r="H62" s="155"/>
    </row>
    <row r="63" spans="1:14" x14ac:dyDescent="0.25">
      <c r="A63" s="155" t="s">
        <v>152</v>
      </c>
      <c r="B63" s="155"/>
      <c r="C63" s="155"/>
      <c r="D63" s="155" t="s">
        <v>30</v>
      </c>
      <c r="E63" s="155"/>
      <c r="F63" s="155"/>
      <c r="G63" s="155"/>
      <c r="H63" s="155"/>
      <c r="I63" s="27"/>
      <c r="J63" s="27"/>
      <c r="K63" s="27"/>
      <c r="L63" s="27"/>
      <c r="M63" s="27"/>
      <c r="N63" s="27"/>
    </row>
    <row r="64" spans="1:14" ht="15.75" customHeight="1" x14ac:dyDescent="0.25">
      <c r="A64" s="156" t="s">
        <v>88</v>
      </c>
      <c r="B64" s="156"/>
      <c r="C64" s="156"/>
      <c r="D64" s="154" t="str">
        <f ca="1">(IF(G70&gt;95%,"Nothing",IF(G70&gt;0%,"Cement, Aggregate, Steel, etc",IF(G70=0%,"Work not yet Started"))))</f>
        <v>Cement, Aggregate, Steel, etc</v>
      </c>
      <c r="E64" s="154"/>
      <c r="F64" s="154"/>
      <c r="G64" s="154"/>
      <c r="H64" s="154"/>
      <c r="J64" s="26"/>
    </row>
    <row r="65" spans="1:11" ht="33.75" customHeight="1" thickBot="1" x14ac:dyDescent="0.3">
      <c r="A65" s="153" t="s">
        <v>121</v>
      </c>
      <c r="B65" s="153"/>
      <c r="C65" s="153"/>
      <c r="D65" s="154" t="str">
        <f ca="1">(IF(D64="Nothing","Yes",IF(D64="Cement, Aggregate, Steel, etc","Under Construction",IF(D64="Work not yet Started","Work not yet Started"))))</f>
        <v>Under Construction</v>
      </c>
      <c r="E65" s="154"/>
      <c r="F65" s="154" t="str">
        <f ca="1">(IF(D64="Nothing","Yes",IF(D64="Cement, Aggregate, Steel, etc","Under Construction",IF(D64="Work not yet Started","Work not yet Started"))))</f>
        <v>Under Construction</v>
      </c>
      <c r="G65" s="154"/>
      <c r="H65" s="154"/>
    </row>
    <row r="66" spans="1:11" ht="15.75" customHeight="1" x14ac:dyDescent="0.25">
      <c r="A66" s="78" t="s">
        <v>144</v>
      </c>
      <c r="B66" s="79"/>
      <c r="C66" s="80" t="str">
        <f>D57</f>
        <v>A &amp; B Wing = 3B + Gr. + 1st to 14th Floor</v>
      </c>
      <c r="D66" s="81"/>
      <c r="E66" s="81"/>
      <c r="F66" s="81"/>
      <c r="G66" s="81"/>
      <c r="H66" s="82"/>
      <c r="I66" s="49" t="str">
        <f ca="1">IF(D79=100%,"All work Completed. Possession granted to the Building.",IF(D78=100%,"All work Completed, Waiting for OC",I67&amp;""&amp;I68&amp;""&amp;J67&amp;""&amp;J66&amp;" "&amp;J68))</f>
        <v>Excavation, Plinth Completed, RCC upto 13 Slab, Brickwork upto 11 Floor, Internal Plaster upto 10 Floor, External Plaster upto 3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13 Slab, Brickwork upto 11 Floor, Internal Plaster upto 10 Floor, External Plaster upto 3 Floor</v>
      </c>
    </row>
    <row r="67" spans="1:11" x14ac:dyDescent="0.25">
      <c r="A67" s="16" t="s">
        <v>146</v>
      </c>
      <c r="B67" s="53">
        <f>IF(AND(ISNUMBER(SEARCH("1B",C66))),1,IF(AND(ISNUMBER(SEARCH("2B",C66))),2,IF(AND(ISNUMBER(SEARCH("3B",C66))),3,IF(AND(ISNUMBER(SEARCH("4B",C66))),4,IF(ISNUMBER(SEARCH("5B",C66)),5,0)))))</f>
        <v>3</v>
      </c>
      <c r="C67" s="47" t="s">
        <v>73</v>
      </c>
      <c r="D67" s="47">
        <v>1</v>
      </c>
      <c r="E67" s="47" t="s">
        <v>72</v>
      </c>
      <c r="F67" s="59">
        <v>0</v>
      </c>
      <c r="G67" s="48" t="s">
        <v>82</v>
      </c>
      <c r="H67" s="17">
        <f ca="1">--TRIM(RIGHT(SUBSTITUTE(LEFT(C66,_xlfn.AGGREGATE(16,6,FIND({0,1,2,3,4,5,6,7,8,9},C66,ROW(INDIRECT("1:"&amp;LEN(C66)))),1))," ",REPT(" ",LEN(C66))),LEN(C66)))</f>
        <v>14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33" customHeight="1" x14ac:dyDescent="0.25">
      <c r="A68" s="131" t="s">
        <v>92</v>
      </c>
      <c r="B68" s="132"/>
      <c r="C68" s="133" t="str">
        <f ca="1">I66</f>
        <v>Excavation, Plinth Completed, RCC upto 13 Slab, Brickwork upto 11 Floor, Internal Plaster upto 10 Floor, External Plaster upto 3 Floor Completed</v>
      </c>
      <c r="D68" s="133"/>
      <c r="E68" s="133"/>
      <c r="F68" s="133"/>
      <c r="G68" s="133"/>
      <c r="H68" s="134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1" ht="15.75" customHeight="1" x14ac:dyDescent="0.25">
      <c r="A69" s="83" t="s">
        <v>50</v>
      </c>
      <c r="B69" s="84"/>
      <c r="C69" s="43" t="s">
        <v>143</v>
      </c>
      <c r="D69" s="43" t="s">
        <v>85</v>
      </c>
      <c r="E69" s="84" t="s">
        <v>87</v>
      </c>
      <c r="F69" s="84"/>
      <c r="G69" s="84" t="s">
        <v>86</v>
      </c>
      <c r="H69" s="135"/>
      <c r="I69" s="14" t="s">
        <v>145</v>
      </c>
      <c r="J69" s="28">
        <f ca="1">H67*25%</f>
        <v>3.5</v>
      </c>
    </row>
    <row r="70" spans="1:11" x14ac:dyDescent="0.25">
      <c r="A70" s="83" t="s">
        <v>132</v>
      </c>
      <c r="B70" s="84"/>
      <c r="C70" s="43">
        <f ca="1">J71</f>
        <v>14</v>
      </c>
      <c r="D70" s="19">
        <f ca="1">((100/H67)*C70)/100</f>
        <v>1</v>
      </c>
      <c r="E70" s="167">
        <f ca="1">(((C71/H67*10)+(40/(D67+F67+H67)*C72)+(7.5/(H67)*C73)+(7.5/(H67)*C74)+(10/H67*C75)+(10/H67*C76)+(5/H67*C77)+(5/H67*C78)+(5/H67*C79))/100)</f>
        <v>0.58059523809523805</v>
      </c>
      <c r="F70" s="168"/>
      <c r="G70" s="167">
        <f ca="1">((((C70/H67)*20)+((C71/H67)*25)+(30/(H67+F67+D67)*C72)+(5/H67*C73)+(5/H67*C74)+(5/H67*C75)+(5/H67*C76)+(0/H67*C77)+(0/H67*C78)+(5/H67*C79))/100)</f>
        <v>0.79571428571428571</v>
      </c>
      <c r="H70" s="173"/>
      <c r="I70" s="14" t="s">
        <v>103</v>
      </c>
      <c r="J70" s="29">
        <f ca="1">H67*50%</f>
        <v>7</v>
      </c>
    </row>
    <row r="71" spans="1:11" x14ac:dyDescent="0.25">
      <c r="A71" s="83" t="s">
        <v>51</v>
      </c>
      <c r="B71" s="84"/>
      <c r="C71" s="55">
        <v>14</v>
      </c>
      <c r="D71" s="19">
        <f ca="1">((100/H67)*C71)/100</f>
        <v>1</v>
      </c>
      <c r="E71" s="169"/>
      <c r="F71" s="170"/>
      <c r="G71" s="169"/>
      <c r="H71" s="174"/>
      <c r="I71" s="14" t="s">
        <v>104</v>
      </c>
      <c r="J71" s="29">
        <f ca="1">H67</f>
        <v>14</v>
      </c>
      <c r="K71" s="21">
        <f>15*0.15</f>
        <v>2.25</v>
      </c>
    </row>
    <row r="72" spans="1:11" ht="15.75" customHeight="1" x14ac:dyDescent="0.25">
      <c r="A72" s="83" t="s">
        <v>133</v>
      </c>
      <c r="B72" s="84"/>
      <c r="C72" s="43">
        <v>13</v>
      </c>
      <c r="D72" s="19">
        <f ca="1">((100/(D67+F67+H67))*C72)/100</f>
        <v>0.8666666666666667</v>
      </c>
      <c r="E72" s="169"/>
      <c r="F72" s="170"/>
      <c r="G72" s="169"/>
      <c r="H72" s="174"/>
      <c r="I72" s="14" t="s">
        <v>105</v>
      </c>
      <c r="J72" s="30">
        <f ca="1">(IF(B67&gt;1,(H67/(B67+2)),H67/4))</f>
        <v>2.8</v>
      </c>
    </row>
    <row r="73" spans="1:11" ht="15.75" customHeight="1" x14ac:dyDescent="0.25">
      <c r="A73" s="83" t="s">
        <v>140</v>
      </c>
      <c r="B73" s="84" t="s">
        <v>134</v>
      </c>
      <c r="C73" s="43">
        <v>11</v>
      </c>
      <c r="D73" s="19">
        <f ca="1">((100/H67)*C73)/100</f>
        <v>0.7857142857142857</v>
      </c>
      <c r="E73" s="169"/>
      <c r="F73" s="170"/>
      <c r="G73" s="169"/>
      <c r="H73" s="174"/>
      <c r="I73" s="14" t="s">
        <v>106</v>
      </c>
      <c r="J73" s="30">
        <f ca="1">(IF(B67&gt;1,(H67/(B67+2)+J72),H67/4+J72))</f>
        <v>5.6</v>
      </c>
    </row>
    <row r="74" spans="1:11" ht="15.75" customHeight="1" x14ac:dyDescent="0.25">
      <c r="A74" s="83" t="s">
        <v>141</v>
      </c>
      <c r="B74" s="84" t="s">
        <v>134</v>
      </c>
      <c r="C74" s="43">
        <v>10</v>
      </c>
      <c r="D74" s="19">
        <f ca="1">((100/H67)*C74)/100</f>
        <v>0.7142857142857143</v>
      </c>
      <c r="E74" s="169"/>
      <c r="F74" s="170"/>
      <c r="G74" s="169"/>
      <c r="H74" s="174"/>
      <c r="I74" s="14" t="s">
        <v>150</v>
      </c>
      <c r="J74" s="30">
        <f ca="1">(IF(B67&gt;1,(H67/(B67+2)+J73),0))</f>
        <v>8.3999999999999986</v>
      </c>
    </row>
    <row r="75" spans="1:11" ht="15" customHeight="1" x14ac:dyDescent="0.25">
      <c r="A75" s="83" t="s">
        <v>139</v>
      </c>
      <c r="B75" s="84" t="s">
        <v>136</v>
      </c>
      <c r="C75" s="43">
        <v>3</v>
      </c>
      <c r="D75" s="19">
        <f ca="1">((100/(H67))*C75)/100</f>
        <v>0.2142857142857143</v>
      </c>
      <c r="E75" s="169"/>
      <c r="F75" s="170"/>
      <c r="G75" s="169"/>
      <c r="H75" s="174"/>
      <c r="I75" s="14" t="s">
        <v>147</v>
      </c>
      <c r="J75" s="30">
        <f ca="1">(IF(B67&gt;2,(H67/(B67+2)+J74),0))</f>
        <v>11.2</v>
      </c>
    </row>
    <row r="76" spans="1:11" ht="15.75" customHeight="1" x14ac:dyDescent="0.25">
      <c r="A76" s="83" t="s">
        <v>135</v>
      </c>
      <c r="B76" s="84" t="s">
        <v>135</v>
      </c>
      <c r="C76" s="43">
        <v>0</v>
      </c>
      <c r="D76" s="19">
        <f ca="1">((100/H67)*C76)/100</f>
        <v>0</v>
      </c>
      <c r="E76" s="169"/>
      <c r="F76" s="170"/>
      <c r="G76" s="169"/>
      <c r="H76" s="174"/>
      <c r="I76" s="14" t="s">
        <v>148</v>
      </c>
      <c r="J76" s="31">
        <f>(IF(B67&gt;3,(H67/(B67+2)+J75),0))</f>
        <v>0</v>
      </c>
    </row>
    <row r="77" spans="1:11" ht="15.75" customHeight="1" x14ac:dyDescent="0.25">
      <c r="A77" s="83" t="s">
        <v>142</v>
      </c>
      <c r="B77" s="84"/>
      <c r="C77" s="43">
        <v>0</v>
      </c>
      <c r="D77" s="19">
        <f ca="1">((100/H67)*C77)/100</f>
        <v>0</v>
      </c>
      <c r="E77" s="169"/>
      <c r="F77" s="170"/>
      <c r="G77" s="169"/>
      <c r="H77" s="174"/>
      <c r="I77" s="14" t="s">
        <v>149</v>
      </c>
      <c r="J77" s="30">
        <f>(IF(B67&gt;4,(H67/(B67+2)+J76),0))</f>
        <v>0</v>
      </c>
    </row>
    <row r="78" spans="1:11" ht="15.75" customHeight="1" x14ac:dyDescent="0.25">
      <c r="A78" s="83" t="s">
        <v>137</v>
      </c>
      <c r="B78" s="84" t="s">
        <v>137</v>
      </c>
      <c r="C78" s="43">
        <v>0</v>
      </c>
      <c r="D78" s="19">
        <f ca="1">((100/(H67))*C78)/100</f>
        <v>0</v>
      </c>
      <c r="E78" s="169"/>
      <c r="F78" s="170"/>
      <c r="G78" s="169"/>
      <c r="H78" s="174"/>
      <c r="I78" s="14" t="s">
        <v>151</v>
      </c>
      <c r="J78" s="30">
        <f>(IF(B67=1,(H67/(B67+3)+J73),IF(B67=0,(H67/4+J73),IF(B67&gt;1,0))))</f>
        <v>0</v>
      </c>
    </row>
    <row r="79" spans="1:11" ht="16.5" thickBot="1" x14ac:dyDescent="0.3">
      <c r="A79" s="128" t="s">
        <v>138</v>
      </c>
      <c r="B79" s="129"/>
      <c r="C79" s="44">
        <v>0</v>
      </c>
      <c r="D79" s="20">
        <f ca="1">((100/(H67))*C79)/100</f>
        <v>0</v>
      </c>
      <c r="E79" s="171"/>
      <c r="F79" s="172"/>
      <c r="G79" s="171"/>
      <c r="H79" s="175"/>
      <c r="I79" s="15" t="s">
        <v>107</v>
      </c>
      <c r="J79" s="32">
        <f ca="1">(IF(B67&gt;1.5,(H67/(B67+2)+J73+MAX(0,J74-J73)+MAX(0,J75-J74)+MAX(0,J76-J75)+MAX(0,J77-J76)+MAX(0,J78-J77)),IF(B67=1,(H67/(B67+3)+J78),IF(B67=0,H67/4+J78))))</f>
        <v>13.999999999999998</v>
      </c>
    </row>
    <row r="80" spans="1:11" ht="15.75" hidden="1" customHeight="1" x14ac:dyDescent="0.25">
      <c r="A80" s="78" t="s">
        <v>144</v>
      </c>
      <c r="B80" s="79"/>
      <c r="C80" s="80" t="str">
        <f>D58</f>
        <v>B Wing = 3B + Gr. + 1st to 14th Floor</v>
      </c>
      <c r="D80" s="81"/>
      <c r="E80" s="81"/>
      <c r="F80" s="81"/>
      <c r="G80" s="81"/>
      <c r="H80" s="82"/>
      <c r="I80" s="49" t="str">
        <f ca="1">IF(D93=100%,"All work Completed. Possession granted to the Building.",IF(D92=100%,"All work Completed, Waiting for OC",I81&amp;""&amp;I82&amp;""&amp;J81&amp;""&amp;J80&amp;" "&amp;J82))</f>
        <v xml:space="preserve">Excavation, Plinth Completed </v>
      </c>
      <c r="J80" s="50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2" hidden="1" x14ac:dyDescent="0.25">
      <c r="A81" s="16" t="s">
        <v>146</v>
      </c>
      <c r="B81" s="54">
        <f>IF(AND(ISNUMBER(SEARCH("1B",C80))),1,IF(AND(ISNUMBER(SEARCH("2B",C80))),2,IF(AND(ISNUMBER(SEARCH("3B",C80))),3,IF(AND(ISNUMBER(SEARCH("4B",C80))),4,IF(ISNUMBER(SEARCH("5B",C80)),5,0)))))</f>
        <v>3</v>
      </c>
      <c r="C81" s="47" t="s">
        <v>73</v>
      </c>
      <c r="D81" s="47">
        <v>1</v>
      </c>
      <c r="E81" s="47" t="s">
        <v>72</v>
      </c>
      <c r="F81" s="59">
        <v>0</v>
      </c>
      <c r="G81" s="48" t="s">
        <v>82</v>
      </c>
      <c r="H81" s="17">
        <f ca="1">--TRIM(RIGHT(SUBSTITUTE(LEFT(C80,_xlfn.AGGREGATE(16,6,FIND({0,1,2,3,4,5,6,7,8,9},C80,ROW(INDIRECT("1:"&amp;LEN(C80)))),1))," ",REPT(" ",LEN(C80))),LEN(C80)))</f>
        <v>14</v>
      </c>
      <c r="I81" s="51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2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t="16.5" hidden="1" customHeight="1" x14ac:dyDescent="0.25">
      <c r="A82" s="131" t="s">
        <v>92</v>
      </c>
      <c r="B82" s="132"/>
      <c r="C82" s="133" t="str">
        <f ca="1">(IF($G$52="NA",I80,"All work Completed. OC Received."))</f>
        <v xml:space="preserve">Excavation, Plinth Completed </v>
      </c>
      <c r="D82" s="133"/>
      <c r="E82" s="133"/>
      <c r="F82" s="133"/>
      <c r="G82" s="133"/>
      <c r="H82" s="134"/>
      <c r="I82" s="51" t="str">
        <f ca="1">IF(I81&lt;&gt;""," Completed","")</f>
        <v xml:space="preserve"> Completed</v>
      </c>
      <c r="J82" s="52" t="str">
        <f ca="1">IF(J80&lt;&gt;"","Completed","")</f>
        <v/>
      </c>
    </row>
    <row r="83" spans="1:12" ht="15.75" hidden="1" customHeight="1" x14ac:dyDescent="0.25">
      <c r="A83" s="83" t="s">
        <v>50</v>
      </c>
      <c r="B83" s="84"/>
      <c r="C83" s="43" t="s">
        <v>143</v>
      </c>
      <c r="D83" s="43" t="s">
        <v>85</v>
      </c>
      <c r="E83" s="84" t="s">
        <v>87</v>
      </c>
      <c r="F83" s="84"/>
      <c r="G83" s="84" t="s">
        <v>86</v>
      </c>
      <c r="H83" s="135"/>
      <c r="I83" s="14" t="s">
        <v>145</v>
      </c>
      <c r="J83" s="28">
        <f ca="1">H81*25%</f>
        <v>3.5</v>
      </c>
    </row>
    <row r="84" spans="1:12" hidden="1" x14ac:dyDescent="0.25">
      <c r="A84" s="83" t="s">
        <v>132</v>
      </c>
      <c r="B84" s="84"/>
      <c r="C84" s="43">
        <f ca="1">J85</f>
        <v>14</v>
      </c>
      <c r="D84" s="19">
        <f ca="1">((100/H81)*C84)/100</f>
        <v>1</v>
      </c>
      <c r="E84" s="167">
        <f ca="1">(((C85/H81*10)+(40/(D81+F81+H81)*C86)+(7.5/(H81)*C87)+(7.5/(H81)*C88)+(10/H81*C89)+(10/H81*C90)+(5/H81*C91)+(5/H81*C92)+(5/H81*C93))/100)</f>
        <v>0.1</v>
      </c>
      <c r="F84" s="168"/>
      <c r="G84" s="167">
        <f ca="1">((((C84/H81)*20)+((C85/H81)*25)+(30/(H81+F81+D81)*C86)+(5/H81*C87)+(5/H81*C88)+(5/H81*C89)+(5/H81*C90)+(0/H81*C91)+(0/H81*C92)+(5/H81*C93))/100)</f>
        <v>0.45</v>
      </c>
      <c r="H84" s="173"/>
      <c r="I84" s="14" t="s">
        <v>103</v>
      </c>
      <c r="J84" s="29">
        <f ca="1">H81*50%</f>
        <v>7</v>
      </c>
    </row>
    <row r="85" spans="1:12" hidden="1" x14ac:dyDescent="0.25">
      <c r="A85" s="83" t="s">
        <v>51</v>
      </c>
      <c r="B85" s="84"/>
      <c r="C85" s="55">
        <v>14</v>
      </c>
      <c r="D85" s="19">
        <f ca="1">((100/H81)*C85)/100</f>
        <v>1</v>
      </c>
      <c r="E85" s="169"/>
      <c r="F85" s="170"/>
      <c r="G85" s="169"/>
      <c r="H85" s="174"/>
      <c r="I85" s="14" t="s">
        <v>104</v>
      </c>
      <c r="J85" s="29">
        <f ca="1">H81</f>
        <v>14</v>
      </c>
    </row>
    <row r="86" spans="1:12" ht="15.75" hidden="1" customHeight="1" x14ac:dyDescent="0.25">
      <c r="A86" s="83" t="s">
        <v>133</v>
      </c>
      <c r="B86" s="84"/>
      <c r="C86" s="43">
        <v>0</v>
      </c>
      <c r="D86" s="19">
        <f ca="1">((100/(D81+F81+H81))*C86)/100</f>
        <v>0</v>
      </c>
      <c r="E86" s="169"/>
      <c r="F86" s="170"/>
      <c r="G86" s="169"/>
      <c r="H86" s="174"/>
      <c r="I86" s="14" t="s">
        <v>105</v>
      </c>
      <c r="J86" s="30">
        <f ca="1">(IF(B81&gt;1,(H81/(B81+2)),H81/4))</f>
        <v>2.8</v>
      </c>
    </row>
    <row r="87" spans="1:12" ht="15.75" hidden="1" customHeight="1" x14ac:dyDescent="0.25">
      <c r="A87" s="83" t="s">
        <v>140</v>
      </c>
      <c r="B87" s="84" t="s">
        <v>134</v>
      </c>
      <c r="C87" s="43">
        <v>0</v>
      </c>
      <c r="D87" s="19">
        <f ca="1">((100/H81)*C87)/100</f>
        <v>0</v>
      </c>
      <c r="E87" s="169"/>
      <c r="F87" s="170"/>
      <c r="G87" s="169"/>
      <c r="H87" s="174"/>
      <c r="I87" s="14" t="s">
        <v>106</v>
      </c>
      <c r="J87" s="30">
        <f ca="1">(IF(B81&gt;1,(H81/(B81+2)+J86),H81/4+J86))</f>
        <v>5.6</v>
      </c>
    </row>
    <row r="88" spans="1:12" ht="15.75" hidden="1" customHeight="1" x14ac:dyDescent="0.25">
      <c r="A88" s="83" t="s">
        <v>141</v>
      </c>
      <c r="B88" s="84" t="s">
        <v>134</v>
      </c>
      <c r="C88" s="43">
        <v>0</v>
      </c>
      <c r="D88" s="19">
        <f ca="1">((100/H81)*C88)/100</f>
        <v>0</v>
      </c>
      <c r="E88" s="169"/>
      <c r="F88" s="170"/>
      <c r="G88" s="169"/>
      <c r="H88" s="174"/>
      <c r="I88" s="14" t="s">
        <v>150</v>
      </c>
      <c r="J88" s="30">
        <f ca="1">(IF(B81&gt;1,(H81/(B81+2)+J87),0))</f>
        <v>8.3999999999999986</v>
      </c>
    </row>
    <row r="89" spans="1:12" ht="15" hidden="1" customHeight="1" x14ac:dyDescent="0.25">
      <c r="A89" s="83" t="s">
        <v>139</v>
      </c>
      <c r="B89" s="84" t="s">
        <v>136</v>
      </c>
      <c r="C89" s="43">
        <v>0</v>
      </c>
      <c r="D89" s="19">
        <f ca="1">((100/(H81))*C89)/100</f>
        <v>0</v>
      </c>
      <c r="E89" s="169"/>
      <c r="F89" s="170"/>
      <c r="G89" s="169"/>
      <c r="H89" s="174"/>
      <c r="I89" s="14" t="s">
        <v>147</v>
      </c>
      <c r="J89" s="30">
        <f ca="1">(IF(B81&gt;2,(H81/(B81+2)+J88),0))</f>
        <v>11.2</v>
      </c>
    </row>
    <row r="90" spans="1:12" ht="15.75" hidden="1" customHeight="1" x14ac:dyDescent="0.25">
      <c r="A90" s="83" t="s">
        <v>135</v>
      </c>
      <c r="B90" s="84" t="s">
        <v>135</v>
      </c>
      <c r="C90" s="43">
        <v>0</v>
      </c>
      <c r="D90" s="19">
        <f ca="1">((100/H81)*C90)/100</f>
        <v>0</v>
      </c>
      <c r="E90" s="169"/>
      <c r="F90" s="170"/>
      <c r="G90" s="169"/>
      <c r="H90" s="174"/>
      <c r="I90" s="14" t="s">
        <v>148</v>
      </c>
      <c r="J90" s="31">
        <f>(IF(B81&gt;3,(H81/(B81+2)+J89),0))</f>
        <v>0</v>
      </c>
    </row>
    <row r="91" spans="1:12" ht="15.75" hidden="1" customHeight="1" x14ac:dyDescent="0.25">
      <c r="A91" s="83" t="s">
        <v>142</v>
      </c>
      <c r="B91" s="84"/>
      <c r="C91" s="43">
        <v>0</v>
      </c>
      <c r="D91" s="19">
        <f ca="1">((100/H81)*C91)/100</f>
        <v>0</v>
      </c>
      <c r="E91" s="169"/>
      <c r="F91" s="170"/>
      <c r="G91" s="169"/>
      <c r="H91" s="174"/>
      <c r="I91" s="14" t="s">
        <v>149</v>
      </c>
      <c r="J91" s="30">
        <f>(IF(B81&gt;4,(H81/(B81+2)+J90),0))</f>
        <v>0</v>
      </c>
    </row>
    <row r="92" spans="1:12" ht="15.75" hidden="1" customHeight="1" x14ac:dyDescent="0.25">
      <c r="A92" s="83" t="s">
        <v>137</v>
      </c>
      <c r="B92" s="84" t="s">
        <v>137</v>
      </c>
      <c r="C92" s="43">
        <v>0</v>
      </c>
      <c r="D92" s="19">
        <f ca="1">((100/(H81))*C92)/100</f>
        <v>0</v>
      </c>
      <c r="E92" s="169"/>
      <c r="F92" s="170"/>
      <c r="G92" s="169"/>
      <c r="H92" s="174"/>
      <c r="I92" s="14" t="s">
        <v>151</v>
      </c>
      <c r="J92" s="30">
        <f>(IF(B81=1,(H81/(B81+3)+J87),IF(B81=0,(H81/4+J87),IF(B81&gt;1,0))))</f>
        <v>0</v>
      </c>
    </row>
    <row r="93" spans="1:12" ht="16.5" hidden="1" thickBot="1" x14ac:dyDescent="0.3">
      <c r="A93" s="128" t="s">
        <v>138</v>
      </c>
      <c r="B93" s="129"/>
      <c r="C93" s="44">
        <v>0</v>
      </c>
      <c r="D93" s="20">
        <f ca="1">((100/(H81))*C93)/100</f>
        <v>0</v>
      </c>
      <c r="E93" s="171"/>
      <c r="F93" s="172"/>
      <c r="G93" s="171"/>
      <c r="H93" s="175"/>
      <c r="I93" s="15" t="s">
        <v>107</v>
      </c>
      <c r="J93" s="32">
        <f ca="1">(IF(B81&gt;1.5,(H81/(B81+2)+J87+MAX(0,J88-J87)+MAX(0,J89-J88)+MAX(0,J90-J89)+MAX(0,J91-J90)+MAX(0,J92-J91)),IF(B81=1,(H81/(B81+3)+J92),IF(B81=0,H81/4+J92))))</f>
        <v>13.999999999999998</v>
      </c>
    </row>
    <row r="94" spans="1:12" x14ac:dyDescent="0.25">
      <c r="A94" s="196" t="s">
        <v>161</v>
      </c>
      <c r="B94" s="196"/>
      <c r="C94" s="196"/>
      <c r="D94" s="196"/>
      <c r="E94" s="196"/>
      <c r="F94" s="130" t="s">
        <v>166</v>
      </c>
      <c r="G94" s="130"/>
      <c r="H94" s="130"/>
    </row>
    <row r="95" spans="1:12" x14ac:dyDescent="0.25">
      <c r="A95" s="77" t="s">
        <v>164</v>
      </c>
      <c r="B95" s="77"/>
      <c r="C95" s="77"/>
      <c r="D95" s="77"/>
      <c r="E95" s="77"/>
      <c r="F95" s="106">
        <v>17300</v>
      </c>
      <c r="G95" s="106"/>
      <c r="H95" s="106"/>
      <c r="I95" s="21" t="s">
        <v>232</v>
      </c>
      <c r="J95" s="21" t="s">
        <v>233</v>
      </c>
      <c r="K95" s="25">
        <v>45237</v>
      </c>
      <c r="L95" s="21" t="s">
        <v>234</v>
      </c>
    </row>
    <row r="96" spans="1:12" x14ac:dyDescent="0.25">
      <c r="A96" s="77" t="s">
        <v>163</v>
      </c>
      <c r="B96" s="77"/>
      <c r="C96" s="77"/>
      <c r="D96" s="77"/>
      <c r="E96" s="77"/>
      <c r="F96" s="106">
        <v>20000</v>
      </c>
      <c r="G96" s="106"/>
      <c r="H96" s="106"/>
    </row>
    <row r="97" spans="1:8" hidden="1" x14ac:dyDescent="0.25">
      <c r="A97" s="77" t="s">
        <v>165</v>
      </c>
      <c r="B97" s="77"/>
      <c r="C97" s="77"/>
      <c r="D97" s="77"/>
      <c r="E97" s="77"/>
      <c r="F97" s="106"/>
      <c r="G97" s="106"/>
      <c r="H97" s="106"/>
    </row>
    <row r="98" spans="1:8" s="33" customFormat="1" hidden="1" x14ac:dyDescent="0.25">
      <c r="A98" s="77" t="s">
        <v>162</v>
      </c>
      <c r="B98" s="77"/>
      <c r="C98" s="77"/>
      <c r="D98" s="77"/>
      <c r="E98" s="77"/>
      <c r="F98" s="106"/>
      <c r="G98" s="106"/>
      <c r="H98" s="106"/>
    </row>
    <row r="99" spans="1:8" s="33" customFormat="1" hidden="1" x14ac:dyDescent="0.25">
      <c r="A99" s="77" t="s">
        <v>97</v>
      </c>
      <c r="B99" s="77"/>
      <c r="C99" s="77"/>
      <c r="D99" s="77"/>
      <c r="E99" s="77"/>
      <c r="F99" s="106"/>
      <c r="G99" s="106"/>
      <c r="H99" s="106"/>
    </row>
    <row r="100" spans="1:8" s="33" customFormat="1" hidden="1" x14ac:dyDescent="0.25">
      <c r="A100" s="77" t="s">
        <v>98</v>
      </c>
      <c r="B100" s="77"/>
      <c r="C100" s="77"/>
      <c r="D100" s="77"/>
      <c r="E100" s="77"/>
      <c r="F100" s="106"/>
      <c r="G100" s="106"/>
      <c r="H100" s="106"/>
    </row>
    <row r="101" spans="1:8" s="33" customFormat="1" hidden="1" x14ac:dyDescent="0.25">
      <c r="A101" s="77" t="s">
        <v>167</v>
      </c>
      <c r="B101" s="77"/>
      <c r="C101" s="77"/>
      <c r="D101" s="77"/>
      <c r="E101" s="77"/>
      <c r="F101" s="106"/>
      <c r="G101" s="106"/>
      <c r="H101" s="106"/>
    </row>
    <row r="102" spans="1:8" s="33" customFormat="1" hidden="1" x14ac:dyDescent="0.25">
      <c r="A102" s="77" t="s">
        <v>99</v>
      </c>
      <c r="B102" s="77"/>
      <c r="C102" s="77"/>
      <c r="D102" s="77"/>
      <c r="E102" s="77"/>
      <c r="F102" s="106"/>
      <c r="G102" s="106"/>
      <c r="H102" s="106"/>
    </row>
    <row r="103" spans="1:8" s="33" customFormat="1" hidden="1" x14ac:dyDescent="0.25">
      <c r="A103" s="77" t="s">
        <v>100</v>
      </c>
      <c r="B103" s="77"/>
      <c r="C103" s="77"/>
      <c r="D103" s="77"/>
      <c r="E103" s="77"/>
      <c r="F103" s="106"/>
      <c r="G103" s="106"/>
      <c r="H103" s="106"/>
    </row>
    <row r="104" spans="1:8" s="33" customFormat="1" hidden="1" x14ac:dyDescent="0.25">
      <c r="A104" s="77" t="s">
        <v>101</v>
      </c>
      <c r="B104" s="77"/>
      <c r="C104" s="77"/>
      <c r="D104" s="77"/>
      <c r="E104" s="77"/>
      <c r="F104" s="106"/>
      <c r="G104" s="106"/>
      <c r="H104" s="106"/>
    </row>
    <row r="105" spans="1:8" s="33" customFormat="1" hidden="1" x14ac:dyDescent="0.25">
      <c r="A105" s="77" t="s">
        <v>102</v>
      </c>
      <c r="B105" s="77"/>
      <c r="C105" s="77"/>
      <c r="D105" s="77"/>
      <c r="E105" s="77"/>
      <c r="F105" s="106"/>
      <c r="G105" s="106"/>
      <c r="H105" s="106"/>
    </row>
    <row r="106" spans="1:8" x14ac:dyDescent="0.25">
      <c r="A106" s="77" t="s">
        <v>52</v>
      </c>
      <c r="B106" s="77"/>
      <c r="C106" s="77"/>
      <c r="D106" s="77"/>
      <c r="E106" s="77"/>
      <c r="F106" s="106">
        <v>600000</v>
      </c>
      <c r="G106" s="106"/>
      <c r="H106" s="106"/>
    </row>
    <row r="107" spans="1:8" s="34" customFormat="1" x14ac:dyDescent="0.25">
      <c r="A107" s="152" t="s">
        <v>53</v>
      </c>
      <c r="B107" s="152"/>
      <c r="C107" s="152"/>
      <c r="D107" s="152"/>
      <c r="E107" s="152"/>
      <c r="F107" s="106">
        <f>F95*0.8</f>
        <v>13840</v>
      </c>
      <c r="G107" s="106"/>
      <c r="H107" s="106"/>
    </row>
    <row r="108" spans="1:8" s="35" customFormat="1" ht="15.75" customHeight="1" x14ac:dyDescent="0.25">
      <c r="A108" s="151" t="s">
        <v>77</v>
      </c>
      <c r="B108" s="151"/>
      <c r="C108" s="151"/>
      <c r="D108" s="151"/>
      <c r="E108" s="151"/>
      <c r="F108" s="151"/>
      <c r="G108" s="151"/>
      <c r="H108" s="151"/>
    </row>
    <row r="109" spans="1:8" s="35" customFormat="1" ht="15.75" customHeight="1" x14ac:dyDescent="0.25">
      <c r="A109" s="99" t="s">
        <v>54</v>
      </c>
      <c r="B109" s="99"/>
      <c r="C109" s="143" t="s">
        <v>80</v>
      </c>
      <c r="D109" s="143"/>
      <c r="E109" s="136" t="s">
        <v>55</v>
      </c>
      <c r="F109" s="136"/>
      <c r="G109" s="99" t="s">
        <v>56</v>
      </c>
      <c r="H109" s="99"/>
    </row>
    <row r="110" spans="1:8" s="35" customFormat="1" x14ac:dyDescent="0.25">
      <c r="A110" s="144" t="s">
        <v>208</v>
      </c>
      <c r="B110" s="144"/>
      <c r="C110" s="113">
        <f>COUNT(D125:D130)</f>
        <v>6</v>
      </c>
      <c r="D110" s="114"/>
      <c r="E110" s="107">
        <f>SUM(D125:D130)</f>
        <v>6355.7760239999998</v>
      </c>
      <c r="F110" s="108"/>
      <c r="G110" s="107">
        <f>SUM(F125:F130)</f>
        <v>9851.4528371999986</v>
      </c>
      <c r="H110" s="108"/>
    </row>
    <row r="111" spans="1:8" s="35" customFormat="1" x14ac:dyDescent="0.25">
      <c r="A111" s="151" t="s">
        <v>154</v>
      </c>
      <c r="B111" s="151"/>
      <c r="C111" s="193">
        <f>SUM(C110:D110)</f>
        <v>6</v>
      </c>
      <c r="D111" s="143"/>
      <c r="E111" s="194">
        <f>SUM(E110:F110)</f>
        <v>6355.7760239999998</v>
      </c>
      <c r="F111" s="136"/>
      <c r="G111" s="99">
        <f>SUM(G110:H110)</f>
        <v>9851.4528371999986</v>
      </c>
      <c r="H111" s="99"/>
    </row>
    <row r="112" spans="1:8" s="35" customFormat="1" x14ac:dyDescent="0.25">
      <c r="A112" s="151" t="s">
        <v>71</v>
      </c>
      <c r="B112" s="151"/>
      <c r="C112" s="151"/>
      <c r="D112" s="151"/>
      <c r="E112" s="151"/>
      <c r="F112" s="151"/>
      <c r="G112" s="151"/>
      <c r="H112" s="151"/>
    </row>
    <row r="113" spans="1:14" s="35" customFormat="1" ht="15.75" customHeight="1" x14ac:dyDescent="0.25">
      <c r="A113" s="99" t="s">
        <v>54</v>
      </c>
      <c r="B113" s="99"/>
      <c r="C113" s="143" t="s">
        <v>80</v>
      </c>
      <c r="D113" s="143"/>
      <c r="E113" s="136" t="s">
        <v>55</v>
      </c>
      <c r="F113" s="136"/>
      <c r="G113" s="99" t="s">
        <v>56</v>
      </c>
      <c r="H113" s="99"/>
    </row>
    <row r="114" spans="1:14" s="35" customFormat="1" x14ac:dyDescent="0.25">
      <c r="A114" s="144" t="s">
        <v>208</v>
      </c>
      <c r="B114" s="144"/>
      <c r="C114" s="113">
        <f>COUNT(D137:D140)+COUNT(D142:D145)*10+COUNT(D147:D150)*2</f>
        <v>52</v>
      </c>
      <c r="D114" s="113"/>
      <c r="E114" s="107">
        <f t="shared" ref="E114" si="0">SUM(D137:D140)+SUM(D142:D145)*10+SUM(D147:D150)*2</f>
        <v>56791.639007999984</v>
      </c>
      <c r="F114" s="107"/>
      <c r="G114" s="107">
        <f>SUM(F137:F140)+SUM(F142:F145)*10+SUM(F147:F150)*2</f>
        <v>85608.478917</v>
      </c>
      <c r="H114" s="107"/>
    </row>
    <row r="115" spans="1:14" s="35" customFormat="1" x14ac:dyDescent="0.25">
      <c r="A115" s="144" t="s">
        <v>209</v>
      </c>
      <c r="B115" s="144"/>
      <c r="C115" s="113">
        <f>COUNT(D157:D158)+COUNT(D160:D163)+COUNT(D165:D168)*10+COUNT(D170:D173)*2</f>
        <v>54</v>
      </c>
      <c r="D115" s="113"/>
      <c r="E115" s="107">
        <f>SUM(D157:D158)+SUM(D160:D163)+SUM(D165:D168)*10+SUM(D170:D173)*2</f>
        <v>59492.003687999983</v>
      </c>
      <c r="F115" s="107"/>
      <c r="G115" s="107">
        <f>SUM(F157:F158)+SUM(F160:F163)+SUM(F165:F168)*10+SUM(F170:F173)*2</f>
        <v>89615.835386999999</v>
      </c>
      <c r="H115" s="107"/>
    </row>
    <row r="116" spans="1:14" s="35" customFormat="1" ht="16.5" thickBot="1" x14ac:dyDescent="0.3">
      <c r="A116" s="198" t="s">
        <v>154</v>
      </c>
      <c r="B116" s="198"/>
      <c r="C116" s="115">
        <f t="shared" ref="C116:G116" si="1">SUM(C114:D115)</f>
        <v>106</v>
      </c>
      <c r="D116" s="116"/>
      <c r="E116" s="199">
        <f t="shared" si="1"/>
        <v>116283.64269599997</v>
      </c>
      <c r="F116" s="199"/>
      <c r="G116" s="197">
        <f t="shared" si="1"/>
        <v>175224.314304</v>
      </c>
      <c r="H116" s="197"/>
    </row>
    <row r="117" spans="1:14" s="35" customFormat="1" ht="16.5" thickBot="1" x14ac:dyDescent="0.3">
      <c r="A117" s="145" t="s">
        <v>172</v>
      </c>
      <c r="B117" s="146"/>
      <c r="C117" s="147">
        <f>C111+C116</f>
        <v>112</v>
      </c>
      <c r="D117" s="147"/>
      <c r="E117" s="148">
        <f>E111+E116</f>
        <v>122639.41871999997</v>
      </c>
      <c r="F117" s="148"/>
      <c r="G117" s="149">
        <f>G111+G116</f>
        <v>185075.76714119999</v>
      </c>
      <c r="H117" s="150"/>
    </row>
    <row r="118" spans="1:14" s="34" customFormat="1" x14ac:dyDescent="0.25">
      <c r="A118" s="130" t="s">
        <v>57</v>
      </c>
      <c r="B118" s="130"/>
      <c r="C118" s="130"/>
      <c r="D118" s="130"/>
      <c r="E118" s="130"/>
      <c r="F118" s="130"/>
      <c r="G118" s="130"/>
      <c r="H118" s="130"/>
    </row>
    <row r="119" spans="1:14" x14ac:dyDescent="0.25">
      <c r="A119" s="112" t="s">
        <v>58</v>
      </c>
      <c r="B119" s="112"/>
      <c r="C119" s="112"/>
      <c r="D119" s="112"/>
      <c r="E119" s="112"/>
      <c r="F119" s="112"/>
      <c r="G119" s="112"/>
      <c r="H119" s="112"/>
    </row>
    <row r="120" spans="1:14" ht="47.25" customHeight="1" x14ac:dyDescent="0.25">
      <c r="A120" s="100" t="s">
        <v>123</v>
      </c>
      <c r="B120" s="100" t="s">
        <v>122</v>
      </c>
      <c r="C120" s="100" t="s">
        <v>59</v>
      </c>
      <c r="D120" s="100" t="s">
        <v>60</v>
      </c>
      <c r="E120" s="191" t="s">
        <v>160</v>
      </c>
      <c r="F120" s="42" t="s">
        <v>153</v>
      </c>
      <c r="G120" s="102" t="s">
        <v>62</v>
      </c>
      <c r="H120" s="103"/>
    </row>
    <row r="121" spans="1:14" s="37" customFormat="1" x14ac:dyDescent="0.25">
      <c r="A121" s="101"/>
      <c r="B121" s="101"/>
      <c r="C121" s="101"/>
      <c r="D121" s="101"/>
      <c r="E121" s="192"/>
      <c r="F121" s="13">
        <v>0.55000000000000004</v>
      </c>
      <c r="G121" s="104"/>
      <c r="H121" s="105"/>
    </row>
    <row r="122" spans="1:14" s="57" customFormat="1" ht="17.25" customHeight="1" x14ac:dyDescent="0.25">
      <c r="A122" s="109" t="s">
        <v>193</v>
      </c>
      <c r="B122" s="110"/>
      <c r="C122" s="110"/>
      <c r="D122" s="110"/>
      <c r="E122" s="110"/>
      <c r="F122" s="110"/>
      <c r="G122" s="110"/>
      <c r="H122" s="111"/>
    </row>
    <row r="123" spans="1:14" s="64" customFormat="1" x14ac:dyDescent="0.25">
      <c r="A123" s="117" t="s">
        <v>231</v>
      </c>
      <c r="B123" s="118"/>
      <c r="C123" s="118"/>
      <c r="D123" s="118"/>
      <c r="E123" s="118"/>
      <c r="F123" s="118"/>
      <c r="G123" s="118"/>
      <c r="H123" s="119"/>
      <c r="J123" s="61">
        <v>10.763999999999999</v>
      </c>
    </row>
    <row r="124" spans="1:14" s="37" customFormat="1" x14ac:dyDescent="0.25">
      <c r="A124" s="117" t="s">
        <v>229</v>
      </c>
      <c r="B124" s="118"/>
      <c r="C124" s="118"/>
      <c r="D124" s="118"/>
      <c r="E124" s="118"/>
      <c r="F124" s="118"/>
      <c r="G124" s="118"/>
      <c r="H124" s="119"/>
      <c r="J124" s="61">
        <v>10.763999999999999</v>
      </c>
    </row>
    <row r="125" spans="1:14" s="37" customFormat="1" ht="65.25" customHeight="1" x14ac:dyDescent="0.25">
      <c r="A125" s="67">
        <v>1</v>
      </c>
      <c r="B125" s="68"/>
      <c r="C125" s="41" t="s">
        <v>230</v>
      </c>
      <c r="D125" s="61">
        <f>(90.938)*10.764</f>
        <v>978.85663199999999</v>
      </c>
      <c r="E125" s="41">
        <v>0</v>
      </c>
      <c r="F125" s="41">
        <f>(D125+E125)*(($F$121)+1)</f>
        <v>1517.2277796000001</v>
      </c>
      <c r="G125" s="70" t="str">
        <f>A124</f>
        <v>Ground Floor For Commercial Duplex With First Floor</v>
      </c>
      <c r="H125" s="71"/>
      <c r="I125" s="36"/>
      <c r="L125" s="66"/>
      <c r="M125" s="66"/>
      <c r="N125" s="61">
        <f>(90.938)*10.764</f>
        <v>978.85663199999999</v>
      </c>
    </row>
    <row r="126" spans="1:14" s="37" customFormat="1" ht="65.25" customHeight="1" x14ac:dyDescent="0.25">
      <c r="A126" s="67">
        <f t="shared" ref="A126:A130" si="2">A125+1</f>
        <v>2</v>
      </c>
      <c r="B126" s="68"/>
      <c r="C126" s="56" t="s">
        <v>230</v>
      </c>
      <c r="D126" s="61">
        <f>(101.752)*10.764</f>
        <v>1095.2585279999998</v>
      </c>
      <c r="E126" s="41">
        <v>0</v>
      </c>
      <c r="F126" s="41">
        <f t="shared" ref="F126:F128" si="3">(D126+E126)*(($F$121)+1)</f>
        <v>1697.6507183999997</v>
      </c>
      <c r="G126" s="72"/>
      <c r="H126" s="73"/>
      <c r="J126" s="37">
        <f>(3.25*14.7)*2+2.4*1.3</f>
        <v>98.67</v>
      </c>
      <c r="K126" s="37">
        <f>3.12*14.7*2</f>
        <v>91.727999999999994</v>
      </c>
      <c r="L126" s="66"/>
      <c r="M126" s="66"/>
      <c r="N126" s="61">
        <f>(101.752)*10.764</f>
        <v>1095.2585279999998</v>
      </c>
    </row>
    <row r="127" spans="1:14" s="37" customFormat="1" ht="65.25" customHeight="1" x14ac:dyDescent="0.25">
      <c r="A127" s="67">
        <f t="shared" si="2"/>
        <v>3</v>
      </c>
      <c r="B127" s="68"/>
      <c r="C127" s="56" t="s">
        <v>230</v>
      </c>
      <c r="D127" s="61">
        <f>(102.94)*10.764</f>
        <v>1108.0461599999999</v>
      </c>
      <c r="E127" s="41">
        <v>0</v>
      </c>
      <c r="F127" s="41">
        <f t="shared" si="3"/>
        <v>1717.4715479999998</v>
      </c>
      <c r="G127" s="72"/>
      <c r="H127" s="73"/>
      <c r="I127" s="36"/>
      <c r="L127" s="66">
        <f>50000000/F127</f>
        <v>29112.563790780194</v>
      </c>
      <c r="M127" s="66"/>
      <c r="N127" s="61">
        <f>(102.94)*10.764</f>
        <v>1108.0461599999999</v>
      </c>
    </row>
    <row r="128" spans="1:14" s="37" customFormat="1" ht="65.25" customHeight="1" x14ac:dyDescent="0.25">
      <c r="A128" s="67">
        <f t="shared" si="2"/>
        <v>4</v>
      </c>
      <c r="B128" s="68"/>
      <c r="C128" s="56" t="s">
        <v>230</v>
      </c>
      <c r="D128" s="61">
        <f>(102.146)*10.764</f>
        <v>1099.499544</v>
      </c>
      <c r="E128" s="41">
        <v>0</v>
      </c>
      <c r="F128" s="41">
        <f t="shared" si="3"/>
        <v>1704.2242932000001</v>
      </c>
      <c r="G128" s="72"/>
      <c r="H128" s="73"/>
      <c r="I128" s="36"/>
      <c r="L128" s="66"/>
      <c r="M128" s="66"/>
      <c r="N128" s="61">
        <f>(102.146)*10.764</f>
        <v>1099.499544</v>
      </c>
    </row>
    <row r="129" spans="1:14" s="57" customFormat="1" ht="65.25" customHeight="1" x14ac:dyDescent="0.25">
      <c r="A129" s="67">
        <f t="shared" si="2"/>
        <v>5</v>
      </c>
      <c r="B129" s="68"/>
      <c r="C129" s="56" t="s">
        <v>230</v>
      </c>
      <c r="D129" s="61">
        <f>(101.752)*10.764</f>
        <v>1095.2585279999998</v>
      </c>
      <c r="E129" s="56">
        <v>0</v>
      </c>
      <c r="F129" s="56">
        <f t="shared" ref="F129:F130" si="4">(D129+E129)*(($F$121)+1)</f>
        <v>1697.6507183999997</v>
      </c>
      <c r="G129" s="72"/>
      <c r="H129" s="73"/>
      <c r="I129" s="36"/>
      <c r="J129" s="62">
        <f>3.51*14.7*2</f>
        <v>103.19399999999999</v>
      </c>
      <c r="L129" s="66">
        <f>7000000/300</f>
        <v>23333.333333333332</v>
      </c>
      <c r="M129" s="66"/>
      <c r="N129" s="61">
        <f>(101.752)*10.764</f>
        <v>1095.2585279999998</v>
      </c>
    </row>
    <row r="130" spans="1:14" s="57" customFormat="1" ht="65.25" customHeight="1" x14ac:dyDescent="0.25">
      <c r="A130" s="67">
        <f t="shared" si="2"/>
        <v>6</v>
      </c>
      <c r="B130" s="68"/>
      <c r="C130" s="56" t="s">
        <v>230</v>
      </c>
      <c r="D130" s="61">
        <f>(90.938)*10.764</f>
        <v>978.85663199999999</v>
      </c>
      <c r="E130" s="56">
        <v>0</v>
      </c>
      <c r="F130" s="56">
        <f t="shared" si="4"/>
        <v>1517.2277796000001</v>
      </c>
      <c r="G130" s="74"/>
      <c r="H130" s="75"/>
      <c r="I130" s="36"/>
      <c r="L130" s="66"/>
      <c r="M130" s="66"/>
      <c r="N130" s="61">
        <f>(90.938)*10.764</f>
        <v>978.85663199999999</v>
      </c>
    </row>
    <row r="131" spans="1:14" s="57" customFormat="1" x14ac:dyDescent="0.25">
      <c r="A131" s="67"/>
      <c r="B131" s="69"/>
      <c r="C131" s="69"/>
      <c r="D131" s="69"/>
      <c r="E131" s="69"/>
      <c r="F131" s="69"/>
      <c r="G131" s="69"/>
      <c r="H131" s="68"/>
      <c r="I131" s="36"/>
      <c r="N131" s="36"/>
    </row>
    <row r="132" spans="1:14" ht="47.25" customHeight="1" x14ac:dyDescent="0.25">
      <c r="A132" s="102" t="s">
        <v>124</v>
      </c>
      <c r="B132" s="102" t="s">
        <v>125</v>
      </c>
      <c r="C132" s="100" t="s">
        <v>59</v>
      </c>
      <c r="D132" s="100" t="s">
        <v>60</v>
      </c>
      <c r="E132" s="100" t="s">
        <v>61</v>
      </c>
      <c r="F132" s="42" t="s">
        <v>153</v>
      </c>
      <c r="G132" s="102" t="s">
        <v>62</v>
      </c>
      <c r="H132" s="103"/>
      <c r="I132" s="36"/>
    </row>
    <row r="133" spans="1:14" s="37" customFormat="1" x14ac:dyDescent="0.25">
      <c r="A133" s="104"/>
      <c r="B133" s="104"/>
      <c r="C133" s="101"/>
      <c r="D133" s="101"/>
      <c r="E133" s="101"/>
      <c r="F133" s="13">
        <v>0.5</v>
      </c>
      <c r="G133" s="104"/>
      <c r="H133" s="105"/>
      <c r="I133" s="36"/>
    </row>
    <row r="134" spans="1:14" s="57" customFormat="1" x14ac:dyDescent="0.25">
      <c r="A134" s="109" t="s">
        <v>194</v>
      </c>
      <c r="B134" s="110"/>
      <c r="C134" s="110"/>
      <c r="D134" s="110"/>
      <c r="E134" s="110"/>
      <c r="F134" s="110"/>
      <c r="G134" s="110"/>
      <c r="H134" s="111"/>
      <c r="I134" s="36"/>
    </row>
    <row r="135" spans="1:14" s="64" customFormat="1" ht="36.75" customHeight="1" x14ac:dyDescent="0.25">
      <c r="A135" s="117" t="s">
        <v>218</v>
      </c>
      <c r="B135" s="118"/>
      <c r="C135" s="118"/>
      <c r="D135" s="118"/>
      <c r="E135" s="118"/>
      <c r="F135" s="118"/>
      <c r="G135" s="118"/>
      <c r="H135" s="119"/>
      <c r="J135" s="61">
        <v>10.763999999999999</v>
      </c>
    </row>
    <row r="136" spans="1:14" s="37" customFormat="1" x14ac:dyDescent="0.25">
      <c r="A136" s="117" t="s">
        <v>195</v>
      </c>
      <c r="B136" s="118"/>
      <c r="C136" s="118"/>
      <c r="D136" s="118"/>
      <c r="E136" s="118"/>
      <c r="F136" s="118"/>
      <c r="G136" s="118"/>
      <c r="H136" s="119"/>
      <c r="J136" s="36"/>
    </row>
    <row r="137" spans="1:14" s="37" customFormat="1" ht="15.75" customHeight="1" x14ac:dyDescent="0.25">
      <c r="A137" s="67">
        <v>1</v>
      </c>
      <c r="B137" s="68"/>
      <c r="C137" s="60" t="s">
        <v>196</v>
      </c>
      <c r="D137" s="61">
        <f>(4.3*7+3.4*2.4+3.4*4.15+4.4*3+4.4*3.2+2.4*1.35+2.2*1.4+1.5*2.4+1.45*3.3+0.9*4+1*1.4+1.5*1)*10.764</f>
        <v>1085.6032199999997</v>
      </c>
      <c r="E137" s="61">
        <f>(4.1*3+11*1.275+3.6*4.25)*10.764</f>
        <v>448.05149999999998</v>
      </c>
      <c r="F137" s="41">
        <f>D137*(($F$133)+1)+(IF(E137&lt;101,E137,IF(E137&lt;201,E137/2,IF(E137&lt;=301,E137/3,E137/4))))</f>
        <v>1740.4177049999994</v>
      </c>
      <c r="G137" s="70" t="str">
        <f>A136</f>
        <v>2nd Floor For Residential</v>
      </c>
      <c r="H137" s="71"/>
      <c r="J137" s="37">
        <f>4.3*7+3.4*2.4+3.4*4.15+4.4*3+4.4*3.2+2.4*1.35+2.2*1.4+1.5*2.4+1.45*3.3+0.9*4+1*1.4+1.5*1</f>
        <v>100.85499999999998</v>
      </c>
      <c r="L137" s="63"/>
      <c r="M137" s="63"/>
      <c r="N137" s="36"/>
    </row>
    <row r="138" spans="1:14" s="37" customFormat="1" ht="15.75" customHeight="1" x14ac:dyDescent="0.25">
      <c r="A138" s="67">
        <f t="shared" ref="A138:A140" si="5">A137+1</f>
        <v>2</v>
      </c>
      <c r="B138" s="68"/>
      <c r="C138" s="60" t="s">
        <v>196</v>
      </c>
      <c r="D138" s="61">
        <f>(4.3*7+3.4*2.4+3.4*4.15+4.4*3+4.4*3.2+2.4*1.35+2.2*1.4+1.5*2.4+1.45*3.3+0.9*4+1*1.4+1.5*1)*10.764</f>
        <v>1085.6032199999997</v>
      </c>
      <c r="E138" s="61">
        <f>(4.1*3+11*1.275+3.6*4.25)*10.764</f>
        <v>448.05149999999998</v>
      </c>
      <c r="F138" s="41">
        <f>D138*(($F$133)+1)+(IF(E138&lt;101,E138,IF(E138&lt;201,E138/2,IF(E138&lt;=301,E138/3,E138/4))))</f>
        <v>1740.4177049999994</v>
      </c>
      <c r="G138" s="72"/>
      <c r="H138" s="73"/>
      <c r="L138" s="63"/>
      <c r="M138" s="63"/>
      <c r="N138" s="36"/>
    </row>
    <row r="139" spans="1:14" s="37" customFormat="1" ht="15.75" customHeight="1" x14ac:dyDescent="0.25">
      <c r="A139" s="67">
        <f t="shared" si="5"/>
        <v>3</v>
      </c>
      <c r="B139" s="68"/>
      <c r="C139" s="60" t="s">
        <v>197</v>
      </c>
      <c r="D139" s="61">
        <f>(5.5*3.15+3.8*1.85+2.8*3+3*2.25+3.8*2.9+3.8*3.14+2.2*1.5+1.2*2.2+0.9*5.2)*10.764</f>
        <v>786.60082799999998</v>
      </c>
      <c r="E139" s="61">
        <f>(2.3*6.1+3.175*2.43+4.89*4.575+4.45*1.44)*10.764</f>
        <v>543.85109999999997</v>
      </c>
      <c r="F139" s="56">
        <f>D139*(($F$133)+1)+(IF(E139&lt;101,E139,IF(E139&lt;201,E139/2,IF(E139&lt;=301,E139/3,E139/4))))</f>
        <v>1315.8640169999999</v>
      </c>
      <c r="G139" s="72"/>
      <c r="H139" s="73"/>
      <c r="L139" s="63"/>
      <c r="M139" s="63"/>
      <c r="N139" s="36"/>
    </row>
    <row r="140" spans="1:14" s="37" customFormat="1" ht="15.75" customHeight="1" x14ac:dyDescent="0.25">
      <c r="A140" s="67">
        <f t="shared" si="5"/>
        <v>4</v>
      </c>
      <c r="B140" s="68"/>
      <c r="C140" s="60" t="s">
        <v>197</v>
      </c>
      <c r="D140" s="61">
        <f>(5.5*3.15+3.8*1.85+2.8*3+3*2.25+3.8*2.9+3.8*3.14+2.2*1.5+1.2*2.2+0.9*5.2)*10.764</f>
        <v>786.60082799999998</v>
      </c>
      <c r="E140" s="61">
        <f>(3.15*1.8)*10.764</f>
        <v>61.031879999999994</v>
      </c>
      <c r="F140" s="41">
        <f>D140*(($F$133)+1)+(IF(E140&lt;101,E140,IF(E140&lt;201,E140/2,IF(E140&lt;=301,E140/3,E140/4))))</f>
        <v>1240.9331219999999</v>
      </c>
      <c r="G140" s="74"/>
      <c r="H140" s="75"/>
      <c r="L140" s="63"/>
      <c r="M140" s="63"/>
      <c r="N140" s="36"/>
    </row>
    <row r="141" spans="1:14" s="37" customFormat="1" ht="15.75" customHeight="1" x14ac:dyDescent="0.25">
      <c r="A141" s="117" t="s">
        <v>198</v>
      </c>
      <c r="B141" s="118"/>
      <c r="C141" s="118"/>
      <c r="D141" s="118"/>
      <c r="E141" s="118"/>
      <c r="F141" s="118"/>
      <c r="G141" s="118"/>
      <c r="H141" s="119"/>
      <c r="I141" s="36"/>
    </row>
    <row r="142" spans="1:14" s="37" customFormat="1" ht="15.75" customHeight="1" x14ac:dyDescent="0.25">
      <c r="A142" s="67">
        <v>1</v>
      </c>
      <c r="B142" s="68"/>
      <c r="C142" s="41" t="s">
        <v>196</v>
      </c>
      <c r="D142" s="61">
        <f>(4.3*7+3.4*2.4+4.4*3.2+4.4*3+3.4*4.15+2.4*1.35+2.2*1.4+1.5*2.4+1.45*3.3+0.9*4+1.4*1.2+1.5*1+(1.15*3.2)+2.4*3.5+0.75*(3.4+2.4+3))*10.764</f>
        <v>1289.6886599999998</v>
      </c>
      <c r="E142" s="61">
        <v>0</v>
      </c>
      <c r="F142" s="41">
        <f>D142*(($F$133)+1)+(IF(E142&lt;101,E142,IF(E142&lt;201,E142/2,IF(E142&lt;=301,E142/3,E142/4))))</f>
        <v>1934.5329899999997</v>
      </c>
      <c r="G142" s="70" t="str">
        <f>A141</f>
        <v xml:space="preserve">3rd to 6th, 8th, 9th, 10th, 11th, 13th, 14th Floor </v>
      </c>
      <c r="H142" s="71"/>
      <c r="I142" s="36"/>
    </row>
    <row r="143" spans="1:14" s="37" customFormat="1" ht="15.75" customHeight="1" x14ac:dyDescent="0.25">
      <c r="A143" s="67">
        <v>2</v>
      </c>
      <c r="B143" s="68"/>
      <c r="C143" s="41" t="s">
        <v>196</v>
      </c>
      <c r="D143" s="61">
        <f>(4.3*7+3.4*2.4+4.4*3.2+4.4*3+3.4*4.15+2.4*1.35+2.2*1.4+1.5*2.4+1.45*3.3+0.9*4+1.4*1.2+1.5*1+(1.15*3.2)+2.4*3.5+0.75*(3.4+2.4+3))*10.764</f>
        <v>1289.6886599999998</v>
      </c>
      <c r="E143" s="61">
        <v>0</v>
      </c>
      <c r="F143" s="41">
        <f>D143*(($F$133)+1)+(IF(E143&lt;101,E143,IF(E143&lt;201,E143/2,IF(E143&lt;=301,E143/3,E143/4))))</f>
        <v>1934.5329899999997</v>
      </c>
      <c r="G143" s="72"/>
      <c r="H143" s="73"/>
      <c r="I143" s="36"/>
    </row>
    <row r="144" spans="1:14" s="37" customFormat="1" ht="15.75" customHeight="1" x14ac:dyDescent="0.25">
      <c r="A144" s="67">
        <v>3</v>
      </c>
      <c r="B144" s="68"/>
      <c r="C144" s="41" t="s">
        <v>197</v>
      </c>
      <c r="D144" s="61">
        <f>(5.5*3.15+3.8*1.85+2.8*3+3*2.25+3.8*3.14+3.8*2.9+2.2*1.5+1.2*2.2+0.9*5.2+(2.25*1)+(1.8*3.15)+0.75*(2.9+3.14))*10.764</f>
        <v>920.61262799999997</v>
      </c>
      <c r="E144" s="61">
        <v>0</v>
      </c>
      <c r="F144" s="41">
        <f>D144*(($F$133)+1)+(IF(E144&lt;101,E144,IF(E144&lt;201,E144/2,IF(E144&lt;=301,E144/3,E144/4))))</f>
        <v>1380.918942</v>
      </c>
      <c r="G144" s="72"/>
      <c r="H144" s="73"/>
      <c r="I144" s="36"/>
    </row>
    <row r="145" spans="1:10" s="37" customFormat="1" ht="15.75" customHeight="1" x14ac:dyDescent="0.25">
      <c r="A145" s="67">
        <v>4</v>
      </c>
      <c r="B145" s="68"/>
      <c r="C145" s="41" t="s">
        <v>197</v>
      </c>
      <c r="D145" s="61">
        <f>(5.5*3.15+3.8*1.85+2.8*3+3*2.25+3.8*3.14+3.8*2.9+2.2*1.5+1.2*2.2+0.9*5.2+(2.25*1)+(1.8*3.15)+0.75*(2.9+3.14))*10.764</f>
        <v>920.61262799999997</v>
      </c>
      <c r="E145" s="61">
        <v>0</v>
      </c>
      <c r="F145" s="41">
        <f>D145*(($F$133)+1)+(IF(E145&lt;101,E145,IF(E145&lt;201,E145/2,IF(E145&lt;=301,E145/3,E145/4))))</f>
        <v>1380.918942</v>
      </c>
      <c r="G145" s="74"/>
      <c r="H145" s="75"/>
      <c r="I145" s="36"/>
    </row>
    <row r="146" spans="1:10" s="37" customFormat="1" ht="15.75" customHeight="1" x14ac:dyDescent="0.25">
      <c r="A146" s="117" t="s">
        <v>219</v>
      </c>
      <c r="B146" s="118"/>
      <c r="C146" s="118"/>
      <c r="D146" s="118"/>
      <c r="E146" s="118"/>
      <c r="F146" s="118"/>
      <c r="G146" s="118"/>
      <c r="H146" s="119"/>
      <c r="I146" s="36"/>
    </row>
    <row r="147" spans="1:10" s="37" customFormat="1" ht="15.75" customHeight="1" x14ac:dyDescent="0.25">
      <c r="A147" s="67">
        <v>1</v>
      </c>
      <c r="B147" s="68"/>
      <c r="C147" s="56" t="s">
        <v>196</v>
      </c>
      <c r="D147" s="61">
        <f>(4.3*7+3.4*2.4+4.4*3.2+4.4*3+3.4*4.15+2.4*1.35+2.2*1.4+1.5*2.4+1.45*3.3+0.9*4+1.4*1.2+1.5*1+(1.15*3.2)+2.4*3.5+0.75*(3.4+2.4+3))*10.764</f>
        <v>1289.6886599999998</v>
      </c>
      <c r="E147" s="61">
        <v>0</v>
      </c>
      <c r="F147" s="56">
        <f>D147*(($F$133)+1)+(IF(E147&lt;101,E147,IF(E147&lt;201,E147/2,IF(E147&lt;=301,E147/3,E147/4))))</f>
        <v>1934.5329899999997</v>
      </c>
      <c r="G147" s="70" t="str">
        <f>A146</f>
        <v>7th &amp; 12th Floor (Part Refuge Balcony Area)</v>
      </c>
      <c r="H147" s="71"/>
      <c r="I147" s="36"/>
    </row>
    <row r="148" spans="1:10" s="37" customFormat="1" ht="15.75" customHeight="1" x14ac:dyDescent="0.25">
      <c r="A148" s="67">
        <v>2</v>
      </c>
      <c r="B148" s="68"/>
      <c r="C148" s="56" t="s">
        <v>196</v>
      </c>
      <c r="D148" s="61">
        <f>(4.3*7+3.4*2.4+4.4*3.2+4.4*3+3.4*4.15+2.4*1.35+2.2*1.4+1.5*2.4+1.45*3.3+0.9*4+1.4*1.2+1.5*1+(1.15*3.2)+2.4*3.5+0.75*(3.4+2.4+3))*10.764</f>
        <v>1289.6886599999998</v>
      </c>
      <c r="E148" s="61">
        <v>0</v>
      </c>
      <c r="F148" s="56">
        <f>D148*(($F$133)+1)+(IF(E148&lt;101,E148,IF(E148&lt;201,E148/2,IF(E148&lt;=301,E148/3,E148/4))))</f>
        <v>1934.5329899999997</v>
      </c>
      <c r="G148" s="72"/>
      <c r="H148" s="73"/>
      <c r="I148" s="36"/>
    </row>
    <row r="149" spans="1:10" s="37" customFormat="1" ht="15.75" customHeight="1" x14ac:dyDescent="0.25">
      <c r="A149" s="67">
        <v>3</v>
      </c>
      <c r="B149" s="68"/>
      <c r="C149" s="56" t="s">
        <v>197</v>
      </c>
      <c r="D149" s="61">
        <f>(5.5*3.15+3.8*1.85+2.8*3+3*2.25+3.8*3.14+3.8*2.9+2.2*1.5+1.2*2.2+0.9*5.2+(2.25*1)+(1.8*3.15)+0.75*(2.9+3.14))*10.764</f>
        <v>920.61262799999997</v>
      </c>
      <c r="E149" s="61">
        <v>0</v>
      </c>
      <c r="F149" s="56">
        <f>D149*(($F$133)+1)+(IF(E149&lt;101,E149,IF(E149&lt;201,E149/2,IF(E149&lt;=301,E149/3,E149/4))))</f>
        <v>1380.918942</v>
      </c>
      <c r="G149" s="72"/>
      <c r="H149" s="73"/>
      <c r="I149" s="36"/>
    </row>
    <row r="150" spans="1:10" s="37" customFormat="1" ht="15.75" customHeight="1" x14ac:dyDescent="0.25">
      <c r="A150" s="67">
        <v>4</v>
      </c>
      <c r="B150" s="68"/>
      <c r="C150" s="56" t="s">
        <v>197</v>
      </c>
      <c r="D150" s="61">
        <f>(5.5*3.15+3.8*1.85+2.8*3+3*2.25+3.8*3.14+3.8*2.9+2.2*1.5+1.2*2.2+0.9*5.2+(2.25*1)+(1.8*3.15)+0.75*(2.9+3.14))*10.764</f>
        <v>920.61262799999997</v>
      </c>
      <c r="E150" s="61">
        <v>0</v>
      </c>
      <c r="F150" s="56">
        <f>D150*(($F$133)+1)+(IF(E150&lt;101,E150,IF(E150&lt;201,E150/2,IF(E150&lt;=301,E150/3,E150/4))))</f>
        <v>1380.918942</v>
      </c>
      <c r="G150" s="74"/>
      <c r="H150" s="75"/>
      <c r="I150" s="36"/>
    </row>
    <row r="151" spans="1:10" s="58" customFormat="1" x14ac:dyDescent="0.25">
      <c r="A151" s="117" t="s">
        <v>199</v>
      </c>
      <c r="B151" s="118"/>
      <c r="C151" s="118"/>
      <c r="D151" s="118"/>
      <c r="E151" s="118"/>
      <c r="F151" s="118"/>
      <c r="G151" s="118"/>
      <c r="H151" s="119"/>
      <c r="I151" s="36"/>
    </row>
    <row r="152" spans="1:10" s="64" customFormat="1" x14ac:dyDescent="0.25">
      <c r="A152" s="117" t="s">
        <v>231</v>
      </c>
      <c r="B152" s="118"/>
      <c r="C152" s="118"/>
      <c r="D152" s="118"/>
      <c r="E152" s="118"/>
      <c r="F152" s="118"/>
      <c r="G152" s="118"/>
      <c r="H152" s="119"/>
      <c r="J152" s="61">
        <v>10.763999999999999</v>
      </c>
    </row>
    <row r="153" spans="1:10" s="58" customFormat="1" x14ac:dyDescent="0.25">
      <c r="A153" s="117" t="s">
        <v>200</v>
      </c>
      <c r="B153" s="118"/>
      <c r="C153" s="118"/>
      <c r="D153" s="118"/>
      <c r="E153" s="118"/>
      <c r="F153" s="118"/>
      <c r="G153" s="118"/>
      <c r="H153" s="119"/>
      <c r="I153" s="36"/>
    </row>
    <row r="154" spans="1:10" s="37" customFormat="1" x14ac:dyDescent="0.25">
      <c r="A154" s="117" t="s">
        <v>203</v>
      </c>
      <c r="B154" s="118"/>
      <c r="C154" s="118"/>
      <c r="D154" s="118"/>
      <c r="E154" s="118"/>
      <c r="F154" s="118"/>
      <c r="G154" s="118"/>
      <c r="H154" s="119"/>
      <c r="I154" s="36"/>
    </row>
    <row r="155" spans="1:10" s="37" customFormat="1" ht="15.75" customHeight="1" x14ac:dyDescent="0.25">
      <c r="A155" s="67">
        <v>1</v>
      </c>
      <c r="B155" s="68"/>
      <c r="C155" s="67" t="s">
        <v>201</v>
      </c>
      <c r="D155" s="69"/>
      <c r="E155" s="69"/>
      <c r="F155" s="68"/>
      <c r="G155" s="70" t="str">
        <f>A154</f>
        <v>1st Floor For  Residential &amp; Amenities</v>
      </c>
      <c r="H155" s="71"/>
      <c r="I155" s="36"/>
    </row>
    <row r="156" spans="1:10" s="37" customFormat="1" ht="15.75" customHeight="1" x14ac:dyDescent="0.25">
      <c r="A156" s="67">
        <v>2</v>
      </c>
      <c r="B156" s="68"/>
      <c r="C156" s="67" t="s">
        <v>202</v>
      </c>
      <c r="D156" s="69"/>
      <c r="E156" s="69"/>
      <c r="F156" s="68"/>
      <c r="G156" s="72"/>
      <c r="H156" s="73"/>
      <c r="I156" s="36"/>
    </row>
    <row r="157" spans="1:10" s="37" customFormat="1" ht="15.75" customHeight="1" x14ac:dyDescent="0.25">
      <c r="A157" s="67">
        <v>3</v>
      </c>
      <c r="B157" s="68"/>
      <c r="C157" s="41" t="s">
        <v>196</v>
      </c>
      <c r="D157" s="65">
        <f>(4.3*7+3.4*2.4+3.4*4.15+4.4*3+4.4*3.2+1.5*2.4+2.2*1.4+2.4*1.35+1.45*3.3+0.9*4+1.4*1.1+1.5*1+(3.2*1.15)+3.5*2.4)*10.764</f>
        <v>1217.1392999999998</v>
      </c>
      <c r="E157" s="61">
        <f t="shared" ref="E157:E158" si="6">(3.5*2.4)*10.764</f>
        <v>90.417599999999993</v>
      </c>
      <c r="F157" s="41">
        <f>D157*(($F$133)+1)+(IF(E157&lt;101,E157,IF(E157&lt;201,E157/2,IF(E157&lt;=301,E157/3,E157/4))))</f>
        <v>1916.1265499999997</v>
      </c>
      <c r="G157" s="72"/>
      <c r="H157" s="73"/>
      <c r="I157" s="36"/>
    </row>
    <row r="158" spans="1:10" s="37" customFormat="1" ht="15.75" customHeight="1" x14ac:dyDescent="0.25">
      <c r="A158" s="67">
        <v>4</v>
      </c>
      <c r="B158" s="68"/>
      <c r="C158" s="56" t="s">
        <v>196</v>
      </c>
      <c r="D158" s="65">
        <f>(4.3*7+3.4*2.4+3.4*4.15+4.4*3+4.4*3.2+1.5*2.4+2.2*1.4+2.4*1.35+1.45*3.3+0.9*4+1.4*1.1+1.5*1+(3.2*1.15)+3.5*2.4)*10.764</f>
        <v>1217.1392999999998</v>
      </c>
      <c r="E158" s="61">
        <f t="shared" si="6"/>
        <v>90.417599999999993</v>
      </c>
      <c r="F158" s="41">
        <f>D158*(($F$133)+1)+(IF(E158&lt;101,E158,IF(E158&lt;201,E158/2,IF(E158&lt;=301,E158/3,E158/4))))</f>
        <v>1916.1265499999997</v>
      </c>
      <c r="G158" s="74"/>
      <c r="H158" s="75"/>
      <c r="I158" s="36"/>
    </row>
    <row r="159" spans="1:10" s="58" customFormat="1" x14ac:dyDescent="0.25">
      <c r="A159" s="117" t="s">
        <v>204</v>
      </c>
      <c r="B159" s="118"/>
      <c r="C159" s="118"/>
      <c r="D159" s="118"/>
      <c r="E159" s="118"/>
      <c r="F159" s="118"/>
      <c r="G159" s="118"/>
      <c r="H159" s="119"/>
      <c r="I159" s="36"/>
    </row>
    <row r="160" spans="1:10" s="58" customFormat="1" x14ac:dyDescent="0.25">
      <c r="A160" s="67">
        <v>1</v>
      </c>
      <c r="B160" s="68"/>
      <c r="C160" s="56" t="s">
        <v>205</v>
      </c>
      <c r="D160" s="61">
        <f>(5.5*3.15+3.8*1.85+2.8*3+3*2.25+3.8*2.9+3.8*3.14+2.2*1.5+1.2*2.2+0.9*5.2)*10.764</f>
        <v>786.60082799999998</v>
      </c>
      <c r="E160" s="61">
        <f>(3.15*1.8)*10.764</f>
        <v>61.031879999999994</v>
      </c>
      <c r="F160" s="56">
        <f t="shared" ref="F160:F168" si="7">D160*(($F$133)+1)+(IF(E160&lt;101,E160,IF(E160&lt;201,E160/2,IF(E160&lt;=301,E160/3,E160/4))))</f>
        <v>1240.9331219999999</v>
      </c>
      <c r="G160" s="70" t="str">
        <f>A159</f>
        <v xml:space="preserve">2nd Floor </v>
      </c>
      <c r="H160" s="71"/>
      <c r="I160" s="36"/>
    </row>
    <row r="161" spans="1:14" s="58" customFormat="1" x14ac:dyDescent="0.25">
      <c r="A161" s="67">
        <v>2</v>
      </c>
      <c r="B161" s="68"/>
      <c r="C161" s="56" t="s">
        <v>205</v>
      </c>
      <c r="D161" s="61">
        <f>(5.5*3.15+3.8*1.85+2.8*3+3*2.25+3.8*2.9+3.8*3.14+2.2*1.5+1.2*2.2+0.9*5.2)*10.764</f>
        <v>786.60082799999998</v>
      </c>
      <c r="E161" s="61">
        <f>(2.3*6.1+3.175*2.43+4.89*4.575+4.45*1.44)*10.764</f>
        <v>543.85109999999997</v>
      </c>
      <c r="F161" s="56">
        <f t="shared" si="7"/>
        <v>1315.8640169999999</v>
      </c>
      <c r="G161" s="72"/>
      <c r="H161" s="73"/>
      <c r="I161" s="36"/>
    </row>
    <row r="162" spans="1:14" s="35" customFormat="1" x14ac:dyDescent="0.25">
      <c r="A162" s="67">
        <v>3</v>
      </c>
      <c r="B162" s="68"/>
      <c r="C162" s="56" t="s">
        <v>196</v>
      </c>
      <c r="D162" s="61">
        <f>(4.3*7+3.4*2.4+4.4*3.2+4.4*3+3.4*4.15+2.4*1.35+2.2*1.4+1.5*2.4+1.45*3.3+0.9*4+1.4*1.2+1.5*1+(1.15*3.2)+2.4*3.5)*10.764</f>
        <v>1218.64626</v>
      </c>
      <c r="E162" s="61">
        <v>0</v>
      </c>
      <c r="F162" s="56">
        <f t="shared" si="7"/>
        <v>1827.96939</v>
      </c>
      <c r="G162" s="72"/>
      <c r="H162" s="73"/>
    </row>
    <row r="163" spans="1:14" s="35" customFormat="1" x14ac:dyDescent="0.25">
      <c r="A163" s="67">
        <v>4</v>
      </c>
      <c r="B163" s="68"/>
      <c r="C163" s="56" t="s">
        <v>196</v>
      </c>
      <c r="D163" s="61">
        <f>(4.3*7+3.4*2.4+4.4*3.2+4.4*3+3.4*4.15+2.4*1.35+2.2*1.4+1.5*2.4+1.45*3.3+0.9*4+1.4*1.2+1.5*1+(1.15*3.2)+2.4*3.5)*10.764</f>
        <v>1218.64626</v>
      </c>
      <c r="E163" s="61">
        <v>0</v>
      </c>
      <c r="F163" s="56">
        <f t="shared" si="7"/>
        <v>1827.96939</v>
      </c>
      <c r="G163" s="74"/>
      <c r="H163" s="75"/>
    </row>
    <row r="164" spans="1:14" s="35" customFormat="1" x14ac:dyDescent="0.25">
      <c r="A164" s="117" t="s">
        <v>198</v>
      </c>
      <c r="B164" s="118"/>
      <c r="C164" s="118"/>
      <c r="D164" s="118"/>
      <c r="E164" s="118"/>
      <c r="F164" s="118"/>
      <c r="G164" s="118"/>
      <c r="H164" s="119"/>
    </row>
    <row r="165" spans="1:14" s="35" customFormat="1" x14ac:dyDescent="0.25">
      <c r="A165" s="67">
        <v>1</v>
      </c>
      <c r="B165" s="68"/>
      <c r="C165" s="56" t="s">
        <v>205</v>
      </c>
      <c r="D165" s="61">
        <f>(5.5*3.15+3.8*1.85+2.8*3+3*2.25+3.8*3.14+3.8*2.9+2.2*1.5+1.2*2.2+0.9*5.2+(2.25*1)+(1.8*3.15)+0.75*(2.9+3.14))*10.764</f>
        <v>920.61262799999997</v>
      </c>
      <c r="E165" s="61">
        <v>0</v>
      </c>
      <c r="F165" s="56">
        <f t="shared" si="7"/>
        <v>1380.918942</v>
      </c>
      <c r="G165" s="70" t="str">
        <f>A164</f>
        <v xml:space="preserve">3rd to 6th, 8th, 9th, 10th, 11th, 13th, 14th Floor </v>
      </c>
      <c r="H165" s="71"/>
    </row>
    <row r="166" spans="1:14" s="35" customFormat="1" x14ac:dyDescent="0.25">
      <c r="A166" s="67">
        <v>2</v>
      </c>
      <c r="B166" s="68"/>
      <c r="C166" s="56" t="s">
        <v>205</v>
      </c>
      <c r="D166" s="61">
        <f>(5.5*3.15+3.8*1.85+2.8*3+3*2.25+3.8*3.14+3.8*2.9+2.2*1.5+1.2*2.2+0.9*5.2+(2.25*1)+(1.8*3.15)+0.75*(2.9+3.14))*10.764</f>
        <v>920.61262799999997</v>
      </c>
      <c r="E166" s="61">
        <v>0</v>
      </c>
      <c r="F166" s="56">
        <f t="shared" si="7"/>
        <v>1380.918942</v>
      </c>
      <c r="G166" s="72"/>
      <c r="H166" s="73"/>
      <c r="J166" s="35">
        <f>(5.5*3.15+3.8*1.85+2.8*3+3*2.25+3.8*3.14+3.8*2.9+2.2*1.5+1.2*2.2+0.9*5.2+(2.25*1)+(1.8*3.15)+0.75*(2.9+3.14))*10.764</f>
        <v>920.61262799999997</v>
      </c>
      <c r="K166" s="35">
        <f>(5.5*3.15+3.8*1.85+2.8*3+3*2.25+3.8*3.14+3.8*2.9+2.2*1.5+1.2*2.2+0.9*5.2+(2.25*1)+(1.8*3.15))*10.764</f>
        <v>871.85170799999992</v>
      </c>
    </row>
    <row r="167" spans="1:14" s="35" customFormat="1" x14ac:dyDescent="0.25">
      <c r="A167" s="67">
        <v>3</v>
      </c>
      <c r="B167" s="68"/>
      <c r="C167" s="56" t="s">
        <v>196</v>
      </c>
      <c r="D167" s="61">
        <f>(4.3*7+3.4*2.4+4.4*3.2+4.4*3+3.4*4.15+2.4*1.35+2.2*1.4+1.5*2.4+1.45*3.3+0.9*4+1.4*1.2+1.5*1+(1.15*3.2)+2.4*3.5+0.75*(3.4+2.4+3))*10.764</f>
        <v>1289.6886599999998</v>
      </c>
      <c r="E167" s="61">
        <v>0</v>
      </c>
      <c r="F167" s="56">
        <f t="shared" si="7"/>
        <v>1934.5329899999997</v>
      </c>
      <c r="G167" s="72"/>
      <c r="H167" s="73"/>
    </row>
    <row r="168" spans="1:14" s="35" customFormat="1" ht="15.75" customHeight="1" x14ac:dyDescent="0.25">
      <c r="A168" s="67">
        <v>4</v>
      </c>
      <c r="B168" s="68"/>
      <c r="C168" s="56" t="s">
        <v>196</v>
      </c>
      <c r="D168" s="61">
        <f>(4.3*7+3.4*2.4+4.4*3.2+4.4*3+3.4*4.15+2.4*1.35+2.2*1.4+1.5*2.4+1.45*3.3+0.9*4+1.4*1.2+1.5*1+(1.15*3.2)+2.4*3.5+0.75*(3.4+2.4+3))*10.764</f>
        <v>1289.6886599999998</v>
      </c>
      <c r="E168" s="61">
        <v>0</v>
      </c>
      <c r="F168" s="56">
        <f t="shared" si="7"/>
        <v>1934.5329899999997</v>
      </c>
      <c r="G168" s="74"/>
      <c r="H168" s="75"/>
      <c r="K168" s="35" t="s">
        <v>222</v>
      </c>
      <c r="L168" s="35" t="s">
        <v>223</v>
      </c>
      <c r="M168" s="35" t="s">
        <v>224</v>
      </c>
    </row>
    <row r="169" spans="1:14" s="35" customFormat="1" ht="15.75" customHeight="1" x14ac:dyDescent="0.25">
      <c r="A169" s="117" t="s">
        <v>219</v>
      </c>
      <c r="B169" s="118"/>
      <c r="C169" s="118"/>
      <c r="D169" s="118"/>
      <c r="E169" s="118"/>
      <c r="F169" s="118"/>
      <c r="G169" s="118"/>
      <c r="H169" s="119"/>
    </row>
    <row r="170" spans="1:14" s="58" customFormat="1" ht="15.75" customHeight="1" x14ac:dyDescent="0.25">
      <c r="A170" s="67">
        <v>1</v>
      </c>
      <c r="B170" s="68"/>
      <c r="C170" s="56" t="s">
        <v>205</v>
      </c>
      <c r="D170" s="61">
        <f>(5.5*3.15+3.8*1.85+2.8*3+3*2.25+3.8*3.14+3.8*2.9+2.2*1.5+1.2*2.2+0.9*5.2+(2.25*1)+(1.8*3.15)+0.75*(2.9+3.14))*10.764</f>
        <v>920.61262799999997</v>
      </c>
      <c r="E170" s="61">
        <v>0</v>
      </c>
      <c r="F170" s="56">
        <f t="shared" ref="F170:F173" si="8">D170*(($F$133)+1)+(IF(E170&lt;101,E170,IF(E170&lt;201,E170/2,IF(E170&lt;=301,E170/3,E170/4))))</f>
        <v>1380.918942</v>
      </c>
      <c r="G170" s="70" t="str">
        <f>A169</f>
        <v>7th &amp; 12th Floor (Part Refuge Balcony Area)</v>
      </c>
      <c r="H170" s="71"/>
      <c r="I170" s="36"/>
      <c r="K170" s="58">
        <f>25000000/F170</f>
        <v>18103.886650864697</v>
      </c>
      <c r="L170" s="58">
        <f>22000000/F170</f>
        <v>15931.420252760932</v>
      </c>
      <c r="M170" s="58">
        <f>11600000/F160</f>
        <v>9347.8043210776686</v>
      </c>
      <c r="N170" s="58">
        <f>25000000/F170</f>
        <v>18103.886650864697</v>
      </c>
    </row>
    <row r="171" spans="1:14" s="58" customFormat="1" ht="15.75" customHeight="1" x14ac:dyDescent="0.25">
      <c r="A171" s="67">
        <v>2</v>
      </c>
      <c r="B171" s="68"/>
      <c r="C171" s="56" t="s">
        <v>205</v>
      </c>
      <c r="D171" s="61">
        <f>(5.5*3.15+3.8*1.85+2.8*3+3*2.25+3.8*3.14+3.8*2.9+2.2*1.5+1.2*2.2+0.9*5.2+(2.25*1)+(1.8*3.15)+0.75*(2.9+3.14))*10.764</f>
        <v>920.61262799999997</v>
      </c>
      <c r="E171" s="61">
        <v>0</v>
      </c>
      <c r="F171" s="56">
        <f t="shared" si="8"/>
        <v>1380.918942</v>
      </c>
      <c r="G171" s="72"/>
      <c r="H171" s="73"/>
      <c r="I171" s="36"/>
    </row>
    <row r="172" spans="1:14" s="58" customFormat="1" ht="15.75" customHeight="1" x14ac:dyDescent="0.25">
      <c r="A172" s="67">
        <v>3</v>
      </c>
      <c r="B172" s="68"/>
      <c r="C172" s="56" t="s">
        <v>196</v>
      </c>
      <c r="D172" s="61">
        <f>(4.3*7+3.4*2.4+4.4*3.2+4.4*3+3.4*4.15+2.4*1.35+2.2*1.4+1.5*2.4+1.45*3.3+0.9*4+1.4*1.2+1.5*1+(1.15*3.2)+2.4*3.5+0.75*(3.4+2.4+3))*10.764</f>
        <v>1289.6886599999998</v>
      </c>
      <c r="E172" s="61">
        <v>0</v>
      </c>
      <c r="F172" s="56">
        <f t="shared" si="8"/>
        <v>1934.5329899999997</v>
      </c>
      <c r="G172" s="72"/>
      <c r="H172" s="73"/>
      <c r="I172" s="36"/>
      <c r="K172" s="58">
        <f>33500000/F172</f>
        <v>17316.840898122915</v>
      </c>
      <c r="L172" s="58">
        <f>33000000/F172</f>
        <v>17058.380586210631</v>
      </c>
    </row>
    <row r="173" spans="1:14" s="58" customFormat="1" ht="15.75" customHeight="1" x14ac:dyDescent="0.25">
      <c r="A173" s="67">
        <v>4</v>
      </c>
      <c r="B173" s="68"/>
      <c r="C173" s="56" t="s">
        <v>196</v>
      </c>
      <c r="D173" s="61">
        <f>(4.3*7+3.4*2.4+4.4*3.2+4.4*3+3.4*4.15+2.4*1.35+2.2*1.4+1.5*2.4+1.45*3.3+0.9*4+1.4*1.2+1.5*1+(1.15*3.2)+2.4*3.5+0.75*(3.4+2.4+3))*10.764</f>
        <v>1289.6886599999998</v>
      </c>
      <c r="E173" s="61">
        <v>0</v>
      </c>
      <c r="F173" s="56">
        <f t="shared" si="8"/>
        <v>1934.5329899999997</v>
      </c>
      <c r="G173" s="74"/>
      <c r="H173" s="75"/>
      <c r="I173" s="36"/>
    </row>
    <row r="174" spans="1:14" s="35" customFormat="1" x14ac:dyDescent="0.25">
      <c r="A174" s="195" t="s">
        <v>69</v>
      </c>
      <c r="B174" s="195"/>
      <c r="C174" s="195"/>
      <c r="D174" s="195"/>
      <c r="E174" s="195"/>
      <c r="F174" s="195"/>
      <c r="G174" s="195"/>
      <c r="H174" s="195"/>
    </row>
    <row r="175" spans="1:14" s="35" customFormat="1" ht="31.5" customHeight="1" x14ac:dyDescent="0.25">
      <c r="A175" s="46" t="s">
        <v>157</v>
      </c>
      <c r="B175" s="140" t="s">
        <v>236</v>
      </c>
      <c r="C175" s="141"/>
      <c r="D175" s="141"/>
      <c r="E175" s="141"/>
      <c r="F175" s="141"/>
      <c r="G175" s="141"/>
      <c r="H175" s="142"/>
    </row>
    <row r="176" spans="1:14" s="35" customFormat="1" x14ac:dyDescent="0.25">
      <c r="A176" s="46" t="s">
        <v>157</v>
      </c>
      <c r="B176" s="140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76" s="141"/>
      <c r="D176" s="141"/>
      <c r="E176" s="141"/>
      <c r="F176" s="141"/>
      <c r="G176" s="141"/>
      <c r="H176" s="142"/>
    </row>
    <row r="177" spans="1:9" s="35" customFormat="1" x14ac:dyDescent="0.25">
      <c r="A177" s="46" t="s">
        <v>157</v>
      </c>
      <c r="B177" s="140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7" s="141"/>
      <c r="D177" s="141"/>
      <c r="E177" s="141"/>
      <c r="F177" s="141"/>
      <c r="G177" s="141"/>
      <c r="H177" s="142"/>
    </row>
    <row r="178" spans="1:9" s="35" customFormat="1" x14ac:dyDescent="0.25">
      <c r="A178" s="46" t="s">
        <v>157</v>
      </c>
      <c r="B178" s="137" t="s">
        <v>127</v>
      </c>
      <c r="C178" s="138"/>
      <c r="D178" s="138"/>
      <c r="E178" s="138"/>
      <c r="F178" s="138"/>
      <c r="G178" s="138"/>
      <c r="H178" s="139"/>
    </row>
    <row r="179" spans="1:9" s="35" customFormat="1" x14ac:dyDescent="0.25">
      <c r="A179" s="46" t="s">
        <v>157</v>
      </c>
      <c r="B179" s="137" t="s">
        <v>220</v>
      </c>
      <c r="C179" s="138"/>
      <c r="D179" s="138"/>
      <c r="E179" s="138"/>
      <c r="F179" s="138"/>
      <c r="G179" s="138"/>
      <c r="H179" s="139"/>
      <c r="I179"/>
    </row>
    <row r="180" spans="1:9" s="35" customFormat="1" x14ac:dyDescent="0.25">
      <c r="A180" s="46" t="s">
        <v>157</v>
      </c>
      <c r="B180" s="137" t="s">
        <v>156</v>
      </c>
      <c r="C180" s="138"/>
      <c r="D180" s="138"/>
      <c r="E180" s="138"/>
      <c r="F180" s="138"/>
      <c r="G180" s="138"/>
      <c r="H180" s="139"/>
    </row>
    <row r="181" spans="1:9" x14ac:dyDescent="0.25">
      <c r="A181" s="46" t="s">
        <v>157</v>
      </c>
      <c r="B181" s="137" t="s">
        <v>128</v>
      </c>
      <c r="C181" s="138"/>
      <c r="D181" s="138"/>
      <c r="E181" s="138"/>
      <c r="F181" s="138"/>
      <c r="G181" s="138"/>
      <c r="H181" s="139"/>
    </row>
    <row r="182" spans="1:9" ht="33" customHeight="1" x14ac:dyDescent="0.25">
      <c r="A182" s="46" t="s">
        <v>157</v>
      </c>
      <c r="B182" s="137" t="s">
        <v>158</v>
      </c>
      <c r="C182" s="138"/>
      <c r="D182" s="138"/>
      <c r="E182" s="138"/>
      <c r="F182" s="138"/>
      <c r="G182" s="138"/>
      <c r="H182" s="139"/>
    </row>
    <row r="183" spans="1:9" ht="15.75" customHeight="1" x14ac:dyDescent="0.25">
      <c r="A183" s="46" t="s">
        <v>157</v>
      </c>
      <c r="B183" s="137" t="s">
        <v>129</v>
      </c>
      <c r="C183" s="138"/>
      <c r="D183" s="138"/>
      <c r="E183" s="138"/>
      <c r="F183" s="138"/>
      <c r="G183" s="138"/>
      <c r="H183" s="139"/>
    </row>
    <row r="184" spans="1:9" x14ac:dyDescent="0.25">
      <c r="A184" s="190" t="s">
        <v>63</v>
      </c>
      <c r="B184" s="190"/>
      <c r="C184" s="190"/>
      <c r="D184" s="190"/>
      <c r="E184" s="190"/>
      <c r="F184" s="190"/>
      <c r="G184" s="190"/>
      <c r="H184" s="190"/>
    </row>
    <row r="185" spans="1:9" x14ac:dyDescent="0.25">
      <c r="A185" s="77" t="s">
        <v>64</v>
      </c>
      <c r="B185" s="77"/>
      <c r="C185" s="77"/>
      <c r="D185" s="77"/>
      <c r="E185" s="77"/>
      <c r="F185" s="77"/>
      <c r="G185" s="77"/>
      <c r="H185" s="77"/>
    </row>
    <row r="186" spans="1:9" x14ac:dyDescent="0.25">
      <c r="A186" s="98" t="s">
        <v>65</v>
      </c>
      <c r="B186" s="98"/>
      <c r="C186" s="98"/>
      <c r="D186" s="98"/>
      <c r="E186" s="98"/>
      <c r="F186" s="98"/>
      <c r="G186" s="98"/>
      <c r="H186" s="98"/>
    </row>
    <row r="187" spans="1:9" x14ac:dyDescent="0.25">
      <c r="A187" s="77" t="s">
        <v>66</v>
      </c>
      <c r="B187" s="77"/>
      <c r="C187" s="77"/>
      <c r="D187" s="77"/>
      <c r="E187" s="77"/>
      <c r="F187" s="77"/>
      <c r="G187" s="77"/>
      <c r="H187" s="77"/>
    </row>
    <row r="188" spans="1:9" x14ac:dyDescent="0.25">
      <c r="A188" s="77" t="s">
        <v>67</v>
      </c>
      <c r="B188" s="77"/>
      <c r="C188" s="77"/>
      <c r="D188" s="77"/>
      <c r="E188" s="77"/>
      <c r="F188" s="77"/>
      <c r="G188" s="77"/>
      <c r="H188" s="77"/>
    </row>
    <row r="189" spans="1:9" x14ac:dyDescent="0.25">
      <c r="A189" s="77" t="s">
        <v>130</v>
      </c>
      <c r="B189" s="77"/>
      <c r="C189" s="77"/>
      <c r="D189" s="77"/>
      <c r="E189" s="77"/>
      <c r="F189" s="77"/>
      <c r="G189" s="77"/>
      <c r="H189" s="77"/>
    </row>
    <row r="190" spans="1:9" hidden="1" x14ac:dyDescent="0.25">
      <c r="A190" s="155" t="s">
        <v>131</v>
      </c>
      <c r="B190" s="155"/>
      <c r="C190" s="155"/>
      <c r="D190" s="155"/>
      <c r="E190" s="155"/>
      <c r="F190" s="155"/>
      <c r="G190" s="155"/>
      <c r="H190" s="155"/>
    </row>
    <row r="191" spans="1:9" x14ac:dyDescent="0.25">
      <c r="A191" s="203" t="s">
        <v>79</v>
      </c>
      <c r="B191" s="203"/>
      <c r="C191" s="203" t="s">
        <v>206</v>
      </c>
      <c r="D191" s="203"/>
      <c r="E191" s="203" t="s">
        <v>109</v>
      </c>
      <c r="F191" s="203"/>
      <c r="G191" s="203" t="s">
        <v>235</v>
      </c>
      <c r="H191" s="203"/>
    </row>
    <row r="192" spans="1:9" ht="15.75" customHeight="1" x14ac:dyDescent="0.25">
      <c r="A192" s="202" t="s">
        <v>81</v>
      </c>
      <c r="B192" s="202"/>
      <c r="C192" s="202"/>
      <c r="D192" s="202"/>
      <c r="E192" s="202"/>
      <c r="F192" s="202"/>
      <c r="G192" s="202"/>
      <c r="H192" s="202"/>
    </row>
    <row r="193" spans="1:8" x14ac:dyDescent="0.25">
      <c r="A193" s="202"/>
      <c r="B193" s="202"/>
      <c r="C193" s="202"/>
      <c r="D193" s="202"/>
      <c r="E193" s="202"/>
      <c r="F193" s="202"/>
      <c r="G193" s="202"/>
      <c r="H193" s="202"/>
    </row>
    <row r="194" spans="1:8" x14ac:dyDescent="0.25">
      <c r="A194" s="202"/>
      <c r="B194" s="202"/>
      <c r="C194" s="202"/>
      <c r="D194" s="202"/>
      <c r="E194" s="202"/>
      <c r="F194" s="202"/>
      <c r="G194" s="202"/>
      <c r="H194" s="202"/>
    </row>
    <row r="195" spans="1:8" x14ac:dyDescent="0.25">
      <c r="A195" s="200" t="s">
        <v>207</v>
      </c>
      <c r="B195" s="200"/>
      <c r="C195" s="200"/>
      <c r="D195" s="38" t="str">
        <f>E8</f>
        <v>Antalya</v>
      </c>
      <c r="E195" s="38"/>
      <c r="F195" s="38"/>
      <c r="G195" s="38"/>
      <c r="H195" s="38"/>
    </row>
    <row r="196" spans="1:8" x14ac:dyDescent="0.25">
      <c r="A196" s="38"/>
      <c r="B196" s="38"/>
      <c r="C196" s="38"/>
      <c r="D196" s="38"/>
      <c r="E196" s="38"/>
      <c r="F196" s="38"/>
      <c r="G196" s="38"/>
      <c r="H196" s="38"/>
    </row>
    <row r="238" spans="1:1" x14ac:dyDescent="0.25">
      <c r="A238" s="40" t="s">
        <v>170</v>
      </c>
    </row>
    <row r="273" spans="1:2" x14ac:dyDescent="0.25">
      <c r="A273" s="201" t="s">
        <v>68</v>
      </c>
      <c r="B273" s="201"/>
    </row>
    <row r="276" spans="1:2" x14ac:dyDescent="0.25">
      <c r="A276" s="40"/>
    </row>
  </sheetData>
  <mergeCells count="341">
    <mergeCell ref="A195:C195"/>
    <mergeCell ref="A273:B273"/>
    <mergeCell ref="A164:H164"/>
    <mergeCell ref="A165:B165"/>
    <mergeCell ref="A166:B166"/>
    <mergeCell ref="A167:B167"/>
    <mergeCell ref="A168:B168"/>
    <mergeCell ref="A169:H169"/>
    <mergeCell ref="A170:B170"/>
    <mergeCell ref="A171:B171"/>
    <mergeCell ref="A172:B172"/>
    <mergeCell ref="A173:B173"/>
    <mergeCell ref="G170:H173"/>
    <mergeCell ref="G165:H168"/>
    <mergeCell ref="A192:H194"/>
    <mergeCell ref="A191:B191"/>
    <mergeCell ref="E191:F191"/>
    <mergeCell ref="C191:D191"/>
    <mergeCell ref="G191:H191"/>
    <mergeCell ref="A190:H190"/>
    <mergeCell ref="A188:H188"/>
    <mergeCell ref="A187:H187"/>
    <mergeCell ref="A184:H184"/>
    <mergeCell ref="B178:H178"/>
    <mergeCell ref="A86:B86"/>
    <mergeCell ref="A87:B87"/>
    <mergeCell ref="F96:H96"/>
    <mergeCell ref="A96:E96"/>
    <mergeCell ref="D120:D121"/>
    <mergeCell ref="A98:E98"/>
    <mergeCell ref="A125:B125"/>
    <mergeCell ref="F97:H97"/>
    <mergeCell ref="A102:E102"/>
    <mergeCell ref="A97:E97"/>
    <mergeCell ref="A94:E94"/>
    <mergeCell ref="F98:H98"/>
    <mergeCell ref="A105:E105"/>
    <mergeCell ref="G116:H116"/>
    <mergeCell ref="A99:E99"/>
    <mergeCell ref="A116:B116"/>
    <mergeCell ref="E116:F116"/>
    <mergeCell ref="A112:H112"/>
    <mergeCell ref="C109:D109"/>
    <mergeCell ref="A123:H123"/>
    <mergeCell ref="C115:D115"/>
    <mergeCell ref="E115:F115"/>
    <mergeCell ref="G115:H115"/>
    <mergeCell ref="C120:C121"/>
    <mergeCell ref="B179:H179"/>
    <mergeCell ref="A174:H174"/>
    <mergeCell ref="A150:B150"/>
    <mergeCell ref="A146:H146"/>
    <mergeCell ref="A141:H141"/>
    <mergeCell ref="A140:B140"/>
    <mergeCell ref="A160:B160"/>
    <mergeCell ref="A161:B161"/>
    <mergeCell ref="A152:H152"/>
    <mergeCell ref="A149:B149"/>
    <mergeCell ref="A148:B148"/>
    <mergeCell ref="A151:H151"/>
    <mergeCell ref="A153:H153"/>
    <mergeCell ref="C155:F155"/>
    <mergeCell ref="C156:F156"/>
    <mergeCell ref="A159:H159"/>
    <mergeCell ref="A145:B145"/>
    <mergeCell ref="G137:H140"/>
    <mergeCell ref="G142:H145"/>
    <mergeCell ref="L128:M128"/>
    <mergeCell ref="L127:M127"/>
    <mergeCell ref="L126:M126"/>
    <mergeCell ref="L125:M125"/>
    <mergeCell ref="A77:B77"/>
    <mergeCell ref="C114:D114"/>
    <mergeCell ref="E114:F114"/>
    <mergeCell ref="G114:H114"/>
    <mergeCell ref="F101:H101"/>
    <mergeCell ref="A95:E95"/>
    <mergeCell ref="A124:H124"/>
    <mergeCell ref="E120:E121"/>
    <mergeCell ref="G120:H121"/>
    <mergeCell ref="A84:B84"/>
    <mergeCell ref="E84:F93"/>
    <mergeCell ref="A91:B91"/>
    <mergeCell ref="A92:B92"/>
    <mergeCell ref="A111:B111"/>
    <mergeCell ref="C111:D111"/>
    <mergeCell ref="E111:F111"/>
    <mergeCell ref="G111:H111"/>
    <mergeCell ref="A115:B115"/>
    <mergeCell ref="G84:H93"/>
    <mergeCell ref="A85:B85"/>
    <mergeCell ref="A37:B37"/>
    <mergeCell ref="A43:D43"/>
    <mergeCell ref="F35:H35"/>
    <mergeCell ref="A45:D45"/>
    <mergeCell ref="A46:H46"/>
    <mergeCell ref="D56:H56"/>
    <mergeCell ref="A56:C56"/>
    <mergeCell ref="G49:H49"/>
    <mergeCell ref="A36:H36"/>
    <mergeCell ref="A35:B35"/>
    <mergeCell ref="C35:E35"/>
    <mergeCell ref="A40:D40"/>
    <mergeCell ref="E40:H40"/>
    <mergeCell ref="A50:B51"/>
    <mergeCell ref="C37:H37"/>
    <mergeCell ref="A44:D44"/>
    <mergeCell ref="A38:B38"/>
    <mergeCell ref="C38:H38"/>
    <mergeCell ref="A47:B47"/>
    <mergeCell ref="C47:H47"/>
    <mergeCell ref="A39:H39"/>
    <mergeCell ref="A49:B49"/>
    <mergeCell ref="A53:H53"/>
    <mergeCell ref="A54:C54"/>
    <mergeCell ref="A59:C5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D62:H62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65:C65"/>
    <mergeCell ref="D65:H65"/>
    <mergeCell ref="A63:C63"/>
    <mergeCell ref="D63:H63"/>
    <mergeCell ref="A64:C64"/>
    <mergeCell ref="D64:H64"/>
    <mergeCell ref="A70:B70"/>
    <mergeCell ref="G69:H69"/>
    <mergeCell ref="A71:B71"/>
    <mergeCell ref="B132:B133"/>
    <mergeCell ref="A128:B128"/>
    <mergeCell ref="A142:B142"/>
    <mergeCell ref="F104:H104"/>
    <mergeCell ref="E109:F109"/>
    <mergeCell ref="A109:B109"/>
    <mergeCell ref="G113:H113"/>
    <mergeCell ref="A117:B117"/>
    <mergeCell ref="C117:D117"/>
    <mergeCell ref="E117:F117"/>
    <mergeCell ref="G117:H117"/>
    <mergeCell ref="A108:H108"/>
    <mergeCell ref="A106:E106"/>
    <mergeCell ref="F106:H106"/>
    <mergeCell ref="A107:E107"/>
    <mergeCell ref="F107:H107"/>
    <mergeCell ref="A110:B110"/>
    <mergeCell ref="A137:B137"/>
    <mergeCell ref="A135:H135"/>
    <mergeCell ref="A138:B138"/>
    <mergeCell ref="A139:B139"/>
    <mergeCell ref="A185:H185"/>
    <mergeCell ref="E113:F113"/>
    <mergeCell ref="B183:H183"/>
    <mergeCell ref="B181:H181"/>
    <mergeCell ref="B177:H177"/>
    <mergeCell ref="A157:B157"/>
    <mergeCell ref="A154:H154"/>
    <mergeCell ref="A155:B155"/>
    <mergeCell ref="A156:B156"/>
    <mergeCell ref="A158:B158"/>
    <mergeCell ref="A118:H118"/>
    <mergeCell ref="B175:H175"/>
    <mergeCell ref="B176:H176"/>
    <mergeCell ref="A147:B147"/>
    <mergeCell ref="C113:D113"/>
    <mergeCell ref="A114:B114"/>
    <mergeCell ref="A144:B144"/>
    <mergeCell ref="A132:A133"/>
    <mergeCell ref="A127:B127"/>
    <mergeCell ref="B182:H182"/>
    <mergeCell ref="B180:H180"/>
    <mergeCell ref="A126:B126"/>
    <mergeCell ref="A162:B162"/>
    <mergeCell ref="A163:B163"/>
    <mergeCell ref="A55:C55"/>
    <mergeCell ref="D55:H55"/>
    <mergeCell ref="G52:H52"/>
    <mergeCell ref="C51:H51"/>
    <mergeCell ref="A57:C58"/>
    <mergeCell ref="F105:H105"/>
    <mergeCell ref="F103:H103"/>
    <mergeCell ref="A104:E104"/>
    <mergeCell ref="A93:B93"/>
    <mergeCell ref="F102:H102"/>
    <mergeCell ref="F94:H94"/>
    <mergeCell ref="F99:H99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A73:B73"/>
    <mergeCell ref="E69:F69"/>
    <mergeCell ref="A62:C62"/>
    <mergeCell ref="A189:H189"/>
    <mergeCell ref="A186:H186"/>
    <mergeCell ref="A113:B113"/>
    <mergeCell ref="D132:D133"/>
    <mergeCell ref="E132:E133"/>
    <mergeCell ref="G132:H133"/>
    <mergeCell ref="A88:B88"/>
    <mergeCell ref="A89:B89"/>
    <mergeCell ref="A90:B90"/>
    <mergeCell ref="F95:H95"/>
    <mergeCell ref="G110:H110"/>
    <mergeCell ref="A122:H122"/>
    <mergeCell ref="A134:H134"/>
    <mergeCell ref="A129:B129"/>
    <mergeCell ref="A143:B143"/>
    <mergeCell ref="A119:H119"/>
    <mergeCell ref="G109:H109"/>
    <mergeCell ref="C110:D110"/>
    <mergeCell ref="E110:F110"/>
    <mergeCell ref="B120:B121"/>
    <mergeCell ref="A120:A121"/>
    <mergeCell ref="C132:C133"/>
    <mergeCell ref="C116:D116"/>
    <mergeCell ref="A136:H136"/>
    <mergeCell ref="L129:M129"/>
    <mergeCell ref="A130:B130"/>
    <mergeCell ref="L130:M130"/>
    <mergeCell ref="A131:H131"/>
    <mergeCell ref="G160:H163"/>
    <mergeCell ref="G155:H158"/>
    <mergeCell ref="G147:H150"/>
    <mergeCell ref="G125:H130"/>
    <mergeCell ref="E41:H41"/>
    <mergeCell ref="A41:D41"/>
    <mergeCell ref="A80:B80"/>
    <mergeCell ref="C80:H80"/>
    <mergeCell ref="A75:B75"/>
    <mergeCell ref="A48:B48"/>
    <mergeCell ref="C48:E48"/>
    <mergeCell ref="G48:H48"/>
    <mergeCell ref="G50:H50"/>
    <mergeCell ref="D54:H54"/>
    <mergeCell ref="C50:E50"/>
    <mergeCell ref="D57:H57"/>
    <mergeCell ref="D58:H58"/>
    <mergeCell ref="C49:E49"/>
    <mergeCell ref="A52:B52"/>
    <mergeCell ref="C52:E5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4" max="7" man="1"/>
    <brk id="237" max="7" man="1"/>
    <brk id="272" max="16383" man="1"/>
  </rowBreaks>
  <ignoredErrors>
    <ignoredError sqref="E7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85" zoomScaleNormal="85" workbookViewId="0">
      <selection activeCell="L31" sqref="L31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110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2025-04-09T06:52:30Z</cp:lastPrinted>
  <dcterms:created xsi:type="dcterms:W3CDTF">2019-07-16T09:29:46Z</dcterms:created>
  <dcterms:modified xsi:type="dcterms:W3CDTF">2025-07-10T05:44:24Z</dcterms:modified>
</cp:coreProperties>
</file>