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7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9" i="1" l="1"/>
  <c r="D162" i="1"/>
  <c r="D160" i="1"/>
  <c r="D194" i="1" l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7" i="1"/>
  <c r="F187" i="1" s="1"/>
  <c r="D212" i="1"/>
  <c r="F212" i="1" s="1"/>
  <c r="D210" i="1"/>
  <c r="F210" i="1" s="1"/>
  <c r="D209" i="1"/>
  <c r="F209" i="1" s="1"/>
  <c r="J124" i="1" s="1"/>
  <c r="D208" i="1"/>
  <c r="F208" i="1" s="1"/>
  <c r="D207" i="1"/>
  <c r="F207" i="1" s="1"/>
  <c r="D206" i="1"/>
  <c r="F206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85" i="1"/>
  <c r="F185" i="1" s="1"/>
  <c r="D184" i="1"/>
  <c r="F184" i="1" s="1"/>
  <c r="D183" i="1"/>
  <c r="F183" i="1" s="1"/>
  <c r="D182" i="1"/>
  <c r="D181" i="1"/>
  <c r="D180" i="1"/>
  <c r="D179" i="1"/>
  <c r="D178" i="1"/>
  <c r="A207" i="1"/>
  <c r="A208" i="1" s="1"/>
  <c r="A209" i="1" s="1"/>
  <c r="A210" i="1" s="1"/>
  <c r="A211" i="1" s="1"/>
  <c r="A212" i="1" s="1"/>
  <c r="G206" i="1"/>
  <c r="A199" i="1"/>
  <c r="A200" i="1" s="1"/>
  <c r="A201" i="1" s="1"/>
  <c r="A202" i="1" s="1"/>
  <c r="A203" i="1" s="1"/>
  <c r="A204" i="1" s="1"/>
  <c r="G198" i="1"/>
  <c r="A188" i="1"/>
  <c r="A189" i="1" s="1"/>
  <c r="A190" i="1" s="1"/>
  <c r="A191" i="1" s="1"/>
  <c r="A192" i="1" s="1"/>
  <c r="A193" i="1" s="1"/>
  <c r="A194" i="1" s="1"/>
  <c r="G187" i="1"/>
  <c r="A179" i="1"/>
  <c r="A180" i="1" s="1"/>
  <c r="A181" i="1" s="1"/>
  <c r="A182" i="1" s="1"/>
  <c r="A183" i="1" s="1"/>
  <c r="A184" i="1" s="1"/>
  <c r="A185" i="1" s="1"/>
  <c r="D173" i="1"/>
  <c r="D171" i="1"/>
  <c r="D170" i="1"/>
  <c r="D168" i="1"/>
  <c r="D167" i="1"/>
  <c r="D166" i="1"/>
  <c r="D164" i="1"/>
  <c r="D163" i="1"/>
  <c r="D161" i="1"/>
  <c r="D159" i="1"/>
  <c r="D158" i="1"/>
  <c r="D157" i="1"/>
  <c r="D153" i="1"/>
  <c r="D152" i="1"/>
  <c r="D151" i="1"/>
  <c r="D150" i="1"/>
  <c r="D149" i="1"/>
  <c r="D148" i="1"/>
  <c r="D146" i="1"/>
  <c r="D144" i="1"/>
  <c r="D143" i="1"/>
  <c r="D142" i="1"/>
  <c r="D141" i="1"/>
  <c r="D140" i="1"/>
  <c r="D139" i="1"/>
  <c r="D138" i="1"/>
  <c r="D137" i="1"/>
  <c r="I153" i="1"/>
  <c r="I140" i="1"/>
  <c r="I143" i="1"/>
  <c r="I137" i="1"/>
  <c r="C124" i="1" l="1"/>
  <c r="C126" i="1"/>
  <c r="C125" i="1"/>
  <c r="G127" i="1"/>
  <c r="E125" i="1"/>
  <c r="E127" i="1"/>
  <c r="C127" i="1"/>
  <c r="E124" i="1"/>
  <c r="E126" i="1"/>
  <c r="F152" i="1"/>
  <c r="J125" i="1" s="1"/>
  <c r="J126" i="1" s="1"/>
  <c r="F150" i="1"/>
  <c r="F148" i="1"/>
  <c r="F164" i="1"/>
  <c r="F162" i="1"/>
  <c r="F160" i="1"/>
  <c r="F158" i="1"/>
  <c r="F153" i="1"/>
  <c r="F151" i="1"/>
  <c r="F149" i="1"/>
  <c r="G146" i="1"/>
  <c r="F146" i="1"/>
  <c r="F163" i="1"/>
  <c r="F161" i="1"/>
  <c r="F159" i="1"/>
  <c r="J159" i="1" s="1"/>
  <c r="A158" i="1"/>
  <c r="A159" i="1" s="1"/>
  <c r="A160" i="1" s="1"/>
  <c r="A161" i="1" s="1"/>
  <c r="A162" i="1" s="1"/>
  <c r="A163" i="1" s="1"/>
  <c r="A164" i="1" s="1"/>
  <c r="G157" i="1"/>
  <c r="F157" i="1"/>
  <c r="F144" i="1"/>
  <c r="J144" i="1" s="1"/>
  <c r="F142" i="1"/>
  <c r="J142" i="1" s="1"/>
  <c r="F173" i="1"/>
  <c r="F171" i="1"/>
  <c r="F143" i="1"/>
  <c r="J143" i="1" s="1"/>
  <c r="C66" i="1"/>
  <c r="C49" i="1"/>
  <c r="C128" i="1" l="1"/>
  <c r="E128" i="1"/>
  <c r="D60" i="1"/>
  <c r="E29" i="1"/>
  <c r="B215" i="1"/>
  <c r="B67" i="1"/>
  <c r="E24" i="1"/>
  <c r="E26" i="1" l="1"/>
  <c r="C14" i="1"/>
  <c r="E42" i="1" l="1"/>
  <c r="E43" i="1" s="1"/>
  <c r="F121" i="1" l="1"/>
  <c r="F182" i="1" l="1"/>
  <c r="F181" i="1"/>
  <c r="F180" i="1"/>
  <c r="F179" i="1"/>
  <c r="F178" i="1"/>
  <c r="F170" i="1"/>
  <c r="F169" i="1"/>
  <c r="F168" i="1"/>
  <c r="F167" i="1"/>
  <c r="F166" i="1"/>
  <c r="F141" i="1"/>
  <c r="J141" i="1" s="1"/>
  <c r="F140" i="1"/>
  <c r="J140" i="1" s="1"/>
  <c r="F138" i="1"/>
  <c r="J138" i="1" s="1"/>
  <c r="F137" i="1"/>
  <c r="J137" i="1" s="1"/>
  <c r="F139" i="1"/>
  <c r="J139" i="1" s="1"/>
  <c r="G126" i="1" l="1"/>
  <c r="G124" i="1"/>
  <c r="G125" i="1"/>
  <c r="G128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35" i="1"/>
  <c r="G178" i="1"/>
  <c r="G166" i="1"/>
  <c r="G137" i="1"/>
  <c r="A138" i="1"/>
  <c r="A139" i="1" s="1"/>
  <c r="A140" i="1" s="1"/>
  <c r="A141" i="1" s="1"/>
  <c r="A142" i="1" s="1"/>
  <c r="A143" i="1" s="1"/>
  <c r="A144" i="1" s="1"/>
  <c r="B81" i="1"/>
  <c r="D54" i="1"/>
  <c r="G49" i="1"/>
  <c r="E7" i="1"/>
  <c r="E3" i="1"/>
  <c r="H67" i="1"/>
  <c r="H81" i="1"/>
  <c r="J86" i="1" l="1"/>
  <c r="J80" i="1"/>
  <c r="J82" i="1" s="1"/>
  <c r="D91" i="1"/>
  <c r="D92" i="1"/>
  <c r="D93" i="1"/>
  <c r="D87" i="1"/>
  <c r="D88" i="1"/>
  <c r="D89" i="1"/>
  <c r="D90" i="1"/>
  <c r="D79" i="1"/>
  <c r="D77" i="1"/>
  <c r="D76" i="1"/>
  <c r="D75" i="1"/>
  <c r="D73" i="1"/>
  <c r="J66" i="1"/>
  <c r="D78" i="1"/>
  <c r="D74" i="1"/>
  <c r="J70" i="1"/>
  <c r="J71" i="1"/>
  <c r="J69" i="1"/>
  <c r="J72" i="1"/>
  <c r="J84" i="1"/>
  <c r="J85" i="1"/>
  <c r="C84" i="1" s="1"/>
  <c r="J83" i="1"/>
  <c r="J73" i="1" l="1"/>
  <c r="J87" i="1"/>
  <c r="J88" i="1"/>
  <c r="J89" i="1" s="1"/>
  <c r="J90" i="1" s="1"/>
  <c r="J91" i="1" s="1"/>
  <c r="J74" i="1"/>
  <c r="J75" i="1" s="1"/>
  <c r="J76" i="1" s="1"/>
  <c r="J77" i="1" s="1"/>
  <c r="D86" i="1"/>
  <c r="D72" i="1"/>
  <c r="J68" i="1"/>
  <c r="D70" i="1"/>
  <c r="D84" i="1"/>
  <c r="B95" i="1" l="1"/>
  <c r="J78" i="1"/>
  <c r="J92" i="1"/>
  <c r="J93" i="1" s="1"/>
  <c r="H95" i="1"/>
  <c r="J99" i="1" l="1"/>
  <c r="C98" i="1" s="1"/>
  <c r="D98" i="1" s="1"/>
  <c r="D103" i="1"/>
  <c r="D99" i="1"/>
  <c r="J98" i="1"/>
  <c r="D107" i="1"/>
  <c r="D106" i="1"/>
  <c r="D102" i="1"/>
  <c r="J97" i="1"/>
  <c r="E98" i="1"/>
  <c r="D101" i="1"/>
  <c r="D104" i="1"/>
  <c r="J94" i="1"/>
  <c r="J96" i="1" s="1"/>
  <c r="D105" i="1"/>
  <c r="D100" i="1"/>
  <c r="J103" i="1"/>
  <c r="J102" i="1"/>
  <c r="J100" i="1"/>
  <c r="J101" i="1" s="1"/>
  <c r="J106" i="1" s="1"/>
  <c r="J107" i="1" s="1"/>
  <c r="J104" i="1"/>
  <c r="J105" i="1"/>
  <c r="J79" i="1"/>
  <c r="C71" i="1" s="1"/>
  <c r="G70" i="1" s="1"/>
  <c r="J81" i="1"/>
  <c r="E84" i="1"/>
  <c r="I95" i="1" l="1"/>
  <c r="I96" i="1" s="1"/>
  <c r="G98" i="1"/>
  <c r="J95" i="1"/>
  <c r="E70" i="1"/>
  <c r="J67" i="1"/>
  <c r="D71" i="1"/>
  <c r="I67" i="1" s="1"/>
  <c r="I68" i="1" s="1"/>
  <c r="D85" i="1"/>
  <c r="I81" i="1" s="1"/>
  <c r="I82" i="1" s="1"/>
  <c r="G84" i="1"/>
  <c r="D64" i="1" s="1"/>
  <c r="D65" i="1" s="1"/>
  <c r="I94" i="1" l="1"/>
  <c r="C96" i="1" s="1"/>
  <c r="I66" i="1"/>
  <c r="C68" i="1" s="1"/>
  <c r="I80" i="1"/>
  <c r="C82" i="1" s="1"/>
  <c r="F65" i="1"/>
</calcChain>
</file>

<file path=xl/sharedStrings.xml><?xml version="1.0" encoding="utf-8"?>
<sst xmlns="http://schemas.openxmlformats.org/spreadsheetml/2006/main" count="411" uniqueCount="233">
  <si>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</si>
  <si>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</si>
  <si>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</si>
  <si>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</si>
  <si>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</si>
  <si>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</si>
  <si>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</si>
  <si>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</si>
  <si>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</si>
  <si>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</si>
  <si>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</si>
  <si>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</si>
  <si>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</si>
  <si>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</si>
  <si>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</si>
  <si>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</si>
  <si>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</si>
  <si>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</si>
  <si>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</si>
  <si>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</si>
  <si>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</si>
  <si>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</si>
  <si>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</si>
  <si>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</si>
  <si>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</si>
  <si>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</si>
  <si>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</si>
  <si>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</si>
  <si>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</si>
  <si>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</si>
  <si>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</si>
  <si>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</si>
  <si>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</si>
  <si>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</si>
  <si>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</si>
  <si>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</si>
  <si>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</si>
  <si>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</si>
  <si>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</si>
  <si>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</si>
  <si>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</si>
  <si>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</si>
  <si>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</si>
  <si>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</si>
  <si>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</si>
  <si>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</si>
  <si>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</si>
  <si>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</si>
  <si>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</si>
  <si>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</si>
  <si>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</si>
  <si>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</si>
  <si>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</si>
  <si>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</si>
  <si>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</si>
  <si>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</si>
  <si>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</si>
  <si>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</si>
  <si>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</si>
  <si>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</si>
  <si>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</si>
  <si>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</si>
  <si>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</si>
  <si>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</si>
  <si>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</si>
  <si>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</si>
  <si>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</si>
  <si>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</si>
  <si>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</si>
  <si>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</si>
  <si>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</si>
  <si>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</si>
  <si>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</si>
  <si>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</si>
  <si>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</si>
  <si>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</si>
  <si>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</si>
  <si>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</si>
  <si>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</si>
  <si>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</si>
  <si>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</si>
  <si>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</si>
  <si>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</si>
  <si>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</si>
  <si>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</si>
  <si>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</si>
  <si>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</si>
  <si>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</si>
  <si>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</si>
  <si>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</si>
  <si>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</si>
  <si>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</si>
  <si>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</si>
  <si>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</si>
  <si>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</si>
  <si>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</si>
  <si>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</si>
  <si>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</si>
  <si>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</si>
  <si>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</si>
  <si>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</si>
  <si>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</si>
  <si>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</si>
  <si>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</si>
  <si>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</si>
  <si>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</si>
  <si>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</si>
  <si>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</si>
  <si>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</si>
  <si>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</si>
  <si>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</si>
  <si>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</si>
  <si>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</si>
  <si>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</si>
  <si>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</si>
  <si>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</si>
  <si>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</si>
  <si>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</si>
  <si>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</si>
  <si>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</si>
  <si>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</si>
  <si>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</si>
  <si>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</si>
  <si>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</si>
  <si>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</si>
  <si>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</si>
  <si>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</si>
  <si>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</si>
  <si>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</si>
  <si>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</si>
  <si>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</si>
  <si>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</si>
  <si>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</si>
  <si>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</si>
  <si>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</si>
  <si>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</si>
  <si>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</si>
  <si>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</si>
  <si>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</si>
  <si>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</si>
  <si>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</si>
  <si>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</si>
  <si>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</si>
  <si>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</si>
  <si>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</si>
  <si>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</si>
  <si>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</si>
  <si>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</si>
  <si>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</si>
  <si>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</si>
  <si>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</si>
  <si>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</si>
  <si>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</si>
  <si>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</si>
  <si>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</si>
  <si>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</si>
  <si>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</si>
  <si>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</si>
  <si>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</si>
  <si>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</si>
  <si>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</si>
  <si>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</si>
  <si>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</si>
  <si>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</si>
  <si>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</si>
  <si>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</si>
  <si>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</si>
  <si>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</si>
  <si>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</si>
  <si>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</si>
  <si>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Goregaon</t>
  </si>
  <si>
    <t>Jade Gardens</t>
  </si>
  <si>
    <t>Palghar</t>
  </si>
  <si>
    <t>Mahim</t>
  </si>
  <si>
    <t>Building No 1 (Wing A &amp; B)
Building No 2 (Wing C &amp; D)</t>
  </si>
  <si>
    <t xml:space="preserve">P99000048402
</t>
  </si>
  <si>
    <t>Approved Plans, CC</t>
  </si>
  <si>
    <t>Survey No</t>
  </si>
  <si>
    <t>828/3/B</t>
  </si>
  <si>
    <t>Vagulsar Vighnaharta Ganesh Mandir</t>
  </si>
  <si>
    <t>Vajulsar</t>
  </si>
  <si>
    <t>Internal Road</t>
  </si>
  <si>
    <t>Open Plot</t>
  </si>
  <si>
    <t>5.9 KM from Palghar Railway Station</t>
  </si>
  <si>
    <t>We have referred CC from Rera site.</t>
  </si>
  <si>
    <t>04 Wings</t>
  </si>
  <si>
    <t>Collector Of Palghar</t>
  </si>
  <si>
    <t>Mahasul/KS-1/T-1/NAP/SR-339/2021</t>
  </si>
  <si>
    <t>As per RERA - 01/10/2029</t>
  </si>
  <si>
    <t>Building No.1 (A &amp; B Wing) =  Gr/St + 1st to 7th Floor</t>
  </si>
  <si>
    <t>Building No.1 (A &amp; B Wing) =  Gr/St + 1st to 7th Floor
Building No.2 (C &amp; D Wing) =  Gr/St + 1st to 7th Floor</t>
  </si>
  <si>
    <t>Ground/Stilt Floor For Entrance Lobby &amp; Parking</t>
  </si>
  <si>
    <t>1st to 6th Floor For Residential</t>
  </si>
  <si>
    <t>1BHK</t>
  </si>
  <si>
    <t>2BHK</t>
  </si>
  <si>
    <t>Wing A</t>
  </si>
  <si>
    <t>Wing B</t>
  </si>
  <si>
    <t>Society Office</t>
  </si>
  <si>
    <t>Driver Room</t>
  </si>
  <si>
    <t>7th Floor For Society Office &amp; Residential</t>
  </si>
  <si>
    <t>7th Floor For Driver Room &amp; Residential</t>
  </si>
  <si>
    <t>Building No. 2</t>
  </si>
  <si>
    <t>Building No. 1</t>
  </si>
  <si>
    <t>Wing C</t>
  </si>
  <si>
    <t>1st to 6th Floor</t>
  </si>
  <si>
    <t>Wing D</t>
  </si>
  <si>
    <t xml:space="preserve">Ground Floor For Entrance Lobby &amp; Parking </t>
  </si>
  <si>
    <t>Residential Area Details : Building No. 1</t>
  </si>
  <si>
    <t>Flats - 213</t>
  </si>
  <si>
    <t>We considered Gross carpet area = Net carpet + Balcony + Chajja Area.</t>
  </si>
  <si>
    <t>https://goo.gl/maps/KFXgGmUVqJMHHoTH6</t>
  </si>
  <si>
    <t>Building</t>
  </si>
  <si>
    <t>Magnus Omkara</t>
  </si>
  <si>
    <t>Mahasul/K-1/Mej1/B.S.P/S.R/C.R/339/2021</t>
  </si>
  <si>
    <t>Sheet</t>
  </si>
  <si>
    <t>Paramount Enclave</t>
  </si>
  <si>
    <t>3600 to 3650 &amp; OC</t>
  </si>
  <si>
    <t xml:space="preserve">Sanjay </t>
  </si>
  <si>
    <t>Cost sheet</t>
  </si>
  <si>
    <t>Water, Electricity, Maintenance Charges</t>
  </si>
  <si>
    <t>3650 to 3700</t>
  </si>
  <si>
    <t xml:space="preserve">nikhil </t>
  </si>
  <si>
    <t>cost sheet</t>
  </si>
  <si>
    <t>Niwas Lifespaces LLP</t>
  </si>
  <si>
    <t>19.679743,72.746303</t>
  </si>
  <si>
    <t>Building No.2 (C &amp; D Wing) =  Gr/St + 1st to 7th Floor</t>
  </si>
  <si>
    <t>s</t>
  </si>
  <si>
    <t>Building No.2 (C Wing) =  Gr/St + 1st to 7th Floor</t>
  </si>
  <si>
    <t>Building No.2 (D Wing) =  Gr/St + 1st to 7th Floor</t>
  </si>
  <si>
    <t>Pooja</t>
  </si>
  <si>
    <t>Mr. Prem : 8169460035</t>
  </si>
  <si>
    <t>A &amp; B Wing = Construction work is in process at the time of Visit.
C &amp; D Wing = Construction work is in process at the time of Visit.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</si>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</sst>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6" fillId="2" borderId="0" xfId="1" applyFont="1" applyFill="1"/>
    <xf numFmtId="14" fontId="16" fillId="2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32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26" Type="http://schemas.openxmlformats.org/officeDocument/2006/relationships/image" Target="../media/image24.png"/><Relationship Id="rId3" Type="http://schemas.openxmlformats.org/officeDocument/2006/relationships/image" Target="../media/image2.png"/><Relationship Id="rId21" Type="http://schemas.openxmlformats.org/officeDocument/2006/relationships/image" Target="../media/image19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0" Type="http://schemas.openxmlformats.org/officeDocument/2006/relationships/image" Target="../media/image18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24" Type="http://schemas.openxmlformats.org/officeDocument/2006/relationships/image" Target="../media/image22.png"/><Relationship Id="rId5" Type="http://schemas.openxmlformats.org/officeDocument/2006/relationships/image" Target="../media/image3.jpeg"/><Relationship Id="rId15" Type="http://schemas.openxmlformats.org/officeDocument/2006/relationships/image" Target="../media/image13.png"/><Relationship Id="rId23" Type="http://schemas.openxmlformats.org/officeDocument/2006/relationships/image" Target="../media/image21.png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4" Type="http://schemas.microsoft.com/office/2007/relationships/hdphoto" Target="../media/hdphoto2.wdp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png"/><Relationship Id="rId27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727363</xdr:colOff>
      <xdr:row>279</xdr:row>
      <xdr:rowOff>0</xdr:rowOff>
    </xdr:from>
    <xdr:to>
      <xdr:col>6</xdr:col>
      <xdr:colOff>179658</xdr:colOff>
      <xdr:row>310</xdr:row>
      <xdr:rowOff>69950</xdr:rowOff>
    </xdr:to>
    <xdr:grpSp>
      <xdr:nvGrpSpPr>
        <xdr:cNvPr id="26" name="Group 25"/>
        <xdr:cNvGrpSpPr/>
      </xdr:nvGrpSpPr>
      <xdr:grpSpPr>
        <a:xfrm>
          <a:off x="1527463" y="57404000"/>
          <a:ext cx="3808395" cy="6172300"/>
          <a:chOff x="1456472" y="1312037"/>
          <a:chExt cx="3600000" cy="6243881"/>
        </a:xfrm>
      </xdr:grpSpPr>
      <xdr:pic>
        <xdr:nvPicPr>
          <xdr:cNvPr id="27" name="Picture 26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9234" t="15896" r="24016" b="29010"/>
          <a:stretch/>
        </xdr:blipFill>
        <xdr:spPr>
          <a:xfrm rot="16200000">
            <a:off x="2029760" y="4529206"/>
            <a:ext cx="2453424" cy="360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0575" t="17135" r="10599" b="37771"/>
          <a:stretch/>
        </xdr:blipFill>
        <xdr:spPr>
          <a:xfrm rot="16200000">
            <a:off x="1486596" y="1281913"/>
            <a:ext cx="3539751" cy="360000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889" t="40754" r="52581" b="35849"/>
          <a:stretch/>
        </xdr:blipFill>
        <xdr:spPr>
          <a:xfrm>
            <a:off x="4632817" y="4517776"/>
            <a:ext cx="208406" cy="27491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380999</xdr:colOff>
      <xdr:row>317</xdr:row>
      <xdr:rowOff>8659</xdr:rowOff>
    </xdr:from>
    <xdr:to>
      <xdr:col>6</xdr:col>
      <xdr:colOff>389658</xdr:colOff>
      <xdr:row>331</xdr:row>
      <xdr:rowOff>100432</xdr:rowOff>
    </xdr:to>
    <xdr:pic>
      <xdr:nvPicPr>
        <xdr:cNvPr id="32" name="Picture 3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2999" y="68164364"/>
          <a:ext cx="415636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401424</xdr:colOff>
      <xdr:row>332</xdr:row>
      <xdr:rowOff>75023</xdr:rowOff>
    </xdr:from>
    <xdr:to>
      <xdr:col>6</xdr:col>
      <xdr:colOff>389658</xdr:colOff>
      <xdr:row>346</xdr:row>
      <xdr:rowOff>166796</xdr:rowOff>
    </xdr:to>
    <xdr:pic>
      <xdr:nvPicPr>
        <xdr:cNvPr id="33" name="Picture 3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3424" y="71218114"/>
          <a:ext cx="4135939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900546</xdr:colOff>
      <xdr:row>338</xdr:row>
      <xdr:rowOff>112569</xdr:rowOff>
    </xdr:from>
    <xdr:to>
      <xdr:col>4</xdr:col>
      <xdr:colOff>381000</xdr:colOff>
      <xdr:row>341</xdr:row>
      <xdr:rowOff>103909</xdr:rowOff>
    </xdr:to>
    <xdr:sp macro="" textlink="">
      <xdr:nvSpPr>
        <xdr:cNvPr id="3" name="Rectangle 2"/>
        <xdr:cNvSpPr/>
      </xdr:nvSpPr>
      <xdr:spPr>
        <a:xfrm>
          <a:off x="3307773" y="72450614"/>
          <a:ext cx="424295" cy="588818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839932</xdr:colOff>
      <xdr:row>302</xdr:row>
      <xdr:rowOff>77929</xdr:rowOff>
    </xdr:from>
    <xdr:to>
      <xdr:col>3</xdr:col>
      <xdr:colOff>432955</xdr:colOff>
      <xdr:row>304</xdr:row>
      <xdr:rowOff>43294</xdr:rowOff>
    </xdr:to>
    <xdr:sp macro="" textlink="">
      <xdr:nvSpPr>
        <xdr:cNvPr id="4" name="TextBox 3"/>
        <xdr:cNvSpPr txBox="1"/>
      </xdr:nvSpPr>
      <xdr:spPr>
        <a:xfrm>
          <a:off x="2398568" y="64051293"/>
          <a:ext cx="441614" cy="363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rgbClr val="FF0000"/>
              </a:solidFill>
            </a:rPr>
            <a:t>Wing A &amp; B</a:t>
          </a:r>
        </a:p>
      </xdr:txBody>
    </xdr:sp>
    <xdr:clientData/>
  </xdr:twoCellAnchor>
  <xdr:twoCellAnchor>
    <xdr:from>
      <xdr:col>4</xdr:col>
      <xdr:colOff>597476</xdr:colOff>
      <xdr:row>302</xdr:row>
      <xdr:rowOff>25977</xdr:rowOff>
    </xdr:from>
    <xdr:to>
      <xdr:col>5</xdr:col>
      <xdr:colOff>259772</xdr:colOff>
      <xdr:row>303</xdr:row>
      <xdr:rowOff>190501</xdr:rowOff>
    </xdr:to>
    <xdr:sp macro="" textlink="">
      <xdr:nvSpPr>
        <xdr:cNvPr id="21" name="TextBox 20"/>
        <xdr:cNvSpPr txBox="1"/>
      </xdr:nvSpPr>
      <xdr:spPr>
        <a:xfrm>
          <a:off x="3948544" y="63999341"/>
          <a:ext cx="441614" cy="363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800" b="1">
              <a:solidFill>
                <a:srgbClr val="FF0000"/>
              </a:solidFill>
            </a:rPr>
            <a:t>Wing C &amp; D</a:t>
          </a:r>
        </a:p>
      </xdr:txBody>
    </xdr:sp>
    <xdr:clientData/>
  </xdr:twoCellAnchor>
  <xdr:twoCellAnchor>
    <xdr:from>
      <xdr:col>8</xdr:col>
      <xdr:colOff>301625</xdr:colOff>
      <xdr:row>235</xdr:row>
      <xdr:rowOff>50800</xdr:rowOff>
    </xdr:from>
    <xdr:to>
      <xdr:col>15</xdr:col>
      <xdr:colOff>276834</xdr:colOff>
      <xdr:row>273</xdr:row>
      <xdr:rowOff>70104</xdr:rowOff>
    </xdr:to>
    <xdr:grpSp>
      <xdr:nvGrpSpPr>
        <xdr:cNvPr id="2" name="Group 1"/>
        <xdr:cNvGrpSpPr/>
      </xdr:nvGrpSpPr>
      <xdr:grpSpPr>
        <a:xfrm>
          <a:off x="7146925" y="48799750"/>
          <a:ext cx="6388709" cy="7493254"/>
          <a:chOff x="254000" y="46066075"/>
          <a:chExt cx="6099784" cy="7610729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1966" y="51848229"/>
            <a:ext cx="2283477" cy="18285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5947" y="46066075"/>
            <a:ext cx="1895891" cy="274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001" y="46066075"/>
            <a:ext cx="1946691" cy="274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085" y="51848229"/>
            <a:ext cx="2318402" cy="18285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55946" y="48953977"/>
            <a:ext cx="1895891" cy="274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000" y="48953977"/>
            <a:ext cx="1946691" cy="274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7093" y="46066075"/>
            <a:ext cx="1946691" cy="27412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7093" y="48953977"/>
            <a:ext cx="1946691" cy="27444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2" name="Rectangle 51"/>
          <xdr:cNvSpPr/>
        </xdr:nvSpPr>
        <xdr:spPr>
          <a:xfrm>
            <a:off x="254001" y="46066075"/>
            <a:ext cx="330199" cy="3937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</a:t>
            </a:r>
          </a:p>
        </xdr:txBody>
      </xdr:sp>
      <xdr:sp macro="" textlink="">
        <xdr:nvSpPr>
          <xdr:cNvPr id="53" name="Rectangle 52"/>
          <xdr:cNvSpPr/>
        </xdr:nvSpPr>
        <xdr:spPr>
          <a:xfrm>
            <a:off x="2355947" y="46066076"/>
            <a:ext cx="269778" cy="380491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</a:t>
            </a:r>
          </a:p>
        </xdr:txBody>
      </xdr:sp>
      <xdr:sp macro="" textlink="">
        <xdr:nvSpPr>
          <xdr:cNvPr id="54" name="Rectangle 53"/>
          <xdr:cNvSpPr/>
        </xdr:nvSpPr>
        <xdr:spPr>
          <a:xfrm>
            <a:off x="4407093" y="46066076"/>
            <a:ext cx="336357" cy="380491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</a:t>
            </a:r>
          </a:p>
        </xdr:txBody>
      </xdr:sp>
      <xdr:sp macro="" textlink="">
        <xdr:nvSpPr>
          <xdr:cNvPr id="55" name="Rectangle 54"/>
          <xdr:cNvSpPr/>
        </xdr:nvSpPr>
        <xdr:spPr>
          <a:xfrm>
            <a:off x="254000" y="48953977"/>
            <a:ext cx="336357" cy="380491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</a:t>
            </a:r>
          </a:p>
        </xdr:txBody>
      </xdr:sp>
      <xdr:sp macro="" textlink="">
        <xdr:nvSpPr>
          <xdr:cNvPr id="56" name="Rectangle 55"/>
          <xdr:cNvSpPr/>
        </xdr:nvSpPr>
        <xdr:spPr>
          <a:xfrm>
            <a:off x="2355946" y="48953977"/>
            <a:ext cx="295082" cy="380491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</a:t>
            </a:r>
          </a:p>
        </xdr:txBody>
      </xdr:sp>
      <xdr:sp macro="" textlink="">
        <xdr:nvSpPr>
          <xdr:cNvPr id="57" name="Rectangle 56"/>
          <xdr:cNvSpPr/>
        </xdr:nvSpPr>
        <xdr:spPr>
          <a:xfrm>
            <a:off x="4407093" y="48953977"/>
            <a:ext cx="336357" cy="380491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</a:t>
            </a:r>
          </a:p>
        </xdr:txBody>
      </xdr:sp>
    </xdr:grpSp>
    <xdr:clientData/>
  </xdr:twoCellAnchor>
  <xdr:twoCellAnchor>
    <xdr:from>
      <xdr:col>8</xdr:col>
      <xdr:colOff>301625</xdr:colOff>
      <xdr:row>235</xdr:row>
      <xdr:rowOff>50800</xdr:rowOff>
    </xdr:from>
    <xdr:to>
      <xdr:col>8</xdr:col>
      <xdr:colOff>631824</xdr:colOff>
      <xdr:row>237</xdr:row>
      <xdr:rowOff>44450</xdr:rowOff>
    </xdr:to>
    <xdr:sp macro="" textlink="">
      <xdr:nvSpPr>
        <xdr:cNvPr id="46" name="Rectangle 45"/>
        <xdr:cNvSpPr/>
      </xdr:nvSpPr>
      <xdr:spPr>
        <a:xfrm>
          <a:off x="6826250" y="46047025"/>
          <a:ext cx="330199" cy="393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10</xdr:col>
      <xdr:colOff>479521</xdr:colOff>
      <xdr:row>235</xdr:row>
      <xdr:rowOff>50801</xdr:rowOff>
    </xdr:from>
    <xdr:to>
      <xdr:col>10</xdr:col>
      <xdr:colOff>749299</xdr:colOff>
      <xdr:row>237</xdr:row>
      <xdr:rowOff>31242</xdr:rowOff>
    </xdr:to>
    <xdr:sp macro="" textlink="">
      <xdr:nvSpPr>
        <xdr:cNvPr id="47" name="Rectangle 46"/>
        <xdr:cNvSpPr/>
      </xdr:nvSpPr>
      <xdr:spPr>
        <a:xfrm>
          <a:off x="8928196" y="46047026"/>
          <a:ext cx="269778" cy="380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12</xdr:col>
      <xdr:colOff>616142</xdr:colOff>
      <xdr:row>235</xdr:row>
      <xdr:rowOff>50801</xdr:rowOff>
    </xdr:from>
    <xdr:to>
      <xdr:col>13</xdr:col>
      <xdr:colOff>161924</xdr:colOff>
      <xdr:row>237</xdr:row>
      <xdr:rowOff>31242</xdr:rowOff>
    </xdr:to>
    <xdr:sp macro="" textlink="">
      <xdr:nvSpPr>
        <xdr:cNvPr id="48" name="Rectangle 47"/>
        <xdr:cNvSpPr/>
      </xdr:nvSpPr>
      <xdr:spPr>
        <a:xfrm>
          <a:off x="10979342" y="46047026"/>
          <a:ext cx="336357" cy="380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10</xdr:col>
      <xdr:colOff>1003396</xdr:colOff>
      <xdr:row>233</xdr:row>
      <xdr:rowOff>50801</xdr:rowOff>
    </xdr:from>
    <xdr:to>
      <xdr:col>11</xdr:col>
      <xdr:colOff>63499</xdr:colOff>
      <xdr:row>235</xdr:row>
      <xdr:rowOff>31242</xdr:rowOff>
    </xdr:to>
    <xdr:sp macro="" textlink="">
      <xdr:nvSpPr>
        <xdr:cNvPr id="59" name="Rectangle 58"/>
        <xdr:cNvSpPr/>
      </xdr:nvSpPr>
      <xdr:spPr>
        <a:xfrm>
          <a:off x="9452071" y="45646976"/>
          <a:ext cx="269778" cy="380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</a:p>
      </xdr:txBody>
    </xdr:sp>
    <xdr:clientData/>
  </xdr:twoCellAnchor>
  <xdr:twoCellAnchor>
    <xdr:from>
      <xdr:col>13</xdr:col>
      <xdr:colOff>349442</xdr:colOff>
      <xdr:row>233</xdr:row>
      <xdr:rowOff>50801</xdr:rowOff>
    </xdr:from>
    <xdr:to>
      <xdr:col>13</xdr:col>
      <xdr:colOff>685799</xdr:colOff>
      <xdr:row>235</xdr:row>
      <xdr:rowOff>31242</xdr:rowOff>
    </xdr:to>
    <xdr:sp macro="" textlink="">
      <xdr:nvSpPr>
        <xdr:cNvPr id="60" name="Rectangle 59"/>
        <xdr:cNvSpPr/>
      </xdr:nvSpPr>
      <xdr:spPr>
        <a:xfrm>
          <a:off x="11503217" y="45646976"/>
          <a:ext cx="336357" cy="380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</a:p>
      </xdr:txBody>
    </xdr:sp>
    <xdr:clientData/>
  </xdr:twoCellAnchor>
  <xdr:twoCellAnchor>
    <xdr:from>
      <xdr:col>8</xdr:col>
      <xdr:colOff>1193800</xdr:colOff>
      <xdr:row>233</xdr:row>
      <xdr:rowOff>12700</xdr:rowOff>
    </xdr:from>
    <xdr:to>
      <xdr:col>9</xdr:col>
      <xdr:colOff>629646</xdr:colOff>
      <xdr:row>234</xdr:row>
      <xdr:rowOff>95250</xdr:rowOff>
    </xdr:to>
    <xdr:sp macro="" textlink="">
      <xdr:nvSpPr>
        <xdr:cNvPr id="58" name="Rectangle 57"/>
        <xdr:cNvSpPr/>
      </xdr:nvSpPr>
      <xdr:spPr>
        <a:xfrm>
          <a:off x="8039100" y="48152050"/>
          <a:ext cx="655046" cy="2794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twoCellAnchor>
  <xdr:twoCellAnchor>
    <xdr:from>
      <xdr:col>0</xdr:col>
      <xdr:colOff>127000</xdr:colOff>
      <xdr:row>235</xdr:row>
      <xdr:rowOff>114300</xdr:rowOff>
    </xdr:from>
    <xdr:to>
      <xdr:col>7</xdr:col>
      <xdr:colOff>661720</xdr:colOff>
      <xdr:row>268</xdr:row>
      <xdr:rowOff>20666</xdr:rowOff>
    </xdr:to>
    <xdr:grpSp>
      <xdr:nvGrpSpPr>
        <xdr:cNvPr id="6" name="Group 5"/>
        <xdr:cNvGrpSpPr/>
      </xdr:nvGrpSpPr>
      <xdr:grpSpPr>
        <a:xfrm>
          <a:off x="127000" y="48863250"/>
          <a:ext cx="6510070" cy="6396066"/>
          <a:chOff x="127000" y="48863250"/>
          <a:chExt cx="6510070" cy="6396066"/>
        </a:xfrm>
      </xdr:grpSpPr>
      <xdr:pic>
        <xdr:nvPicPr>
          <xdr:cNvPr id="66" name="Picture 6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9673" y="5320731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115" y="5320731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002" y="488632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4559" y="488632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116" y="488632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4558" y="5320731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9673" y="488632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001" y="5103528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4558" y="5103528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116" y="5103528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7000" y="5320731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99673" y="51035283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574821</xdr:colOff>
      <xdr:row>18</xdr:row>
      <xdr:rowOff>37690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85714" cy="3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FXgGmUVqJMHHoTH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16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1" customWidth="1"/>
    <col min="10" max="10" width="11.453125" style="21" customWidth="1"/>
    <col min="11" max="11" width="18.1796875" style="2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78" t="s">
        <v>166</v>
      </c>
      <c r="B1" s="178"/>
      <c r="C1" s="178"/>
      <c r="D1" s="178"/>
      <c r="E1" s="178"/>
      <c r="F1" s="178"/>
      <c r="G1" s="178"/>
      <c r="H1" s="178"/>
    </row>
    <row r="2" spans="1:8" ht="16.5" customHeight="1" x14ac:dyDescent="0.35">
      <c r="A2" s="117" t="s">
        <v>0</v>
      </c>
      <c r="B2" s="117"/>
      <c r="C2" s="117"/>
      <c r="D2" s="117"/>
      <c r="E2" s="117"/>
      <c r="F2" s="117"/>
      <c r="G2" s="117"/>
      <c r="H2" s="117"/>
    </row>
    <row r="3" spans="1:8" x14ac:dyDescent="0.35">
      <c r="A3" s="142" t="s">
        <v>1</v>
      </c>
      <c r="B3" s="142"/>
      <c r="C3" s="142"/>
      <c r="D3" s="142"/>
      <c r="E3" s="142" t="str">
        <f ca="1">TEXT(TODAY(),"DD/MM/YYYY")</f>
        <v>17/07/2025</v>
      </c>
      <c r="F3" s="142"/>
      <c r="G3" s="142"/>
      <c r="H3" s="142"/>
    </row>
    <row r="4" spans="1:8" x14ac:dyDescent="0.35">
      <c r="A4" s="142" t="s">
        <v>2</v>
      </c>
      <c r="B4" s="142"/>
      <c r="C4" s="142"/>
      <c r="D4" s="142"/>
      <c r="E4" s="142" t="s">
        <v>170</v>
      </c>
      <c r="F4" s="142"/>
      <c r="G4" s="142"/>
      <c r="H4" s="142"/>
    </row>
    <row r="5" spans="1:8" x14ac:dyDescent="0.35">
      <c r="A5" s="142" t="s">
        <v>3</v>
      </c>
      <c r="B5" s="142"/>
      <c r="C5" s="142"/>
      <c r="D5" s="142"/>
      <c r="E5" s="179">
        <v>45847</v>
      </c>
      <c r="F5" s="142"/>
      <c r="G5" s="142"/>
      <c r="H5" s="142"/>
    </row>
    <row r="6" spans="1:8" ht="16.5" customHeight="1" x14ac:dyDescent="0.35">
      <c r="A6" s="142" t="s">
        <v>4</v>
      </c>
      <c r="B6" s="142"/>
      <c r="C6" s="142"/>
      <c r="D6" s="142"/>
      <c r="E6" s="142" t="s">
        <v>223</v>
      </c>
      <c r="F6" s="142"/>
      <c r="G6" s="142"/>
      <c r="H6" s="142"/>
    </row>
    <row r="7" spans="1:8" ht="15" customHeight="1" x14ac:dyDescent="0.35">
      <c r="A7" s="142" t="s">
        <v>5</v>
      </c>
      <c r="B7" s="142"/>
      <c r="C7" s="142"/>
      <c r="D7" s="142"/>
      <c r="E7" s="142" t="str">
        <f>E6</f>
        <v>Niwas Lifespaces LLP</v>
      </c>
      <c r="F7" s="142"/>
      <c r="G7" s="142"/>
      <c r="H7" s="142"/>
    </row>
    <row r="8" spans="1:8" x14ac:dyDescent="0.35">
      <c r="A8" s="142" t="s">
        <v>6</v>
      </c>
      <c r="B8" s="142"/>
      <c r="C8" s="142"/>
      <c r="D8" s="142"/>
      <c r="E8" s="100" t="s">
        <v>171</v>
      </c>
      <c r="F8" s="101"/>
      <c r="G8" s="101"/>
      <c r="H8" s="102"/>
    </row>
    <row r="9" spans="1:8" x14ac:dyDescent="0.35">
      <c r="A9" s="142" t="s">
        <v>168</v>
      </c>
      <c r="B9" s="142"/>
      <c r="C9" s="142"/>
      <c r="D9" s="142"/>
      <c r="E9" s="142">
        <v>9920753177</v>
      </c>
      <c r="F9" s="142"/>
      <c r="G9" s="142"/>
      <c r="H9" s="142"/>
    </row>
    <row r="10" spans="1:8" x14ac:dyDescent="0.35">
      <c r="A10" s="142" t="s">
        <v>169</v>
      </c>
      <c r="B10" s="142"/>
      <c r="C10" s="142"/>
      <c r="D10" s="142"/>
      <c r="E10" s="142" t="s">
        <v>230</v>
      </c>
      <c r="F10" s="142"/>
      <c r="G10" s="142"/>
      <c r="H10" s="142"/>
    </row>
    <row r="11" spans="1:8" ht="31.5" customHeight="1" x14ac:dyDescent="0.35">
      <c r="A11" s="142" t="s">
        <v>7</v>
      </c>
      <c r="B11" s="142"/>
      <c r="C11" s="142"/>
      <c r="D11" s="142"/>
      <c r="E11" s="147" t="s">
        <v>174</v>
      </c>
      <c r="F11" s="142"/>
      <c r="G11" s="142"/>
      <c r="H11" s="142"/>
    </row>
    <row r="12" spans="1:8" x14ac:dyDescent="0.35">
      <c r="A12" s="80" t="s">
        <v>8</v>
      </c>
      <c r="B12" s="80"/>
      <c r="C12" s="80"/>
      <c r="D12" s="80"/>
      <c r="E12" s="147" t="s">
        <v>176</v>
      </c>
      <c r="F12" s="147"/>
      <c r="G12" s="147"/>
      <c r="H12" s="147"/>
    </row>
    <row r="13" spans="1:8" x14ac:dyDescent="0.35">
      <c r="A13" s="80" t="s">
        <v>9</v>
      </c>
      <c r="B13" s="80"/>
      <c r="C13" s="80"/>
      <c r="D13" s="80"/>
      <c r="E13" s="147" t="s">
        <v>175</v>
      </c>
      <c r="F13" s="142"/>
      <c r="G13" s="142"/>
      <c r="H13" s="142"/>
    </row>
    <row r="14" spans="1:8" ht="33" customHeight="1" x14ac:dyDescent="0.35">
      <c r="A14" s="173" t="s">
        <v>10</v>
      </c>
      <c r="B14" s="173"/>
      <c r="C14" s="17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Jade Gardens, Survey No.828/3/B, near Vagulsar Vighnaharta Ganesh Mandir, Internal Road, Vajulsar, Mahim, Palghar, Palghar, Palghar - 401404.</v>
      </c>
      <c r="D14" s="173"/>
      <c r="E14" s="173"/>
      <c r="F14" s="173"/>
      <c r="G14" s="173"/>
      <c r="H14" s="173"/>
    </row>
    <row r="15" spans="1:8" x14ac:dyDescent="0.35">
      <c r="A15" s="147" t="s">
        <v>177</v>
      </c>
      <c r="B15" s="147"/>
      <c r="C15" s="147" t="s">
        <v>178</v>
      </c>
      <c r="D15" s="147"/>
      <c r="E15" s="147"/>
      <c r="F15" s="147"/>
      <c r="G15" s="147"/>
      <c r="H15" s="147"/>
    </row>
    <row r="16" spans="1:8" ht="15.75" customHeight="1" x14ac:dyDescent="0.35">
      <c r="A16" s="147" t="s">
        <v>164</v>
      </c>
      <c r="B16" s="147"/>
      <c r="C16" s="147" t="s">
        <v>180</v>
      </c>
      <c r="D16" s="147"/>
      <c r="E16" s="147"/>
      <c r="F16" s="147"/>
      <c r="G16" s="147"/>
      <c r="H16" s="147"/>
    </row>
    <row r="17" spans="1:8" ht="15.75" customHeight="1" x14ac:dyDescent="0.35">
      <c r="A17" s="173" t="s">
        <v>11</v>
      </c>
      <c r="B17" s="173"/>
      <c r="C17" s="142" t="s">
        <v>181</v>
      </c>
      <c r="D17" s="142"/>
      <c r="E17" s="173" t="s">
        <v>74</v>
      </c>
      <c r="F17" s="173"/>
      <c r="G17" s="147" t="s">
        <v>173</v>
      </c>
      <c r="H17" s="147"/>
    </row>
    <row r="18" spans="1:8" x14ac:dyDescent="0.35">
      <c r="A18" s="80" t="s">
        <v>13</v>
      </c>
      <c r="B18" s="80"/>
      <c r="C18" s="147" t="s">
        <v>172</v>
      </c>
      <c r="D18" s="147"/>
      <c r="E18" s="173" t="s">
        <v>12</v>
      </c>
      <c r="F18" s="173"/>
      <c r="G18" s="177" t="s">
        <v>172</v>
      </c>
      <c r="H18" s="177"/>
    </row>
    <row r="19" spans="1:8" x14ac:dyDescent="0.35">
      <c r="A19" s="80" t="s">
        <v>75</v>
      </c>
      <c r="B19" s="80"/>
      <c r="C19" s="147" t="s">
        <v>172</v>
      </c>
      <c r="D19" s="147"/>
      <c r="E19" s="173" t="s">
        <v>14</v>
      </c>
      <c r="F19" s="173"/>
      <c r="G19" s="147">
        <v>401404</v>
      </c>
      <c r="H19" s="147"/>
    </row>
    <row r="20" spans="1:8" ht="32.25" customHeight="1" x14ac:dyDescent="0.35">
      <c r="A20" s="80" t="s">
        <v>122</v>
      </c>
      <c r="B20" s="80"/>
      <c r="C20" s="147" t="s">
        <v>179</v>
      </c>
      <c r="D20" s="147"/>
      <c r="E20" s="173" t="s">
        <v>15</v>
      </c>
      <c r="F20" s="173"/>
      <c r="G20" s="147" t="s">
        <v>183</v>
      </c>
      <c r="H20" s="147"/>
    </row>
    <row r="21" spans="1:8" ht="15" customHeight="1" x14ac:dyDescent="0.35">
      <c r="A21" s="173" t="s">
        <v>77</v>
      </c>
      <c r="B21" s="173"/>
      <c r="C21" s="173"/>
      <c r="D21" s="173"/>
      <c r="E21" s="142" t="s">
        <v>16</v>
      </c>
      <c r="F21" s="142"/>
      <c r="G21" s="142"/>
      <c r="H21" s="142"/>
    </row>
    <row r="22" spans="1:8" ht="18.75" customHeight="1" x14ac:dyDescent="0.35">
      <c r="A22" s="173"/>
      <c r="B22" s="173"/>
      <c r="C22" s="173"/>
      <c r="D22" s="173"/>
      <c r="E22" s="142"/>
      <c r="F22" s="142"/>
      <c r="G22" s="142"/>
      <c r="H22" s="142"/>
    </row>
    <row r="23" spans="1:8" ht="15" customHeight="1" x14ac:dyDescent="0.35">
      <c r="A23" s="173" t="s">
        <v>17</v>
      </c>
      <c r="B23" s="173"/>
      <c r="C23" s="173"/>
      <c r="D23" s="173"/>
      <c r="E23" s="147" t="s">
        <v>18</v>
      </c>
      <c r="F23" s="147"/>
      <c r="G23" s="147"/>
      <c r="H23" s="147"/>
    </row>
    <row r="24" spans="1:8" ht="15" customHeight="1" x14ac:dyDescent="0.35">
      <c r="A24" s="80" t="s">
        <v>19</v>
      </c>
      <c r="B24" s="80"/>
      <c r="C24" s="80"/>
      <c r="D24" s="80"/>
      <c r="E24" s="174" t="str">
        <f>IF(AND(G18="Mumbai"),"Upper Class","Middle Class")</f>
        <v>Middle Class</v>
      </c>
      <c r="F24" s="174"/>
      <c r="G24" s="174"/>
      <c r="H24" s="174"/>
    </row>
    <row r="25" spans="1:8" x14ac:dyDescent="0.35">
      <c r="A25" s="80" t="s">
        <v>20</v>
      </c>
      <c r="B25" s="80"/>
      <c r="C25" s="80"/>
      <c r="D25" s="80"/>
      <c r="E25" s="147" t="s">
        <v>21</v>
      </c>
      <c r="F25" s="147"/>
      <c r="G25" s="147"/>
      <c r="H25" s="147"/>
    </row>
    <row r="26" spans="1:8" ht="15.75" customHeight="1" x14ac:dyDescent="0.35">
      <c r="A26" s="80" t="s">
        <v>22</v>
      </c>
      <c r="B26" s="80"/>
      <c r="C26" s="80"/>
      <c r="D26" s="80"/>
      <c r="E26" s="174" t="str">
        <f>IF(AND(G18="Mumbai"),"Developed","Developing")</f>
        <v>Developing</v>
      </c>
      <c r="F26" s="174"/>
      <c r="G26" s="174"/>
      <c r="H26" s="174"/>
    </row>
    <row r="27" spans="1:8" x14ac:dyDescent="0.35">
      <c r="A27" s="80" t="s">
        <v>23</v>
      </c>
      <c r="B27" s="80"/>
      <c r="C27" s="80"/>
      <c r="D27" s="80"/>
      <c r="E27" s="147" t="s">
        <v>24</v>
      </c>
      <c r="F27" s="147"/>
      <c r="G27" s="147"/>
      <c r="H27" s="147"/>
    </row>
    <row r="28" spans="1:8" ht="15.75" customHeight="1" x14ac:dyDescent="0.35">
      <c r="A28" s="80" t="s">
        <v>82</v>
      </c>
      <c r="B28" s="80"/>
      <c r="C28" s="80"/>
      <c r="D28" s="80"/>
      <c r="E28" s="147" t="s">
        <v>83</v>
      </c>
      <c r="F28" s="147"/>
      <c r="G28" s="147"/>
      <c r="H28" s="147"/>
    </row>
    <row r="29" spans="1:8" ht="15" customHeight="1" x14ac:dyDescent="0.35">
      <c r="A29" s="80" t="s">
        <v>33</v>
      </c>
      <c r="B29" s="80"/>
      <c r="C29" s="80"/>
      <c r="D29" s="80"/>
      <c r="E29" s="174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174"/>
      <c r="G29" s="174"/>
      <c r="H29" s="174"/>
    </row>
    <row r="30" spans="1:8" ht="15.75" customHeight="1" x14ac:dyDescent="0.35">
      <c r="A30" s="80" t="s">
        <v>94</v>
      </c>
      <c r="B30" s="80"/>
      <c r="C30" s="80"/>
      <c r="D30" s="80"/>
      <c r="E30" s="147" t="s">
        <v>34</v>
      </c>
      <c r="F30" s="147"/>
      <c r="G30" s="147"/>
      <c r="H30" s="147"/>
    </row>
    <row r="31" spans="1:8" s="22" customFormat="1" x14ac:dyDescent="0.35">
      <c r="A31" s="176" t="s">
        <v>95</v>
      </c>
      <c r="B31" s="176"/>
      <c r="C31" s="175" t="s">
        <v>29</v>
      </c>
      <c r="D31" s="175"/>
      <c r="E31" s="175"/>
      <c r="F31" s="175" t="s">
        <v>31</v>
      </c>
      <c r="G31" s="175"/>
      <c r="H31" s="175"/>
    </row>
    <row r="32" spans="1:8" s="22" customFormat="1" x14ac:dyDescent="0.35">
      <c r="A32" s="138" t="s">
        <v>25</v>
      </c>
      <c r="B32" s="138" t="s">
        <v>30</v>
      </c>
      <c r="C32" s="139" t="s">
        <v>30</v>
      </c>
      <c r="D32" s="139"/>
      <c r="E32" s="139"/>
      <c r="F32" s="139" t="s">
        <v>211</v>
      </c>
      <c r="G32" s="139"/>
      <c r="H32" s="139"/>
    </row>
    <row r="33" spans="1:8" x14ac:dyDescent="0.35">
      <c r="A33" s="138" t="s">
        <v>26</v>
      </c>
      <c r="B33" s="138" t="s">
        <v>30</v>
      </c>
      <c r="C33" s="139" t="s">
        <v>30</v>
      </c>
      <c r="D33" s="139"/>
      <c r="E33" s="139"/>
      <c r="F33" s="139" t="s">
        <v>182</v>
      </c>
      <c r="G33" s="139"/>
      <c r="H33" s="139"/>
    </row>
    <row r="34" spans="1:8" s="22" customFormat="1" x14ac:dyDescent="0.35">
      <c r="A34" s="138" t="s">
        <v>28</v>
      </c>
      <c r="B34" s="138" t="s">
        <v>30</v>
      </c>
      <c r="C34" s="139" t="s">
        <v>30</v>
      </c>
      <c r="D34" s="139"/>
      <c r="E34" s="139"/>
      <c r="F34" s="139" t="s">
        <v>212</v>
      </c>
      <c r="G34" s="139"/>
      <c r="H34" s="139"/>
    </row>
    <row r="35" spans="1:8" x14ac:dyDescent="0.35">
      <c r="A35" s="138" t="s">
        <v>27</v>
      </c>
      <c r="B35" s="138" t="s">
        <v>30</v>
      </c>
      <c r="C35" s="139" t="s">
        <v>30</v>
      </c>
      <c r="D35" s="139"/>
      <c r="E35" s="139"/>
      <c r="F35" s="139" t="s">
        <v>181</v>
      </c>
      <c r="G35" s="139"/>
      <c r="H35" s="139"/>
    </row>
    <row r="36" spans="1:8" x14ac:dyDescent="0.35">
      <c r="A36" s="80" t="s">
        <v>32</v>
      </c>
      <c r="B36" s="80"/>
      <c r="C36" s="80"/>
      <c r="D36" s="80"/>
      <c r="E36" s="80"/>
      <c r="F36" s="80"/>
      <c r="G36" s="80"/>
      <c r="H36" s="80"/>
    </row>
    <row r="37" spans="1:8" ht="15.75" customHeight="1" x14ac:dyDescent="0.35">
      <c r="A37" s="110" t="s">
        <v>167</v>
      </c>
      <c r="B37" s="110"/>
      <c r="C37" s="142" t="s">
        <v>224</v>
      </c>
      <c r="D37" s="142"/>
      <c r="E37" s="142"/>
      <c r="F37" s="142"/>
      <c r="G37" s="142"/>
      <c r="H37" s="142"/>
    </row>
    <row r="38" spans="1:8" x14ac:dyDescent="0.35">
      <c r="A38" s="110" t="s">
        <v>163</v>
      </c>
      <c r="B38" s="110"/>
      <c r="C38" s="146" t="s">
        <v>210</v>
      </c>
      <c r="D38" s="147"/>
      <c r="E38" s="147"/>
      <c r="F38" s="147"/>
      <c r="G38" s="147"/>
      <c r="H38" s="147"/>
    </row>
    <row r="39" spans="1:8" x14ac:dyDescent="0.35">
      <c r="A39" s="110" t="s">
        <v>35</v>
      </c>
      <c r="B39" s="110"/>
      <c r="C39" s="110"/>
      <c r="D39" s="110"/>
      <c r="E39" s="110"/>
      <c r="F39" s="110"/>
      <c r="G39" s="110"/>
      <c r="H39" s="110"/>
    </row>
    <row r="40" spans="1:8" x14ac:dyDescent="0.35">
      <c r="A40" s="80" t="s">
        <v>36</v>
      </c>
      <c r="B40" s="80"/>
      <c r="C40" s="80"/>
      <c r="D40" s="80"/>
      <c r="E40" s="140">
        <v>3902.67</v>
      </c>
      <c r="F40" s="140"/>
      <c r="G40" s="140"/>
      <c r="H40" s="140"/>
    </row>
    <row r="41" spans="1:8" x14ac:dyDescent="0.35">
      <c r="A41" s="80" t="s">
        <v>37</v>
      </c>
      <c r="B41" s="80"/>
      <c r="C41" s="80"/>
      <c r="D41" s="80"/>
      <c r="E41" s="145">
        <v>1.1000000000000001</v>
      </c>
      <c r="F41" s="145"/>
      <c r="G41" s="145"/>
      <c r="H41" s="145"/>
    </row>
    <row r="42" spans="1:8" x14ac:dyDescent="0.35">
      <c r="A42" s="80" t="s">
        <v>38</v>
      </c>
      <c r="B42" s="80"/>
      <c r="C42" s="80"/>
      <c r="D42" s="80"/>
      <c r="E42" s="145">
        <f>E44/E40-E41</f>
        <v>1.1918181655123283</v>
      </c>
      <c r="F42" s="145"/>
      <c r="G42" s="145"/>
      <c r="H42" s="145"/>
    </row>
    <row r="43" spans="1:8" x14ac:dyDescent="0.35">
      <c r="A43" s="80" t="s">
        <v>39</v>
      </c>
      <c r="B43" s="80"/>
      <c r="C43" s="80"/>
      <c r="D43" s="80"/>
      <c r="E43" s="145">
        <f>E41+E42</f>
        <v>2.2918181655123284</v>
      </c>
      <c r="F43" s="145"/>
      <c r="G43" s="145"/>
      <c r="H43" s="145"/>
    </row>
    <row r="44" spans="1:8" x14ac:dyDescent="0.35">
      <c r="A44" s="80" t="s">
        <v>93</v>
      </c>
      <c r="B44" s="80"/>
      <c r="C44" s="80"/>
      <c r="D44" s="80"/>
      <c r="E44" s="153">
        <v>8944.2099999999991</v>
      </c>
      <c r="F44" s="153"/>
      <c r="G44" s="153"/>
      <c r="H44" s="153"/>
    </row>
    <row r="45" spans="1:8" x14ac:dyDescent="0.35">
      <c r="A45" s="142" t="s">
        <v>40</v>
      </c>
      <c r="B45" s="142"/>
      <c r="C45" s="142"/>
      <c r="D45" s="142"/>
      <c r="E45" s="142" t="s">
        <v>185</v>
      </c>
      <c r="F45" s="142"/>
      <c r="G45" s="142"/>
      <c r="H45" s="142"/>
    </row>
    <row r="46" spans="1:8" x14ac:dyDescent="0.35">
      <c r="A46" s="110" t="s">
        <v>41</v>
      </c>
      <c r="B46" s="110"/>
      <c r="C46" s="110"/>
      <c r="D46" s="110"/>
      <c r="E46" s="110"/>
      <c r="F46" s="110"/>
      <c r="G46" s="110"/>
      <c r="H46" s="110"/>
    </row>
    <row r="47" spans="1:8" ht="33.75" customHeight="1" x14ac:dyDescent="0.35">
      <c r="A47" s="98" t="s">
        <v>151</v>
      </c>
      <c r="B47" s="99"/>
      <c r="C47" s="100" t="s">
        <v>186</v>
      </c>
      <c r="D47" s="101"/>
      <c r="E47" s="101"/>
      <c r="F47" s="101"/>
      <c r="G47" s="101"/>
      <c r="H47" s="102"/>
    </row>
    <row r="48" spans="1:8" ht="31.5" customHeight="1" x14ac:dyDescent="0.35">
      <c r="A48" s="98" t="s">
        <v>42</v>
      </c>
      <c r="B48" s="99"/>
      <c r="C48" s="98" t="s">
        <v>213</v>
      </c>
      <c r="D48" s="168"/>
      <c r="E48" s="99"/>
      <c r="F48" s="18" t="s">
        <v>43</v>
      </c>
      <c r="G48" s="156">
        <v>44852</v>
      </c>
      <c r="H48" s="99"/>
    </row>
    <row r="49" spans="1:14" ht="32.25" customHeight="1" x14ac:dyDescent="0.35">
      <c r="A49" s="98" t="s">
        <v>44</v>
      </c>
      <c r="B49" s="99"/>
      <c r="C49" s="98" t="str">
        <f>C48</f>
        <v>Mahasul/K-1/Mej1/B.S.P/S.R/C.R/339/2021</v>
      </c>
      <c r="D49" s="168"/>
      <c r="E49" s="99"/>
      <c r="F49" s="18" t="s">
        <v>43</v>
      </c>
      <c r="G49" s="156">
        <f>G48</f>
        <v>44852</v>
      </c>
      <c r="H49" s="157"/>
    </row>
    <row r="50" spans="1:14" s="23" customFormat="1" x14ac:dyDescent="0.35">
      <c r="A50" s="158" t="s">
        <v>155</v>
      </c>
      <c r="B50" s="159"/>
      <c r="C50" s="98" t="s">
        <v>187</v>
      </c>
      <c r="D50" s="168"/>
      <c r="E50" s="99"/>
      <c r="F50" s="18" t="s">
        <v>43</v>
      </c>
      <c r="G50" s="156">
        <v>44852</v>
      </c>
      <c r="H50" s="99"/>
    </row>
    <row r="51" spans="1:14" s="23" customFormat="1" ht="33.75" customHeight="1" x14ac:dyDescent="0.35">
      <c r="A51" s="160"/>
      <c r="B51" s="161"/>
      <c r="C51" s="98" t="s">
        <v>190</v>
      </c>
      <c r="D51" s="168"/>
      <c r="E51" s="168"/>
      <c r="F51" s="168"/>
      <c r="G51" s="168"/>
      <c r="H51" s="99"/>
    </row>
    <row r="52" spans="1:14" ht="33" customHeight="1" x14ac:dyDescent="0.35">
      <c r="A52" s="169" t="s">
        <v>45</v>
      </c>
      <c r="B52" s="170"/>
      <c r="C52" s="169" t="s">
        <v>106</v>
      </c>
      <c r="D52" s="171"/>
      <c r="E52" s="170"/>
      <c r="F52" s="46" t="s">
        <v>43</v>
      </c>
      <c r="G52" s="143" t="s">
        <v>30</v>
      </c>
      <c r="H52" s="144"/>
    </row>
    <row r="53" spans="1:14" x14ac:dyDescent="0.35">
      <c r="A53" s="172" t="s">
        <v>47</v>
      </c>
      <c r="B53" s="172"/>
      <c r="C53" s="172"/>
      <c r="D53" s="172"/>
      <c r="E53" s="172"/>
      <c r="F53" s="172"/>
      <c r="G53" s="172"/>
      <c r="H53" s="172"/>
    </row>
    <row r="54" spans="1:14" x14ac:dyDescent="0.35">
      <c r="A54" s="173" t="s">
        <v>92</v>
      </c>
      <c r="B54" s="173"/>
      <c r="C54" s="173"/>
      <c r="D54" s="80">
        <f>E44</f>
        <v>8944.2099999999991</v>
      </c>
      <c r="E54" s="80"/>
      <c r="F54" s="80"/>
      <c r="G54" s="80"/>
      <c r="H54" s="80"/>
    </row>
    <row r="55" spans="1:14" x14ac:dyDescent="0.35">
      <c r="A55" s="147" t="s">
        <v>48</v>
      </c>
      <c r="B55" s="142"/>
      <c r="C55" s="142"/>
      <c r="D55" s="142" t="s">
        <v>208</v>
      </c>
      <c r="E55" s="142"/>
      <c r="F55" s="142"/>
      <c r="G55" s="142"/>
      <c r="H55" s="142"/>
      <c r="I55" s="24"/>
    </row>
    <row r="56" spans="1:14" ht="33" customHeight="1" x14ac:dyDescent="0.35">
      <c r="A56" s="148" t="s">
        <v>49</v>
      </c>
      <c r="B56" s="149"/>
      <c r="C56" s="150"/>
      <c r="D56" s="154" t="s">
        <v>190</v>
      </c>
      <c r="E56" s="155"/>
      <c r="F56" s="155"/>
      <c r="G56" s="155"/>
      <c r="H56" s="155"/>
    </row>
    <row r="57" spans="1:14" ht="15.75" customHeight="1" x14ac:dyDescent="0.35">
      <c r="A57" s="148" t="s">
        <v>90</v>
      </c>
      <c r="B57" s="149"/>
      <c r="C57" s="150"/>
      <c r="D57" s="162" t="s">
        <v>189</v>
      </c>
      <c r="E57" s="163"/>
      <c r="F57" s="163"/>
      <c r="G57" s="163"/>
      <c r="H57" s="164"/>
    </row>
    <row r="58" spans="1:14" ht="15.75" customHeight="1" x14ac:dyDescent="0.35">
      <c r="A58" s="151"/>
      <c r="B58" s="152"/>
      <c r="C58" s="152"/>
      <c r="D58" s="165" t="s">
        <v>225</v>
      </c>
      <c r="E58" s="166"/>
      <c r="F58" s="166"/>
      <c r="G58" s="166"/>
      <c r="H58" s="167"/>
    </row>
    <row r="59" spans="1:14" ht="15.75" customHeight="1" x14ac:dyDescent="0.35">
      <c r="A59" s="80" t="s">
        <v>46</v>
      </c>
      <c r="B59" s="80"/>
      <c r="C59" s="80"/>
      <c r="D59" s="141" t="s">
        <v>188</v>
      </c>
      <c r="E59" s="141"/>
      <c r="F59" s="141"/>
      <c r="G59" s="141"/>
      <c r="H59" s="141"/>
      <c r="J59" s="25"/>
      <c r="K59" s="24"/>
      <c r="N59" s="24"/>
    </row>
    <row r="60" spans="1:14" ht="15.75" customHeight="1" x14ac:dyDescent="0.35">
      <c r="A60" s="80" t="s">
        <v>88</v>
      </c>
      <c r="B60" s="80"/>
      <c r="C60" s="80"/>
      <c r="D60" s="125" t="str">
        <f>(IF(G52="NA","60 Years After Completion",IF(G52&lt;&gt;"NA",""&amp;60-ROUNDDOWN((E3-G52)/360,0)&amp;" Years"," ")))</f>
        <v>60 Years After Completion</v>
      </c>
      <c r="E60" s="125"/>
      <c r="F60" s="125"/>
      <c r="G60" s="125"/>
      <c r="H60" s="125"/>
      <c r="N60" s="24"/>
    </row>
    <row r="61" spans="1:14" ht="15.75" customHeight="1" x14ac:dyDescent="0.35">
      <c r="A61" s="80" t="s">
        <v>89</v>
      </c>
      <c r="B61" s="80"/>
      <c r="C61" s="80"/>
      <c r="D61" s="173" t="s">
        <v>24</v>
      </c>
      <c r="E61" s="173"/>
      <c r="F61" s="173"/>
      <c r="G61" s="173"/>
      <c r="H61" s="173"/>
      <c r="J61" s="26"/>
      <c r="K61" s="26"/>
    </row>
    <row r="62" spans="1:14" ht="30" hidden="1" customHeight="1" x14ac:dyDescent="0.35">
      <c r="A62" s="80" t="s">
        <v>76</v>
      </c>
      <c r="B62" s="80"/>
      <c r="C62" s="80"/>
      <c r="D62" s="147"/>
      <c r="E62" s="173"/>
      <c r="F62" s="173"/>
      <c r="G62" s="173"/>
      <c r="H62" s="173"/>
    </row>
    <row r="63" spans="1:14" x14ac:dyDescent="0.35">
      <c r="A63" s="173" t="s">
        <v>148</v>
      </c>
      <c r="B63" s="173"/>
      <c r="C63" s="173"/>
      <c r="D63" s="173" t="s">
        <v>30</v>
      </c>
      <c r="E63" s="173"/>
      <c r="F63" s="173"/>
      <c r="G63" s="173"/>
      <c r="H63" s="173"/>
      <c r="I63" s="27"/>
      <c r="J63" s="27"/>
      <c r="K63" s="27"/>
      <c r="L63" s="27"/>
      <c r="M63" s="27"/>
      <c r="N63" s="27"/>
    </row>
    <row r="64" spans="1:14" ht="15.75" customHeight="1" x14ac:dyDescent="0.35">
      <c r="A64" s="180" t="s">
        <v>87</v>
      </c>
      <c r="B64" s="180"/>
      <c r="C64" s="180"/>
      <c r="D64" s="154" t="str">
        <f ca="1">(IF(G84&gt;95%,"Nothing",IF(G84&gt;0%,"Cement, Aggregate, Steel, etc",IF(G84=0%,"Work not yet Started"))))</f>
        <v>Cement, Aggregate, Steel, etc</v>
      </c>
      <c r="E64" s="154"/>
      <c r="F64" s="154"/>
      <c r="G64" s="154"/>
      <c r="H64" s="154"/>
      <c r="J64" s="26"/>
    </row>
    <row r="65" spans="1:10" ht="33.75" customHeight="1" thickBot="1" x14ac:dyDescent="0.4">
      <c r="A65" s="173" t="s">
        <v>119</v>
      </c>
      <c r="B65" s="173"/>
      <c r="C65" s="173"/>
      <c r="D65" s="147" t="str">
        <f ca="1">(IF(D64="Nothing","Yes",IF(D64="Cement, Aggregate, Steel, etc","Under Construction",IF(D64="Work not yet Started","Work not yet Started"))))</f>
        <v>Under Construction</v>
      </c>
      <c r="E65" s="147"/>
      <c r="F65" s="147" t="str">
        <f ca="1">(IF(D64="Nothing","Yes",IF(D64="Cement, Aggregate, Steel, etc","Under Construction",IF(D64="Work not yet Started","Work not yet Started"))))</f>
        <v>Under Construction</v>
      </c>
      <c r="G65" s="147"/>
      <c r="H65" s="147"/>
    </row>
    <row r="66" spans="1:10" ht="15.75" customHeight="1" x14ac:dyDescent="0.35">
      <c r="A66" s="136" t="s">
        <v>140</v>
      </c>
      <c r="B66" s="136"/>
      <c r="C66" s="136" t="str">
        <f>D57</f>
        <v>Building No.1 (A &amp; B Wing) =  Gr/St + 1st to 7th Floor</v>
      </c>
      <c r="D66" s="136"/>
      <c r="E66" s="136"/>
      <c r="F66" s="136"/>
      <c r="G66" s="136"/>
      <c r="H66" s="136"/>
      <c r="I66" s="73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5 Floor, Flooring upto 1 Floor Completed</v>
      </c>
      <c r="J66" s="51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5 Floor, Flooring upto 1 Floor</v>
      </c>
    </row>
    <row r="67" spans="1:10" x14ac:dyDescent="0.35">
      <c r="A67" s="76" t="s">
        <v>142</v>
      </c>
      <c r="B67" s="76">
        <f>IF(AND(ISNUMBER(SEARCH("1B",C66))),1,IF(AND(ISNUMBER(SEARCH("2B",C66))),2,IF(AND(ISNUMBER(SEARCH("3B",C66))),3,IF(AND(ISNUMBER(SEARCH("4B",C66))),4,IF(ISNUMBER(SEARCH("5B",C66)),5,0)))))</f>
        <v>0</v>
      </c>
      <c r="C67" s="76" t="s">
        <v>73</v>
      </c>
      <c r="D67" s="76">
        <v>1</v>
      </c>
      <c r="E67" s="76" t="s">
        <v>72</v>
      </c>
      <c r="F67" s="76">
        <v>0</v>
      </c>
      <c r="G67" s="49" t="s">
        <v>81</v>
      </c>
      <c r="H67" s="76">
        <f ca="1">--TRIM(RIGHT(SUBSTITUTE(LEFT(C66,_xlfn.AGGREGATE(16,6,FIND({0,1,2,3,4,5,6,7,8,9},C66,ROW(INDIRECT("1:"&amp;LEN(C66)))),1))," ",REPT(" ",LEN(C66))),LEN(C66)))</f>
        <v>7</v>
      </c>
      <c r="I67" s="7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5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1" customHeight="1" x14ac:dyDescent="0.35">
      <c r="A68" s="130" t="s">
        <v>91</v>
      </c>
      <c r="B68" s="130"/>
      <c r="C68" s="131" t="str">
        <f ca="1">I66</f>
        <v>Excavation, Plinth, RCC Slab, Brickwork, Internal Plaster Completed, External Plaster upto 5 Floor, Flooring upto 1 Floor Completed</v>
      </c>
      <c r="D68" s="131"/>
      <c r="E68" s="131"/>
      <c r="F68" s="131"/>
      <c r="G68" s="131"/>
      <c r="H68" s="131"/>
      <c r="I68" s="74" t="str">
        <f ca="1">IF(I67&lt;&gt;""," Completed","")</f>
        <v xml:space="preserve"> Completed</v>
      </c>
      <c r="J68" s="53" t="str">
        <f ca="1">IF(J66&lt;&gt;"","Completed","")</f>
        <v>Completed</v>
      </c>
    </row>
    <row r="69" spans="1:10" ht="15.75" customHeight="1" x14ac:dyDescent="0.35">
      <c r="A69" s="108" t="s">
        <v>50</v>
      </c>
      <c r="B69" s="108"/>
      <c r="C69" s="75" t="s">
        <v>139</v>
      </c>
      <c r="D69" s="75" t="s">
        <v>84</v>
      </c>
      <c r="E69" s="108" t="s">
        <v>86</v>
      </c>
      <c r="F69" s="108"/>
      <c r="G69" s="108" t="s">
        <v>85</v>
      </c>
      <c r="H69" s="108"/>
      <c r="I69" s="14" t="s">
        <v>141</v>
      </c>
      <c r="J69" s="28">
        <f ca="1">H67*25%</f>
        <v>1.75</v>
      </c>
    </row>
    <row r="70" spans="1:10" x14ac:dyDescent="0.35">
      <c r="A70" s="107" t="s">
        <v>128</v>
      </c>
      <c r="B70" s="108"/>
      <c r="C70" s="44">
        <v>7</v>
      </c>
      <c r="D70" s="19">
        <f ca="1">((100/H67)*C70)/100</f>
        <v>1</v>
      </c>
      <c r="E70" s="103">
        <f ca="1">(((C71/H67*10)+(40/(D67+F67+H67)*C72)+(7.5/(H67)*C73)+(7.5/(H67)*C74)+(10/H67*C75)+(10/H67*C76)+(5/H67*C77)+(5/H67*C78)+(5/H67*C79))/100)</f>
        <v>0.73571428571428565</v>
      </c>
      <c r="F70" s="118"/>
      <c r="G70" s="103">
        <f ca="1">((((C70/H67)*20)+((C71/H67)*25)+(30/(H67+F67+D67)*C72)+(5/H67*C73)+(5/H67*C74)+(5/H67*C75)+(5/H67*C76)+(0/H67*C77)+(0/H67*C78)+(5/H67*C79))/100)</f>
        <v>0.89285714285714279</v>
      </c>
      <c r="H70" s="104"/>
      <c r="I70" s="14" t="s">
        <v>101</v>
      </c>
      <c r="J70" s="29">
        <f ca="1">H67*50%</f>
        <v>3.5</v>
      </c>
    </row>
    <row r="71" spans="1:10" x14ac:dyDescent="0.35">
      <c r="A71" s="107" t="s">
        <v>51</v>
      </c>
      <c r="B71" s="108"/>
      <c r="C71" s="55">
        <f ca="1">J79</f>
        <v>7</v>
      </c>
      <c r="D71" s="19">
        <f ca="1">((100/H67)*C71)/100</f>
        <v>1</v>
      </c>
      <c r="E71" s="105"/>
      <c r="F71" s="119"/>
      <c r="G71" s="105"/>
      <c r="H71" s="106"/>
      <c r="I71" s="14" t="s">
        <v>102</v>
      </c>
      <c r="J71" s="29">
        <f ca="1">H67</f>
        <v>7</v>
      </c>
    </row>
    <row r="72" spans="1:10" ht="15.75" customHeight="1" x14ac:dyDescent="0.35">
      <c r="A72" s="107" t="s">
        <v>129</v>
      </c>
      <c r="B72" s="108"/>
      <c r="C72" s="44">
        <v>8</v>
      </c>
      <c r="D72" s="19">
        <f ca="1">((100/(D67+F67+H67))*C72)/100</f>
        <v>1</v>
      </c>
      <c r="E72" s="105"/>
      <c r="F72" s="119"/>
      <c r="G72" s="105"/>
      <c r="H72" s="106"/>
      <c r="I72" s="14" t="s">
        <v>103</v>
      </c>
      <c r="J72" s="30">
        <f ca="1">(IF(B67&gt;1,(H67/(B67+2)),H67/4))</f>
        <v>1.75</v>
      </c>
    </row>
    <row r="73" spans="1:10" ht="15.75" customHeight="1" x14ac:dyDescent="0.35">
      <c r="A73" s="107" t="s">
        <v>136</v>
      </c>
      <c r="B73" s="108" t="s">
        <v>130</v>
      </c>
      <c r="C73" s="44">
        <v>7</v>
      </c>
      <c r="D73" s="19">
        <f ca="1">((100/H67)*C73)/100</f>
        <v>1</v>
      </c>
      <c r="E73" s="105"/>
      <c r="F73" s="119"/>
      <c r="G73" s="105"/>
      <c r="H73" s="106"/>
      <c r="I73" s="14" t="s">
        <v>104</v>
      </c>
      <c r="J73" s="30">
        <f ca="1">(IF(B67&gt;1,(H67/(B67+2)+J72),H67/4+J72))</f>
        <v>3.5</v>
      </c>
    </row>
    <row r="74" spans="1:10" ht="15.75" customHeight="1" x14ac:dyDescent="0.35">
      <c r="A74" s="107" t="s">
        <v>137</v>
      </c>
      <c r="B74" s="108" t="s">
        <v>130</v>
      </c>
      <c r="C74" s="44">
        <v>7</v>
      </c>
      <c r="D74" s="19">
        <f ca="1">((100/H67)*C74)/100</f>
        <v>1</v>
      </c>
      <c r="E74" s="105"/>
      <c r="F74" s="119"/>
      <c r="G74" s="105"/>
      <c r="H74" s="106"/>
      <c r="I74" s="14" t="s">
        <v>146</v>
      </c>
      <c r="J74" s="30">
        <f>(IF(B67&gt;1,(H67/(B67+2)+J73),0))</f>
        <v>0</v>
      </c>
    </row>
    <row r="75" spans="1:10" ht="15" customHeight="1" x14ac:dyDescent="0.35">
      <c r="A75" s="107" t="s">
        <v>135</v>
      </c>
      <c r="B75" s="108" t="s">
        <v>132</v>
      </c>
      <c r="C75" s="44">
        <v>5</v>
      </c>
      <c r="D75" s="19">
        <f ca="1">((100/(H67))*C75)/100</f>
        <v>0.7142857142857143</v>
      </c>
      <c r="E75" s="105"/>
      <c r="F75" s="119"/>
      <c r="G75" s="105"/>
      <c r="H75" s="106"/>
      <c r="I75" s="14" t="s">
        <v>143</v>
      </c>
      <c r="J75" s="30">
        <f>(IF(B67&gt;2,(H67/(B67+2)+J74),0))</f>
        <v>0</v>
      </c>
    </row>
    <row r="76" spans="1:10" ht="15.75" customHeight="1" x14ac:dyDescent="0.35">
      <c r="A76" s="107" t="s">
        <v>131</v>
      </c>
      <c r="B76" s="108" t="s">
        <v>131</v>
      </c>
      <c r="C76" s="44">
        <v>1</v>
      </c>
      <c r="D76" s="19">
        <f ca="1">((100/H67)*C76)/100</f>
        <v>0.14285714285714288</v>
      </c>
      <c r="E76" s="105"/>
      <c r="F76" s="119"/>
      <c r="G76" s="105"/>
      <c r="H76" s="106"/>
      <c r="I76" s="14" t="s">
        <v>144</v>
      </c>
      <c r="J76" s="31">
        <f>(IF(B67&gt;3,(H67/(B67+2)+J75),0))</f>
        <v>0</v>
      </c>
    </row>
    <row r="77" spans="1:10" ht="15.75" customHeight="1" x14ac:dyDescent="0.35">
      <c r="A77" s="107" t="s">
        <v>138</v>
      </c>
      <c r="B77" s="108"/>
      <c r="C77" s="44">
        <v>0</v>
      </c>
      <c r="D77" s="19">
        <f ca="1">((100/H67)*C77)/100</f>
        <v>0</v>
      </c>
      <c r="E77" s="105"/>
      <c r="F77" s="119"/>
      <c r="G77" s="105"/>
      <c r="H77" s="106"/>
      <c r="I77" s="14" t="s">
        <v>145</v>
      </c>
      <c r="J77" s="30">
        <f>(IF(B67&gt;4,(H67/(B67+2)+J76),0))</f>
        <v>0</v>
      </c>
    </row>
    <row r="78" spans="1:10" ht="15.75" customHeight="1" x14ac:dyDescent="0.35">
      <c r="A78" s="107" t="s">
        <v>133</v>
      </c>
      <c r="B78" s="108" t="s">
        <v>133</v>
      </c>
      <c r="C78" s="44">
        <v>0</v>
      </c>
      <c r="D78" s="19">
        <f ca="1">((100/(H67))*C78)/100</f>
        <v>0</v>
      </c>
      <c r="E78" s="105"/>
      <c r="F78" s="119"/>
      <c r="G78" s="105"/>
      <c r="H78" s="106"/>
      <c r="I78" s="14" t="s">
        <v>147</v>
      </c>
      <c r="J78" s="30">
        <f ca="1">(IF(B67=1,(H67/(B67+3)+J73),IF(B67=0,(H67/4+J73),IF(B67&gt;1,0))))</f>
        <v>5.25</v>
      </c>
    </row>
    <row r="79" spans="1:10" ht="16" thickBot="1" x14ac:dyDescent="0.4">
      <c r="A79" s="123" t="s">
        <v>134</v>
      </c>
      <c r="B79" s="124"/>
      <c r="C79" s="45">
        <v>0</v>
      </c>
      <c r="D79" s="20">
        <f ca="1">((100/(H67))*C79)/100</f>
        <v>0</v>
      </c>
      <c r="E79" s="120"/>
      <c r="F79" s="121"/>
      <c r="G79" s="120"/>
      <c r="H79" s="122"/>
      <c r="I79" s="15" t="s">
        <v>105</v>
      </c>
      <c r="J79" s="32">
        <f ca="1">(IF(B67&gt;1.5,(H67/(B67+2)+J73+MAX(0,J74-J73)+MAX(0,J75-J74)+MAX(0,J76-J75)+MAX(0,J77-J76)+MAX(0,J78-J77)),IF(B67=1,(H67/(B67+3)+J78),IF(B67=0,H67/4+J78))))</f>
        <v>7</v>
      </c>
    </row>
    <row r="80" spans="1:10" ht="15.75" customHeight="1" x14ac:dyDescent="0.35">
      <c r="A80" s="195" t="s">
        <v>140</v>
      </c>
      <c r="B80" s="196"/>
      <c r="C80" s="197" t="s">
        <v>227</v>
      </c>
      <c r="D80" s="198"/>
      <c r="E80" s="198"/>
      <c r="F80" s="198"/>
      <c r="G80" s="198"/>
      <c r="H80" s="199"/>
      <c r="I80" s="50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 Completed, External Plaster upto 5 Floor, Flooring upto 2 Floor, Painting upto 2 Floor Completed</v>
      </c>
      <c r="J80" s="51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External Plaster upto 5 Floor, Flooring upto 2 Floor, Painting upto 2 Floor</v>
      </c>
    </row>
    <row r="81" spans="1:10" x14ac:dyDescent="0.35">
      <c r="A81" s="16" t="s">
        <v>142</v>
      </c>
      <c r="B81" s="54">
        <f>IF(AND(ISNUMBER(SEARCH("1B",C80))),1,IF(AND(ISNUMBER(SEARCH("2B",C80))),2,IF(AND(ISNUMBER(SEARCH("3B",C80))),3,IF(AND(ISNUMBER(SEARCH("4B",C80))),4,IF(ISNUMBER(SEARCH("5B",C80)),5,0)))))</f>
        <v>0</v>
      </c>
      <c r="C81" s="48" t="s">
        <v>73</v>
      </c>
      <c r="D81" s="48">
        <v>1</v>
      </c>
      <c r="E81" s="48" t="s">
        <v>72</v>
      </c>
      <c r="F81" s="62">
        <v>0</v>
      </c>
      <c r="G81" s="49" t="s">
        <v>81</v>
      </c>
      <c r="H81" s="17">
        <f ca="1">--TRIM(RIGHT(SUBSTITUTE(LEFT(C80,_xlfn.AGGREGATE(16,6,FIND({0,1,2,3,4,5,6,7,8,9},C80,ROW(INDIRECT("1:"&amp;LEN(C80)))),1))," ",REPT(" ",LEN(C80))),LEN(C80)))</f>
        <v>7</v>
      </c>
      <c r="I81" s="52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</v>
      </c>
      <c r="J81" s="53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1.5" customHeight="1" x14ac:dyDescent="0.35">
      <c r="A82" s="129" t="s">
        <v>91</v>
      </c>
      <c r="B82" s="130"/>
      <c r="C82" s="131" t="str">
        <f ca="1">(IF($G$52="NA",I80,"All work Completed. OC Received."))</f>
        <v>Excavation, Plinth, RCC Slab, Brickwork, Internal Plaster Completed, External Plaster upto 5 Floor, Flooring upto 2 Floor, Painting upto 2 Floor Completed</v>
      </c>
      <c r="D82" s="131"/>
      <c r="E82" s="131"/>
      <c r="F82" s="131"/>
      <c r="G82" s="131"/>
      <c r="H82" s="132"/>
      <c r="I82" s="52" t="str">
        <f ca="1">IF(I81&lt;&gt;""," Completed","")</f>
        <v xml:space="preserve"> Completed</v>
      </c>
      <c r="J82" s="53" t="str">
        <f ca="1">IF(J80&lt;&gt;"","Completed","")</f>
        <v>Completed</v>
      </c>
    </row>
    <row r="83" spans="1:10" ht="15.75" customHeight="1" x14ac:dyDescent="0.35">
      <c r="A83" s="107" t="s">
        <v>50</v>
      </c>
      <c r="B83" s="108"/>
      <c r="C83" s="44" t="s">
        <v>139</v>
      </c>
      <c r="D83" s="44" t="s">
        <v>84</v>
      </c>
      <c r="E83" s="108" t="s">
        <v>86</v>
      </c>
      <c r="F83" s="108"/>
      <c r="G83" s="108" t="s">
        <v>85</v>
      </c>
      <c r="H83" s="133"/>
      <c r="I83" s="14" t="s">
        <v>141</v>
      </c>
      <c r="J83" s="28">
        <f ca="1">H81*25%</f>
        <v>1.75</v>
      </c>
    </row>
    <row r="84" spans="1:10" x14ac:dyDescent="0.35">
      <c r="A84" s="107" t="s">
        <v>128</v>
      </c>
      <c r="B84" s="108"/>
      <c r="C84" s="44">
        <f ca="1">J85</f>
        <v>7</v>
      </c>
      <c r="D84" s="19">
        <f ca="1">((100/H81)*C84)/100</f>
        <v>1</v>
      </c>
      <c r="E84" s="103">
        <f ca="1">(((C85/H81*10)+(40/(D81+F81+H81)*C86)+(7.5/(H81)*C87)+(7.5/(H81)*C88)+(10/H81*C89)+(10/H81*C90)+(5/H81*C91)+(5/H81*C92)+(5/H81*C93))/100)</f>
        <v>0.76428571428571435</v>
      </c>
      <c r="F84" s="118"/>
      <c r="G84" s="103">
        <f ca="1">((((C84/H81)*20)+((C85/H81)*25)+(30/(H81+F81+D81)*C86)+(5/H81*C87)+(5/H81*C88)+(5/H81*C89)+(5/H81*C90)+(0/H81*C91)+(0/H81*C92)+(5/H81*C93))/100)</f>
        <v>0.9</v>
      </c>
      <c r="H84" s="104"/>
      <c r="I84" s="14" t="s">
        <v>101</v>
      </c>
      <c r="J84" s="29">
        <f ca="1">H81*50%</f>
        <v>3.5</v>
      </c>
    </row>
    <row r="85" spans="1:10" x14ac:dyDescent="0.35">
      <c r="A85" s="107" t="s">
        <v>51</v>
      </c>
      <c r="B85" s="108"/>
      <c r="C85" s="55">
        <v>7</v>
      </c>
      <c r="D85" s="19">
        <f ca="1">((100/H81)*C85)/100</f>
        <v>1</v>
      </c>
      <c r="E85" s="105"/>
      <c r="F85" s="119"/>
      <c r="G85" s="105"/>
      <c r="H85" s="106"/>
      <c r="I85" s="14" t="s">
        <v>102</v>
      </c>
      <c r="J85" s="29">
        <f ca="1">H81</f>
        <v>7</v>
      </c>
    </row>
    <row r="86" spans="1:10" ht="15.75" customHeight="1" x14ac:dyDescent="0.35">
      <c r="A86" s="107" t="s">
        <v>129</v>
      </c>
      <c r="B86" s="108"/>
      <c r="C86" s="44">
        <v>8</v>
      </c>
      <c r="D86" s="19">
        <f ca="1">((100/(D81+F81+H81))*C86)/100</f>
        <v>1</v>
      </c>
      <c r="E86" s="105"/>
      <c r="F86" s="119"/>
      <c r="G86" s="105"/>
      <c r="H86" s="106"/>
      <c r="I86" s="14" t="s">
        <v>103</v>
      </c>
      <c r="J86" s="30">
        <f ca="1">(IF(B81&gt;1,(H81/(B81+2)),H81/4))</f>
        <v>1.75</v>
      </c>
    </row>
    <row r="87" spans="1:10" ht="15.75" customHeight="1" x14ac:dyDescent="0.35">
      <c r="A87" s="107" t="s">
        <v>136</v>
      </c>
      <c r="B87" s="108" t="s">
        <v>130</v>
      </c>
      <c r="C87" s="44">
        <v>7</v>
      </c>
      <c r="D87" s="19">
        <f ca="1">((100/H81)*C87)/100</f>
        <v>1</v>
      </c>
      <c r="E87" s="105"/>
      <c r="F87" s="119"/>
      <c r="G87" s="105"/>
      <c r="H87" s="106"/>
      <c r="I87" s="14" t="s">
        <v>104</v>
      </c>
      <c r="J87" s="30">
        <f ca="1">(IF(B81&gt;1,(H81/(B81+2)+J86),H81/4+J86))</f>
        <v>3.5</v>
      </c>
    </row>
    <row r="88" spans="1:10" ht="15.75" customHeight="1" x14ac:dyDescent="0.35">
      <c r="A88" s="107" t="s">
        <v>137</v>
      </c>
      <c r="B88" s="108" t="s">
        <v>130</v>
      </c>
      <c r="C88" s="44">
        <v>7</v>
      </c>
      <c r="D88" s="19">
        <f ca="1">((100/H81)*C88)/100</f>
        <v>1</v>
      </c>
      <c r="E88" s="105"/>
      <c r="F88" s="119"/>
      <c r="G88" s="105"/>
      <c r="H88" s="106"/>
      <c r="I88" s="14" t="s">
        <v>146</v>
      </c>
      <c r="J88" s="30">
        <f>(IF(B81&gt;1,(H81/(B81+2)+J87),0))</f>
        <v>0</v>
      </c>
    </row>
    <row r="89" spans="1:10" ht="15" customHeight="1" x14ac:dyDescent="0.35">
      <c r="A89" s="107" t="s">
        <v>135</v>
      </c>
      <c r="B89" s="108" t="s">
        <v>132</v>
      </c>
      <c r="C89" s="44">
        <v>5</v>
      </c>
      <c r="D89" s="19">
        <f ca="1">((100/(H81))*C89)/100</f>
        <v>0.7142857142857143</v>
      </c>
      <c r="E89" s="105"/>
      <c r="F89" s="119"/>
      <c r="G89" s="105"/>
      <c r="H89" s="106"/>
      <c r="I89" s="14" t="s">
        <v>143</v>
      </c>
      <c r="J89" s="30">
        <f>(IF(B81&gt;2,(H81/(B81+2)+J88),0))</f>
        <v>0</v>
      </c>
    </row>
    <row r="90" spans="1:10" ht="15.75" customHeight="1" x14ac:dyDescent="0.35">
      <c r="A90" s="107" t="s">
        <v>131</v>
      </c>
      <c r="B90" s="108" t="s">
        <v>131</v>
      </c>
      <c r="C90" s="44">
        <v>2</v>
      </c>
      <c r="D90" s="19">
        <f ca="1">((100/H81)*C90)/100</f>
        <v>0.28571428571428575</v>
      </c>
      <c r="E90" s="105"/>
      <c r="F90" s="119"/>
      <c r="G90" s="105"/>
      <c r="H90" s="106"/>
      <c r="I90" s="14" t="s">
        <v>144</v>
      </c>
      <c r="J90" s="31">
        <f>(IF(B81&gt;3,(H81/(B81+2)+J89),0))</f>
        <v>0</v>
      </c>
    </row>
    <row r="91" spans="1:10" ht="15.75" customHeight="1" x14ac:dyDescent="0.35">
      <c r="A91" s="107" t="s">
        <v>138</v>
      </c>
      <c r="B91" s="108"/>
      <c r="C91" s="44">
        <v>2</v>
      </c>
      <c r="D91" s="19">
        <f ca="1">((100/H81)*C91)/100</f>
        <v>0.28571428571428575</v>
      </c>
      <c r="E91" s="105"/>
      <c r="F91" s="119"/>
      <c r="G91" s="105"/>
      <c r="H91" s="106"/>
      <c r="I91" s="14" t="s">
        <v>145</v>
      </c>
      <c r="J91" s="30">
        <f>(IF(B81&gt;4,(H81/(B81+2)+J90),0))</f>
        <v>0</v>
      </c>
    </row>
    <row r="92" spans="1:10" ht="15.75" customHeight="1" x14ac:dyDescent="0.35">
      <c r="A92" s="107" t="s">
        <v>133</v>
      </c>
      <c r="B92" s="108" t="s">
        <v>133</v>
      </c>
      <c r="C92" s="44">
        <v>0</v>
      </c>
      <c r="D92" s="19">
        <f ca="1">((100/(H81))*C92)/100</f>
        <v>0</v>
      </c>
      <c r="E92" s="105"/>
      <c r="F92" s="119"/>
      <c r="G92" s="105"/>
      <c r="H92" s="106"/>
      <c r="I92" s="14" t="s">
        <v>147</v>
      </c>
      <c r="J92" s="30">
        <f ca="1">(IF(B81=1,(H81/(B81+3)+J87),IF(B81=0,(H81/4+J87),IF(B81&gt;1,0))))</f>
        <v>5.25</v>
      </c>
    </row>
    <row r="93" spans="1:10" ht="16" thickBot="1" x14ac:dyDescent="0.4">
      <c r="A93" s="134" t="s">
        <v>134</v>
      </c>
      <c r="B93" s="135"/>
      <c r="C93" s="77">
        <v>0</v>
      </c>
      <c r="D93" s="78">
        <f ca="1">((100/(H81))*C93)/100</f>
        <v>0</v>
      </c>
      <c r="E93" s="105"/>
      <c r="F93" s="119"/>
      <c r="G93" s="105"/>
      <c r="H93" s="106"/>
      <c r="I93" s="15" t="s">
        <v>105</v>
      </c>
      <c r="J93" s="32">
        <f ca="1">(IF(B81&gt;1.5,(H81/(B81+2)+J87+MAX(0,J88-J87)+MAX(0,J89-J88)+MAX(0,J90-J89)+MAX(0,J91-J90)+MAX(0,J92-J91)),IF(B81=1,(H81/(B81+3)+J92),IF(B81=0,H81/4+J92))))</f>
        <v>7</v>
      </c>
    </row>
    <row r="94" spans="1:10" ht="15.75" customHeight="1" x14ac:dyDescent="0.35">
      <c r="A94" s="136" t="s">
        <v>140</v>
      </c>
      <c r="B94" s="136"/>
      <c r="C94" s="136" t="s">
        <v>228</v>
      </c>
      <c r="D94" s="136"/>
      <c r="E94" s="136"/>
      <c r="F94" s="136"/>
      <c r="G94" s="136"/>
      <c r="H94" s="136"/>
      <c r="I94" s="73" t="str">
        <f ca="1">IF(D107=100%,"All work Completed. Possession granted to the Building.",IF(D106=100%,"All work Completed, Waiting for OC",I95&amp;""&amp;I96&amp;""&amp;J95&amp;""&amp;J94&amp;" "&amp;J96))</f>
        <v>Excavation, Plinth, RCC Slab, Brickwork, Internal Plaster Completed, External Plaster upto 5 Floor, Flooring upto 2 Floor, Painting upto 2 Floor Completed</v>
      </c>
      <c r="J94" s="51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External Plaster upto 5 Floor, Flooring upto 2 Floor, Painting upto 2 Floor</v>
      </c>
    </row>
    <row r="95" spans="1:10" x14ac:dyDescent="0.35">
      <c r="A95" s="72" t="s">
        <v>142</v>
      </c>
      <c r="B95" s="72">
        <f>IF(AND(ISNUMBER(SEARCH("1B",C94))),1,IF(AND(ISNUMBER(SEARCH("2B",C94))),2,IF(AND(ISNUMBER(SEARCH("3B",C94))),3,IF(AND(ISNUMBER(SEARCH("4B",C94))),4,IF(ISNUMBER(SEARCH("5B",C94)),5,0)))))</f>
        <v>0</v>
      </c>
      <c r="C95" s="72" t="s">
        <v>73</v>
      </c>
      <c r="D95" s="72">
        <v>1</v>
      </c>
      <c r="E95" s="72" t="s">
        <v>72</v>
      </c>
      <c r="F95" s="72">
        <v>0</v>
      </c>
      <c r="G95" s="49" t="s">
        <v>81</v>
      </c>
      <c r="H95" s="72">
        <f ca="1">--TRIM(RIGHT(SUBSTITUTE(LEFT(C94,_xlfn.AGGREGATE(16,6,FIND({0,1,2,3,4,5,6,7,8,9},C94,ROW(INDIRECT("1:"&amp;LEN(C94)))),1))," ",REPT(" ",LEN(C94))),LEN(C94)))</f>
        <v>7</v>
      </c>
      <c r="I95" s="74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Plinth, RCC Slab, Brickwork, Internal Plaster</v>
      </c>
      <c r="J95" s="53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1.5" customHeight="1" x14ac:dyDescent="0.35">
      <c r="A96" s="130" t="s">
        <v>91</v>
      </c>
      <c r="B96" s="130"/>
      <c r="C96" s="131" t="str">
        <f ca="1">(IF($G$52="NA",I94,"All work Completed. OC Received."))</f>
        <v>Excavation, Plinth, RCC Slab, Brickwork, Internal Plaster Completed, External Plaster upto 5 Floor, Flooring upto 2 Floor, Painting upto 2 Floor Completed</v>
      </c>
      <c r="D96" s="131"/>
      <c r="E96" s="131"/>
      <c r="F96" s="131"/>
      <c r="G96" s="131"/>
      <c r="H96" s="131"/>
      <c r="I96" s="74" t="str">
        <f ca="1">IF(I95&lt;&gt;""," Completed","")</f>
        <v xml:space="preserve"> Completed</v>
      </c>
      <c r="J96" s="53" t="str">
        <f ca="1">IF(J94&lt;&gt;"","Completed","")</f>
        <v>Completed</v>
      </c>
    </row>
    <row r="97" spans="1:13" ht="15.75" customHeight="1" x14ac:dyDescent="0.35">
      <c r="A97" s="108" t="s">
        <v>50</v>
      </c>
      <c r="B97" s="108"/>
      <c r="C97" s="70" t="s">
        <v>139</v>
      </c>
      <c r="D97" s="70" t="s">
        <v>84</v>
      </c>
      <c r="E97" s="108" t="s">
        <v>86</v>
      </c>
      <c r="F97" s="108"/>
      <c r="G97" s="108" t="s">
        <v>85</v>
      </c>
      <c r="H97" s="108"/>
      <c r="I97" s="14" t="s">
        <v>141</v>
      </c>
      <c r="J97" s="28">
        <f ca="1">H95*25%</f>
        <v>1.75</v>
      </c>
    </row>
    <row r="98" spans="1:13" x14ac:dyDescent="0.35">
      <c r="A98" s="108" t="s">
        <v>128</v>
      </c>
      <c r="B98" s="108"/>
      <c r="C98" s="70">
        <f ca="1">J99</f>
        <v>7</v>
      </c>
      <c r="D98" s="19">
        <f ca="1">((100/H95)*C98)/100</f>
        <v>1</v>
      </c>
      <c r="E98" s="137">
        <f ca="1">(((C99/H95*10)+(40/(D95+F95+H95)*C100)+(7.5/(H95)*C101)+(7.5/(H95)*C102)+(10/H95*C103)+(10/H95*C104)+(5/H95*C105)+(5/H95*C106)+(5/H95*C107))/100)</f>
        <v>0.76428571428571435</v>
      </c>
      <c r="F98" s="137"/>
      <c r="G98" s="137">
        <f ca="1">((((C98/H95)*20)+((C99/H95)*25)+(30/(H95+F95+D95)*C100)+(5/H95*C101)+(5/H95*C102)+(5/H95*C103)+(5/H95*C104)+(0/H95*C105)+(0/H95*C106)+(5/H95*C107))/100)</f>
        <v>0.9</v>
      </c>
      <c r="H98" s="137"/>
      <c r="I98" s="14" t="s">
        <v>101</v>
      </c>
      <c r="J98" s="29">
        <f ca="1">H95*50%</f>
        <v>3.5</v>
      </c>
    </row>
    <row r="99" spans="1:13" x14ac:dyDescent="0.35">
      <c r="A99" s="108" t="s">
        <v>51</v>
      </c>
      <c r="B99" s="108"/>
      <c r="C99" s="55">
        <v>7</v>
      </c>
      <c r="D99" s="19">
        <f ca="1">((100/H95)*C99)/100</f>
        <v>1</v>
      </c>
      <c r="E99" s="137"/>
      <c r="F99" s="137"/>
      <c r="G99" s="137"/>
      <c r="H99" s="137"/>
      <c r="I99" s="14" t="s">
        <v>102</v>
      </c>
      <c r="J99" s="29">
        <f ca="1">H95</f>
        <v>7</v>
      </c>
    </row>
    <row r="100" spans="1:13" ht="15.75" customHeight="1" x14ac:dyDescent="0.35">
      <c r="A100" s="108" t="s">
        <v>129</v>
      </c>
      <c r="B100" s="108"/>
      <c r="C100" s="70">
        <v>8</v>
      </c>
      <c r="D100" s="19">
        <f ca="1">((100/(D95+F95+H95))*C100)/100</f>
        <v>1</v>
      </c>
      <c r="E100" s="137"/>
      <c r="F100" s="137"/>
      <c r="G100" s="137"/>
      <c r="H100" s="137"/>
      <c r="I100" s="14" t="s">
        <v>103</v>
      </c>
      <c r="J100" s="30">
        <f ca="1">(IF(B95&gt;1,(H95/(B95+2)),H95/4))</f>
        <v>1.75</v>
      </c>
    </row>
    <row r="101" spans="1:13" ht="15.75" customHeight="1" x14ac:dyDescent="0.35">
      <c r="A101" s="108" t="s">
        <v>136</v>
      </c>
      <c r="B101" s="108" t="s">
        <v>130</v>
      </c>
      <c r="C101" s="70">
        <v>7</v>
      </c>
      <c r="D101" s="19">
        <f ca="1">((100/H95)*C101)/100</f>
        <v>1</v>
      </c>
      <c r="E101" s="137"/>
      <c r="F101" s="137"/>
      <c r="G101" s="137"/>
      <c r="H101" s="137"/>
      <c r="I101" s="14" t="s">
        <v>104</v>
      </c>
      <c r="J101" s="30">
        <f ca="1">(IF(B95&gt;1,(H95/(B95+2)+J100),H95/4+J100))</f>
        <v>3.5</v>
      </c>
    </row>
    <row r="102" spans="1:13" ht="15.75" customHeight="1" x14ac:dyDescent="0.35">
      <c r="A102" s="108" t="s">
        <v>137</v>
      </c>
      <c r="B102" s="108" t="s">
        <v>130</v>
      </c>
      <c r="C102" s="70">
        <v>7</v>
      </c>
      <c r="D102" s="19">
        <f ca="1">((100/H95)*C102)/100</f>
        <v>1</v>
      </c>
      <c r="E102" s="137"/>
      <c r="F102" s="137"/>
      <c r="G102" s="137"/>
      <c r="H102" s="137"/>
      <c r="I102" s="14" t="s">
        <v>146</v>
      </c>
      <c r="J102" s="30">
        <f>(IF(B95&gt;1,(H95/(B95+2)+J101),0))</f>
        <v>0</v>
      </c>
    </row>
    <row r="103" spans="1:13" ht="15" customHeight="1" x14ac:dyDescent="0.35">
      <c r="A103" s="108" t="s">
        <v>135</v>
      </c>
      <c r="B103" s="108" t="s">
        <v>132</v>
      </c>
      <c r="C103" s="70">
        <v>5</v>
      </c>
      <c r="D103" s="19">
        <f ca="1">((100/(H95))*C103)/100</f>
        <v>0.7142857142857143</v>
      </c>
      <c r="E103" s="137"/>
      <c r="F103" s="137"/>
      <c r="G103" s="137"/>
      <c r="H103" s="137"/>
      <c r="I103" s="14" t="s">
        <v>143</v>
      </c>
      <c r="J103" s="30">
        <f>(IF(B95&gt;2,(H95/(B95+2)+J102),0))</f>
        <v>0</v>
      </c>
    </row>
    <row r="104" spans="1:13" ht="15.75" customHeight="1" x14ac:dyDescent="0.35">
      <c r="A104" s="108" t="s">
        <v>131</v>
      </c>
      <c r="B104" s="108" t="s">
        <v>131</v>
      </c>
      <c r="C104" s="70">
        <v>2</v>
      </c>
      <c r="D104" s="19">
        <f ca="1">((100/H95)*C104)/100</f>
        <v>0.28571428571428575</v>
      </c>
      <c r="E104" s="137"/>
      <c r="F104" s="137"/>
      <c r="G104" s="137"/>
      <c r="H104" s="137"/>
      <c r="I104" s="14" t="s">
        <v>144</v>
      </c>
      <c r="J104" s="31">
        <f>(IF(B95&gt;3,(H95/(B95+2)+J103),0))</f>
        <v>0</v>
      </c>
    </row>
    <row r="105" spans="1:13" ht="15.75" customHeight="1" x14ac:dyDescent="0.35">
      <c r="A105" s="108" t="s">
        <v>138</v>
      </c>
      <c r="B105" s="108"/>
      <c r="C105" s="70">
        <v>2</v>
      </c>
      <c r="D105" s="19">
        <f ca="1">((100/H95)*C105)/100</f>
        <v>0.28571428571428575</v>
      </c>
      <c r="E105" s="137"/>
      <c r="F105" s="137"/>
      <c r="G105" s="137"/>
      <c r="H105" s="137"/>
      <c r="I105" s="14" t="s">
        <v>145</v>
      </c>
      <c r="J105" s="30">
        <f>(IF(B95&gt;4,(H95/(B95+2)+J104),0))</f>
        <v>0</v>
      </c>
    </row>
    <row r="106" spans="1:13" ht="15.75" customHeight="1" x14ac:dyDescent="0.35">
      <c r="A106" s="108" t="s">
        <v>133</v>
      </c>
      <c r="B106" s="108" t="s">
        <v>133</v>
      </c>
      <c r="C106" s="70">
        <v>0</v>
      </c>
      <c r="D106" s="19">
        <f ca="1">((100/(H95))*C106)/100</f>
        <v>0</v>
      </c>
      <c r="E106" s="137"/>
      <c r="F106" s="137"/>
      <c r="G106" s="137"/>
      <c r="H106" s="137"/>
      <c r="I106" s="14" t="s">
        <v>147</v>
      </c>
      <c r="J106" s="30">
        <f ca="1">(IF(B95=1,(H95/(B95+3)+J101),IF(B95=0,(H95/4+J101),IF(B95&gt;1,0))))</f>
        <v>5.25</v>
      </c>
    </row>
    <row r="107" spans="1:13" ht="16" thickBot="1" x14ac:dyDescent="0.4">
      <c r="A107" s="108" t="s">
        <v>134</v>
      </c>
      <c r="B107" s="108"/>
      <c r="C107" s="70">
        <v>0</v>
      </c>
      <c r="D107" s="19">
        <f ca="1">((100/(H95))*C107)/100</f>
        <v>0</v>
      </c>
      <c r="E107" s="137"/>
      <c r="F107" s="137"/>
      <c r="G107" s="137"/>
      <c r="H107" s="137"/>
      <c r="I107" s="15" t="s">
        <v>105</v>
      </c>
      <c r="J107" s="32">
        <f ca="1">(IF(B95&gt;1.5,(H95/(B95+2)+J101+MAX(0,J102-J101)+MAX(0,J103-J102)+MAX(0,J104-J103)+MAX(0,J105-J104)+MAX(0,J106-J105)),IF(B95=1,(H95/(B95+3)+J106),IF(B95=0,H95/4+J106))))</f>
        <v>7</v>
      </c>
    </row>
    <row r="108" spans="1:13" x14ac:dyDescent="0.35">
      <c r="A108" s="110" t="s">
        <v>156</v>
      </c>
      <c r="B108" s="110"/>
      <c r="C108" s="110"/>
      <c r="D108" s="110"/>
      <c r="E108" s="110"/>
      <c r="F108" s="117" t="s">
        <v>161</v>
      </c>
      <c r="G108" s="117"/>
      <c r="H108" s="117"/>
    </row>
    <row r="109" spans="1:13" x14ac:dyDescent="0.35">
      <c r="A109" s="80" t="s">
        <v>159</v>
      </c>
      <c r="B109" s="80"/>
      <c r="C109" s="80"/>
      <c r="D109" s="80"/>
      <c r="E109" s="80"/>
      <c r="F109" s="200">
        <v>3700</v>
      </c>
      <c r="G109" s="200"/>
      <c r="H109" s="200"/>
      <c r="I109" s="21" t="s">
        <v>216</v>
      </c>
      <c r="K109" s="21" t="s">
        <v>217</v>
      </c>
      <c r="L109" s="25" t="s">
        <v>218</v>
      </c>
      <c r="M109" s="25">
        <v>45099</v>
      </c>
    </row>
    <row r="110" spans="1:13" hidden="1" x14ac:dyDescent="0.35">
      <c r="A110" s="80" t="s">
        <v>158</v>
      </c>
      <c r="B110" s="80"/>
      <c r="C110" s="80"/>
      <c r="D110" s="80"/>
      <c r="E110" s="80"/>
      <c r="F110" s="109"/>
      <c r="G110" s="109"/>
      <c r="H110" s="109"/>
    </row>
    <row r="111" spans="1:13" hidden="1" x14ac:dyDescent="0.35">
      <c r="A111" s="80" t="s">
        <v>160</v>
      </c>
      <c r="B111" s="80"/>
      <c r="C111" s="80"/>
      <c r="D111" s="80"/>
      <c r="E111" s="80"/>
      <c r="F111" s="109"/>
      <c r="G111" s="109"/>
      <c r="H111" s="109"/>
    </row>
    <row r="112" spans="1:13" s="33" customFormat="1" hidden="1" x14ac:dyDescent="0.3">
      <c r="A112" s="80" t="s">
        <v>157</v>
      </c>
      <c r="B112" s="80"/>
      <c r="C112" s="80"/>
      <c r="D112" s="80"/>
      <c r="E112" s="80"/>
      <c r="F112" s="109"/>
      <c r="G112" s="109"/>
      <c r="H112" s="109"/>
    </row>
    <row r="113" spans="1:12" s="33" customFormat="1" hidden="1" x14ac:dyDescent="0.3">
      <c r="A113" s="80" t="s">
        <v>96</v>
      </c>
      <c r="B113" s="80"/>
      <c r="C113" s="80"/>
      <c r="D113" s="80"/>
      <c r="E113" s="80"/>
      <c r="F113" s="109"/>
      <c r="G113" s="109"/>
      <c r="H113" s="109"/>
    </row>
    <row r="114" spans="1:12" s="33" customFormat="1" x14ac:dyDescent="0.3">
      <c r="A114" s="80" t="s">
        <v>97</v>
      </c>
      <c r="B114" s="80"/>
      <c r="C114" s="80"/>
      <c r="D114" s="80"/>
      <c r="E114" s="80"/>
      <c r="F114" s="109">
        <v>50000</v>
      </c>
      <c r="G114" s="109"/>
      <c r="H114" s="109"/>
      <c r="I114" s="68" t="s">
        <v>220</v>
      </c>
      <c r="J114" s="68" t="s">
        <v>221</v>
      </c>
      <c r="K114" s="68" t="s">
        <v>222</v>
      </c>
      <c r="L114" s="69">
        <v>45163</v>
      </c>
    </row>
    <row r="115" spans="1:12" s="33" customFormat="1" hidden="1" x14ac:dyDescent="0.3">
      <c r="A115" s="80" t="s">
        <v>162</v>
      </c>
      <c r="B115" s="80"/>
      <c r="C115" s="80"/>
      <c r="D115" s="80"/>
      <c r="E115" s="80"/>
      <c r="F115" s="109">
        <v>10000</v>
      </c>
      <c r="G115" s="109"/>
      <c r="H115" s="109"/>
    </row>
    <row r="116" spans="1:12" s="33" customFormat="1" hidden="1" x14ac:dyDescent="0.3">
      <c r="A116" s="80" t="s">
        <v>98</v>
      </c>
      <c r="B116" s="80"/>
      <c r="C116" s="80"/>
      <c r="D116" s="80"/>
      <c r="E116" s="80"/>
      <c r="F116" s="109"/>
      <c r="G116" s="109"/>
      <c r="H116" s="109"/>
    </row>
    <row r="117" spans="1:12" s="33" customFormat="1" x14ac:dyDescent="0.3">
      <c r="A117" s="80" t="s">
        <v>219</v>
      </c>
      <c r="B117" s="80"/>
      <c r="C117" s="80"/>
      <c r="D117" s="80"/>
      <c r="E117" s="80"/>
      <c r="F117" s="109">
        <v>100000</v>
      </c>
      <c r="G117" s="109"/>
      <c r="H117" s="109"/>
    </row>
    <row r="118" spans="1:12" s="33" customFormat="1" x14ac:dyDescent="0.3">
      <c r="A118" s="80" t="s">
        <v>99</v>
      </c>
      <c r="B118" s="80"/>
      <c r="C118" s="80"/>
      <c r="D118" s="80"/>
      <c r="E118" s="80"/>
      <c r="F118" s="109">
        <v>75000</v>
      </c>
      <c r="G118" s="109"/>
      <c r="H118" s="109"/>
    </row>
    <row r="119" spans="1:12" s="33" customFormat="1" hidden="1" x14ac:dyDescent="0.3">
      <c r="A119" s="80" t="s">
        <v>100</v>
      </c>
      <c r="B119" s="80"/>
      <c r="C119" s="80"/>
      <c r="D119" s="80"/>
      <c r="E119" s="80"/>
      <c r="F119" s="109"/>
      <c r="G119" s="109"/>
      <c r="H119" s="109"/>
    </row>
    <row r="120" spans="1:12" x14ac:dyDescent="0.35">
      <c r="A120" s="80" t="s">
        <v>52</v>
      </c>
      <c r="B120" s="80"/>
      <c r="C120" s="80"/>
      <c r="D120" s="80"/>
      <c r="E120" s="80"/>
      <c r="F120" s="109">
        <v>100000</v>
      </c>
      <c r="G120" s="109"/>
      <c r="H120" s="109"/>
    </row>
    <row r="121" spans="1:12" s="34" customFormat="1" x14ac:dyDescent="0.35">
      <c r="A121" s="110" t="s">
        <v>53</v>
      </c>
      <c r="B121" s="110"/>
      <c r="C121" s="110"/>
      <c r="D121" s="110"/>
      <c r="E121" s="110"/>
      <c r="F121" s="109">
        <f>F109*0.8</f>
        <v>2960</v>
      </c>
      <c r="G121" s="109"/>
      <c r="H121" s="109"/>
    </row>
    <row r="122" spans="1:12" s="35" customFormat="1" x14ac:dyDescent="0.35">
      <c r="A122" s="111" t="s">
        <v>207</v>
      </c>
      <c r="B122" s="111"/>
      <c r="C122" s="111"/>
      <c r="D122" s="111"/>
      <c r="E122" s="111"/>
      <c r="F122" s="111"/>
      <c r="G122" s="111"/>
      <c r="H122" s="111"/>
    </row>
    <row r="123" spans="1:12" s="35" customFormat="1" ht="15.75" customHeight="1" x14ac:dyDescent="0.35">
      <c r="A123" s="189" t="s">
        <v>54</v>
      </c>
      <c r="B123" s="189"/>
      <c r="C123" s="82" t="s">
        <v>79</v>
      </c>
      <c r="D123" s="82"/>
      <c r="E123" s="183" t="s">
        <v>55</v>
      </c>
      <c r="F123" s="183"/>
      <c r="G123" s="189" t="s">
        <v>56</v>
      </c>
      <c r="H123" s="189"/>
      <c r="I123" s="35" t="s">
        <v>214</v>
      </c>
      <c r="J123" s="35" t="s">
        <v>113</v>
      </c>
    </row>
    <row r="124" spans="1:12" s="35" customFormat="1" x14ac:dyDescent="0.35">
      <c r="A124" s="83" t="s">
        <v>202</v>
      </c>
      <c r="B124" s="61" t="s">
        <v>195</v>
      </c>
      <c r="C124" s="127">
        <f>COUNT(D137:D144)*6+COUNT(D146,D148:D153)</f>
        <v>55</v>
      </c>
      <c r="D124" s="127"/>
      <c r="E124" s="126">
        <f t="shared" ref="E124" si="0">SUM(D137:D144)*6+SUM(D146,D148:D153)</f>
        <v>24550.289009999997</v>
      </c>
      <c r="F124" s="126"/>
      <c r="G124" s="126">
        <f>SUM(F137:F144)*6+SUM(F146,F148:F153)</f>
        <v>35597.919064499991</v>
      </c>
      <c r="H124" s="126"/>
      <c r="I124" s="35">
        <v>3800</v>
      </c>
      <c r="J124" s="36">
        <f>2480000/F209</f>
        <v>4232.1190975788968</v>
      </c>
      <c r="K124" s="35" t="s">
        <v>215</v>
      </c>
    </row>
    <row r="125" spans="1:12" s="35" customFormat="1" ht="15.75" customHeight="1" x14ac:dyDescent="0.35">
      <c r="A125" s="83"/>
      <c r="B125" s="61" t="s">
        <v>196</v>
      </c>
      <c r="C125" s="127">
        <f>COUNT(D157:D164)*6+COUNT(D166:D171,D173)</f>
        <v>55</v>
      </c>
      <c r="D125" s="127"/>
      <c r="E125" s="126">
        <f t="shared" ref="E125" si="1">SUM(D157:D164)*6+SUM(D166:D171,D173)</f>
        <v>22220.152109999995</v>
      </c>
      <c r="F125" s="126"/>
      <c r="G125" s="126">
        <f>SUM(F157:F164)*6+SUM(F166:F171,F173)</f>
        <v>32219.22055949999</v>
      </c>
      <c r="H125" s="126"/>
      <c r="J125" s="67">
        <f>3600000/F152</f>
        <v>4643.7266723841776</v>
      </c>
    </row>
    <row r="126" spans="1:12" s="35" customFormat="1" x14ac:dyDescent="0.35">
      <c r="A126" s="83" t="s">
        <v>201</v>
      </c>
      <c r="B126" s="61" t="s">
        <v>203</v>
      </c>
      <c r="C126" s="127">
        <f>COUNT(D178:D185)*6+COUNT(D187,D189:D194)</f>
        <v>55</v>
      </c>
      <c r="D126" s="127"/>
      <c r="E126" s="126">
        <f>SUM(D178:D185)*6+SUM(D187,D189:D194)</f>
        <v>22211.675459999999</v>
      </c>
      <c r="F126" s="126"/>
      <c r="G126" s="126">
        <f>SUM(F178:F185)*6+SUM(F187,F189:F194)</f>
        <v>32206.929416999999</v>
      </c>
      <c r="H126" s="126"/>
      <c r="J126" s="67">
        <f>AVERAGE(J124:J125)</f>
        <v>4437.9228849815372</v>
      </c>
    </row>
    <row r="127" spans="1:12" s="35" customFormat="1" ht="15.75" customHeight="1" x14ac:dyDescent="0.35">
      <c r="A127" s="83"/>
      <c r="B127" s="61" t="s">
        <v>205</v>
      </c>
      <c r="C127" s="127">
        <f>COUNT(D198:D204)*6+COUNT(D206:D210,D212)</f>
        <v>48</v>
      </c>
      <c r="D127" s="127"/>
      <c r="E127" s="126">
        <f>SUM(D198:D204)*6+SUM(D206:D210,D212)</f>
        <v>19689.777899999997</v>
      </c>
      <c r="F127" s="126"/>
      <c r="G127" s="126">
        <f>SUM(F198:F204)*6+SUM(F206:F210,F212)</f>
        <v>28550.177955000003</v>
      </c>
      <c r="H127" s="126"/>
    </row>
    <row r="128" spans="1:12" s="35" customFormat="1" x14ac:dyDescent="0.35">
      <c r="A128" s="111" t="s">
        <v>150</v>
      </c>
      <c r="B128" s="111"/>
      <c r="C128" s="81">
        <f>SUM(C124:C127)</f>
        <v>213</v>
      </c>
      <c r="D128" s="82"/>
      <c r="E128" s="81">
        <f t="shared" ref="E128" si="2">SUM(E124:E127)</f>
        <v>88671.894479999988</v>
      </c>
      <c r="F128" s="82"/>
      <c r="G128" s="81">
        <f t="shared" ref="G128" si="3">SUM(G124:G127)</f>
        <v>128574.24699599999</v>
      </c>
      <c r="H128" s="82"/>
    </row>
    <row r="129" spans="1:14" s="34" customFormat="1" x14ac:dyDescent="0.35">
      <c r="A129" s="128" t="s">
        <v>57</v>
      </c>
      <c r="B129" s="128"/>
      <c r="C129" s="128"/>
      <c r="D129" s="128"/>
      <c r="E129" s="128"/>
      <c r="F129" s="128"/>
      <c r="G129" s="128"/>
      <c r="H129" s="128"/>
    </row>
    <row r="130" spans="1:14" x14ac:dyDescent="0.35">
      <c r="A130" s="117" t="s">
        <v>58</v>
      </c>
      <c r="B130" s="117"/>
      <c r="C130" s="117"/>
      <c r="D130" s="117"/>
      <c r="E130" s="117"/>
      <c r="F130" s="117"/>
      <c r="G130" s="117"/>
      <c r="H130" s="117"/>
    </row>
    <row r="131" spans="1:14" ht="47.25" customHeight="1" x14ac:dyDescent="0.35">
      <c r="A131" s="113" t="s">
        <v>120</v>
      </c>
      <c r="B131" s="113" t="s">
        <v>121</v>
      </c>
      <c r="C131" s="187" t="s">
        <v>59</v>
      </c>
      <c r="D131" s="187" t="s">
        <v>60</v>
      </c>
      <c r="E131" s="191" t="s">
        <v>61</v>
      </c>
      <c r="F131" s="43" t="s">
        <v>149</v>
      </c>
      <c r="G131" s="113" t="s">
        <v>62</v>
      </c>
      <c r="H131" s="193"/>
      <c r="I131" s="36"/>
    </row>
    <row r="132" spans="1:14" s="37" customFormat="1" x14ac:dyDescent="0.35">
      <c r="A132" s="114"/>
      <c r="B132" s="114"/>
      <c r="C132" s="188"/>
      <c r="D132" s="188"/>
      <c r="E132" s="192"/>
      <c r="F132" s="13">
        <v>0.45</v>
      </c>
      <c r="G132" s="114"/>
      <c r="H132" s="194"/>
      <c r="I132" s="36"/>
    </row>
    <row r="133" spans="1:14" s="58" customFormat="1" x14ac:dyDescent="0.35">
      <c r="A133" s="87" t="s">
        <v>202</v>
      </c>
      <c r="B133" s="88"/>
      <c r="C133" s="88"/>
      <c r="D133" s="88"/>
      <c r="E133" s="88"/>
      <c r="F133" s="88"/>
      <c r="G133" s="88"/>
      <c r="H133" s="89"/>
      <c r="J133" s="36"/>
    </row>
    <row r="134" spans="1:14" s="58" customFormat="1" x14ac:dyDescent="0.35">
      <c r="A134" s="87" t="s">
        <v>195</v>
      </c>
      <c r="B134" s="88"/>
      <c r="C134" s="88"/>
      <c r="D134" s="88"/>
      <c r="E134" s="88"/>
      <c r="F134" s="88"/>
      <c r="G134" s="88"/>
      <c r="H134" s="89"/>
      <c r="J134" s="36"/>
    </row>
    <row r="135" spans="1:14" s="37" customFormat="1" x14ac:dyDescent="0.35">
      <c r="A135" s="87" t="s">
        <v>191</v>
      </c>
      <c r="B135" s="88"/>
      <c r="C135" s="88"/>
      <c r="D135" s="88"/>
      <c r="E135" s="88"/>
      <c r="F135" s="88"/>
      <c r="G135" s="88"/>
      <c r="H135" s="89"/>
      <c r="J135" s="36"/>
    </row>
    <row r="136" spans="1:14" s="37" customFormat="1" x14ac:dyDescent="0.35">
      <c r="A136" s="94" t="s">
        <v>192</v>
      </c>
      <c r="B136" s="94"/>
      <c r="C136" s="94"/>
      <c r="D136" s="94"/>
      <c r="E136" s="94"/>
      <c r="F136" s="94"/>
      <c r="G136" s="94"/>
      <c r="H136" s="94"/>
      <c r="I136" s="36"/>
      <c r="L136" s="201"/>
      <c r="M136" s="201"/>
    </row>
    <row r="137" spans="1:14" s="37" customFormat="1" ht="15.75" customHeight="1" x14ac:dyDescent="0.35">
      <c r="A137" s="79">
        <v>1</v>
      </c>
      <c r="B137" s="79"/>
      <c r="C137" s="42" t="s">
        <v>193</v>
      </c>
      <c r="D137" s="64">
        <f>(28.28+0.75*(2.6+2.1+2.75))*(10.764)</f>
        <v>364.54976999999997</v>
      </c>
      <c r="E137" s="42">
        <v>0</v>
      </c>
      <c r="F137" s="42">
        <f t="shared" ref="F137:F138" si="4">D137*(($F$132)+1)+(IF(E137&lt;101,E137,IF(E137&lt;201,E137/2,IF(E137&lt;=301,E137/3,E137/4))))</f>
        <v>528.59716649999996</v>
      </c>
      <c r="G137" s="90" t="str">
        <f>A136</f>
        <v>1st to 6th Floor For Residential</v>
      </c>
      <c r="H137" s="91"/>
      <c r="I137" s="36">
        <f>2.6*3.95+2.1*2.7+2.75*2.7+1.2*1.8+0.75*0.5+2.6*0.5</f>
        <v>27.200000000000003</v>
      </c>
      <c r="J137" s="37">
        <f>4200*F137</f>
        <v>2220108.0992999999</v>
      </c>
      <c r="N137" s="36"/>
    </row>
    <row r="138" spans="1:14" s="37" customFormat="1" ht="15.75" customHeight="1" x14ac:dyDescent="0.35">
      <c r="A138" s="79">
        <f t="shared" ref="A138:A144" si="5">A137+1</f>
        <v>2</v>
      </c>
      <c r="B138" s="79"/>
      <c r="C138" s="56" t="s">
        <v>193</v>
      </c>
      <c r="D138" s="64">
        <f>(28.28+0.75*(2.6+2.1+2.6))*(10.764)</f>
        <v>363.33882</v>
      </c>
      <c r="E138" s="42">
        <v>0</v>
      </c>
      <c r="F138" s="42">
        <f t="shared" si="4"/>
        <v>526.84128899999996</v>
      </c>
      <c r="G138" s="92"/>
      <c r="H138" s="93"/>
      <c r="I138" s="36"/>
      <c r="J138" s="66">
        <f t="shared" ref="J138:J144" si="6">4200*F138</f>
        <v>2212733.4137999997</v>
      </c>
      <c r="N138" s="36"/>
    </row>
    <row r="139" spans="1:14" s="37" customFormat="1" ht="15.75" customHeight="1" x14ac:dyDescent="0.35">
      <c r="A139" s="79">
        <f t="shared" si="5"/>
        <v>3</v>
      </c>
      <c r="B139" s="79"/>
      <c r="C139" s="56" t="s">
        <v>193</v>
      </c>
      <c r="D139" s="64">
        <f>(28.28+0.75*(2.6+2.1+2.6))*(10.764)</f>
        <v>363.33882</v>
      </c>
      <c r="E139" s="42">
        <v>0</v>
      </c>
      <c r="F139" s="42">
        <f t="shared" ref="F139:F144" si="7">D139*(($F$132)+1)+(IF(E139&lt;101,E139,IF(E139&lt;201,E139/2,IF(E139&lt;=301,E139/3,E139/4))))</f>
        <v>526.84128899999996</v>
      </c>
      <c r="G139" s="92"/>
      <c r="H139" s="93"/>
      <c r="I139" s="36"/>
      <c r="J139" s="66">
        <f t="shared" si="6"/>
        <v>2212733.4137999997</v>
      </c>
      <c r="N139" s="36"/>
    </row>
    <row r="140" spans="1:14" s="37" customFormat="1" ht="15.75" customHeight="1" x14ac:dyDescent="0.35">
      <c r="A140" s="79">
        <f t="shared" si="5"/>
        <v>4</v>
      </c>
      <c r="B140" s="79"/>
      <c r="C140" s="42" t="s">
        <v>194</v>
      </c>
      <c r="D140" s="64">
        <f>(44.83+3.05+0.75*(2.1+2.5+3.7+3.35))*(10.764)</f>
        <v>609.43076999999994</v>
      </c>
      <c r="E140" s="42">
        <v>0</v>
      </c>
      <c r="F140" s="42">
        <f t="shared" si="7"/>
        <v>883.67461649999984</v>
      </c>
      <c r="G140" s="92"/>
      <c r="H140" s="93"/>
      <c r="I140" s="36">
        <f>4.3*2.75+2.2*2.1+2.75*2.5+3.35*2.75+1.2*1.75+1.2*2.1+0.6*0.45+0.9*4.8</f>
        <v>41.742500000000007</v>
      </c>
      <c r="J140" s="66">
        <f t="shared" si="6"/>
        <v>3711433.3892999995</v>
      </c>
      <c r="N140" s="36"/>
    </row>
    <row r="141" spans="1:14" s="37" customFormat="1" ht="15.75" customHeight="1" x14ac:dyDescent="0.35">
      <c r="A141" s="79">
        <f t="shared" si="5"/>
        <v>5</v>
      </c>
      <c r="B141" s="79"/>
      <c r="C141" s="56" t="s">
        <v>193</v>
      </c>
      <c r="D141" s="64">
        <f>(30.28+0.75*(2.6+2.1+2.75))*(10.764)</f>
        <v>386.07776999999999</v>
      </c>
      <c r="E141" s="42">
        <v>0</v>
      </c>
      <c r="F141" s="42">
        <f t="shared" si="7"/>
        <v>559.81276649999995</v>
      </c>
      <c r="G141" s="92"/>
      <c r="H141" s="93"/>
      <c r="I141" s="36"/>
      <c r="J141" s="66">
        <f t="shared" si="6"/>
        <v>2351213.6192999999</v>
      </c>
      <c r="N141" s="36"/>
    </row>
    <row r="142" spans="1:14" s="58" customFormat="1" ht="15.75" customHeight="1" x14ac:dyDescent="0.35">
      <c r="A142" s="79">
        <f t="shared" si="5"/>
        <v>6</v>
      </c>
      <c r="B142" s="79"/>
      <c r="C142" s="56" t="s">
        <v>194</v>
      </c>
      <c r="D142" s="64">
        <f>(44.56+3.05+0.75*(2.1+2.75))*(10.764)</f>
        <v>551.62809000000004</v>
      </c>
      <c r="E142" s="56">
        <v>0</v>
      </c>
      <c r="F142" s="56">
        <f t="shared" si="7"/>
        <v>799.86073050000005</v>
      </c>
      <c r="G142" s="92"/>
      <c r="H142" s="93"/>
      <c r="I142" s="36"/>
      <c r="J142" s="66">
        <f t="shared" si="6"/>
        <v>3359415.0681000003</v>
      </c>
      <c r="N142" s="36"/>
    </row>
    <row r="143" spans="1:14" s="58" customFormat="1" ht="15.75" customHeight="1" x14ac:dyDescent="0.35">
      <c r="A143" s="79">
        <f t="shared" si="5"/>
        <v>7</v>
      </c>
      <c r="B143" s="79"/>
      <c r="C143" s="56" t="s">
        <v>194</v>
      </c>
      <c r="D143" s="64">
        <f>(43.97+0.75*(2.75+2.1+2.75))*(10.764)</f>
        <v>534.64787999999999</v>
      </c>
      <c r="E143" s="56">
        <v>0</v>
      </c>
      <c r="F143" s="56">
        <f t="shared" si="7"/>
        <v>775.23942599999998</v>
      </c>
      <c r="G143" s="92"/>
      <c r="H143" s="93"/>
      <c r="I143" s="36">
        <f>4.3*2.75+2.25*2.1+2.6*2.75+1.8*1.2+3.2*2.75+0.5*1.5+1.2*1.8+0.9*3.7</f>
        <v>40.900000000000006</v>
      </c>
      <c r="J143" s="66">
        <f t="shared" si="6"/>
        <v>3256005.5891999998</v>
      </c>
      <c r="N143" s="36"/>
    </row>
    <row r="144" spans="1:14" s="58" customFormat="1" ht="15.75" customHeight="1" x14ac:dyDescent="0.35">
      <c r="A144" s="79">
        <f t="shared" si="5"/>
        <v>8</v>
      </c>
      <c r="B144" s="79"/>
      <c r="C144" s="56" t="s">
        <v>193</v>
      </c>
      <c r="D144" s="64">
        <f>(30.28+0.75*(2.6+2.1+2.75))*(10.764)</f>
        <v>386.07776999999999</v>
      </c>
      <c r="E144" s="56">
        <v>0</v>
      </c>
      <c r="F144" s="56">
        <f t="shared" si="7"/>
        <v>559.81276649999995</v>
      </c>
      <c r="G144" s="115"/>
      <c r="H144" s="116"/>
      <c r="I144" s="36"/>
      <c r="J144" s="66">
        <f t="shared" si="6"/>
        <v>2351213.6192999999</v>
      </c>
      <c r="N144" s="36"/>
    </row>
    <row r="145" spans="1:14" s="58" customFormat="1" ht="15.75" customHeight="1" x14ac:dyDescent="0.35">
      <c r="A145" s="94" t="s">
        <v>199</v>
      </c>
      <c r="B145" s="94"/>
      <c r="C145" s="94"/>
      <c r="D145" s="94"/>
      <c r="E145" s="94"/>
      <c r="F145" s="94"/>
      <c r="G145" s="94"/>
      <c r="H145" s="94"/>
      <c r="I145" s="36"/>
      <c r="J145" s="65"/>
    </row>
    <row r="146" spans="1:14" s="58" customFormat="1" x14ac:dyDescent="0.35">
      <c r="A146" s="79">
        <v>1</v>
      </c>
      <c r="B146" s="79"/>
      <c r="C146" s="63" t="s">
        <v>193</v>
      </c>
      <c r="D146" s="64">
        <f>(28.28+0.75*(2.6+2.1+2.75))*(10.764)</f>
        <v>364.54976999999997</v>
      </c>
      <c r="E146" s="71">
        <v>0</v>
      </c>
      <c r="F146" s="71">
        <f>D146*(($F$132)+1)+(IF(E146&lt;101,E146,IF(E146&lt;201,E146/2,IF(E146&lt;=301,E146/3,E146/4))))</f>
        <v>528.59716649999996</v>
      </c>
      <c r="G146" s="79" t="str">
        <f>A145</f>
        <v>7th Floor For Society Office &amp; Residential</v>
      </c>
      <c r="H146" s="79"/>
      <c r="I146" s="36"/>
    </row>
    <row r="147" spans="1:14" s="58" customFormat="1" x14ac:dyDescent="0.35">
      <c r="A147" s="79">
        <v>2</v>
      </c>
      <c r="B147" s="79"/>
      <c r="C147" s="79" t="s">
        <v>197</v>
      </c>
      <c r="D147" s="79"/>
      <c r="E147" s="79"/>
      <c r="F147" s="79"/>
      <c r="G147" s="79"/>
      <c r="H147" s="79"/>
      <c r="I147" s="36"/>
    </row>
    <row r="148" spans="1:14" s="58" customFormat="1" ht="15.75" customHeight="1" x14ac:dyDescent="0.35">
      <c r="A148" s="79">
        <v>3</v>
      </c>
      <c r="B148" s="79"/>
      <c r="C148" s="71" t="s">
        <v>193</v>
      </c>
      <c r="D148" s="64">
        <f>(28.28+0.75*(2.6+2.1+2.6))*(10.764)</f>
        <v>363.33882</v>
      </c>
      <c r="E148" s="71">
        <v>0</v>
      </c>
      <c r="F148" s="71">
        <f t="shared" ref="F148:F153" si="8">D148*(($F$132)+1)+(IF(E148&lt;101,E148,IF(E148&lt;201,E148/2,IF(E148&lt;=301,E148/3,E148/4))))</f>
        <v>526.84128899999996</v>
      </c>
      <c r="G148" s="79"/>
      <c r="H148" s="79"/>
      <c r="I148" s="36"/>
    </row>
    <row r="149" spans="1:14" s="58" customFormat="1" ht="15.75" customHeight="1" x14ac:dyDescent="0.35">
      <c r="A149" s="79">
        <v>4</v>
      </c>
      <c r="B149" s="79"/>
      <c r="C149" s="71" t="s">
        <v>194</v>
      </c>
      <c r="D149" s="64">
        <f>(44.83+3.05+0.75*(2.1+2.5+3.7+3.35))*(10.764)</f>
        <v>609.43076999999994</v>
      </c>
      <c r="E149" s="71">
        <v>0</v>
      </c>
      <c r="F149" s="71">
        <f t="shared" si="8"/>
        <v>883.67461649999984</v>
      </c>
      <c r="G149" s="79"/>
      <c r="H149" s="79"/>
      <c r="I149" s="36"/>
    </row>
    <row r="150" spans="1:14" s="58" customFormat="1" ht="15.75" customHeight="1" x14ac:dyDescent="0.35">
      <c r="A150" s="79">
        <v>5</v>
      </c>
      <c r="B150" s="79"/>
      <c r="C150" s="71" t="s">
        <v>193</v>
      </c>
      <c r="D150" s="64">
        <f>(30.28+0.75*(2.6+2.1+2.75))*(10.764)</f>
        <v>386.07776999999999</v>
      </c>
      <c r="E150" s="71">
        <v>0</v>
      </c>
      <c r="F150" s="71">
        <f t="shared" si="8"/>
        <v>559.81276649999995</v>
      </c>
      <c r="G150" s="79"/>
      <c r="H150" s="79"/>
      <c r="I150" s="36"/>
    </row>
    <row r="151" spans="1:14" s="58" customFormat="1" ht="15.75" customHeight="1" x14ac:dyDescent="0.35">
      <c r="A151" s="79">
        <v>6</v>
      </c>
      <c r="B151" s="79"/>
      <c r="C151" s="71" t="s">
        <v>194</v>
      </c>
      <c r="D151" s="64">
        <f>(44.56+3.05+0.75*(2.1+2.75))*(10.764)</f>
        <v>551.62809000000004</v>
      </c>
      <c r="E151" s="71">
        <v>0</v>
      </c>
      <c r="F151" s="71">
        <f t="shared" si="8"/>
        <v>799.86073050000005</v>
      </c>
      <c r="G151" s="79"/>
      <c r="H151" s="79"/>
      <c r="I151" s="36"/>
    </row>
    <row r="152" spans="1:14" s="58" customFormat="1" ht="15.75" customHeight="1" x14ac:dyDescent="0.35">
      <c r="A152" s="79">
        <v>7</v>
      </c>
      <c r="B152" s="79"/>
      <c r="C152" s="71" t="s">
        <v>194</v>
      </c>
      <c r="D152" s="64">
        <f>(43.97+0.75*(2.75+2.1+2.75))*(10.764)</f>
        <v>534.64787999999999</v>
      </c>
      <c r="E152" s="71">
        <v>0</v>
      </c>
      <c r="F152" s="71">
        <f t="shared" si="8"/>
        <v>775.23942599999998</v>
      </c>
      <c r="G152" s="79"/>
      <c r="H152" s="79"/>
      <c r="I152" s="36"/>
    </row>
    <row r="153" spans="1:14" s="58" customFormat="1" ht="15.75" customHeight="1" x14ac:dyDescent="0.35">
      <c r="A153" s="79">
        <v>8</v>
      </c>
      <c r="B153" s="79"/>
      <c r="C153" s="71" t="s">
        <v>193</v>
      </c>
      <c r="D153" s="64">
        <f>(30.28+0.75*(2.6+2.1+2.75))*(10.764)</f>
        <v>386.07776999999999</v>
      </c>
      <c r="E153" s="71">
        <v>0</v>
      </c>
      <c r="F153" s="71">
        <f t="shared" si="8"/>
        <v>559.81276649999995</v>
      </c>
      <c r="G153" s="79"/>
      <c r="H153" s="79"/>
      <c r="I153" s="36">
        <f>4*2.6+2.2*2.1+2.1*1.05+1.35*0.9+3.1*2.75+0.9*2</f>
        <v>28.765000000000004</v>
      </c>
    </row>
    <row r="154" spans="1:14" s="58" customFormat="1" x14ac:dyDescent="0.35">
      <c r="A154" s="94" t="s">
        <v>196</v>
      </c>
      <c r="B154" s="94"/>
      <c r="C154" s="94"/>
      <c r="D154" s="94"/>
      <c r="E154" s="94"/>
      <c r="F154" s="94"/>
      <c r="G154" s="94"/>
      <c r="H154" s="94"/>
      <c r="J154" s="36"/>
    </row>
    <row r="155" spans="1:14" s="58" customFormat="1" x14ac:dyDescent="0.35">
      <c r="A155" s="94" t="s">
        <v>191</v>
      </c>
      <c r="B155" s="94"/>
      <c r="C155" s="94"/>
      <c r="D155" s="94"/>
      <c r="E155" s="94"/>
      <c r="F155" s="94"/>
      <c r="G155" s="94"/>
      <c r="H155" s="94"/>
      <c r="J155" s="36"/>
    </row>
    <row r="156" spans="1:14" s="58" customFormat="1" x14ac:dyDescent="0.35">
      <c r="A156" s="94" t="s">
        <v>192</v>
      </c>
      <c r="B156" s="94"/>
      <c r="C156" s="94"/>
      <c r="D156" s="94"/>
      <c r="E156" s="94"/>
      <c r="F156" s="94"/>
      <c r="G156" s="94"/>
      <c r="H156" s="94"/>
      <c r="I156" s="36"/>
      <c r="L156" s="201"/>
      <c r="M156" s="201"/>
    </row>
    <row r="157" spans="1:14" s="58" customFormat="1" ht="15.75" customHeight="1" x14ac:dyDescent="0.35">
      <c r="A157" s="79">
        <v>1</v>
      </c>
      <c r="B157" s="79"/>
      <c r="C157" s="71" t="s">
        <v>193</v>
      </c>
      <c r="D157" s="64">
        <f>(30.28+0.75*(2.6+2.1+2.75))*(10.764)</f>
        <v>386.07776999999999</v>
      </c>
      <c r="E157" s="71">
        <v>0</v>
      </c>
      <c r="F157" s="71">
        <f t="shared" ref="F157:F158" si="9">D157*(($F$132)+1)+(IF(E157&lt;101,E157,IF(E157&lt;201,E157/2,IF(E157&lt;=301,E157/3,E157/4))))</f>
        <v>559.81276649999995</v>
      </c>
      <c r="G157" s="79" t="str">
        <f>A156</f>
        <v>1st to 6th Floor For Residential</v>
      </c>
      <c r="H157" s="79"/>
      <c r="I157" s="36"/>
      <c r="N157" s="36"/>
    </row>
    <row r="158" spans="1:14" s="58" customFormat="1" ht="15.75" customHeight="1" x14ac:dyDescent="0.35">
      <c r="A158" s="79">
        <f t="shared" ref="A158:A164" si="10">A157+1</f>
        <v>2</v>
      </c>
      <c r="B158" s="79"/>
      <c r="C158" s="71" t="s">
        <v>193</v>
      </c>
      <c r="D158" s="64">
        <f>(30.22+0.75*(2.6+2.1+2.6))*(10.764)</f>
        <v>384.22098</v>
      </c>
      <c r="E158" s="71">
        <v>0</v>
      </c>
      <c r="F158" s="71">
        <f t="shared" si="9"/>
        <v>557.12042099999996</v>
      </c>
      <c r="G158" s="79"/>
      <c r="H158" s="79"/>
      <c r="I158" s="36"/>
      <c r="N158" s="36"/>
    </row>
    <row r="159" spans="1:14" s="58" customFormat="1" ht="15.75" customHeight="1" x14ac:dyDescent="0.35">
      <c r="A159" s="79">
        <f t="shared" si="10"/>
        <v>3</v>
      </c>
      <c r="B159" s="79"/>
      <c r="C159" s="71" t="s">
        <v>193</v>
      </c>
      <c r="D159" s="64">
        <f>(30.22+0.75*(2.6+2.1+2.6))*(10.764)</f>
        <v>384.22098</v>
      </c>
      <c r="E159" s="71">
        <v>0</v>
      </c>
      <c r="F159" s="71">
        <f t="shared" ref="F159:F164" si="11">D159*(($F$132)+1)+(IF(E159&lt;101,E159,IF(E159&lt;201,E159/2,IF(E159&lt;=301,E159/3,E159/4))))</f>
        <v>557.12042099999996</v>
      </c>
      <c r="G159" s="79"/>
      <c r="H159" s="79"/>
      <c r="I159" s="36"/>
      <c r="J159" s="58">
        <f>2000000/F159</f>
        <v>3589.8881545395734</v>
      </c>
      <c r="N159" s="36"/>
    </row>
    <row r="160" spans="1:14" s="58" customFormat="1" ht="15.75" customHeight="1" x14ac:dyDescent="0.35">
      <c r="A160" s="79">
        <f t="shared" si="10"/>
        <v>4</v>
      </c>
      <c r="B160" s="79"/>
      <c r="C160" s="71" t="s">
        <v>193</v>
      </c>
      <c r="D160" s="64">
        <f>(30.28+0.75*(2.6+2.1+2.75))*(10.764)</f>
        <v>386.07776999999999</v>
      </c>
      <c r="E160" s="71">
        <v>0</v>
      </c>
      <c r="F160" s="71">
        <f t="shared" si="11"/>
        <v>559.81276649999995</v>
      </c>
      <c r="G160" s="79"/>
      <c r="H160" s="79"/>
      <c r="I160" s="36"/>
      <c r="N160" s="36"/>
    </row>
    <row r="161" spans="1:14" s="58" customFormat="1" ht="15.75" customHeight="1" x14ac:dyDescent="0.35">
      <c r="A161" s="79">
        <f t="shared" si="10"/>
        <v>5</v>
      </c>
      <c r="B161" s="79"/>
      <c r="C161" s="71" t="s">
        <v>194</v>
      </c>
      <c r="D161" s="64">
        <f>(44.42+0.75*(2.75+2.1+2.5+3.7+3.35))*(10.764)</f>
        <v>594.38807999999995</v>
      </c>
      <c r="E161" s="71">
        <v>0</v>
      </c>
      <c r="F161" s="71">
        <f t="shared" si="11"/>
        <v>861.86271599999986</v>
      </c>
      <c r="G161" s="79"/>
      <c r="H161" s="79"/>
      <c r="I161" s="36"/>
      <c r="N161" s="36"/>
    </row>
    <row r="162" spans="1:14" s="58" customFormat="1" ht="15.75" customHeight="1" x14ac:dyDescent="0.35">
      <c r="A162" s="79">
        <f t="shared" si="10"/>
        <v>6</v>
      </c>
      <c r="B162" s="79"/>
      <c r="C162" s="71" t="s">
        <v>193</v>
      </c>
      <c r="D162" s="64">
        <f>(28.28+0.75*(2.6+2.1+2.6))*(10.764)</f>
        <v>363.33882</v>
      </c>
      <c r="E162" s="71">
        <v>0</v>
      </c>
      <c r="F162" s="71">
        <f t="shared" si="11"/>
        <v>526.84128899999996</v>
      </c>
      <c r="G162" s="79"/>
      <c r="H162" s="79"/>
      <c r="I162" s="36"/>
      <c r="N162" s="36"/>
    </row>
    <row r="163" spans="1:14" s="58" customFormat="1" ht="15.75" customHeight="1" x14ac:dyDescent="0.35">
      <c r="A163" s="79">
        <f t="shared" si="10"/>
        <v>7</v>
      </c>
      <c r="B163" s="79"/>
      <c r="C163" s="71" t="s">
        <v>193</v>
      </c>
      <c r="D163" s="64">
        <f>(28.28+0.75*(2.6+2.1+2.6))*(10.764)</f>
        <v>363.33882</v>
      </c>
      <c r="E163" s="71">
        <v>0</v>
      </c>
      <c r="F163" s="71">
        <f t="shared" si="11"/>
        <v>526.84128899999996</v>
      </c>
      <c r="G163" s="79"/>
      <c r="H163" s="79"/>
      <c r="I163" s="36"/>
      <c r="N163" s="36"/>
    </row>
    <row r="164" spans="1:14" s="58" customFormat="1" ht="15.75" customHeight="1" x14ac:dyDescent="0.35">
      <c r="A164" s="79">
        <f t="shared" si="10"/>
        <v>8</v>
      </c>
      <c r="B164" s="79"/>
      <c r="C164" s="71" t="s">
        <v>193</v>
      </c>
      <c r="D164" s="64">
        <f>(28.28+0.75*(2.6+2.1+2.75))*(10.764)</f>
        <v>364.54976999999997</v>
      </c>
      <c r="E164" s="71">
        <v>0</v>
      </c>
      <c r="F164" s="71">
        <f t="shared" si="11"/>
        <v>528.59716649999996</v>
      </c>
      <c r="G164" s="79"/>
      <c r="H164" s="79"/>
      <c r="I164" s="36"/>
      <c r="N164" s="36"/>
    </row>
    <row r="165" spans="1:14" s="37" customFormat="1" ht="15.75" customHeight="1" x14ac:dyDescent="0.35">
      <c r="A165" s="87" t="s">
        <v>200</v>
      </c>
      <c r="B165" s="88"/>
      <c r="C165" s="88"/>
      <c r="D165" s="88"/>
      <c r="E165" s="88"/>
      <c r="F165" s="88"/>
      <c r="G165" s="88"/>
      <c r="H165" s="89"/>
      <c r="I165" s="36"/>
    </row>
    <row r="166" spans="1:14" s="37" customFormat="1" x14ac:dyDescent="0.35">
      <c r="A166" s="84">
        <v>1</v>
      </c>
      <c r="B166" s="86"/>
      <c r="C166" s="59" t="s">
        <v>193</v>
      </c>
      <c r="D166" s="64">
        <f>(30.28+0.75*(2.6+2.1+2.75))*(10.764)</f>
        <v>386.07776999999999</v>
      </c>
      <c r="E166" s="42">
        <v>0</v>
      </c>
      <c r="F166" s="42">
        <f t="shared" ref="F166:F173" si="12">D166*(($F$132)+1)+(IF(E166&lt;101,E166,IF(E166&lt;201,E166/2,IF(E166&lt;=301,E166/3,E166/4))))</f>
        <v>559.81276649999995</v>
      </c>
      <c r="G166" s="90" t="str">
        <f>A165</f>
        <v>7th Floor For Driver Room &amp; Residential</v>
      </c>
      <c r="H166" s="91"/>
      <c r="I166" s="36"/>
    </row>
    <row r="167" spans="1:14" s="37" customFormat="1" x14ac:dyDescent="0.35">
      <c r="A167" s="84">
        <v>2</v>
      </c>
      <c r="B167" s="86"/>
      <c r="C167" s="59" t="s">
        <v>193</v>
      </c>
      <c r="D167" s="64">
        <f>(30.22+0.75*(2.6+2.1+2.6))*(10.764)</f>
        <v>384.22098</v>
      </c>
      <c r="E167" s="42">
        <v>0</v>
      </c>
      <c r="F167" s="42">
        <f t="shared" si="12"/>
        <v>557.12042099999996</v>
      </c>
      <c r="G167" s="92"/>
      <c r="H167" s="93"/>
      <c r="I167" s="36"/>
    </row>
    <row r="168" spans="1:14" s="37" customFormat="1" ht="15.75" customHeight="1" x14ac:dyDescent="0.35">
      <c r="A168" s="84">
        <v>3</v>
      </c>
      <c r="B168" s="86"/>
      <c r="C168" s="59" t="s">
        <v>193</v>
      </c>
      <c r="D168" s="64">
        <f>(30.22+0.75*(2.6+2.1+2.6))*(10.764)</f>
        <v>384.22098</v>
      </c>
      <c r="E168" s="42">
        <v>0</v>
      </c>
      <c r="F168" s="42">
        <f t="shared" si="12"/>
        <v>557.12042099999996</v>
      </c>
      <c r="G168" s="92"/>
      <c r="H168" s="93"/>
      <c r="I168" s="36"/>
    </row>
    <row r="169" spans="1:14" s="37" customFormat="1" ht="15.75" customHeight="1" x14ac:dyDescent="0.35">
      <c r="A169" s="84">
        <v>4</v>
      </c>
      <c r="B169" s="86"/>
      <c r="C169" s="59" t="s">
        <v>193</v>
      </c>
      <c r="D169" s="64">
        <f>(30.28+0.75*(2.6+2.1+2.75))*(10.764)</f>
        <v>386.07776999999999</v>
      </c>
      <c r="E169" s="42">
        <v>0</v>
      </c>
      <c r="F169" s="42">
        <f t="shared" si="12"/>
        <v>559.81276649999995</v>
      </c>
      <c r="G169" s="92"/>
      <c r="H169" s="93"/>
      <c r="I169" s="36"/>
    </row>
    <row r="170" spans="1:14" s="37" customFormat="1" ht="15.75" customHeight="1" x14ac:dyDescent="0.35">
      <c r="A170" s="84">
        <v>5</v>
      </c>
      <c r="B170" s="86"/>
      <c r="C170" s="59" t="s">
        <v>194</v>
      </c>
      <c r="D170" s="64">
        <f>(44.42+0.75*(2.75+2.1+2.5+3.7+3.35))*(10.764)</f>
        <v>594.38807999999995</v>
      </c>
      <c r="E170" s="42">
        <v>0</v>
      </c>
      <c r="F170" s="42">
        <f t="shared" si="12"/>
        <v>861.86271599999986</v>
      </c>
      <c r="G170" s="92"/>
      <c r="H170" s="93"/>
      <c r="I170" s="36"/>
    </row>
    <row r="171" spans="1:14" s="58" customFormat="1" ht="15.75" customHeight="1" x14ac:dyDescent="0.35">
      <c r="A171" s="84">
        <v>6</v>
      </c>
      <c r="B171" s="86"/>
      <c r="C171" s="59" t="s">
        <v>193</v>
      </c>
      <c r="D171" s="64">
        <f>(28.28+0.75*(2.6+2.1+2.6))*(10.764)</f>
        <v>363.33882</v>
      </c>
      <c r="E171" s="56">
        <v>0</v>
      </c>
      <c r="F171" s="56">
        <f t="shared" si="12"/>
        <v>526.84128899999996</v>
      </c>
      <c r="G171" s="92"/>
      <c r="H171" s="93"/>
      <c r="I171" s="36"/>
    </row>
    <row r="172" spans="1:14" s="58" customFormat="1" ht="15.75" customHeight="1" x14ac:dyDescent="0.35">
      <c r="A172" s="84">
        <v>7</v>
      </c>
      <c r="B172" s="86"/>
      <c r="C172" s="84" t="s">
        <v>198</v>
      </c>
      <c r="D172" s="85"/>
      <c r="E172" s="85"/>
      <c r="F172" s="86"/>
      <c r="G172" s="92"/>
      <c r="H172" s="93"/>
      <c r="I172" s="36"/>
    </row>
    <row r="173" spans="1:14" s="58" customFormat="1" ht="15.75" customHeight="1" x14ac:dyDescent="0.35">
      <c r="A173" s="84">
        <v>8</v>
      </c>
      <c r="B173" s="86"/>
      <c r="C173" s="59" t="s">
        <v>193</v>
      </c>
      <c r="D173" s="64">
        <f>(28.28+0.75*(2.6+2.1+2.75))*(10.764)</f>
        <v>364.54976999999997</v>
      </c>
      <c r="E173" s="56">
        <v>0</v>
      </c>
      <c r="F173" s="56">
        <f t="shared" si="12"/>
        <v>528.59716649999996</v>
      </c>
      <c r="G173" s="115"/>
      <c r="H173" s="116"/>
      <c r="I173" s="36"/>
    </row>
    <row r="174" spans="1:14" s="60" customFormat="1" x14ac:dyDescent="0.35">
      <c r="A174" s="87" t="s">
        <v>201</v>
      </c>
      <c r="B174" s="88"/>
      <c r="C174" s="88"/>
      <c r="D174" s="88"/>
      <c r="E174" s="88"/>
      <c r="F174" s="88"/>
      <c r="G174" s="88"/>
      <c r="H174" s="89"/>
      <c r="I174" s="36"/>
    </row>
    <row r="175" spans="1:14" s="60" customFormat="1" x14ac:dyDescent="0.35">
      <c r="A175" s="87" t="s">
        <v>203</v>
      </c>
      <c r="B175" s="88"/>
      <c r="C175" s="88"/>
      <c r="D175" s="88"/>
      <c r="E175" s="88"/>
      <c r="F175" s="88"/>
      <c r="G175" s="88"/>
      <c r="H175" s="89"/>
      <c r="I175" s="36"/>
    </row>
    <row r="176" spans="1:14" s="60" customFormat="1" x14ac:dyDescent="0.35">
      <c r="A176" s="87" t="s">
        <v>206</v>
      </c>
      <c r="B176" s="88"/>
      <c r="C176" s="88"/>
      <c r="D176" s="88"/>
      <c r="E176" s="88"/>
      <c r="F176" s="88"/>
      <c r="G176" s="88"/>
      <c r="H176" s="89"/>
      <c r="I176" s="36"/>
    </row>
    <row r="177" spans="1:9" s="37" customFormat="1" x14ac:dyDescent="0.35">
      <c r="A177" s="87" t="s">
        <v>204</v>
      </c>
      <c r="B177" s="88"/>
      <c r="C177" s="88"/>
      <c r="D177" s="88"/>
      <c r="E177" s="88"/>
      <c r="F177" s="88"/>
      <c r="G177" s="88"/>
      <c r="H177" s="89"/>
      <c r="I177" s="36"/>
    </row>
    <row r="178" spans="1:9" s="37" customFormat="1" ht="15.75" customHeight="1" x14ac:dyDescent="0.35">
      <c r="A178" s="84">
        <v>1</v>
      </c>
      <c r="B178" s="86"/>
      <c r="C178" s="59" t="s">
        <v>193</v>
      </c>
      <c r="D178" s="64">
        <f>(28.28+0.75*(2.6+2.1+2.6))*(10.764)</f>
        <v>363.33882</v>
      </c>
      <c r="E178" s="42">
        <v>0</v>
      </c>
      <c r="F178" s="42">
        <f t="shared" ref="F178:F185" si="13">D178*(($F$132)+1)+(IF(E178&lt;101,E178,IF(E178&lt;201,E178/2,IF(E178&lt;=301,E178/3,E178/4))))</f>
        <v>526.84128899999996</v>
      </c>
      <c r="G178" s="90" t="str">
        <f>A177</f>
        <v>1st to 6th Floor</v>
      </c>
      <c r="H178" s="91"/>
      <c r="I178" s="36"/>
    </row>
    <row r="179" spans="1:9" s="37" customFormat="1" ht="15.75" customHeight="1" x14ac:dyDescent="0.35">
      <c r="A179" s="84">
        <f>A178+1</f>
        <v>2</v>
      </c>
      <c r="B179" s="86"/>
      <c r="C179" s="59" t="s">
        <v>193</v>
      </c>
      <c r="D179" s="64">
        <f>(28.28+0.75*(2.6+2.1+2.6))*(10.764)</f>
        <v>363.33882</v>
      </c>
      <c r="E179" s="42">
        <v>0</v>
      </c>
      <c r="F179" s="42">
        <f t="shared" si="13"/>
        <v>526.84128899999996</v>
      </c>
      <c r="G179" s="92"/>
      <c r="H179" s="93"/>
      <c r="I179" s="36"/>
    </row>
    <row r="180" spans="1:9" s="37" customFormat="1" ht="15.75" customHeight="1" x14ac:dyDescent="0.35">
      <c r="A180" s="84">
        <f t="shared" ref="A180:A182" si="14">A179+1</f>
        <v>3</v>
      </c>
      <c r="B180" s="86"/>
      <c r="C180" s="59" t="s">
        <v>193</v>
      </c>
      <c r="D180" s="64">
        <f>(28.28+0.75*(2.6+2.1+2.6))*(10.764)</f>
        <v>363.33882</v>
      </c>
      <c r="E180" s="42">
        <v>0</v>
      </c>
      <c r="F180" s="42">
        <f t="shared" si="13"/>
        <v>526.84128899999996</v>
      </c>
      <c r="G180" s="92"/>
      <c r="H180" s="93"/>
      <c r="I180" s="36"/>
    </row>
    <row r="181" spans="1:9" s="37" customFormat="1" ht="15.75" customHeight="1" x14ac:dyDescent="0.35">
      <c r="A181" s="84">
        <f t="shared" si="14"/>
        <v>4</v>
      </c>
      <c r="B181" s="86"/>
      <c r="C181" s="59" t="s">
        <v>194</v>
      </c>
      <c r="D181" s="64">
        <f>(44.42+0.75*(2.75+2.1+2.5+3.7+3.35))*(10.764)</f>
        <v>594.38807999999995</v>
      </c>
      <c r="E181" s="42">
        <v>0</v>
      </c>
      <c r="F181" s="42">
        <f t="shared" si="13"/>
        <v>861.86271599999986</v>
      </c>
      <c r="G181" s="92"/>
      <c r="H181" s="93"/>
      <c r="I181" s="36"/>
    </row>
    <row r="182" spans="1:9" s="37" customFormat="1" ht="15.75" customHeight="1" x14ac:dyDescent="0.35">
      <c r="A182" s="84">
        <f t="shared" si="14"/>
        <v>5</v>
      </c>
      <c r="B182" s="86"/>
      <c r="C182" s="59" t="s">
        <v>193</v>
      </c>
      <c r="D182" s="64">
        <f>(30.28+0.75*(2.6+2.1+2.75))*(10.764)</f>
        <v>386.07776999999999</v>
      </c>
      <c r="E182" s="42">
        <v>0</v>
      </c>
      <c r="F182" s="42">
        <f t="shared" si="13"/>
        <v>559.81276649999995</v>
      </c>
      <c r="G182" s="92"/>
      <c r="H182" s="93"/>
      <c r="I182" s="36"/>
    </row>
    <row r="183" spans="1:9" s="60" customFormat="1" ht="15.75" customHeight="1" x14ac:dyDescent="0.35">
      <c r="A183" s="84">
        <f>A182+1</f>
        <v>6</v>
      </c>
      <c r="B183" s="86"/>
      <c r="C183" s="59" t="s">
        <v>193</v>
      </c>
      <c r="D183" s="64">
        <f>(30.22+0.75*(2.6+2.1+2.6))*(10.764)</f>
        <v>384.22098</v>
      </c>
      <c r="E183" s="59">
        <v>0</v>
      </c>
      <c r="F183" s="59">
        <f t="shared" si="13"/>
        <v>557.12042099999996</v>
      </c>
      <c r="G183" s="92"/>
      <c r="H183" s="93"/>
      <c r="I183" s="36"/>
    </row>
    <row r="184" spans="1:9" s="60" customFormat="1" ht="15.75" customHeight="1" x14ac:dyDescent="0.35">
      <c r="A184" s="84">
        <f t="shared" ref="A184:A185" si="15">A183+1</f>
        <v>7</v>
      </c>
      <c r="B184" s="86"/>
      <c r="C184" s="59" t="s">
        <v>193</v>
      </c>
      <c r="D184" s="64">
        <f>(30.22+0.75*(2.6+2.1+2.6))*(10.764)</f>
        <v>384.22098</v>
      </c>
      <c r="E184" s="59">
        <v>0</v>
      </c>
      <c r="F184" s="59">
        <f t="shared" si="13"/>
        <v>557.12042099999996</v>
      </c>
      <c r="G184" s="92"/>
      <c r="H184" s="93"/>
      <c r="I184" s="36"/>
    </row>
    <row r="185" spans="1:9" s="60" customFormat="1" ht="15.75" customHeight="1" x14ac:dyDescent="0.35">
      <c r="A185" s="84">
        <f t="shared" si="15"/>
        <v>8</v>
      </c>
      <c r="B185" s="86"/>
      <c r="C185" s="59" t="s">
        <v>193</v>
      </c>
      <c r="D185" s="64">
        <f>(30.28+0.75*(2.6+2.1+2.75))*(10.764)</f>
        <v>386.07776999999999</v>
      </c>
      <c r="E185" s="59">
        <v>0</v>
      </c>
      <c r="F185" s="59">
        <f t="shared" si="13"/>
        <v>559.81276649999995</v>
      </c>
      <c r="G185" s="92"/>
      <c r="H185" s="93"/>
      <c r="I185" s="36"/>
    </row>
    <row r="186" spans="1:9" s="60" customFormat="1" x14ac:dyDescent="0.35">
      <c r="A186" s="87" t="s">
        <v>199</v>
      </c>
      <c r="B186" s="88"/>
      <c r="C186" s="88"/>
      <c r="D186" s="88"/>
      <c r="E186" s="88"/>
      <c r="F186" s="88"/>
      <c r="G186" s="88"/>
      <c r="H186" s="89"/>
      <c r="I186" s="36"/>
    </row>
    <row r="187" spans="1:9" s="60" customFormat="1" ht="15.75" customHeight="1" x14ac:dyDescent="0.35">
      <c r="A187" s="84">
        <v>1</v>
      </c>
      <c r="B187" s="86"/>
      <c r="C187" s="59" t="s">
        <v>193</v>
      </c>
      <c r="D187" s="64">
        <f>(28.28+0.75*(2.6+2.1+2.6))*(10.764)</f>
        <v>363.33882</v>
      </c>
      <c r="E187" s="59">
        <v>0</v>
      </c>
      <c r="F187" s="59">
        <f>D187*(($F$132)+1)+(IF(E187&lt;101,E187,IF(E187&lt;201,E187/2,IF(E187&lt;=301,E187/3,E187/4))))</f>
        <v>526.84128899999996</v>
      </c>
      <c r="G187" s="90" t="str">
        <f>A186</f>
        <v>7th Floor For Society Office &amp; Residential</v>
      </c>
      <c r="H187" s="91"/>
      <c r="I187" s="36"/>
    </row>
    <row r="188" spans="1:9" s="60" customFormat="1" ht="15.75" customHeight="1" x14ac:dyDescent="0.35">
      <c r="A188" s="84">
        <f>A187+1</f>
        <v>2</v>
      </c>
      <c r="B188" s="86"/>
      <c r="C188" s="84" t="s">
        <v>197</v>
      </c>
      <c r="D188" s="85"/>
      <c r="E188" s="85"/>
      <c r="F188" s="86"/>
      <c r="G188" s="92"/>
      <c r="H188" s="93"/>
      <c r="I188" s="36"/>
    </row>
    <row r="189" spans="1:9" s="60" customFormat="1" ht="15.75" customHeight="1" x14ac:dyDescent="0.35">
      <c r="A189" s="84">
        <f t="shared" ref="A189:A191" si="16">A188+1</f>
        <v>3</v>
      </c>
      <c r="B189" s="86"/>
      <c r="C189" s="59" t="s">
        <v>193</v>
      </c>
      <c r="D189" s="64">
        <f>(28.28+0.75*(2.6+2.1+2.6))*(10.764)</f>
        <v>363.33882</v>
      </c>
      <c r="E189" s="59">
        <v>0</v>
      </c>
      <c r="F189" s="59">
        <f t="shared" ref="F189:F194" si="17">D189*(($F$132)+1)+(IF(E189&lt;101,E189,IF(E189&lt;201,E189/2,IF(E189&lt;=301,E189/3,E189/4))))</f>
        <v>526.84128899999996</v>
      </c>
      <c r="G189" s="92"/>
      <c r="H189" s="93"/>
      <c r="I189" s="36"/>
    </row>
    <row r="190" spans="1:9" s="60" customFormat="1" ht="15.75" customHeight="1" x14ac:dyDescent="0.35">
      <c r="A190" s="84">
        <f t="shared" si="16"/>
        <v>4</v>
      </c>
      <c r="B190" s="86"/>
      <c r="C190" s="59" t="s">
        <v>194</v>
      </c>
      <c r="D190" s="64">
        <f>(44.42+0.75*(2.75+2.1+2.5+3.7+3.35))*(10.764)</f>
        <v>594.38807999999995</v>
      </c>
      <c r="E190" s="59">
        <v>0</v>
      </c>
      <c r="F190" s="59">
        <f t="shared" si="17"/>
        <v>861.86271599999986</v>
      </c>
      <c r="G190" s="92"/>
      <c r="H190" s="93"/>
      <c r="I190" s="36"/>
    </row>
    <row r="191" spans="1:9" s="60" customFormat="1" ht="15.75" customHeight="1" x14ac:dyDescent="0.35">
      <c r="A191" s="84">
        <f t="shared" si="16"/>
        <v>5</v>
      </c>
      <c r="B191" s="86"/>
      <c r="C191" s="59" t="s">
        <v>193</v>
      </c>
      <c r="D191" s="64">
        <f>(30.28+0.75*(2.6+2.1+2.75))*(10.764)</f>
        <v>386.07776999999999</v>
      </c>
      <c r="E191" s="59">
        <v>0</v>
      </c>
      <c r="F191" s="59">
        <f t="shared" si="17"/>
        <v>559.81276649999995</v>
      </c>
      <c r="G191" s="92"/>
      <c r="H191" s="93"/>
      <c r="I191" s="36"/>
    </row>
    <row r="192" spans="1:9" s="60" customFormat="1" ht="15.75" customHeight="1" x14ac:dyDescent="0.35">
      <c r="A192" s="84">
        <f>A191+1</f>
        <v>6</v>
      </c>
      <c r="B192" s="86"/>
      <c r="C192" s="59" t="s">
        <v>193</v>
      </c>
      <c r="D192" s="64">
        <f>(30.22+0.75*(2.6+2.1+2.6))*(10.764)</f>
        <v>384.22098</v>
      </c>
      <c r="E192" s="59">
        <v>0</v>
      </c>
      <c r="F192" s="59">
        <f t="shared" si="17"/>
        <v>557.12042099999996</v>
      </c>
      <c r="G192" s="92"/>
      <c r="H192" s="93"/>
      <c r="I192" s="36"/>
    </row>
    <row r="193" spans="1:9" s="60" customFormat="1" ht="15.75" customHeight="1" x14ac:dyDescent="0.35">
      <c r="A193" s="84">
        <f t="shared" ref="A193:A194" si="18">A192+1</f>
        <v>7</v>
      </c>
      <c r="B193" s="86"/>
      <c r="C193" s="59" t="s">
        <v>193</v>
      </c>
      <c r="D193" s="64">
        <f>(30.22+0.75*(2.6+2.1+2.6))*(10.764)</f>
        <v>384.22098</v>
      </c>
      <c r="E193" s="59">
        <v>0</v>
      </c>
      <c r="F193" s="59">
        <f t="shared" si="17"/>
        <v>557.12042099999996</v>
      </c>
      <c r="G193" s="92"/>
      <c r="H193" s="93"/>
      <c r="I193" s="36"/>
    </row>
    <row r="194" spans="1:9" s="60" customFormat="1" ht="15.75" customHeight="1" x14ac:dyDescent="0.35">
      <c r="A194" s="84">
        <f t="shared" si="18"/>
        <v>8</v>
      </c>
      <c r="B194" s="86"/>
      <c r="C194" s="59" t="s">
        <v>193</v>
      </c>
      <c r="D194" s="64">
        <f>(30.28+0.75*(2.6+2.1+2.75))*(10.764)</f>
        <v>386.07776999999999</v>
      </c>
      <c r="E194" s="59">
        <v>0</v>
      </c>
      <c r="F194" s="59">
        <f t="shared" si="17"/>
        <v>559.81276649999995</v>
      </c>
      <c r="G194" s="115"/>
      <c r="H194" s="116"/>
      <c r="I194" s="36"/>
    </row>
    <row r="195" spans="1:9" s="60" customFormat="1" x14ac:dyDescent="0.35">
      <c r="A195" s="94" t="s">
        <v>205</v>
      </c>
      <c r="B195" s="94"/>
      <c r="C195" s="94"/>
      <c r="D195" s="94"/>
      <c r="E195" s="94"/>
      <c r="F195" s="94"/>
      <c r="G195" s="94"/>
      <c r="H195" s="94"/>
      <c r="I195" s="36"/>
    </row>
    <row r="196" spans="1:9" s="60" customFormat="1" x14ac:dyDescent="0.35">
      <c r="A196" s="94" t="s">
        <v>206</v>
      </c>
      <c r="B196" s="94"/>
      <c r="C196" s="94"/>
      <c r="D196" s="94"/>
      <c r="E196" s="94"/>
      <c r="F196" s="94"/>
      <c r="G196" s="94"/>
      <c r="H196" s="94"/>
      <c r="I196" s="36"/>
    </row>
    <row r="197" spans="1:9" s="60" customFormat="1" x14ac:dyDescent="0.35">
      <c r="A197" s="94" t="s">
        <v>204</v>
      </c>
      <c r="B197" s="94"/>
      <c r="C197" s="94"/>
      <c r="D197" s="94"/>
      <c r="E197" s="94"/>
      <c r="F197" s="94"/>
      <c r="G197" s="94"/>
      <c r="H197" s="94"/>
      <c r="I197" s="36"/>
    </row>
    <row r="198" spans="1:9" s="60" customFormat="1" ht="15.75" customHeight="1" x14ac:dyDescent="0.35">
      <c r="A198" s="79">
        <v>1</v>
      </c>
      <c r="B198" s="79"/>
      <c r="C198" s="71" t="s">
        <v>193</v>
      </c>
      <c r="D198" s="64">
        <f>(30.34+0.75*(2.6+2.1+2.75))*(10.764)</f>
        <v>386.72361000000001</v>
      </c>
      <c r="E198" s="71">
        <v>0</v>
      </c>
      <c r="F198" s="71">
        <f t="shared" ref="F198:F204" si="19">D198*(($F$132)+1)+(IF(E198&lt;101,E198,IF(E198&lt;201,E198/2,IF(E198&lt;=301,E198/3,E198/4))))</f>
        <v>560.74923449999994</v>
      </c>
      <c r="G198" s="79" t="str">
        <f>A197</f>
        <v>1st to 6th Floor</v>
      </c>
      <c r="H198" s="79"/>
      <c r="I198" s="36"/>
    </row>
    <row r="199" spans="1:9" s="60" customFormat="1" ht="15.75" customHeight="1" x14ac:dyDescent="0.35">
      <c r="A199" s="79">
        <f>A198+1</f>
        <v>2</v>
      </c>
      <c r="B199" s="79"/>
      <c r="C199" s="71" t="s">
        <v>194</v>
      </c>
      <c r="D199" s="64">
        <f>(41.81+0.75*(2.75+2.9+3.7+2.1+2.75+4.1))*(10.764)</f>
        <v>597.77873999999997</v>
      </c>
      <c r="E199" s="71">
        <v>0</v>
      </c>
      <c r="F199" s="71">
        <f t="shared" si="19"/>
        <v>866.7791729999999</v>
      </c>
      <c r="G199" s="79"/>
      <c r="H199" s="79"/>
      <c r="I199" s="36"/>
    </row>
    <row r="200" spans="1:9" s="60" customFormat="1" ht="15.75" customHeight="1" x14ac:dyDescent="0.35">
      <c r="A200" s="79">
        <f t="shared" ref="A200:A202" si="20">A199+1</f>
        <v>3</v>
      </c>
      <c r="B200" s="79"/>
      <c r="C200" s="71" t="s">
        <v>193</v>
      </c>
      <c r="D200" s="64">
        <f>(30.28+0.75*(2.6+2.1+2.75))*(10.764)</f>
        <v>386.07776999999999</v>
      </c>
      <c r="E200" s="71">
        <v>0</v>
      </c>
      <c r="F200" s="71">
        <f t="shared" si="19"/>
        <v>559.81276649999995</v>
      </c>
      <c r="G200" s="79"/>
      <c r="H200" s="79"/>
      <c r="I200" s="36"/>
    </row>
    <row r="201" spans="1:9" s="60" customFormat="1" ht="15.75" customHeight="1" x14ac:dyDescent="0.35">
      <c r="A201" s="79">
        <f t="shared" si="20"/>
        <v>4</v>
      </c>
      <c r="B201" s="79"/>
      <c r="C201" s="71" t="s">
        <v>193</v>
      </c>
      <c r="D201" s="64">
        <f>(29.37+0.75*(2.75+2+2.55+3.6))*(10.764)</f>
        <v>404.13438000000002</v>
      </c>
      <c r="E201" s="71">
        <v>0</v>
      </c>
      <c r="F201" s="71">
        <f t="shared" si="19"/>
        <v>585.99485100000004</v>
      </c>
      <c r="G201" s="79"/>
      <c r="H201" s="79"/>
      <c r="I201" s="36"/>
    </row>
    <row r="202" spans="1:9" s="60" customFormat="1" ht="15.75" customHeight="1" x14ac:dyDescent="0.35">
      <c r="A202" s="79">
        <f t="shared" si="20"/>
        <v>5</v>
      </c>
      <c r="B202" s="79"/>
      <c r="C202" s="71" t="s">
        <v>193</v>
      </c>
      <c r="D202" s="64">
        <f>(28.28+0.75*(2.6+2.1+2.6))*(10.764)</f>
        <v>363.33882</v>
      </c>
      <c r="E202" s="71">
        <v>0</v>
      </c>
      <c r="F202" s="71">
        <f t="shared" si="19"/>
        <v>526.84128899999996</v>
      </c>
      <c r="G202" s="79"/>
      <c r="H202" s="79"/>
      <c r="I202" s="36"/>
    </row>
    <row r="203" spans="1:9" s="60" customFormat="1" ht="15.75" customHeight="1" x14ac:dyDescent="0.35">
      <c r="A203" s="79">
        <f>A202+1</f>
        <v>6</v>
      </c>
      <c r="B203" s="79"/>
      <c r="C203" s="71" t="s">
        <v>193</v>
      </c>
      <c r="D203" s="64">
        <f>(28.28+0.75*(2.6+2.1+2.6))*(10.764)</f>
        <v>363.33882</v>
      </c>
      <c r="E203" s="71">
        <v>0</v>
      </c>
      <c r="F203" s="71">
        <f t="shared" si="19"/>
        <v>526.84128899999996</v>
      </c>
      <c r="G203" s="79"/>
      <c r="H203" s="79"/>
      <c r="I203" s="36"/>
    </row>
    <row r="204" spans="1:9" s="60" customFormat="1" ht="15.75" customHeight="1" x14ac:dyDescent="0.35">
      <c r="A204" s="79">
        <f t="shared" ref="A204" si="21">A203+1</f>
        <v>7</v>
      </c>
      <c r="B204" s="79"/>
      <c r="C204" s="71" t="s">
        <v>193</v>
      </c>
      <c r="D204" s="64">
        <f>(28.28+0.75*(2.6+2.1+2.6))*(10.764)</f>
        <v>363.33882</v>
      </c>
      <c r="E204" s="71">
        <v>0</v>
      </c>
      <c r="F204" s="71">
        <f t="shared" si="19"/>
        <v>526.84128899999996</v>
      </c>
      <c r="G204" s="79"/>
      <c r="H204" s="79"/>
      <c r="I204" s="36"/>
    </row>
    <row r="205" spans="1:9" s="60" customFormat="1" x14ac:dyDescent="0.35">
      <c r="A205" s="87" t="s">
        <v>200</v>
      </c>
      <c r="B205" s="88"/>
      <c r="C205" s="88"/>
      <c r="D205" s="88"/>
      <c r="E205" s="88"/>
      <c r="F205" s="88"/>
      <c r="G205" s="88"/>
      <c r="H205" s="89"/>
      <c r="I205" s="36"/>
    </row>
    <row r="206" spans="1:9" s="60" customFormat="1" ht="15.75" customHeight="1" x14ac:dyDescent="0.35">
      <c r="A206" s="84">
        <v>1</v>
      </c>
      <c r="B206" s="86"/>
      <c r="C206" s="59" t="s">
        <v>193</v>
      </c>
      <c r="D206" s="64">
        <f>(30.34+0.75*(2.6+2.1+2.75))*(10.764)</f>
        <v>386.72361000000001</v>
      </c>
      <c r="E206" s="59">
        <v>0</v>
      </c>
      <c r="F206" s="59">
        <f>D206*(($F$132)+1)+(IF(E206&lt;101,E206,IF(E206&lt;201,E206/2,IF(E206&lt;=301,E206/3,E206/4))))</f>
        <v>560.74923449999994</v>
      </c>
      <c r="G206" s="90" t="str">
        <f>A205</f>
        <v>7th Floor For Driver Room &amp; Residential</v>
      </c>
      <c r="H206" s="91"/>
      <c r="I206" s="36"/>
    </row>
    <row r="207" spans="1:9" s="60" customFormat="1" ht="15.75" customHeight="1" x14ac:dyDescent="0.35">
      <c r="A207" s="84">
        <f>A206+1</f>
        <v>2</v>
      </c>
      <c r="B207" s="86"/>
      <c r="C207" s="59" t="s">
        <v>194</v>
      </c>
      <c r="D207" s="64">
        <f>(41.81+0.75*(2.75+2.9+3.7+2.1+2.75+4.1))*(10.764)</f>
        <v>597.77873999999997</v>
      </c>
      <c r="E207" s="59">
        <v>0</v>
      </c>
      <c r="F207" s="59">
        <f>D207*(($F$132)+1)+(IF(E207&lt;101,E207,IF(E207&lt;201,E207/2,IF(E207&lt;=301,E207/3,E207/4))))</f>
        <v>866.7791729999999</v>
      </c>
      <c r="G207" s="92"/>
      <c r="H207" s="93"/>
      <c r="I207" s="36"/>
    </row>
    <row r="208" spans="1:9" s="60" customFormat="1" ht="15.75" customHeight="1" x14ac:dyDescent="0.35">
      <c r="A208" s="84">
        <f t="shared" ref="A208:A210" si="22">A207+1</f>
        <v>3</v>
      </c>
      <c r="B208" s="86"/>
      <c r="C208" s="59" t="s">
        <v>193</v>
      </c>
      <c r="D208" s="64">
        <f>(30.28+0.75*(2.6+2.1+2.75))*(10.764)</f>
        <v>386.07776999999999</v>
      </c>
      <c r="E208" s="59">
        <v>0</v>
      </c>
      <c r="F208" s="59">
        <f>D208*(($F$132)+1)+(IF(E208&lt;101,E208,IF(E208&lt;201,E208/2,IF(E208&lt;=301,E208/3,E208/4))))</f>
        <v>559.81276649999995</v>
      </c>
      <c r="G208" s="92"/>
      <c r="H208" s="93"/>
      <c r="I208" s="36"/>
    </row>
    <row r="209" spans="1:9" s="60" customFormat="1" ht="15.75" customHeight="1" x14ac:dyDescent="0.35">
      <c r="A209" s="84">
        <f t="shared" si="22"/>
        <v>4</v>
      </c>
      <c r="B209" s="86"/>
      <c r="C209" s="59" t="s">
        <v>193</v>
      </c>
      <c r="D209" s="64">
        <f>(29.37+0.75*(2.75+2+2.55+3.6))*(10.764)</f>
        <v>404.13438000000002</v>
      </c>
      <c r="E209" s="59">
        <v>0</v>
      </c>
      <c r="F209" s="59">
        <f>D209*(($F$132)+1)+(IF(E209&lt;101,E209,IF(E209&lt;201,E209/2,IF(E209&lt;=301,E209/3,E209/4))))</f>
        <v>585.99485100000004</v>
      </c>
      <c r="G209" s="92"/>
      <c r="H209" s="93"/>
      <c r="I209" s="36"/>
    </row>
    <row r="210" spans="1:9" s="60" customFormat="1" ht="15.75" customHeight="1" x14ac:dyDescent="0.35">
      <c r="A210" s="84">
        <f t="shared" si="22"/>
        <v>5</v>
      </c>
      <c r="B210" s="86"/>
      <c r="C210" s="59" t="s">
        <v>193</v>
      </c>
      <c r="D210" s="64">
        <f>(28.28+0.75*(2.6+2.1+2.6))*(10.764)</f>
        <v>363.33882</v>
      </c>
      <c r="E210" s="59">
        <v>0</v>
      </c>
      <c r="F210" s="59">
        <f>D210*(($F$132)+1)+(IF(E210&lt;101,E210,IF(E210&lt;201,E210/2,IF(E210&lt;=301,E210/3,E210/4))))</f>
        <v>526.84128899999996</v>
      </c>
      <c r="G210" s="92"/>
      <c r="H210" s="93"/>
      <c r="I210" s="36"/>
    </row>
    <row r="211" spans="1:9" s="60" customFormat="1" ht="15.75" customHeight="1" x14ac:dyDescent="0.35">
      <c r="A211" s="84">
        <f>A210+1</f>
        <v>6</v>
      </c>
      <c r="B211" s="86"/>
      <c r="C211" s="84" t="s">
        <v>198</v>
      </c>
      <c r="D211" s="85"/>
      <c r="E211" s="85"/>
      <c r="F211" s="86"/>
      <c r="G211" s="92"/>
      <c r="H211" s="93"/>
      <c r="I211" s="36"/>
    </row>
    <row r="212" spans="1:9" s="60" customFormat="1" ht="15.75" customHeight="1" x14ac:dyDescent="0.35">
      <c r="A212" s="84">
        <f t="shared" ref="A212" si="23">A211+1</f>
        <v>7</v>
      </c>
      <c r="B212" s="86"/>
      <c r="C212" s="59" t="s">
        <v>193</v>
      </c>
      <c r="D212" s="64">
        <f>(28.28+0.75*(2.6+2.1+2.6))*(10.764)</f>
        <v>363.33882</v>
      </c>
      <c r="E212" s="59">
        <v>0</v>
      </c>
      <c r="F212" s="59">
        <f>D212*(($F$132)+1)+(IF(E212&lt;101,E212,IF(E212&lt;201,E212/2,IF(E212&lt;=301,E212/3,E212/4))))</f>
        <v>526.84128899999996</v>
      </c>
      <c r="G212" s="92"/>
      <c r="H212" s="93"/>
      <c r="I212" s="36"/>
    </row>
    <row r="213" spans="1:9" s="35" customFormat="1" x14ac:dyDescent="0.35">
      <c r="A213" s="112" t="s">
        <v>70</v>
      </c>
      <c r="B213" s="112"/>
      <c r="C213" s="112"/>
      <c r="D213" s="112"/>
      <c r="E213" s="112"/>
      <c r="F213" s="112"/>
      <c r="G213" s="112"/>
      <c r="H213" s="112"/>
    </row>
    <row r="214" spans="1:9" s="35" customFormat="1" ht="32.5" customHeight="1" x14ac:dyDescent="0.35">
      <c r="A214" s="47" t="s">
        <v>153</v>
      </c>
      <c r="B214" s="184" t="s">
        <v>231</v>
      </c>
      <c r="C214" s="185"/>
      <c r="D214" s="185"/>
      <c r="E214" s="185"/>
      <c r="F214" s="185"/>
      <c r="G214" s="185"/>
      <c r="H214" s="186"/>
    </row>
    <row r="215" spans="1:9" s="35" customFormat="1" x14ac:dyDescent="0.35">
      <c r="A215" s="47" t="s">
        <v>153</v>
      </c>
      <c r="B215" s="184" t="str">
        <f>(IF(F131="Saleable area Loading :","We have considered Saleable area of Flats as per our Calculation.","We considered Saleable area of Flat as per Builder area Sheet."))</f>
        <v>We have considered Saleable area of Flats as per our Calculation.</v>
      </c>
      <c r="C215" s="185"/>
      <c r="D215" s="185"/>
      <c r="E215" s="185"/>
      <c r="F215" s="185"/>
      <c r="G215" s="185"/>
      <c r="H215" s="186"/>
    </row>
    <row r="216" spans="1:9" s="35" customFormat="1" x14ac:dyDescent="0.35">
      <c r="A216" s="47" t="s">
        <v>153</v>
      </c>
      <c r="B216" s="95" t="s">
        <v>123</v>
      </c>
      <c r="C216" s="96"/>
      <c r="D216" s="96"/>
      <c r="E216" s="96"/>
      <c r="F216" s="96"/>
      <c r="G216" s="96"/>
      <c r="H216" s="97"/>
    </row>
    <row r="217" spans="1:9" s="35" customFormat="1" x14ac:dyDescent="0.35">
      <c r="A217" s="47" t="s">
        <v>153</v>
      </c>
      <c r="B217" s="95" t="s">
        <v>209</v>
      </c>
      <c r="C217" s="96"/>
      <c r="D217" s="96"/>
      <c r="E217" s="96"/>
      <c r="F217" s="96"/>
      <c r="G217" s="96"/>
      <c r="H217" s="97"/>
    </row>
    <row r="218" spans="1:9" s="35" customFormat="1" x14ac:dyDescent="0.35">
      <c r="A218" s="47" t="s">
        <v>153</v>
      </c>
      <c r="B218" s="95" t="s">
        <v>152</v>
      </c>
      <c r="C218" s="96"/>
      <c r="D218" s="96"/>
      <c r="E218" s="96"/>
      <c r="F218" s="96"/>
      <c r="G218" s="96"/>
      <c r="H218" s="97"/>
    </row>
    <row r="219" spans="1:9" s="35" customFormat="1" x14ac:dyDescent="0.35">
      <c r="A219" s="47" t="s">
        <v>153</v>
      </c>
      <c r="B219" s="95" t="s">
        <v>124</v>
      </c>
      <c r="C219" s="96"/>
      <c r="D219" s="96"/>
      <c r="E219" s="96"/>
      <c r="F219" s="96"/>
      <c r="G219" s="96"/>
      <c r="H219" s="97"/>
    </row>
    <row r="220" spans="1:9" s="35" customFormat="1" ht="34.5" customHeight="1" x14ac:dyDescent="0.35">
      <c r="A220" s="47" t="s">
        <v>153</v>
      </c>
      <c r="B220" s="95" t="s">
        <v>154</v>
      </c>
      <c r="C220" s="96"/>
      <c r="D220" s="96"/>
      <c r="E220" s="96"/>
      <c r="F220" s="96"/>
      <c r="G220" s="96"/>
      <c r="H220" s="97"/>
    </row>
    <row r="221" spans="1:9" s="35" customFormat="1" x14ac:dyDescent="0.35">
      <c r="A221" s="47" t="s">
        <v>153</v>
      </c>
      <c r="B221" s="95" t="s">
        <v>125</v>
      </c>
      <c r="C221" s="96"/>
      <c r="D221" s="96"/>
      <c r="E221" s="96"/>
      <c r="F221" s="96"/>
      <c r="G221" s="96"/>
      <c r="H221" s="97"/>
    </row>
    <row r="222" spans="1:9" s="35" customFormat="1" x14ac:dyDescent="0.35">
      <c r="A222" s="57" t="s">
        <v>153</v>
      </c>
      <c r="B222" s="184" t="s">
        <v>184</v>
      </c>
      <c r="C222" s="185"/>
      <c r="D222" s="185"/>
      <c r="E222" s="185"/>
      <c r="F222" s="185"/>
      <c r="G222" s="185"/>
      <c r="H222" s="186"/>
    </row>
    <row r="223" spans="1:9" x14ac:dyDescent="0.35">
      <c r="A223" s="172" t="s">
        <v>63</v>
      </c>
      <c r="B223" s="172"/>
      <c r="C223" s="172"/>
      <c r="D223" s="172"/>
      <c r="E223" s="172"/>
      <c r="F223" s="172"/>
      <c r="G223" s="172"/>
      <c r="H223" s="172"/>
    </row>
    <row r="224" spans="1:9" x14ac:dyDescent="0.35">
      <c r="A224" s="80" t="s">
        <v>64</v>
      </c>
      <c r="B224" s="80"/>
      <c r="C224" s="80"/>
      <c r="D224" s="80"/>
      <c r="E224" s="80"/>
      <c r="F224" s="80"/>
      <c r="G224" s="80"/>
      <c r="H224" s="80"/>
    </row>
    <row r="225" spans="1:8" ht="15.75" customHeight="1" x14ac:dyDescent="0.35">
      <c r="A225" s="190" t="s">
        <v>65</v>
      </c>
      <c r="B225" s="190"/>
      <c r="C225" s="190"/>
      <c r="D225" s="190"/>
      <c r="E225" s="190"/>
      <c r="F225" s="190"/>
      <c r="G225" s="190"/>
      <c r="H225" s="190"/>
    </row>
    <row r="226" spans="1:8" x14ac:dyDescent="0.35">
      <c r="A226" s="80" t="s">
        <v>66</v>
      </c>
      <c r="B226" s="80"/>
      <c r="C226" s="80"/>
      <c r="D226" s="80"/>
      <c r="E226" s="80"/>
      <c r="F226" s="80"/>
      <c r="G226" s="80"/>
      <c r="H226" s="80"/>
    </row>
    <row r="227" spans="1:8" x14ac:dyDescent="0.35">
      <c r="A227" s="80" t="s">
        <v>67</v>
      </c>
      <c r="B227" s="80"/>
      <c r="C227" s="80"/>
      <c r="D227" s="80"/>
      <c r="E227" s="80"/>
      <c r="F227" s="80"/>
      <c r="G227" s="80"/>
      <c r="H227" s="80"/>
    </row>
    <row r="228" spans="1:8" x14ac:dyDescent="0.35">
      <c r="A228" s="80" t="s">
        <v>126</v>
      </c>
      <c r="B228" s="80"/>
      <c r="C228" s="80"/>
      <c r="D228" s="80"/>
      <c r="E228" s="80"/>
      <c r="F228" s="80"/>
      <c r="G228" s="80"/>
      <c r="H228" s="80"/>
    </row>
    <row r="229" spans="1:8" x14ac:dyDescent="0.35">
      <c r="A229" s="173" t="s">
        <v>127</v>
      </c>
      <c r="B229" s="173"/>
      <c r="C229" s="173"/>
      <c r="D229" s="173"/>
      <c r="E229" s="173"/>
      <c r="F229" s="173"/>
      <c r="G229" s="173"/>
      <c r="H229" s="173"/>
    </row>
    <row r="230" spans="1:8" x14ac:dyDescent="0.35">
      <c r="A230" s="182" t="s">
        <v>78</v>
      </c>
      <c r="B230" s="182"/>
      <c r="C230" s="182" t="s">
        <v>232</v>
      </c>
      <c r="D230" s="182"/>
      <c r="E230" s="182" t="s">
        <v>107</v>
      </c>
      <c r="F230" s="182"/>
      <c r="G230" s="182" t="s">
        <v>229</v>
      </c>
      <c r="H230" s="182"/>
    </row>
    <row r="231" spans="1:8" x14ac:dyDescent="0.35">
      <c r="A231" s="181" t="s">
        <v>80</v>
      </c>
      <c r="B231" s="181"/>
      <c r="C231" s="181"/>
      <c r="D231" s="181"/>
      <c r="E231" s="181"/>
      <c r="F231" s="181"/>
      <c r="G231" s="181"/>
      <c r="H231" s="181"/>
    </row>
    <row r="232" spans="1:8" x14ac:dyDescent="0.35">
      <c r="A232" s="181"/>
      <c r="B232" s="181"/>
      <c r="C232" s="181"/>
      <c r="D232" s="181"/>
      <c r="E232" s="181"/>
      <c r="F232" s="181"/>
      <c r="G232" s="181"/>
      <c r="H232" s="181"/>
    </row>
    <row r="233" spans="1:8" x14ac:dyDescent="0.35">
      <c r="A233" s="181"/>
      <c r="B233" s="181"/>
      <c r="C233" s="181"/>
      <c r="D233" s="181"/>
      <c r="E233" s="181"/>
      <c r="F233" s="181"/>
      <c r="G233" s="181"/>
      <c r="H233" s="181"/>
    </row>
    <row r="234" spans="1:8" x14ac:dyDescent="0.35">
      <c r="A234" s="181"/>
      <c r="B234" s="181"/>
      <c r="C234" s="181"/>
      <c r="D234" s="181"/>
      <c r="E234" s="181"/>
      <c r="F234" s="181"/>
      <c r="G234" s="181"/>
      <c r="H234" s="181"/>
    </row>
    <row r="235" spans="1:8" x14ac:dyDescent="0.35">
      <c r="A235" s="38" t="s">
        <v>68</v>
      </c>
      <c r="B235" s="39"/>
      <c r="C235" s="39"/>
      <c r="D235" s="38" t="str">
        <f>E8</f>
        <v>Jade Gardens</v>
      </c>
      <c r="F235" s="39"/>
      <c r="G235" s="39"/>
      <c r="H235" s="39"/>
    </row>
    <row r="236" spans="1:8" x14ac:dyDescent="0.35">
      <c r="A236" s="39"/>
      <c r="B236" s="39"/>
      <c r="C236" s="39"/>
      <c r="D236" s="39"/>
      <c r="E236" s="39"/>
      <c r="F236" s="39"/>
      <c r="G236" s="39"/>
      <c r="H236" s="39"/>
    </row>
    <row r="237" spans="1:8" x14ac:dyDescent="0.35">
      <c r="A237" s="39"/>
      <c r="B237" s="39"/>
      <c r="C237" s="39"/>
      <c r="D237" s="39"/>
      <c r="E237" s="39"/>
      <c r="F237" s="39"/>
      <c r="G237" s="39"/>
      <c r="H237" s="39"/>
    </row>
    <row r="238" spans="1:8" ht="15" customHeight="1" x14ac:dyDescent="0.35"/>
    <row r="257" spans="10:10" x14ac:dyDescent="0.35">
      <c r="J257" s="21" t="s">
        <v>226</v>
      </c>
    </row>
    <row r="278" spans="1:1" x14ac:dyDescent="0.35">
      <c r="A278" s="41" t="s">
        <v>165</v>
      </c>
    </row>
    <row r="316" spans="1:1" x14ac:dyDescent="0.35">
      <c r="A316" s="41" t="s">
        <v>69</v>
      </c>
    </row>
  </sheetData>
  <mergeCells count="369"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52:B152"/>
    <mergeCell ref="A153:B153"/>
    <mergeCell ref="C147:F147"/>
    <mergeCell ref="A133:H133"/>
    <mergeCell ref="L156:M156"/>
    <mergeCell ref="A157:B157"/>
    <mergeCell ref="G157:H164"/>
    <mergeCell ref="A158:B158"/>
    <mergeCell ref="A159:B159"/>
    <mergeCell ref="A160:B160"/>
    <mergeCell ref="A161:B161"/>
    <mergeCell ref="A162:B162"/>
    <mergeCell ref="A163:B163"/>
    <mergeCell ref="A164:B164"/>
    <mergeCell ref="L136:M136"/>
    <mergeCell ref="A141:B141"/>
    <mergeCell ref="A138:B138"/>
    <mergeCell ref="A139:B139"/>
    <mergeCell ref="A80:B80"/>
    <mergeCell ref="C80:H80"/>
    <mergeCell ref="A75:B75"/>
    <mergeCell ref="F109:H109"/>
    <mergeCell ref="A48:B48"/>
    <mergeCell ref="C48:E48"/>
    <mergeCell ref="G48:H48"/>
    <mergeCell ref="G50:H50"/>
    <mergeCell ref="D54:H54"/>
    <mergeCell ref="C50:E50"/>
    <mergeCell ref="C51:H51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228:H228"/>
    <mergeCell ref="A225:H225"/>
    <mergeCell ref="A137:B137"/>
    <mergeCell ref="A123:B123"/>
    <mergeCell ref="D131:D132"/>
    <mergeCell ref="E131:E132"/>
    <mergeCell ref="G131:H132"/>
    <mergeCell ref="A88:B88"/>
    <mergeCell ref="A89:B89"/>
    <mergeCell ref="A90:B90"/>
    <mergeCell ref="B222:H222"/>
    <mergeCell ref="A134:H134"/>
    <mergeCell ref="A142:B142"/>
    <mergeCell ref="A143:B143"/>
    <mergeCell ref="A144:B144"/>
    <mergeCell ref="G137:H144"/>
    <mergeCell ref="A171:B171"/>
    <mergeCell ref="A172:B172"/>
    <mergeCell ref="A173:B173"/>
    <mergeCell ref="G166:H173"/>
    <mergeCell ref="A154:H154"/>
    <mergeCell ref="A155:H155"/>
    <mergeCell ref="A156:H156"/>
    <mergeCell ref="A145:H145"/>
    <mergeCell ref="B214:H214"/>
    <mergeCell ref="B215:H215"/>
    <mergeCell ref="A178:B178"/>
    <mergeCell ref="C123:D123"/>
    <mergeCell ref="F116:H116"/>
    <mergeCell ref="F119:H119"/>
    <mergeCell ref="F117:H117"/>
    <mergeCell ref="A167:B167"/>
    <mergeCell ref="A130:H130"/>
    <mergeCell ref="A118:E118"/>
    <mergeCell ref="C131:C132"/>
    <mergeCell ref="C128:D128"/>
    <mergeCell ref="A135:H135"/>
    <mergeCell ref="A169:B169"/>
    <mergeCell ref="A166:B166"/>
    <mergeCell ref="F118:H118"/>
    <mergeCell ref="G123:H123"/>
    <mergeCell ref="A146:B146"/>
    <mergeCell ref="G146:H153"/>
    <mergeCell ref="A147:B147"/>
    <mergeCell ref="A148:B148"/>
    <mergeCell ref="A149:B149"/>
    <mergeCell ref="A150:B150"/>
    <mergeCell ref="A151:B151"/>
    <mergeCell ref="A231:H234"/>
    <mergeCell ref="A230:B230"/>
    <mergeCell ref="E230:F230"/>
    <mergeCell ref="C230:D230"/>
    <mergeCell ref="G230:H230"/>
    <mergeCell ref="A120:E120"/>
    <mergeCell ref="F120:H120"/>
    <mergeCell ref="A121:E121"/>
    <mergeCell ref="F121:H121"/>
    <mergeCell ref="A136:H136"/>
    <mergeCell ref="A168:B168"/>
    <mergeCell ref="A226:H226"/>
    <mergeCell ref="A122:H122"/>
    <mergeCell ref="A229:H229"/>
    <mergeCell ref="A227:H227"/>
    <mergeCell ref="A223:H223"/>
    <mergeCell ref="A224:H224"/>
    <mergeCell ref="E123:F123"/>
    <mergeCell ref="B221:H221"/>
    <mergeCell ref="B219:H219"/>
    <mergeCell ref="A199:B199"/>
    <mergeCell ref="A195:H195"/>
    <mergeCell ref="A198:B198"/>
    <mergeCell ref="A201:B201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E45:H45"/>
    <mergeCell ref="A37:B37"/>
    <mergeCell ref="C37:H37"/>
    <mergeCell ref="A43:D43"/>
    <mergeCell ref="A45:D45"/>
    <mergeCell ref="A46:H46"/>
    <mergeCell ref="D56:H56"/>
    <mergeCell ref="A56:C56"/>
    <mergeCell ref="G49:H49"/>
    <mergeCell ref="A50:B51"/>
    <mergeCell ref="A44:D44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F35:H35"/>
    <mergeCell ref="D55:H55"/>
    <mergeCell ref="G52:H52"/>
    <mergeCell ref="E41:H41"/>
    <mergeCell ref="A41:D41"/>
    <mergeCell ref="A38:B38"/>
    <mergeCell ref="C38:H38"/>
    <mergeCell ref="A57:C58"/>
    <mergeCell ref="A34:B34"/>
    <mergeCell ref="C34:E34"/>
    <mergeCell ref="A42:D42"/>
    <mergeCell ref="E42:H42"/>
    <mergeCell ref="E43:H43"/>
    <mergeCell ref="E44:H44"/>
    <mergeCell ref="G124:H124"/>
    <mergeCell ref="F115:H115"/>
    <mergeCell ref="A109:E109"/>
    <mergeCell ref="A84:B84"/>
    <mergeCell ref="E84:F93"/>
    <mergeCell ref="A91:B91"/>
    <mergeCell ref="A92:B92"/>
    <mergeCell ref="A82:B82"/>
    <mergeCell ref="C82:H82"/>
    <mergeCell ref="A83:B83"/>
    <mergeCell ref="E83:F83"/>
    <mergeCell ref="G83:H83"/>
    <mergeCell ref="A115:E115"/>
    <mergeCell ref="A93:B93"/>
    <mergeCell ref="A94:B94"/>
    <mergeCell ref="C94:H94"/>
    <mergeCell ref="A96:B96"/>
    <mergeCell ref="C96:H96"/>
    <mergeCell ref="A97:B97"/>
    <mergeCell ref="E97:F97"/>
    <mergeCell ref="G97:H97"/>
    <mergeCell ref="A98:B98"/>
    <mergeCell ref="E98:F107"/>
    <mergeCell ref="G98:H107"/>
    <mergeCell ref="A60:C60"/>
    <mergeCell ref="E70:F79"/>
    <mergeCell ref="G70:H79"/>
    <mergeCell ref="A78:B78"/>
    <mergeCell ref="A79:B79"/>
    <mergeCell ref="D60:H60"/>
    <mergeCell ref="F113:H113"/>
    <mergeCell ref="A114:E114"/>
    <mergeCell ref="A131:A132"/>
    <mergeCell ref="A119:E119"/>
    <mergeCell ref="G125:H125"/>
    <mergeCell ref="C126:D126"/>
    <mergeCell ref="E126:F126"/>
    <mergeCell ref="G126:H126"/>
    <mergeCell ref="C125:D125"/>
    <mergeCell ref="E125:F125"/>
    <mergeCell ref="C127:D127"/>
    <mergeCell ref="E127:F127"/>
    <mergeCell ref="G127:H127"/>
    <mergeCell ref="A129:H129"/>
    <mergeCell ref="F114:H114"/>
    <mergeCell ref="A77:B77"/>
    <mergeCell ref="C124:D124"/>
    <mergeCell ref="E124:F124"/>
    <mergeCell ref="A175:H175"/>
    <mergeCell ref="A176:H176"/>
    <mergeCell ref="A108:E108"/>
    <mergeCell ref="F112:H112"/>
    <mergeCell ref="A113:E113"/>
    <mergeCell ref="A128:B128"/>
    <mergeCell ref="B216:H216"/>
    <mergeCell ref="B217:H217"/>
    <mergeCell ref="A213:H213"/>
    <mergeCell ref="A181:B181"/>
    <mergeCell ref="A182:B182"/>
    <mergeCell ref="B131:B132"/>
    <mergeCell ref="A177:H177"/>
    <mergeCell ref="A165:H165"/>
    <mergeCell ref="A179:B179"/>
    <mergeCell ref="A180:B180"/>
    <mergeCell ref="A140:B140"/>
    <mergeCell ref="A186:H186"/>
    <mergeCell ref="A187:B187"/>
    <mergeCell ref="G187:H194"/>
    <mergeCell ref="A188:B188"/>
    <mergeCell ref="A189:B189"/>
    <mergeCell ref="A170:B170"/>
    <mergeCell ref="F108:H108"/>
    <mergeCell ref="G198:H204"/>
    <mergeCell ref="A202:B202"/>
    <mergeCell ref="B220:H220"/>
    <mergeCell ref="A47:B47"/>
    <mergeCell ref="C47:H47"/>
    <mergeCell ref="B218:H218"/>
    <mergeCell ref="G84:H93"/>
    <mergeCell ref="A85:B85"/>
    <mergeCell ref="A86:B86"/>
    <mergeCell ref="A87:B87"/>
    <mergeCell ref="F110:H110"/>
    <mergeCell ref="A110:E110"/>
    <mergeCell ref="A112:E112"/>
    <mergeCell ref="A117:E117"/>
    <mergeCell ref="F111:H111"/>
    <mergeCell ref="A116:E116"/>
    <mergeCell ref="A204:B204"/>
    <mergeCell ref="A196:H196"/>
    <mergeCell ref="C172:F172"/>
    <mergeCell ref="A174:H174"/>
    <mergeCell ref="A183:B183"/>
    <mergeCell ref="A184:B184"/>
    <mergeCell ref="A185:B185"/>
    <mergeCell ref="G178:H185"/>
    <mergeCell ref="A203:B203"/>
    <mergeCell ref="A200:B200"/>
    <mergeCell ref="A111:E111"/>
    <mergeCell ref="G128:H128"/>
    <mergeCell ref="E128:F128"/>
    <mergeCell ref="A124:A125"/>
    <mergeCell ref="A126:A127"/>
    <mergeCell ref="C188:F188"/>
    <mergeCell ref="C211:F211"/>
    <mergeCell ref="A205:H205"/>
    <mergeCell ref="A206:B206"/>
    <mergeCell ref="G206:H212"/>
    <mergeCell ref="A207:B207"/>
    <mergeCell ref="A208:B208"/>
    <mergeCell ref="A209:B209"/>
    <mergeCell ref="A210:B210"/>
    <mergeCell ref="A211:B211"/>
    <mergeCell ref="A212:B212"/>
    <mergeCell ref="A190:B190"/>
    <mergeCell ref="A191:B191"/>
    <mergeCell ref="A192:B192"/>
    <mergeCell ref="A193:B193"/>
    <mergeCell ref="A194:B194"/>
    <mergeCell ref="A197:H197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34" max="16383" man="1"/>
    <brk id="277" max="16383" man="1"/>
    <brk id="31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2" t="s">
        <v>108</v>
      </c>
      <c r="C3" s="202"/>
      <c r="D3" s="202"/>
      <c r="E3" s="202"/>
      <c r="F3" s="202"/>
      <c r="G3" s="202"/>
      <c r="H3" s="202"/>
    </row>
    <row r="4" spans="1:9" x14ac:dyDescent="0.35">
      <c r="A4" s="2"/>
      <c r="B4" s="3" t="s">
        <v>109</v>
      </c>
      <c r="C4" s="3" t="s">
        <v>110</v>
      </c>
      <c r="D4" s="3" t="s">
        <v>71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O13" sqref="O1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2025-07-17T10:05:26Z</cp:lastPrinted>
  <dcterms:created xsi:type="dcterms:W3CDTF">2019-07-16T09:29:46Z</dcterms:created>
  <dcterms:modified xsi:type="dcterms:W3CDTF">2025-07-17T10:07:01Z</dcterms:modified>
</cp:coreProperties>
</file>