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F150" i="1" s="1"/>
  <c r="D144" i="1"/>
  <c r="F144" i="1" s="1"/>
  <c r="D151" i="1"/>
  <c r="F151" i="1" s="1"/>
  <c r="D148" i="1"/>
  <c r="F148" i="1" s="1"/>
  <c r="A148" i="1"/>
  <c r="A149" i="1" s="1"/>
  <c r="G147" i="1"/>
  <c r="G148" i="1" s="1"/>
  <c r="G149" i="1" s="1"/>
  <c r="D147" i="1"/>
  <c r="F147" i="1" s="1"/>
  <c r="D145" i="1"/>
  <c r="F145" i="1" s="1"/>
  <c r="D143" i="1"/>
  <c r="F143" i="1" s="1"/>
  <c r="D142" i="1"/>
  <c r="F142" i="1" s="1"/>
  <c r="A142" i="1"/>
  <c r="A143" i="1" s="1"/>
  <c r="A144" i="1" s="1"/>
  <c r="A145" i="1" s="1"/>
  <c r="G141" i="1"/>
  <c r="G142" i="1" s="1"/>
  <c r="G143" i="1" s="1"/>
  <c r="D141" i="1"/>
  <c r="F141" i="1" s="1"/>
  <c r="D138" i="1"/>
  <c r="F138" i="1" s="1"/>
  <c r="D137" i="1"/>
  <c r="F137" i="1" s="1"/>
  <c r="D136" i="1"/>
  <c r="F136" i="1" s="1"/>
  <c r="D135" i="1"/>
  <c r="F135" i="1" s="1"/>
  <c r="D133" i="1"/>
  <c r="D132" i="1"/>
  <c r="D131" i="1"/>
  <c r="D130" i="1"/>
  <c r="D129" i="1"/>
  <c r="D127" i="1"/>
  <c r="D126" i="1"/>
  <c r="D125" i="1"/>
  <c r="D124" i="1"/>
  <c r="D123" i="1"/>
  <c r="D120" i="1"/>
  <c r="D119" i="1"/>
  <c r="D118" i="1"/>
  <c r="D117" i="1"/>
  <c r="G151" i="1" l="1"/>
  <c r="G150" i="1"/>
  <c r="A150" i="1"/>
  <c r="A151" i="1" s="1"/>
  <c r="G145" i="1"/>
  <c r="G144" i="1"/>
  <c r="I124" i="1"/>
  <c r="F131" i="1" l="1"/>
  <c r="F129" i="1"/>
  <c r="F127" i="1"/>
  <c r="F126" i="1"/>
  <c r="F125" i="1"/>
  <c r="F124" i="1"/>
  <c r="J122" i="1" s="1"/>
  <c r="D121" i="1"/>
  <c r="F120" i="1"/>
  <c r="A136" i="1"/>
  <c r="A137" i="1" s="1"/>
  <c r="G135" i="1"/>
  <c r="G136" i="1" s="1"/>
  <c r="G137" i="1" s="1"/>
  <c r="F133" i="1"/>
  <c r="F132" i="1"/>
  <c r="F130" i="1"/>
  <c r="A130" i="1"/>
  <c r="A131" i="1" s="1"/>
  <c r="G129" i="1"/>
  <c r="G130" i="1" s="1"/>
  <c r="G131" i="1" s="1"/>
  <c r="F123" i="1"/>
  <c r="J121" i="1" s="1"/>
  <c r="A124" i="1"/>
  <c r="A125" i="1" s="1"/>
  <c r="G123" i="1"/>
  <c r="G124" i="1" s="1"/>
  <c r="G125" i="1" s="1"/>
  <c r="I118" i="1"/>
  <c r="I117" i="1"/>
  <c r="E100" i="1" l="1"/>
  <c r="C100" i="1"/>
  <c r="J123" i="1"/>
  <c r="L121" i="1"/>
  <c r="A138" i="1"/>
  <c r="A139" i="1" s="1"/>
  <c r="G138" i="1"/>
  <c r="G139" i="1"/>
  <c r="A132" i="1"/>
  <c r="A133" i="1" s="1"/>
  <c r="G132" i="1"/>
  <c r="G133" i="1"/>
  <c r="G126" i="1"/>
  <c r="G127" i="1"/>
  <c r="A126" i="1"/>
  <c r="A127" i="1" s="1"/>
  <c r="E42" i="1"/>
  <c r="E43" i="1" s="1"/>
  <c r="C14" i="1" l="1"/>
  <c r="E29" i="1" l="1"/>
  <c r="F118" i="1" l="1"/>
  <c r="F119" i="1"/>
  <c r="K121" i="1" s="1"/>
  <c r="F121" i="1"/>
  <c r="F117" i="1"/>
  <c r="A118" i="1"/>
  <c r="A119" i="1" s="1"/>
  <c r="G117" i="1"/>
  <c r="G118" i="1" s="1"/>
  <c r="G119" i="1" s="1"/>
  <c r="G100" i="1" l="1"/>
  <c r="L120" i="1"/>
  <c r="L122" i="1" s="1"/>
  <c r="K120" i="1"/>
  <c r="K122" i="1" s="1"/>
  <c r="J120" i="1"/>
  <c r="J124" i="1" s="1"/>
  <c r="G121" i="1"/>
  <c r="G120" i="1"/>
  <c r="A121" i="1"/>
  <c r="A120" i="1"/>
  <c r="F92" i="1"/>
  <c r="F109" i="1" l="1"/>
  <c r="F110" i="1"/>
  <c r="F111" i="1"/>
  <c r="F108" i="1"/>
  <c r="B154" i="1" l="1"/>
  <c r="B15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6" i="1"/>
  <c r="A109" i="1"/>
  <c r="A110" i="1" s="1"/>
  <c r="A111" i="1" s="1"/>
  <c r="G108" i="1"/>
  <c r="G109" i="1" s="1"/>
  <c r="G110" i="1" s="1"/>
  <c r="G111" i="1" s="1"/>
  <c r="J76" i="1"/>
  <c r="J75" i="1"/>
  <c r="J74" i="1"/>
  <c r="J73" i="1"/>
  <c r="C65" i="1"/>
  <c r="D54" i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<sst xmlns="http://schemas.openxmlformats.org/spreadsheetml/2006/main" count="301" uniqueCount="231">
  <si>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</si>
  <si>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</si>
  <si>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</si>
  <si>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</si>
  <si>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</si>
  <si>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</si>
  <si>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</si>
  <si>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</si>
  <si>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</si>
  <si>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</si>
  <si>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</si>
  <si>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</si>
  <si>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</si>
  <si>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</si>
  <si>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</si>
  <si>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</si>
  <si>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</si>
  <si>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</si>
  <si>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</si>
  <si>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</si>
  <si>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</si>
  <si>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</si>
  <si>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</si>
  <si>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</si>
  <si>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</si>
  <si>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</si>
  <si>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</si>
  <si>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</si>
  <si>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</si>
  <si>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</si>
  <si>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</si>
  <si>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</si>
  <si>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</si>
  <si>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</si>
  <si>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</si>
  <si>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</si>
  <si>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</si>
  <si>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</si>
  <si>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</si>
  <si>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</si>
  <si>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</si>
  <si>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</si>
  <si>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</si>
  <si>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</si>
  <si>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</si>
  <si>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</si>
  <si>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</si>
  <si>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</si>
  <si>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</si>
  <si>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</si>
  <si>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</si>
  <si>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</si>
  <si>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</si>
  <si>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</si>
  <si>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</si>
  <si>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</si>
  <si>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</si>
  <si>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</si>
  <si>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</si>
  <si>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</si>
  <si>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</si>
  <si>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</si>
  <si>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</si>
  <si>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</si>
  <si>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</si>
  <si>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</si>
  <si>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</si>
  <si>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</si>
  <si>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</si>
  <si>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</si>
  <si>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</si>
  <si>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</si>
  <si>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</si>
  <si>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</si>
  <si>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</si>
  <si>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</si>
  <si>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</si>
  <si>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</si>
  <si>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</si>
  <si>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</si>
  <si>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</si>
  <si>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</si>
  <si>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</si>
  <si>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</si>
  <si>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</si>
  <si>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</si>
  <si>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</si>
  <si>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</si>
  <si>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</si>
  <si>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</si>
  <si>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</si>
  <si>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</si>
  <si>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</si>
  <si>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</si>
  <si>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</si>
  <si>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</si>
  <si>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</si>
  <si>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</si>
  <si>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</si>
  <si>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</si>
  <si>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</si>
  <si>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</si>
  <si>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</si>
  <si>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</si>
  <si>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</si>
  <si>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</si>
  <si>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</si>
  <si>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</si>
  <si>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</si>
  <si>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</si>
  <si>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</si>
  <si>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</si>
  <si>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</si>
  <si>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</si>
  <si>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</si>
  <si>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</si>
  <si>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</si>
  <si>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</si>
  <si>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</si>
  <si>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</si>
  <si>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</si>
  <si>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</si>
  <si>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</si>
  <si>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</si>
  <si>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</si>
  <si>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</si>
  <si>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</si>
  <si>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</si>
  <si>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</si>
  <si>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</si>
  <si>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</si>
  <si>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</si>
  <si>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</si>
  <si>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</si>
  <si>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</si>
  <si>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</si>
  <si>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</si>
  <si>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</si>
  <si>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</si>
  <si>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</si>
  <si>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</si>
  <si>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</si>
  <si>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</si>
  <si>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</si>
  <si>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</si>
  <si>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</si>
  <si>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</si>
  <si>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</si>
  <si>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</si>
  <si>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</si>
  <si>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</si>
  <si>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</si>
  <si>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</si>
  <si>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</si>
  <si>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</si>
  <si>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</si>
  <si>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</si>
  <si>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</si>
  <si>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</si>
  <si>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</si>
  <si>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</si>
  <si>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</si>
  <si>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</si>
  <si>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</si>
  <si>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</si>
  <si>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</si>
  <si>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</si>
  <si>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</si>
  <si>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</si>
  <si>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</si>
  <si>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</si>
  <si>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</si>
  <si>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</si>
  <si>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</si>
  <si>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</si>
  <si>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</si>
  <si>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</si>
  <si>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</si>
  <si>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</si>
  <si>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</si>
  <si>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Janki Heritage</t>
  </si>
  <si>
    <t>Heritage Lifestyles &amp; Developers Pvt. Ltd.</t>
  </si>
  <si>
    <t>P51800046052</t>
  </si>
  <si>
    <t>CTS No</t>
  </si>
  <si>
    <t>485, 485/1 to 2, 486,486/1, 487, 487/1 to 4, Plot No. 29, 30A &amp; 30B</t>
  </si>
  <si>
    <t>Postal Colony</t>
  </si>
  <si>
    <t>Chembur</t>
  </si>
  <si>
    <t>Mumbai</t>
  </si>
  <si>
    <t>Kurla</t>
  </si>
  <si>
    <t>Postal Colony Lane 2</t>
  </si>
  <si>
    <t>Guru Sharan - S. M. Harpalani Building</t>
  </si>
  <si>
    <t>Building</t>
  </si>
  <si>
    <t>Chembur Flyover</t>
  </si>
  <si>
    <t>Cambridge Montessori Preschool &amp; 
Daycare Chembur</t>
  </si>
  <si>
    <t>https://goo.gl/maps/s7ScbrUpC7DRvegY7</t>
  </si>
  <si>
    <t>1BHK</t>
  </si>
  <si>
    <t>2BHK</t>
  </si>
  <si>
    <t>1st Floor For Residential</t>
  </si>
  <si>
    <t>We considered Gross carpet area = Net carpet + Balcony</t>
  </si>
  <si>
    <t>Flats</t>
  </si>
  <si>
    <t>Ground Floor For Entrance Lobby, Meter Room &amp; Parking</t>
  </si>
  <si>
    <t>Mr.Sandeep (8879787565)</t>
  </si>
  <si>
    <t>Guru Sharan - S.M. Harpalani Building</t>
  </si>
  <si>
    <t>Municipal Corporation of Greater Mumbai</t>
  </si>
  <si>
    <t>0.650 KM from Chembur Railway Station</t>
  </si>
  <si>
    <t>Approved Plans, CC, Cost Sheet, Sale Plan</t>
  </si>
  <si>
    <t>Cost Sheet</t>
  </si>
  <si>
    <t>On Carpet 31000</t>
  </si>
  <si>
    <t>Hosing</t>
  </si>
  <si>
    <t xml:space="preserve"> Aayush Gulmoha  - 18000 - 350 M</t>
  </si>
  <si>
    <t xml:space="preserve">1. Vitrified tiles flooring 2. Granite Kitchen Platform 3. Decorative Enternace etc.
</t>
  </si>
  <si>
    <t>Full C.C.as per approved Am ended plans dated 14/09/2023</t>
  </si>
  <si>
    <t>CHE/ES/0902/M/E/337(NEW)/FCC/3/Amend</t>
  </si>
  <si>
    <t>Gr + 1st to 11th Floor</t>
  </si>
  <si>
    <t>2nd to 6th, 10th Floor</t>
  </si>
  <si>
    <t>8th Floor</t>
  </si>
  <si>
    <t>Refuge Area</t>
  </si>
  <si>
    <t>7th Floor (Part Refuge Area)</t>
  </si>
  <si>
    <t>9th Floor</t>
  </si>
  <si>
    <t>3BHK</t>
  </si>
  <si>
    <t>11th Floor (Part Amenties Area)</t>
  </si>
  <si>
    <t>Fitness Centre</t>
  </si>
  <si>
    <t>Flats - 53</t>
  </si>
  <si>
    <t xml:space="preserve">We have updated revised plans &amp; CC (on 30/11/2023).
</t>
  </si>
  <si>
    <t>Construction work is in process at the time of Visit. (Internal visit not allowed).</t>
  </si>
  <si>
    <t xml:space="preserve">The validity of CC is expired on 23/05/2024. Please provide revised approved CC.
</t>
  </si>
  <si>
    <t>Mr.Sandeep</t>
  </si>
  <si>
    <t>Akash Kadam</t>
  </si>
  <si>
    <t>As per RERA - 31/12/2025</t>
  </si>
  <si>
    <t>Shruti Tathare</t>
  </si>
  <si>
    <t>Office No. 1031, Wing J, Akshar Business Park, Plot No. 03 Sector 25, Near APMC Market, Vashi, 
Navi Mumbai, Maharashtra 400703 TEL: 022-46090378/79/80
E mail : vsjcapf@gmail.com. Web site : www.vsjadon.com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</si>
</sst>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2727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5E5E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9" fontId="8" fillId="0" borderId="13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7" fillId="0" borderId="0" xfId="9" applyNumberFormat="1" applyFont="1" applyAlignment="1">
      <alignment horizontal="right"/>
    </xf>
    <xf numFmtId="167" fontId="8" fillId="0" borderId="0" xfId="9" applyNumberFormat="1" applyFont="1" applyAlignment="1">
      <alignment horizontal="right"/>
    </xf>
    <xf numFmtId="1" fontId="10" fillId="0" borderId="0" xfId="1" applyNumberFormat="1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center" wrapText="1"/>
      <protection locked="0"/>
    </xf>
    <xf numFmtId="1" fontId="4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7" fillId="0" borderId="0" xfId="9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0" fontId="27" fillId="3" borderId="26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center" vertical="top" wrapText="1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220</xdr:row>
      <xdr:rowOff>0</xdr:rowOff>
    </xdr:from>
    <xdr:to>
      <xdr:col>5</xdr:col>
      <xdr:colOff>569323</xdr:colOff>
      <xdr:row>247</xdr:row>
      <xdr:rowOff>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657" t="21698" r="43425" b="12029"/>
        <a:stretch/>
      </xdr:blipFill>
      <xdr:spPr>
        <a:xfrm>
          <a:off x="1971675" y="41338500"/>
          <a:ext cx="3036298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504825</xdr:colOff>
      <xdr:row>261</xdr:row>
      <xdr:rowOff>0</xdr:rowOff>
    </xdr:from>
    <xdr:to>
      <xdr:col>7</xdr:col>
      <xdr:colOff>345095</xdr:colOff>
      <xdr:row>279</xdr:row>
      <xdr:rowOff>417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4825" y="50139600"/>
          <a:ext cx="59553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1906</xdr:colOff>
      <xdr:row>279</xdr:row>
      <xdr:rowOff>143414</xdr:rowOff>
    </xdr:from>
    <xdr:to>
      <xdr:col>7</xdr:col>
      <xdr:colOff>28863</xdr:colOff>
      <xdr:row>301</xdr:row>
      <xdr:rowOff>62864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1056" y="53883464"/>
          <a:ext cx="5322857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280557</xdr:colOff>
      <xdr:row>289</xdr:row>
      <xdr:rowOff>128523</xdr:rowOff>
    </xdr:from>
    <xdr:to>
      <xdr:col>4</xdr:col>
      <xdr:colOff>68447</xdr:colOff>
      <xdr:row>292</xdr:row>
      <xdr:rowOff>41824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 rot="19651798">
          <a:off x="2871357" y="55868823"/>
          <a:ext cx="797540" cy="513376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486444</xdr:colOff>
      <xdr:row>12</xdr:row>
      <xdr:rowOff>16566</xdr:rowOff>
    </xdr:from>
    <xdr:to>
      <xdr:col>14</xdr:col>
      <xdr:colOff>118887</xdr:colOff>
      <xdr:row>13</xdr:row>
      <xdr:rowOff>371120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2059" y="2800797"/>
          <a:ext cx="5003078" cy="5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48</xdr:row>
      <xdr:rowOff>38100</xdr:rowOff>
    </xdr:from>
    <xdr:to>
      <xdr:col>13</xdr:col>
      <xdr:colOff>656631</xdr:colOff>
      <xdr:row>56</xdr:row>
      <xdr:rowOff>142583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62775" y="11334750"/>
          <a:ext cx="4752381" cy="233333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176</xdr:row>
      <xdr:rowOff>59766</xdr:rowOff>
    </xdr:from>
    <xdr:to>
      <xdr:col>7</xdr:col>
      <xdr:colOff>590550</xdr:colOff>
      <xdr:row>217</xdr:row>
      <xdr:rowOff>89841</xdr:rowOff>
    </xdr:to>
    <xdr:grpSp>
      <xdr:nvGrpSpPr>
        <xdr:cNvPr id="14" name="Group 13"/>
        <xdr:cNvGrpSpPr/>
      </xdr:nvGrpSpPr>
      <xdr:grpSpPr>
        <a:xfrm>
          <a:off x="247650" y="33254391"/>
          <a:ext cx="6038850" cy="8221575"/>
          <a:chOff x="247650" y="33263916"/>
          <a:chExt cx="6038850" cy="8221575"/>
        </a:xfrm>
      </xdr:grpSpPr>
      <xdr:pic>
        <xdr:nvPicPr>
          <xdr:cNvPr id="19" name="Picture 18" descr="https://vsjcllp.vsjadon.com/upload/insp-24013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39529889"/>
            <a:ext cx="2981325" cy="19556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013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7925" y="33263916"/>
            <a:ext cx="2762070" cy="36827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0139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" y="39529889"/>
            <a:ext cx="2981325" cy="19556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013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52624" y="37023675"/>
            <a:ext cx="4291451" cy="24139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0139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5750" y="37026909"/>
            <a:ext cx="1583897" cy="24139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0139-85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0850" y="33264715"/>
            <a:ext cx="2762070" cy="36827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13</xdr:row>
      <xdr:rowOff>190499</xdr:rowOff>
    </xdr:from>
    <xdr:to>
      <xdr:col>3</xdr:col>
      <xdr:colOff>32876</xdr:colOff>
      <xdr:row>28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7" y="2678205"/>
          <a:ext cx="3977345" cy="274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56027</xdr:colOff>
      <xdr:row>13</xdr:row>
      <xdr:rowOff>67235</xdr:rowOff>
    </xdr:from>
    <xdr:to>
      <xdr:col>7</xdr:col>
      <xdr:colOff>95509</xdr:colOff>
      <xdr:row>27</xdr:row>
      <xdr:rowOff>143435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3203" y="2554941"/>
          <a:ext cx="3827071" cy="2743200"/>
        </a:xfrm>
        <a:prstGeom prst="rect">
          <a:avLst/>
        </a:prstGeom>
      </xdr:spPr>
    </xdr:pic>
    <xdr:clientData/>
  </xdr:twoCellAnchor>
  <xdr:twoCellAnchor editAs="oneCell">
    <xdr:from>
      <xdr:col>7</xdr:col>
      <xdr:colOff>280147</xdr:colOff>
      <xdr:row>13</xdr:row>
      <xdr:rowOff>67236</xdr:rowOff>
    </xdr:from>
    <xdr:to>
      <xdr:col>10</xdr:col>
      <xdr:colOff>559416</xdr:colOff>
      <xdr:row>29</xdr:row>
      <xdr:rowOff>47807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94912" y="2554942"/>
          <a:ext cx="2542857" cy="30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168089</xdr:colOff>
      <xdr:row>12</xdr:row>
      <xdr:rowOff>179294</xdr:rowOff>
    </xdr:from>
    <xdr:to>
      <xdr:col>15</xdr:col>
      <xdr:colOff>94409</xdr:colOff>
      <xdr:row>29</xdr:row>
      <xdr:rowOff>140794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29148" y="2476500"/>
          <a:ext cx="2257143" cy="3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7ScbrUpC7DRveg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0"/>
  <sheetViews>
    <sheetView tabSelected="1" view="pageBreakPreview" zoomScaleNormal="100" zoomScaleSheetLayoutView="100" zoomScalePageLayoutView="85" workbookViewId="0">
      <selection sqref="A1:H1"/>
    </sheetView>
  </sheetViews>
  <sheetFormatPr defaultColWidth="9.140625" defaultRowHeight="15.75" x14ac:dyDescent="0.25"/>
  <cols>
    <col min="1" max="1" width="11.42578125" style="35" customWidth="1"/>
    <col min="2" max="2" width="12" style="35" customWidth="1"/>
    <col min="3" max="3" width="12.7109375" style="35" customWidth="1"/>
    <col min="4" max="4" width="14.140625" style="35" customWidth="1"/>
    <col min="5" max="7" width="11.7109375" style="35" customWidth="1"/>
    <col min="8" max="8" width="12.42578125" style="35" customWidth="1"/>
    <col min="9" max="9" width="27.28515625" style="16" customWidth="1"/>
    <col min="10" max="10" width="11.42578125" style="16" customWidth="1"/>
    <col min="11" max="11" width="11.42578125" style="16" bestFit="1" customWidth="1"/>
    <col min="12" max="12" width="9" style="16" bestFit="1" customWidth="1"/>
    <col min="13" max="13" width="8.85546875" style="16" customWidth="1"/>
    <col min="14" max="14" width="12.5703125" style="16" customWidth="1"/>
    <col min="15" max="15" width="9.85546875" style="16" customWidth="1"/>
    <col min="16" max="16" width="11.7109375" style="16" customWidth="1"/>
    <col min="17" max="247" width="9.140625" style="16"/>
    <col min="248" max="248" width="8.7109375" style="16" customWidth="1"/>
    <col min="249" max="249" width="9.85546875" style="16" customWidth="1"/>
    <col min="250" max="250" width="14.42578125" style="16" customWidth="1"/>
    <col min="251" max="251" width="7.285156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7109375" style="16" customWidth="1"/>
    <col min="505" max="505" width="9.85546875" style="16" customWidth="1"/>
    <col min="506" max="506" width="14.42578125" style="16" customWidth="1"/>
    <col min="507" max="507" width="7.285156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7109375" style="16" customWidth="1"/>
    <col min="761" max="761" width="9.85546875" style="16" customWidth="1"/>
    <col min="762" max="762" width="14.42578125" style="16" customWidth="1"/>
    <col min="763" max="763" width="7.285156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7109375" style="16" customWidth="1"/>
    <col min="1017" max="1017" width="9.85546875" style="16" customWidth="1"/>
    <col min="1018" max="1018" width="14.42578125" style="16" customWidth="1"/>
    <col min="1019" max="1019" width="7.285156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7109375" style="16" customWidth="1"/>
    <col min="1273" max="1273" width="9.85546875" style="16" customWidth="1"/>
    <col min="1274" max="1274" width="14.42578125" style="16" customWidth="1"/>
    <col min="1275" max="1275" width="7.285156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7109375" style="16" customWidth="1"/>
    <col min="1529" max="1529" width="9.85546875" style="16" customWidth="1"/>
    <col min="1530" max="1530" width="14.42578125" style="16" customWidth="1"/>
    <col min="1531" max="1531" width="7.285156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7109375" style="16" customWidth="1"/>
    <col min="1785" max="1785" width="9.85546875" style="16" customWidth="1"/>
    <col min="1786" max="1786" width="14.42578125" style="16" customWidth="1"/>
    <col min="1787" max="1787" width="7.285156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7109375" style="16" customWidth="1"/>
    <col min="2041" max="2041" width="9.85546875" style="16" customWidth="1"/>
    <col min="2042" max="2042" width="14.42578125" style="16" customWidth="1"/>
    <col min="2043" max="2043" width="7.285156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7109375" style="16" customWidth="1"/>
    <col min="2297" max="2297" width="9.85546875" style="16" customWidth="1"/>
    <col min="2298" max="2298" width="14.42578125" style="16" customWidth="1"/>
    <col min="2299" max="2299" width="7.285156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7109375" style="16" customWidth="1"/>
    <col min="2553" max="2553" width="9.85546875" style="16" customWidth="1"/>
    <col min="2554" max="2554" width="14.42578125" style="16" customWidth="1"/>
    <col min="2555" max="2555" width="7.285156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7109375" style="16" customWidth="1"/>
    <col min="2809" max="2809" width="9.85546875" style="16" customWidth="1"/>
    <col min="2810" max="2810" width="14.42578125" style="16" customWidth="1"/>
    <col min="2811" max="2811" width="7.285156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7109375" style="16" customWidth="1"/>
    <col min="3065" max="3065" width="9.85546875" style="16" customWidth="1"/>
    <col min="3066" max="3066" width="14.42578125" style="16" customWidth="1"/>
    <col min="3067" max="3067" width="7.285156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7109375" style="16" customWidth="1"/>
    <col min="3321" max="3321" width="9.85546875" style="16" customWidth="1"/>
    <col min="3322" max="3322" width="14.42578125" style="16" customWidth="1"/>
    <col min="3323" max="3323" width="7.285156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7109375" style="16" customWidth="1"/>
    <col min="3577" max="3577" width="9.85546875" style="16" customWidth="1"/>
    <col min="3578" max="3578" width="14.42578125" style="16" customWidth="1"/>
    <col min="3579" max="3579" width="7.285156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7109375" style="16" customWidth="1"/>
    <col min="3833" max="3833" width="9.85546875" style="16" customWidth="1"/>
    <col min="3834" max="3834" width="14.42578125" style="16" customWidth="1"/>
    <col min="3835" max="3835" width="7.285156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7109375" style="16" customWidth="1"/>
    <col min="4089" max="4089" width="9.85546875" style="16" customWidth="1"/>
    <col min="4090" max="4090" width="14.42578125" style="16" customWidth="1"/>
    <col min="4091" max="4091" width="7.285156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7109375" style="16" customWidth="1"/>
    <col min="4345" max="4345" width="9.85546875" style="16" customWidth="1"/>
    <col min="4346" max="4346" width="14.42578125" style="16" customWidth="1"/>
    <col min="4347" max="4347" width="7.285156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7109375" style="16" customWidth="1"/>
    <col min="4601" max="4601" width="9.85546875" style="16" customWidth="1"/>
    <col min="4602" max="4602" width="14.42578125" style="16" customWidth="1"/>
    <col min="4603" max="4603" width="7.285156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7109375" style="16" customWidth="1"/>
    <col min="4857" max="4857" width="9.85546875" style="16" customWidth="1"/>
    <col min="4858" max="4858" width="14.42578125" style="16" customWidth="1"/>
    <col min="4859" max="4859" width="7.285156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7109375" style="16" customWidth="1"/>
    <col min="5113" max="5113" width="9.85546875" style="16" customWidth="1"/>
    <col min="5114" max="5114" width="14.42578125" style="16" customWidth="1"/>
    <col min="5115" max="5115" width="7.285156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7109375" style="16" customWidth="1"/>
    <col min="5369" max="5369" width="9.85546875" style="16" customWidth="1"/>
    <col min="5370" max="5370" width="14.42578125" style="16" customWidth="1"/>
    <col min="5371" max="5371" width="7.285156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7109375" style="16" customWidth="1"/>
    <col min="5625" max="5625" width="9.85546875" style="16" customWidth="1"/>
    <col min="5626" max="5626" width="14.42578125" style="16" customWidth="1"/>
    <col min="5627" max="5627" width="7.285156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7109375" style="16" customWidth="1"/>
    <col min="5881" max="5881" width="9.85546875" style="16" customWidth="1"/>
    <col min="5882" max="5882" width="14.42578125" style="16" customWidth="1"/>
    <col min="5883" max="5883" width="7.285156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7109375" style="16" customWidth="1"/>
    <col min="6137" max="6137" width="9.85546875" style="16" customWidth="1"/>
    <col min="6138" max="6138" width="14.42578125" style="16" customWidth="1"/>
    <col min="6139" max="6139" width="7.285156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7109375" style="16" customWidth="1"/>
    <col min="6393" max="6393" width="9.85546875" style="16" customWidth="1"/>
    <col min="6394" max="6394" width="14.42578125" style="16" customWidth="1"/>
    <col min="6395" max="6395" width="7.285156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7109375" style="16" customWidth="1"/>
    <col min="6649" max="6649" width="9.85546875" style="16" customWidth="1"/>
    <col min="6650" max="6650" width="14.42578125" style="16" customWidth="1"/>
    <col min="6651" max="6651" width="7.285156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7109375" style="16" customWidth="1"/>
    <col min="6905" max="6905" width="9.85546875" style="16" customWidth="1"/>
    <col min="6906" max="6906" width="14.42578125" style="16" customWidth="1"/>
    <col min="6907" max="6907" width="7.285156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7109375" style="16" customWidth="1"/>
    <col min="7161" max="7161" width="9.85546875" style="16" customWidth="1"/>
    <col min="7162" max="7162" width="14.42578125" style="16" customWidth="1"/>
    <col min="7163" max="7163" width="7.285156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7109375" style="16" customWidth="1"/>
    <col min="7417" max="7417" width="9.85546875" style="16" customWidth="1"/>
    <col min="7418" max="7418" width="14.42578125" style="16" customWidth="1"/>
    <col min="7419" max="7419" width="7.285156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7109375" style="16" customWidth="1"/>
    <col min="7673" max="7673" width="9.85546875" style="16" customWidth="1"/>
    <col min="7674" max="7674" width="14.42578125" style="16" customWidth="1"/>
    <col min="7675" max="7675" width="7.285156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7109375" style="16" customWidth="1"/>
    <col min="7929" max="7929" width="9.85546875" style="16" customWidth="1"/>
    <col min="7930" max="7930" width="14.42578125" style="16" customWidth="1"/>
    <col min="7931" max="7931" width="7.285156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7109375" style="16" customWidth="1"/>
    <col min="8185" max="8185" width="9.85546875" style="16" customWidth="1"/>
    <col min="8186" max="8186" width="14.42578125" style="16" customWidth="1"/>
    <col min="8187" max="8187" width="7.285156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7109375" style="16" customWidth="1"/>
    <col min="8441" max="8441" width="9.85546875" style="16" customWidth="1"/>
    <col min="8442" max="8442" width="14.42578125" style="16" customWidth="1"/>
    <col min="8443" max="8443" width="7.285156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7109375" style="16" customWidth="1"/>
    <col min="8697" max="8697" width="9.85546875" style="16" customWidth="1"/>
    <col min="8698" max="8698" width="14.42578125" style="16" customWidth="1"/>
    <col min="8699" max="8699" width="7.285156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7109375" style="16" customWidth="1"/>
    <col min="8953" max="8953" width="9.85546875" style="16" customWidth="1"/>
    <col min="8954" max="8954" width="14.42578125" style="16" customWidth="1"/>
    <col min="8955" max="8955" width="7.285156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7109375" style="16" customWidth="1"/>
    <col min="9209" max="9209" width="9.85546875" style="16" customWidth="1"/>
    <col min="9210" max="9210" width="14.42578125" style="16" customWidth="1"/>
    <col min="9211" max="9211" width="7.285156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7109375" style="16" customWidth="1"/>
    <col min="9465" max="9465" width="9.85546875" style="16" customWidth="1"/>
    <col min="9466" max="9466" width="14.42578125" style="16" customWidth="1"/>
    <col min="9467" max="9467" width="7.285156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7109375" style="16" customWidth="1"/>
    <col min="9721" max="9721" width="9.85546875" style="16" customWidth="1"/>
    <col min="9722" max="9722" width="14.42578125" style="16" customWidth="1"/>
    <col min="9723" max="9723" width="7.285156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7109375" style="16" customWidth="1"/>
    <col min="9977" max="9977" width="9.85546875" style="16" customWidth="1"/>
    <col min="9978" max="9978" width="14.42578125" style="16" customWidth="1"/>
    <col min="9979" max="9979" width="7.285156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7109375" style="16" customWidth="1"/>
    <col min="10233" max="10233" width="9.85546875" style="16" customWidth="1"/>
    <col min="10234" max="10234" width="14.42578125" style="16" customWidth="1"/>
    <col min="10235" max="10235" width="7.285156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7109375" style="16" customWidth="1"/>
    <col min="10489" max="10489" width="9.85546875" style="16" customWidth="1"/>
    <col min="10490" max="10490" width="14.42578125" style="16" customWidth="1"/>
    <col min="10491" max="10491" width="7.285156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7109375" style="16" customWidth="1"/>
    <col min="10745" max="10745" width="9.85546875" style="16" customWidth="1"/>
    <col min="10746" max="10746" width="14.42578125" style="16" customWidth="1"/>
    <col min="10747" max="10747" width="7.285156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7109375" style="16" customWidth="1"/>
    <col min="11001" max="11001" width="9.85546875" style="16" customWidth="1"/>
    <col min="11002" max="11002" width="14.42578125" style="16" customWidth="1"/>
    <col min="11003" max="11003" width="7.285156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7109375" style="16" customWidth="1"/>
    <col min="11257" max="11257" width="9.85546875" style="16" customWidth="1"/>
    <col min="11258" max="11258" width="14.42578125" style="16" customWidth="1"/>
    <col min="11259" max="11259" width="7.285156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7109375" style="16" customWidth="1"/>
    <col min="11513" max="11513" width="9.85546875" style="16" customWidth="1"/>
    <col min="11514" max="11514" width="14.42578125" style="16" customWidth="1"/>
    <col min="11515" max="11515" width="7.285156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7109375" style="16" customWidth="1"/>
    <col min="11769" max="11769" width="9.85546875" style="16" customWidth="1"/>
    <col min="11770" max="11770" width="14.42578125" style="16" customWidth="1"/>
    <col min="11771" max="11771" width="7.285156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7109375" style="16" customWidth="1"/>
    <col min="12025" max="12025" width="9.85546875" style="16" customWidth="1"/>
    <col min="12026" max="12026" width="14.42578125" style="16" customWidth="1"/>
    <col min="12027" max="12027" width="7.285156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7109375" style="16" customWidth="1"/>
    <col min="12281" max="12281" width="9.85546875" style="16" customWidth="1"/>
    <col min="12282" max="12282" width="14.42578125" style="16" customWidth="1"/>
    <col min="12283" max="12283" width="7.285156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7109375" style="16" customWidth="1"/>
    <col min="12537" max="12537" width="9.85546875" style="16" customWidth="1"/>
    <col min="12538" max="12538" width="14.42578125" style="16" customWidth="1"/>
    <col min="12539" max="12539" width="7.285156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7109375" style="16" customWidth="1"/>
    <col min="12793" max="12793" width="9.85546875" style="16" customWidth="1"/>
    <col min="12794" max="12794" width="14.42578125" style="16" customWidth="1"/>
    <col min="12795" max="12795" width="7.285156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7109375" style="16" customWidth="1"/>
    <col min="13049" max="13049" width="9.85546875" style="16" customWidth="1"/>
    <col min="13050" max="13050" width="14.42578125" style="16" customWidth="1"/>
    <col min="13051" max="13051" width="7.285156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7109375" style="16" customWidth="1"/>
    <col min="13305" max="13305" width="9.85546875" style="16" customWidth="1"/>
    <col min="13306" max="13306" width="14.42578125" style="16" customWidth="1"/>
    <col min="13307" max="13307" width="7.285156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7109375" style="16" customWidth="1"/>
    <col min="13561" max="13561" width="9.85546875" style="16" customWidth="1"/>
    <col min="13562" max="13562" width="14.42578125" style="16" customWidth="1"/>
    <col min="13563" max="13563" width="7.285156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7109375" style="16" customWidth="1"/>
    <col min="13817" max="13817" width="9.85546875" style="16" customWidth="1"/>
    <col min="13818" max="13818" width="14.42578125" style="16" customWidth="1"/>
    <col min="13819" max="13819" width="7.285156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7109375" style="16" customWidth="1"/>
    <col min="14073" max="14073" width="9.85546875" style="16" customWidth="1"/>
    <col min="14074" max="14074" width="14.42578125" style="16" customWidth="1"/>
    <col min="14075" max="14075" width="7.285156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7109375" style="16" customWidth="1"/>
    <col min="14329" max="14329" width="9.85546875" style="16" customWidth="1"/>
    <col min="14330" max="14330" width="14.42578125" style="16" customWidth="1"/>
    <col min="14331" max="14331" width="7.285156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7109375" style="16" customWidth="1"/>
    <col min="14585" max="14585" width="9.85546875" style="16" customWidth="1"/>
    <col min="14586" max="14586" width="14.42578125" style="16" customWidth="1"/>
    <col min="14587" max="14587" width="7.285156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7109375" style="16" customWidth="1"/>
    <col min="14841" max="14841" width="9.85546875" style="16" customWidth="1"/>
    <col min="14842" max="14842" width="14.42578125" style="16" customWidth="1"/>
    <col min="14843" max="14843" width="7.285156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7109375" style="16" customWidth="1"/>
    <col min="15097" max="15097" width="9.85546875" style="16" customWidth="1"/>
    <col min="15098" max="15098" width="14.42578125" style="16" customWidth="1"/>
    <col min="15099" max="15099" width="7.285156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7109375" style="16" customWidth="1"/>
    <col min="15353" max="15353" width="9.85546875" style="16" customWidth="1"/>
    <col min="15354" max="15354" width="14.42578125" style="16" customWidth="1"/>
    <col min="15355" max="15355" width="7.285156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7109375" style="16" customWidth="1"/>
    <col min="15609" max="15609" width="9.85546875" style="16" customWidth="1"/>
    <col min="15610" max="15610" width="14.42578125" style="16" customWidth="1"/>
    <col min="15611" max="15611" width="7.285156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7109375" style="16" customWidth="1"/>
    <col min="15865" max="15865" width="9.85546875" style="16" customWidth="1"/>
    <col min="15866" max="15866" width="14.42578125" style="16" customWidth="1"/>
    <col min="15867" max="15867" width="7.285156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7109375" style="16" customWidth="1"/>
    <col min="16121" max="16121" width="9.85546875" style="16" customWidth="1"/>
    <col min="16122" max="16122" width="14.42578125" style="16" customWidth="1"/>
    <col min="16123" max="16123" width="7.285156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8" ht="46.5" customHeight="1" x14ac:dyDescent="0.25">
      <c r="A1" s="123" t="s">
        <v>230</v>
      </c>
      <c r="B1" s="123"/>
      <c r="C1" s="123"/>
      <c r="D1" s="123"/>
      <c r="E1" s="123"/>
      <c r="F1" s="123"/>
      <c r="G1" s="123"/>
      <c r="H1" s="123"/>
    </row>
    <row r="2" spans="1:8" ht="16.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</row>
    <row r="3" spans="1:8" x14ac:dyDescent="0.25">
      <c r="A3" s="94" t="s">
        <v>1</v>
      </c>
      <c r="B3" s="94"/>
      <c r="C3" s="94"/>
      <c r="D3" s="94"/>
      <c r="E3" s="94" t="str">
        <f ca="1">TEXT(TODAY(),"DD/MM/YYYY")</f>
        <v>09/07/2025</v>
      </c>
      <c r="F3" s="94"/>
      <c r="G3" s="94"/>
      <c r="H3" s="94"/>
    </row>
    <row r="4" spans="1:8" ht="15" customHeight="1" x14ac:dyDescent="0.25">
      <c r="A4" s="94" t="s">
        <v>2</v>
      </c>
      <c r="B4" s="94"/>
      <c r="C4" s="94"/>
      <c r="D4" s="94"/>
      <c r="E4" s="94" t="s">
        <v>179</v>
      </c>
      <c r="F4" s="94"/>
      <c r="G4" s="94"/>
      <c r="H4" s="94"/>
    </row>
    <row r="5" spans="1:8" x14ac:dyDescent="0.25">
      <c r="A5" s="94" t="s">
        <v>3</v>
      </c>
      <c r="B5" s="94"/>
      <c r="C5" s="94"/>
      <c r="D5" s="94"/>
      <c r="E5" s="125">
        <v>45846</v>
      </c>
      <c r="F5" s="94"/>
      <c r="G5" s="94"/>
      <c r="H5" s="94"/>
    </row>
    <row r="6" spans="1:8" ht="16.5" customHeight="1" x14ac:dyDescent="0.25">
      <c r="A6" s="94" t="s">
        <v>4</v>
      </c>
      <c r="B6" s="94"/>
      <c r="C6" s="94"/>
      <c r="D6" s="94"/>
      <c r="E6" s="94" t="s">
        <v>181</v>
      </c>
      <c r="F6" s="94"/>
      <c r="G6" s="94"/>
      <c r="H6" s="94"/>
    </row>
    <row r="7" spans="1:8" ht="15" customHeight="1" x14ac:dyDescent="0.25">
      <c r="A7" s="94" t="s">
        <v>5</v>
      </c>
      <c r="B7" s="94"/>
      <c r="C7" s="94"/>
      <c r="D7" s="94"/>
      <c r="E7" s="94" t="str">
        <f>E6</f>
        <v>Heritage Lifestyles &amp; Developers Pvt. Ltd.</v>
      </c>
      <c r="F7" s="94"/>
      <c r="G7" s="94"/>
      <c r="H7" s="94"/>
    </row>
    <row r="8" spans="1:8" x14ac:dyDescent="0.25">
      <c r="A8" s="94" t="s">
        <v>6</v>
      </c>
      <c r="B8" s="94"/>
      <c r="C8" s="94"/>
      <c r="D8" s="94"/>
      <c r="E8" s="124" t="s">
        <v>180</v>
      </c>
      <c r="F8" s="124"/>
      <c r="G8" s="124"/>
      <c r="H8" s="124"/>
    </row>
    <row r="9" spans="1:8" x14ac:dyDescent="0.25">
      <c r="A9" s="94" t="s">
        <v>176</v>
      </c>
      <c r="B9" s="94"/>
      <c r="C9" s="94"/>
      <c r="D9" s="94"/>
      <c r="E9" s="94" t="s">
        <v>201</v>
      </c>
      <c r="F9" s="94"/>
      <c r="G9" s="94"/>
      <c r="H9" s="94"/>
    </row>
    <row r="10" spans="1:8" hidden="1" x14ac:dyDescent="0.25">
      <c r="A10" s="94" t="s">
        <v>177</v>
      </c>
      <c r="B10" s="94"/>
      <c r="C10" s="94"/>
      <c r="D10" s="94"/>
      <c r="E10" s="94" t="s">
        <v>226</v>
      </c>
      <c r="F10" s="94"/>
      <c r="G10" s="94"/>
      <c r="H10" s="94"/>
    </row>
    <row r="11" spans="1:8" x14ac:dyDescent="0.25">
      <c r="A11" s="94" t="s">
        <v>7</v>
      </c>
      <c r="B11" s="94"/>
      <c r="C11" s="94"/>
      <c r="D11" s="94"/>
      <c r="E11" s="94" t="s">
        <v>130</v>
      </c>
      <c r="F11" s="94"/>
      <c r="G11" s="94"/>
      <c r="H11" s="94"/>
    </row>
    <row r="12" spans="1:8" x14ac:dyDescent="0.25">
      <c r="A12" s="62" t="s">
        <v>8</v>
      </c>
      <c r="B12" s="62"/>
      <c r="C12" s="62"/>
      <c r="D12" s="62"/>
      <c r="E12" s="92" t="s">
        <v>205</v>
      </c>
      <c r="F12" s="92"/>
      <c r="G12" s="92"/>
      <c r="H12" s="92"/>
    </row>
    <row r="13" spans="1:8" x14ac:dyDescent="0.25">
      <c r="A13" s="62" t="s">
        <v>9</v>
      </c>
      <c r="B13" s="62"/>
      <c r="C13" s="62"/>
      <c r="D13" s="62"/>
      <c r="E13" s="92" t="s">
        <v>182</v>
      </c>
      <c r="F13" s="94"/>
      <c r="G13" s="94"/>
      <c r="H13" s="94"/>
    </row>
    <row r="14" spans="1:8" ht="48.75" customHeight="1" x14ac:dyDescent="0.25">
      <c r="A14" s="92" t="s">
        <v>10</v>
      </c>
      <c r="B14" s="92"/>
      <c r="C14" s="9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Janki Heritage, CTS No.485, 485/1 to 2, 486,486/1, 487, 487/1 to 4, Plot No. 29, 30A &amp; 30B, near Guru Sharan - S. M. Harpalani Building, Postal Colony Lane 2, Postal Colony, Chembur, Chembur, Kurla, Mumbai - 400071.</v>
      </c>
      <c r="D14" s="92"/>
      <c r="E14" s="92"/>
      <c r="F14" s="92"/>
      <c r="G14" s="92"/>
      <c r="H14" s="92"/>
    </row>
    <row r="15" spans="1:8" x14ac:dyDescent="0.25">
      <c r="A15" s="92" t="s">
        <v>183</v>
      </c>
      <c r="B15" s="92"/>
      <c r="C15" s="92" t="s">
        <v>184</v>
      </c>
      <c r="D15" s="92"/>
      <c r="E15" s="92"/>
      <c r="F15" s="92"/>
      <c r="G15" s="92"/>
      <c r="H15" s="92"/>
    </row>
    <row r="16" spans="1:8" ht="15.75" customHeight="1" x14ac:dyDescent="0.25">
      <c r="A16" s="92" t="s">
        <v>175</v>
      </c>
      <c r="B16" s="92"/>
      <c r="C16" s="92" t="s">
        <v>185</v>
      </c>
      <c r="D16" s="92"/>
      <c r="E16" s="92"/>
      <c r="F16" s="92"/>
      <c r="G16" s="92"/>
      <c r="H16" s="92"/>
    </row>
    <row r="17" spans="1:8" ht="15.75" customHeight="1" x14ac:dyDescent="0.25">
      <c r="A17" s="92" t="s">
        <v>11</v>
      </c>
      <c r="B17" s="92"/>
      <c r="C17" s="94" t="s">
        <v>189</v>
      </c>
      <c r="D17" s="94"/>
      <c r="E17" s="92" t="s">
        <v>77</v>
      </c>
      <c r="F17" s="92"/>
      <c r="G17" s="92" t="s">
        <v>186</v>
      </c>
      <c r="H17" s="92"/>
    </row>
    <row r="18" spans="1:8" x14ac:dyDescent="0.25">
      <c r="A18" s="94" t="s">
        <v>13</v>
      </c>
      <c r="B18" s="94"/>
      <c r="C18" s="92" t="s">
        <v>186</v>
      </c>
      <c r="D18" s="92"/>
      <c r="E18" s="92" t="s">
        <v>12</v>
      </c>
      <c r="F18" s="92"/>
      <c r="G18" s="101" t="s">
        <v>187</v>
      </c>
      <c r="H18" s="101"/>
    </row>
    <row r="19" spans="1:8" x14ac:dyDescent="0.25">
      <c r="A19" s="94" t="s">
        <v>78</v>
      </c>
      <c r="B19" s="94"/>
      <c r="C19" s="92" t="s">
        <v>188</v>
      </c>
      <c r="D19" s="92"/>
      <c r="E19" s="92" t="s">
        <v>14</v>
      </c>
      <c r="F19" s="92"/>
      <c r="G19" s="92">
        <v>400071</v>
      </c>
      <c r="H19" s="92"/>
    </row>
    <row r="20" spans="1:8" ht="32.25" customHeight="1" x14ac:dyDescent="0.25">
      <c r="A20" s="94" t="s">
        <v>132</v>
      </c>
      <c r="B20" s="94"/>
      <c r="C20" s="92" t="s">
        <v>190</v>
      </c>
      <c r="D20" s="92"/>
      <c r="E20" s="92" t="s">
        <v>15</v>
      </c>
      <c r="F20" s="92"/>
      <c r="G20" s="92" t="s">
        <v>204</v>
      </c>
      <c r="H20" s="92"/>
    </row>
    <row r="21" spans="1:8" ht="15" customHeight="1" x14ac:dyDescent="0.25">
      <c r="A21" s="100" t="s">
        <v>81</v>
      </c>
      <c r="B21" s="100"/>
      <c r="C21" s="100"/>
      <c r="D21" s="100"/>
      <c r="E21" s="94" t="s">
        <v>16</v>
      </c>
      <c r="F21" s="94"/>
      <c r="G21" s="94"/>
      <c r="H21" s="94"/>
    </row>
    <row r="22" spans="1:8" ht="18.75" customHeight="1" x14ac:dyDescent="0.25">
      <c r="A22" s="100"/>
      <c r="B22" s="100"/>
      <c r="C22" s="100"/>
      <c r="D22" s="100"/>
      <c r="E22" s="94"/>
      <c r="F22" s="94"/>
      <c r="G22" s="94"/>
      <c r="H22" s="94"/>
    </row>
    <row r="23" spans="1:8" ht="15" customHeight="1" x14ac:dyDescent="0.25">
      <c r="A23" s="100" t="s">
        <v>17</v>
      </c>
      <c r="B23" s="100"/>
      <c r="C23" s="100"/>
      <c r="D23" s="100"/>
      <c r="E23" s="92" t="s">
        <v>18</v>
      </c>
      <c r="F23" s="92"/>
      <c r="G23" s="92"/>
      <c r="H23" s="92"/>
    </row>
    <row r="24" spans="1:8" ht="15" customHeight="1" x14ac:dyDescent="0.25">
      <c r="A24" s="62" t="s">
        <v>19</v>
      </c>
      <c r="B24" s="62"/>
      <c r="C24" s="62"/>
      <c r="D24" s="62"/>
      <c r="E24" s="92" t="str">
        <f>IF(AND(G18="Mumbai"),"Upper Class","Middle Class")</f>
        <v>Upper Class</v>
      </c>
      <c r="F24" s="92"/>
      <c r="G24" s="92"/>
      <c r="H24" s="92"/>
    </row>
    <row r="25" spans="1:8" x14ac:dyDescent="0.25">
      <c r="A25" s="62" t="s">
        <v>20</v>
      </c>
      <c r="B25" s="62"/>
      <c r="C25" s="62"/>
      <c r="D25" s="62"/>
      <c r="E25" s="92" t="s">
        <v>21</v>
      </c>
      <c r="F25" s="92"/>
      <c r="G25" s="92"/>
      <c r="H25" s="92"/>
    </row>
    <row r="26" spans="1:8" ht="15.75" customHeight="1" x14ac:dyDescent="0.25">
      <c r="A26" s="62" t="s">
        <v>22</v>
      </c>
      <c r="B26" s="62"/>
      <c r="C26" s="62"/>
      <c r="D26" s="62"/>
      <c r="E26" s="92" t="str">
        <f>IF(AND(G18="Mumbai"),"Developed","Developing")</f>
        <v>Developed</v>
      </c>
      <c r="F26" s="92"/>
      <c r="G26" s="92"/>
      <c r="H26" s="92"/>
    </row>
    <row r="27" spans="1:8" x14ac:dyDescent="0.25">
      <c r="A27" s="62" t="s">
        <v>23</v>
      </c>
      <c r="B27" s="62"/>
      <c r="C27" s="62"/>
      <c r="D27" s="62"/>
      <c r="E27" s="92" t="s">
        <v>24</v>
      </c>
      <c r="F27" s="92"/>
      <c r="G27" s="92"/>
      <c r="H27" s="92"/>
    </row>
    <row r="28" spans="1:8" ht="15.75" customHeight="1" x14ac:dyDescent="0.25">
      <c r="A28" s="62" t="s">
        <v>86</v>
      </c>
      <c r="B28" s="62"/>
      <c r="C28" s="62"/>
      <c r="D28" s="62"/>
      <c r="E28" s="92" t="s">
        <v>87</v>
      </c>
      <c r="F28" s="92"/>
      <c r="G28" s="92"/>
      <c r="H28" s="92"/>
    </row>
    <row r="29" spans="1:8" ht="15" customHeight="1" x14ac:dyDescent="0.25">
      <c r="A29" s="62" t="s">
        <v>35</v>
      </c>
      <c r="B29" s="62"/>
      <c r="C29" s="62"/>
      <c r="D29" s="62"/>
      <c r="E29" s="9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2"/>
      <c r="G29" s="92"/>
      <c r="H29" s="92"/>
    </row>
    <row r="30" spans="1:8" ht="15.75" customHeight="1" x14ac:dyDescent="0.25">
      <c r="A30" s="62" t="s">
        <v>98</v>
      </c>
      <c r="B30" s="62"/>
      <c r="C30" s="62"/>
      <c r="D30" s="62"/>
      <c r="E30" s="92" t="s">
        <v>36</v>
      </c>
      <c r="F30" s="92"/>
      <c r="G30" s="92"/>
      <c r="H30" s="92"/>
    </row>
    <row r="31" spans="1:8" s="17" customFormat="1" x14ac:dyDescent="0.25">
      <c r="A31" s="129" t="s">
        <v>99</v>
      </c>
      <c r="B31" s="129"/>
      <c r="C31" s="128" t="s">
        <v>29</v>
      </c>
      <c r="D31" s="128"/>
      <c r="E31" s="128"/>
      <c r="F31" s="128" t="s">
        <v>31</v>
      </c>
      <c r="G31" s="128"/>
      <c r="H31" s="128"/>
    </row>
    <row r="32" spans="1:8" s="17" customFormat="1" x14ac:dyDescent="0.25">
      <c r="A32" s="126" t="s">
        <v>25</v>
      </c>
      <c r="B32" s="126" t="s">
        <v>30</v>
      </c>
      <c r="C32" s="127" t="s">
        <v>30</v>
      </c>
      <c r="D32" s="127"/>
      <c r="E32" s="127"/>
      <c r="F32" s="127" t="s">
        <v>202</v>
      </c>
      <c r="G32" s="127"/>
      <c r="H32" s="127"/>
    </row>
    <row r="33" spans="1:8" x14ac:dyDescent="0.25">
      <c r="A33" s="126" t="s">
        <v>26</v>
      </c>
      <c r="B33" s="126" t="s">
        <v>30</v>
      </c>
      <c r="C33" s="127" t="s">
        <v>30</v>
      </c>
      <c r="D33" s="127"/>
      <c r="E33" s="127"/>
      <c r="F33" s="127" t="s">
        <v>191</v>
      </c>
      <c r="G33" s="127"/>
      <c r="H33" s="127"/>
    </row>
    <row r="34" spans="1:8" s="17" customFormat="1" x14ac:dyDescent="0.25">
      <c r="A34" s="126" t="s">
        <v>28</v>
      </c>
      <c r="B34" s="126" t="s">
        <v>30</v>
      </c>
      <c r="C34" s="127" t="s">
        <v>30</v>
      </c>
      <c r="D34" s="127"/>
      <c r="E34" s="127"/>
      <c r="F34" s="127" t="s">
        <v>192</v>
      </c>
      <c r="G34" s="127"/>
      <c r="H34" s="127"/>
    </row>
    <row r="35" spans="1:8" ht="32.25" customHeight="1" x14ac:dyDescent="0.25">
      <c r="A35" s="130" t="s">
        <v>27</v>
      </c>
      <c r="B35" s="130" t="s">
        <v>30</v>
      </c>
      <c r="C35" s="130" t="s">
        <v>30</v>
      </c>
      <c r="D35" s="130"/>
      <c r="E35" s="130"/>
      <c r="F35" s="132" t="s">
        <v>193</v>
      </c>
      <c r="G35" s="130"/>
      <c r="H35" s="130"/>
    </row>
    <row r="36" spans="1:8" x14ac:dyDescent="0.25">
      <c r="A36" s="62" t="s">
        <v>32</v>
      </c>
      <c r="B36" s="62"/>
      <c r="C36" s="62"/>
      <c r="D36" s="62"/>
      <c r="E36" s="62"/>
      <c r="F36" s="62"/>
      <c r="G36" s="62"/>
      <c r="H36" s="62"/>
    </row>
    <row r="37" spans="1:8" ht="15.75" customHeight="1" x14ac:dyDescent="0.25">
      <c r="A37" s="80" t="s">
        <v>33</v>
      </c>
      <c r="B37" s="80"/>
      <c r="C37" s="133">
        <v>19.062228000000001</v>
      </c>
      <c r="D37" s="133"/>
      <c r="E37" s="80" t="s">
        <v>34</v>
      </c>
      <c r="F37" s="80"/>
      <c r="G37" s="134">
        <v>72.895386999999999</v>
      </c>
      <c r="H37" s="134"/>
    </row>
    <row r="38" spans="1:8" x14ac:dyDescent="0.25">
      <c r="A38" s="80" t="s">
        <v>174</v>
      </c>
      <c r="B38" s="80"/>
      <c r="C38" s="135" t="s">
        <v>194</v>
      </c>
      <c r="D38" s="92"/>
      <c r="E38" s="92"/>
      <c r="F38" s="92"/>
      <c r="G38" s="92"/>
      <c r="H38" s="92"/>
    </row>
    <row r="39" spans="1:8" x14ac:dyDescent="0.25">
      <c r="A39" s="124" t="s">
        <v>37</v>
      </c>
      <c r="B39" s="124"/>
      <c r="C39" s="124"/>
      <c r="D39" s="124"/>
      <c r="E39" s="124"/>
      <c r="F39" s="124"/>
      <c r="G39" s="124"/>
      <c r="H39" s="124"/>
    </row>
    <row r="40" spans="1:8" x14ac:dyDescent="0.25">
      <c r="A40" s="94" t="s">
        <v>38</v>
      </c>
      <c r="B40" s="94"/>
      <c r="C40" s="94"/>
      <c r="D40" s="94"/>
      <c r="E40" s="131">
        <v>845.1</v>
      </c>
      <c r="F40" s="131"/>
      <c r="G40" s="131"/>
      <c r="H40" s="131"/>
    </row>
    <row r="41" spans="1:8" x14ac:dyDescent="0.25">
      <c r="A41" s="94" t="s">
        <v>39</v>
      </c>
      <c r="B41" s="94"/>
      <c r="C41" s="94"/>
      <c r="D41" s="94"/>
      <c r="E41" s="93">
        <v>1</v>
      </c>
      <c r="F41" s="93"/>
      <c r="G41" s="93"/>
      <c r="H41" s="93"/>
    </row>
    <row r="42" spans="1:8" x14ac:dyDescent="0.25">
      <c r="A42" s="94" t="s">
        <v>40</v>
      </c>
      <c r="B42" s="94"/>
      <c r="C42" s="94"/>
      <c r="D42" s="94"/>
      <c r="E42" s="93">
        <f>E44/E40-E41</f>
        <v>2.3749970417702047</v>
      </c>
      <c r="F42" s="93"/>
      <c r="G42" s="93"/>
      <c r="H42" s="93"/>
    </row>
    <row r="43" spans="1:8" x14ac:dyDescent="0.25">
      <c r="A43" s="94" t="s">
        <v>41</v>
      </c>
      <c r="B43" s="94"/>
      <c r="C43" s="94"/>
      <c r="D43" s="94"/>
      <c r="E43" s="93">
        <f>E41+E42</f>
        <v>3.3749970417702047</v>
      </c>
      <c r="F43" s="93"/>
      <c r="G43" s="93"/>
      <c r="H43" s="93"/>
    </row>
    <row r="44" spans="1:8" x14ac:dyDescent="0.25">
      <c r="A44" s="94" t="s">
        <v>97</v>
      </c>
      <c r="B44" s="94"/>
      <c r="C44" s="94"/>
      <c r="D44" s="94"/>
      <c r="E44" s="153">
        <v>2852.21</v>
      </c>
      <c r="F44" s="153"/>
      <c r="G44" s="153"/>
      <c r="H44" s="153"/>
    </row>
    <row r="45" spans="1:8" x14ac:dyDescent="0.25">
      <c r="A45" s="94" t="s">
        <v>42</v>
      </c>
      <c r="B45" s="94"/>
      <c r="C45" s="94"/>
      <c r="D45" s="94"/>
      <c r="E45" s="94" t="s">
        <v>130</v>
      </c>
      <c r="F45" s="94"/>
      <c r="G45" s="94"/>
      <c r="H45" s="94"/>
    </row>
    <row r="46" spans="1:8" x14ac:dyDescent="0.25">
      <c r="A46" s="120" t="s">
        <v>43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25">
      <c r="A47" s="95" t="s">
        <v>161</v>
      </c>
      <c r="B47" s="96"/>
      <c r="C47" s="169" t="s">
        <v>203</v>
      </c>
      <c r="D47" s="170"/>
      <c r="E47" s="170"/>
      <c r="F47" s="170"/>
      <c r="G47" s="170"/>
      <c r="H47" s="171"/>
    </row>
    <row r="48" spans="1:8" ht="34.5" customHeight="1" x14ac:dyDescent="0.25">
      <c r="A48" s="95" t="s">
        <v>44</v>
      </c>
      <c r="B48" s="96"/>
      <c r="C48" s="95" t="s">
        <v>212</v>
      </c>
      <c r="D48" s="97"/>
      <c r="E48" s="96"/>
      <c r="F48" s="47" t="s">
        <v>45</v>
      </c>
      <c r="G48" s="98">
        <v>45183</v>
      </c>
      <c r="H48" s="96"/>
    </row>
    <row r="49" spans="1:14" ht="30.75" customHeight="1" x14ac:dyDescent="0.25">
      <c r="A49" s="95" t="s">
        <v>46</v>
      </c>
      <c r="B49" s="96"/>
      <c r="C49" s="95" t="str">
        <f>C48</f>
        <v>CHE/ES/0902/M/E/337(NEW)/FCC/3/Amend</v>
      </c>
      <c r="D49" s="97"/>
      <c r="E49" s="96"/>
      <c r="F49" s="47" t="s">
        <v>45</v>
      </c>
      <c r="G49" s="98">
        <v>45183</v>
      </c>
      <c r="H49" s="99"/>
    </row>
    <row r="50" spans="1:14" s="18" customFormat="1" ht="32.25" customHeight="1" x14ac:dyDescent="0.25">
      <c r="A50" s="102" t="s">
        <v>165</v>
      </c>
      <c r="B50" s="137"/>
      <c r="C50" s="95" t="s">
        <v>212</v>
      </c>
      <c r="D50" s="97"/>
      <c r="E50" s="96"/>
      <c r="F50" s="47" t="s">
        <v>45</v>
      </c>
      <c r="G50" s="98">
        <v>45254</v>
      </c>
      <c r="H50" s="99"/>
    </row>
    <row r="51" spans="1:14" s="18" customFormat="1" ht="33.75" customHeight="1" x14ac:dyDescent="0.25">
      <c r="A51" s="138"/>
      <c r="B51" s="139"/>
      <c r="C51" s="95" t="s">
        <v>211</v>
      </c>
      <c r="D51" s="97"/>
      <c r="E51" s="96"/>
      <c r="F51" s="47" t="s">
        <v>131</v>
      </c>
      <c r="G51" s="98">
        <v>45800</v>
      </c>
      <c r="H51" s="96"/>
    </row>
    <row r="52" spans="1:14" x14ac:dyDescent="0.25">
      <c r="A52" s="109" t="s">
        <v>47</v>
      </c>
      <c r="B52" s="111"/>
      <c r="C52" s="109" t="s">
        <v>111</v>
      </c>
      <c r="D52" s="110"/>
      <c r="E52" s="111"/>
      <c r="F52" s="39" t="s">
        <v>45</v>
      </c>
      <c r="G52" s="113" t="s">
        <v>30</v>
      </c>
      <c r="H52" s="114"/>
    </row>
    <row r="53" spans="1:14" x14ac:dyDescent="0.25">
      <c r="A53" s="104" t="s">
        <v>49</v>
      </c>
      <c r="B53" s="104"/>
      <c r="C53" s="104"/>
      <c r="D53" s="104"/>
      <c r="E53" s="104"/>
      <c r="F53" s="104"/>
      <c r="G53" s="104"/>
      <c r="H53" s="104"/>
    </row>
    <row r="54" spans="1:14" x14ac:dyDescent="0.25">
      <c r="A54" s="100" t="s">
        <v>96</v>
      </c>
      <c r="B54" s="100"/>
      <c r="C54" s="100"/>
      <c r="D54" s="94">
        <f>E44</f>
        <v>2852.21</v>
      </c>
      <c r="E54" s="94"/>
      <c r="F54" s="94"/>
      <c r="G54" s="94"/>
      <c r="H54" s="94"/>
    </row>
    <row r="55" spans="1:14" x14ac:dyDescent="0.25">
      <c r="A55" s="92" t="s">
        <v>50</v>
      </c>
      <c r="B55" s="94"/>
      <c r="C55" s="94"/>
      <c r="D55" s="112" t="s">
        <v>222</v>
      </c>
      <c r="E55" s="112"/>
      <c r="F55" s="112"/>
      <c r="G55" s="112"/>
      <c r="H55" s="112"/>
      <c r="I55" s="19"/>
    </row>
    <row r="56" spans="1:14" x14ac:dyDescent="0.25">
      <c r="A56" s="102" t="s">
        <v>51</v>
      </c>
      <c r="B56" s="103"/>
      <c r="C56" s="137"/>
      <c r="D56" s="122" t="s">
        <v>213</v>
      </c>
      <c r="E56" s="136"/>
      <c r="F56" s="136"/>
      <c r="G56" s="136"/>
      <c r="H56" s="136"/>
    </row>
    <row r="57" spans="1:14" ht="15.75" customHeight="1" x14ac:dyDescent="0.25">
      <c r="A57" s="102" t="s">
        <v>94</v>
      </c>
      <c r="B57" s="103"/>
      <c r="C57" s="103"/>
      <c r="D57" s="94" t="s">
        <v>213</v>
      </c>
      <c r="E57" s="94"/>
      <c r="F57" s="94"/>
      <c r="G57" s="94"/>
      <c r="H57" s="94"/>
    </row>
    <row r="58" spans="1:14" ht="15.75" customHeight="1" x14ac:dyDescent="0.25">
      <c r="A58" s="62" t="s">
        <v>48</v>
      </c>
      <c r="B58" s="62"/>
      <c r="C58" s="62"/>
      <c r="D58" s="140" t="s">
        <v>228</v>
      </c>
      <c r="E58" s="140"/>
      <c r="F58" s="140"/>
      <c r="G58" s="140"/>
      <c r="H58" s="140"/>
      <c r="J58" s="20"/>
      <c r="K58" s="19"/>
      <c r="N58" s="19"/>
    </row>
    <row r="59" spans="1:14" ht="15.75" customHeight="1" x14ac:dyDescent="0.25">
      <c r="A59" s="62" t="s">
        <v>92</v>
      </c>
      <c r="B59" s="62"/>
      <c r="C59" s="62"/>
      <c r="D59" s="152" t="str">
        <f>(IF(G52="NA","60 Years After Completion",IF(G52&lt;&gt;"NA",""&amp;60-ROUNDDOWN((E3-G52)/360,0)&amp;" Years"," ")))</f>
        <v>60 Years After Completion</v>
      </c>
      <c r="E59" s="152"/>
      <c r="F59" s="152"/>
      <c r="G59" s="152"/>
      <c r="H59" s="152"/>
      <c r="N59" s="19"/>
    </row>
    <row r="60" spans="1:14" ht="15.75" customHeight="1" x14ac:dyDescent="0.25">
      <c r="A60" s="62" t="s">
        <v>93</v>
      </c>
      <c r="B60" s="62"/>
      <c r="C60" s="62"/>
      <c r="D60" s="92" t="s">
        <v>24</v>
      </c>
      <c r="E60" s="92"/>
      <c r="F60" s="92"/>
      <c r="G60" s="92"/>
      <c r="H60" s="92"/>
      <c r="J60" s="21"/>
      <c r="K60" s="21"/>
    </row>
    <row r="61" spans="1:14" ht="30" customHeight="1" x14ac:dyDescent="0.25">
      <c r="A61" s="62" t="s">
        <v>79</v>
      </c>
      <c r="B61" s="62"/>
      <c r="C61" s="62"/>
      <c r="D61" s="92" t="s">
        <v>210</v>
      </c>
      <c r="E61" s="92"/>
      <c r="F61" s="92"/>
      <c r="G61" s="92"/>
      <c r="H61" s="92"/>
    </row>
    <row r="62" spans="1:14" x14ac:dyDescent="0.25">
      <c r="A62" s="100" t="s">
        <v>158</v>
      </c>
      <c r="B62" s="100"/>
      <c r="C62" s="100"/>
      <c r="D62" s="92" t="s">
        <v>30</v>
      </c>
      <c r="E62" s="92"/>
      <c r="F62" s="92"/>
      <c r="G62" s="92"/>
      <c r="H62" s="92"/>
      <c r="I62" s="22"/>
      <c r="J62" s="22"/>
      <c r="K62" s="22"/>
      <c r="L62" s="22"/>
      <c r="M62" s="22"/>
      <c r="N62" s="22"/>
    </row>
    <row r="63" spans="1:14" ht="15.75" customHeight="1" x14ac:dyDescent="0.25">
      <c r="A63" s="121" t="s">
        <v>91</v>
      </c>
      <c r="B63" s="121"/>
      <c r="C63" s="121"/>
      <c r="D63" s="122" t="str">
        <f ca="1">(IF(G69&gt;95%,"Nothing",IF(G69&gt;0%,"Cement, Aggregate, Steel, etc",IF(G69=0%,"Work not yet Started"))))</f>
        <v>Cement, Aggregate, Steel, etc</v>
      </c>
      <c r="E63" s="122"/>
      <c r="F63" s="122"/>
      <c r="G63" s="122"/>
      <c r="H63" s="122"/>
      <c r="J63" s="21"/>
    </row>
    <row r="64" spans="1:14" ht="33.75" customHeight="1" thickBot="1" x14ac:dyDescent="0.3">
      <c r="A64" s="100" t="s">
        <v>124</v>
      </c>
      <c r="B64" s="100"/>
      <c r="C64" s="100"/>
      <c r="D64" s="92" t="str">
        <f ca="1">(IF(D63="Nothing","Yes",IF(D63="Cement, Aggregate, Steel, etc","Under Construction",IF(D63="Work not yet Started","Work not yet Started"))))</f>
        <v>Under Construction</v>
      </c>
      <c r="E64" s="92"/>
      <c r="F64" s="92" t="str">
        <f ca="1">(IF(D63="Nothing","Yes",IF(D63="Cement, Aggregate, Steel, etc","Under Construction",IF(D63="Work not yet Started","Work not yet Started"))))</f>
        <v>Under Construction</v>
      </c>
      <c r="G64" s="92"/>
      <c r="H64" s="92"/>
    </row>
    <row r="65" spans="1:10" ht="15.75" customHeight="1" x14ac:dyDescent="0.25">
      <c r="A65" s="154" t="s">
        <v>150</v>
      </c>
      <c r="B65" s="154"/>
      <c r="C65" s="154" t="str">
        <f>D57</f>
        <v>Gr + 1st to 11th Floor</v>
      </c>
      <c r="D65" s="154"/>
      <c r="E65" s="154"/>
      <c r="F65" s="154"/>
      <c r="G65" s="154"/>
      <c r="H65" s="154"/>
      <c r="I65" s="6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10 Floor, Flooring upto 6 Floor, Painting upto 3 Floor Completed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10 Floor, Flooring upto 6 Floor, Painting upto 3 Floor</v>
      </c>
    </row>
    <row r="66" spans="1:10" x14ac:dyDescent="0.25">
      <c r="A66" s="59" t="s">
        <v>152</v>
      </c>
      <c r="B66" s="59">
        <v>0</v>
      </c>
      <c r="C66" s="59" t="s">
        <v>76</v>
      </c>
      <c r="D66" s="59">
        <v>1</v>
      </c>
      <c r="E66" s="59" t="s">
        <v>75</v>
      </c>
      <c r="F66" s="59">
        <v>0</v>
      </c>
      <c r="G66" s="59" t="s">
        <v>85</v>
      </c>
      <c r="H66" s="59">
        <f ca="1">--TRIM(RIGHT(SUBSTITUTE(LEFT(C65,_xlfn.AGGREGATE(16,6,FIND({0,1,2,3,4,5,6,7,8,9},C65,ROW(INDIRECT("1:"&amp;LEN(C65)))),1))," ",REPT(" ",LEN(C65))),LEN(C65)))</f>
        <v>11</v>
      </c>
      <c r="I66" s="6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25">
      <c r="A67" s="124" t="s">
        <v>95</v>
      </c>
      <c r="B67" s="124"/>
      <c r="C67" s="154" t="str">
        <f ca="1">I65</f>
        <v>Excavation, Plinth, RCC Slab, Brickwork, Internal Plaster Completed, External Plaster upto 10 Floor, Flooring upto 6 Floor, Painting upto 3 Floor Completed</v>
      </c>
      <c r="D67" s="154"/>
      <c r="E67" s="154"/>
      <c r="F67" s="154"/>
      <c r="G67" s="154"/>
      <c r="H67" s="154"/>
      <c r="I67" s="61" t="str">
        <f ca="1">IF(I66&lt;&gt;""," Completed","")</f>
        <v xml:space="preserve"> Completed</v>
      </c>
      <c r="J67" s="42" t="str">
        <f ca="1">IF(J65&lt;&gt;"","Completed","")</f>
        <v>Completed</v>
      </c>
    </row>
    <row r="68" spans="1:10" ht="15.75" customHeight="1" x14ac:dyDescent="0.25">
      <c r="A68" s="73" t="s">
        <v>52</v>
      </c>
      <c r="B68" s="74"/>
      <c r="C68" s="46" t="s">
        <v>149</v>
      </c>
      <c r="D68" s="46" t="s">
        <v>88</v>
      </c>
      <c r="E68" s="74" t="s">
        <v>90</v>
      </c>
      <c r="F68" s="74"/>
      <c r="G68" s="74" t="s">
        <v>89</v>
      </c>
      <c r="H68" s="115"/>
      <c r="I68" s="14" t="s">
        <v>151</v>
      </c>
      <c r="J68" s="23">
        <f ca="1">H66*25%</f>
        <v>2.75</v>
      </c>
    </row>
    <row r="69" spans="1:10" x14ac:dyDescent="0.25">
      <c r="A69" s="73" t="s">
        <v>138</v>
      </c>
      <c r="B69" s="74"/>
      <c r="C69" s="46">
        <f ca="1">J70</f>
        <v>11</v>
      </c>
      <c r="D69" s="48">
        <f ca="1">((100/H66)*C69)/100</f>
        <v>1.0000000000000002</v>
      </c>
      <c r="E69" s="141">
        <f ca="1">(((C70/H66*10)+(40/(D66+F66+H66)*C71)+(7.5/(H66)*C72)+(7.5/(H66)*C73)+(10/H66*C74)+(10/H66*C75)+(5/H66*C76)+(5/H66*C77)+(5/H66*C78))/100)</f>
        <v>0.80909090909090908</v>
      </c>
      <c r="F69" s="142"/>
      <c r="G69" s="141">
        <f ca="1">((((C69/H66)*20)+((C70/H66)*25)+(30/(H66+F66+D66)*C71)+(5/H66*C72)+(5/H66*C73)+(5/H66*C74)+(5/H66*C75)+(0/H66*C76)+(0/H66*C77)+(5/H66*C78))/100)</f>
        <v>0.92272727272727284</v>
      </c>
      <c r="H69" s="147"/>
      <c r="I69" s="14" t="s">
        <v>106</v>
      </c>
      <c r="J69" s="24">
        <f ca="1">H66*50%</f>
        <v>5.5</v>
      </c>
    </row>
    <row r="70" spans="1:10" x14ac:dyDescent="0.25">
      <c r="A70" s="73" t="s">
        <v>53</v>
      </c>
      <c r="B70" s="74"/>
      <c r="C70" s="46">
        <f ca="1">J78</f>
        <v>11</v>
      </c>
      <c r="D70" s="48">
        <f ca="1">((100/H66)*C70)/100</f>
        <v>1.0000000000000002</v>
      </c>
      <c r="E70" s="143"/>
      <c r="F70" s="144"/>
      <c r="G70" s="143"/>
      <c r="H70" s="148"/>
      <c r="I70" s="14" t="s">
        <v>107</v>
      </c>
      <c r="J70" s="24">
        <f ca="1">H66</f>
        <v>11</v>
      </c>
    </row>
    <row r="71" spans="1:10" ht="15.75" customHeight="1" x14ac:dyDescent="0.25">
      <c r="A71" s="73" t="s">
        <v>139</v>
      </c>
      <c r="B71" s="74"/>
      <c r="C71" s="46">
        <v>12</v>
      </c>
      <c r="D71" s="48">
        <f ca="1">((100/(D66+F66+H66))*C71)/100</f>
        <v>1</v>
      </c>
      <c r="E71" s="143"/>
      <c r="F71" s="144"/>
      <c r="G71" s="143"/>
      <c r="H71" s="148"/>
      <c r="I71" s="14" t="s">
        <v>108</v>
      </c>
      <c r="J71" s="25">
        <f ca="1">(IF(B66&gt;1,(H66/(B66+2)),H66/4))</f>
        <v>2.75</v>
      </c>
    </row>
    <row r="72" spans="1:10" ht="15.75" customHeight="1" x14ac:dyDescent="0.25">
      <c r="A72" s="73" t="s">
        <v>146</v>
      </c>
      <c r="B72" s="74" t="s">
        <v>140</v>
      </c>
      <c r="C72" s="46">
        <v>11</v>
      </c>
      <c r="D72" s="48">
        <f ca="1">((100/H66)*C72)/100</f>
        <v>1.0000000000000002</v>
      </c>
      <c r="E72" s="143"/>
      <c r="F72" s="144"/>
      <c r="G72" s="143"/>
      <c r="H72" s="148"/>
      <c r="I72" s="14" t="s">
        <v>109</v>
      </c>
      <c r="J72" s="25">
        <f ca="1">(IF(B66&gt;1,(H66/(B66+2)+J71),H66/4+J71))</f>
        <v>5.5</v>
      </c>
    </row>
    <row r="73" spans="1:10" ht="15.75" customHeight="1" x14ac:dyDescent="0.25">
      <c r="A73" s="73" t="s">
        <v>147</v>
      </c>
      <c r="B73" s="74" t="s">
        <v>140</v>
      </c>
      <c r="C73" s="46">
        <v>11</v>
      </c>
      <c r="D73" s="48">
        <f ca="1">((100/H66)*C73)/100</f>
        <v>1.0000000000000002</v>
      </c>
      <c r="E73" s="143"/>
      <c r="F73" s="144"/>
      <c r="G73" s="143"/>
      <c r="H73" s="148"/>
      <c r="I73" s="14" t="s">
        <v>156</v>
      </c>
      <c r="J73" s="25">
        <f>(IF(B66&gt;1,(H66/(B66+2)+J72),0))</f>
        <v>0</v>
      </c>
    </row>
    <row r="74" spans="1:10" ht="15" customHeight="1" x14ac:dyDescent="0.25">
      <c r="A74" s="73" t="s">
        <v>145</v>
      </c>
      <c r="B74" s="74" t="s">
        <v>142</v>
      </c>
      <c r="C74" s="46">
        <v>10</v>
      </c>
      <c r="D74" s="48">
        <f ca="1">((100/(H66))*C74)/100</f>
        <v>0.90909090909090917</v>
      </c>
      <c r="E74" s="143"/>
      <c r="F74" s="144"/>
      <c r="G74" s="143"/>
      <c r="H74" s="148"/>
      <c r="I74" s="14" t="s">
        <v>153</v>
      </c>
      <c r="J74" s="25">
        <f>(IF(B66&gt;2,(H66/(B66+2)+J73),0))</f>
        <v>0</v>
      </c>
    </row>
    <row r="75" spans="1:10" ht="15.75" customHeight="1" x14ac:dyDescent="0.25">
      <c r="A75" s="73" t="s">
        <v>141</v>
      </c>
      <c r="B75" s="74" t="s">
        <v>141</v>
      </c>
      <c r="C75" s="46">
        <v>6</v>
      </c>
      <c r="D75" s="48">
        <f ca="1">((100/H66)*C75)/100</f>
        <v>0.54545454545454541</v>
      </c>
      <c r="E75" s="143"/>
      <c r="F75" s="144"/>
      <c r="G75" s="143"/>
      <c r="H75" s="148"/>
      <c r="I75" s="14" t="s">
        <v>154</v>
      </c>
      <c r="J75" s="26">
        <f>(IF(B66&gt;3,(H66/(B66+2)+J74),0))</f>
        <v>0</v>
      </c>
    </row>
    <row r="76" spans="1:10" ht="15.75" customHeight="1" x14ac:dyDescent="0.25">
      <c r="A76" s="73" t="s">
        <v>148</v>
      </c>
      <c r="B76" s="74"/>
      <c r="C76" s="46">
        <v>3</v>
      </c>
      <c r="D76" s="48">
        <f ca="1">((100/H66)*C76)/100</f>
        <v>0.27272727272727271</v>
      </c>
      <c r="E76" s="143"/>
      <c r="F76" s="144"/>
      <c r="G76" s="143"/>
      <c r="H76" s="148"/>
      <c r="I76" s="14" t="s">
        <v>155</v>
      </c>
      <c r="J76" s="25">
        <f>(IF(B66&gt;4,(H66/(B66+2)+J75),0))</f>
        <v>0</v>
      </c>
    </row>
    <row r="77" spans="1:10" ht="15.75" customHeight="1" x14ac:dyDescent="0.25">
      <c r="A77" s="73" t="s">
        <v>143</v>
      </c>
      <c r="B77" s="74" t="s">
        <v>143</v>
      </c>
      <c r="C77" s="46">
        <v>0</v>
      </c>
      <c r="D77" s="48">
        <f ca="1">((100/(H66))*C77)/100</f>
        <v>0</v>
      </c>
      <c r="E77" s="143"/>
      <c r="F77" s="144"/>
      <c r="G77" s="143"/>
      <c r="H77" s="148"/>
      <c r="I77" s="14" t="s">
        <v>157</v>
      </c>
      <c r="J77" s="25">
        <f ca="1">(IF(B66=1,(H66/(B66+3)+J72),IF(B66=0,(H66/4+J72),IF(B66&gt;1,0))))</f>
        <v>8.25</v>
      </c>
    </row>
    <row r="78" spans="1:10" ht="16.5" thickBot="1" x14ac:dyDescent="0.3">
      <c r="A78" s="150" t="s">
        <v>144</v>
      </c>
      <c r="B78" s="151"/>
      <c r="C78" s="49">
        <v>0</v>
      </c>
      <c r="D78" s="50">
        <f ca="1">((100/(H66))*C78)/100</f>
        <v>0</v>
      </c>
      <c r="E78" s="145"/>
      <c r="F78" s="146"/>
      <c r="G78" s="145"/>
      <c r="H78" s="149"/>
      <c r="I78" s="15" t="s">
        <v>110</v>
      </c>
      <c r="J78" s="27">
        <f ca="1">(IF(B66&gt;1.5,(H66/(B66+2)+J72+MAX(0,J73-J72)+MAX(0,J74-J73)+MAX(0,J75-J74)+MAX(0,J76-J75)+MAX(0,J77-J76)),IF(B66=1,(H66/(B66+3)+J77),IF(B66=0,H66/4+J77))))</f>
        <v>11</v>
      </c>
    </row>
    <row r="79" spans="1:10" x14ac:dyDescent="0.25">
      <c r="A79" s="116" t="s">
        <v>167</v>
      </c>
      <c r="B79" s="116"/>
      <c r="C79" s="116"/>
      <c r="D79" s="116"/>
      <c r="E79" s="116"/>
      <c r="F79" s="164" t="s">
        <v>172</v>
      </c>
      <c r="G79" s="164"/>
      <c r="H79" s="164"/>
    </row>
    <row r="80" spans="1:10" x14ac:dyDescent="0.25">
      <c r="A80" s="62" t="s">
        <v>170</v>
      </c>
      <c r="B80" s="62"/>
      <c r="C80" s="62"/>
      <c r="D80" s="62"/>
      <c r="E80" s="62"/>
      <c r="F80" s="75">
        <v>20000</v>
      </c>
      <c r="G80" s="75"/>
      <c r="H80" s="75"/>
    </row>
    <row r="81" spans="1:8" hidden="1" x14ac:dyDescent="0.25">
      <c r="A81" s="62" t="s">
        <v>169</v>
      </c>
      <c r="B81" s="62"/>
      <c r="C81" s="62"/>
      <c r="D81" s="62"/>
      <c r="E81" s="62"/>
      <c r="F81" s="75"/>
      <c r="G81" s="75"/>
      <c r="H81" s="75"/>
    </row>
    <row r="82" spans="1:8" hidden="1" x14ac:dyDescent="0.25">
      <c r="A82" s="62" t="s">
        <v>171</v>
      </c>
      <c r="B82" s="62"/>
      <c r="C82" s="62"/>
      <c r="D82" s="62"/>
      <c r="E82" s="62"/>
      <c r="F82" s="75"/>
      <c r="G82" s="75"/>
      <c r="H82" s="75"/>
    </row>
    <row r="83" spans="1:8" s="28" customFormat="1" hidden="1" x14ac:dyDescent="0.25">
      <c r="A83" s="62" t="s">
        <v>168</v>
      </c>
      <c r="B83" s="62"/>
      <c r="C83" s="62"/>
      <c r="D83" s="62"/>
      <c r="E83" s="62"/>
      <c r="F83" s="75"/>
      <c r="G83" s="75"/>
      <c r="H83" s="75"/>
    </row>
    <row r="84" spans="1:8" s="28" customFormat="1" hidden="1" x14ac:dyDescent="0.25">
      <c r="A84" s="62" t="s">
        <v>100</v>
      </c>
      <c r="B84" s="62"/>
      <c r="C84" s="62"/>
      <c r="D84" s="62"/>
      <c r="E84" s="62"/>
      <c r="F84" s="75"/>
      <c r="G84" s="75"/>
      <c r="H84" s="75"/>
    </row>
    <row r="85" spans="1:8" s="28" customFormat="1" hidden="1" x14ac:dyDescent="0.25">
      <c r="A85" s="62" t="s">
        <v>101</v>
      </c>
      <c r="B85" s="62"/>
      <c r="C85" s="62"/>
      <c r="D85" s="62"/>
      <c r="E85" s="62"/>
      <c r="F85" s="75"/>
      <c r="G85" s="75"/>
      <c r="H85" s="75"/>
    </row>
    <row r="86" spans="1:8" s="28" customFormat="1" hidden="1" x14ac:dyDescent="0.25">
      <c r="A86" s="62" t="s">
        <v>173</v>
      </c>
      <c r="B86" s="62"/>
      <c r="C86" s="62"/>
      <c r="D86" s="62"/>
      <c r="E86" s="62"/>
      <c r="F86" s="75"/>
      <c r="G86" s="75"/>
      <c r="H86" s="75"/>
    </row>
    <row r="87" spans="1:8" s="28" customFormat="1" hidden="1" x14ac:dyDescent="0.25">
      <c r="A87" s="62" t="s">
        <v>102</v>
      </c>
      <c r="B87" s="62"/>
      <c r="C87" s="62"/>
      <c r="D87" s="62"/>
      <c r="E87" s="62"/>
      <c r="F87" s="75"/>
      <c r="G87" s="75"/>
      <c r="H87" s="75"/>
    </row>
    <row r="88" spans="1:8" s="28" customFormat="1" hidden="1" x14ac:dyDescent="0.25">
      <c r="A88" s="62" t="s">
        <v>103</v>
      </c>
      <c r="B88" s="62"/>
      <c r="C88" s="62"/>
      <c r="D88" s="62"/>
      <c r="E88" s="62"/>
      <c r="F88" s="75"/>
      <c r="G88" s="75"/>
      <c r="H88" s="75"/>
    </row>
    <row r="89" spans="1:8" s="28" customFormat="1" hidden="1" x14ac:dyDescent="0.25">
      <c r="A89" s="62" t="s">
        <v>104</v>
      </c>
      <c r="B89" s="62"/>
      <c r="C89" s="62"/>
      <c r="D89" s="62"/>
      <c r="E89" s="62"/>
      <c r="F89" s="75"/>
      <c r="G89" s="75"/>
      <c r="H89" s="75"/>
    </row>
    <row r="90" spans="1:8" s="28" customFormat="1" hidden="1" x14ac:dyDescent="0.25">
      <c r="A90" s="62" t="s">
        <v>105</v>
      </c>
      <c r="B90" s="62"/>
      <c r="C90" s="62"/>
      <c r="D90" s="62"/>
      <c r="E90" s="62"/>
      <c r="F90" s="75"/>
      <c r="G90" s="75"/>
      <c r="H90" s="75"/>
    </row>
    <row r="91" spans="1:8" x14ac:dyDescent="0.25">
      <c r="A91" s="62" t="s">
        <v>54</v>
      </c>
      <c r="B91" s="62"/>
      <c r="C91" s="62"/>
      <c r="D91" s="62"/>
      <c r="E91" s="62"/>
      <c r="F91" s="75">
        <v>1000000</v>
      </c>
      <c r="G91" s="75"/>
      <c r="H91" s="75"/>
    </row>
    <row r="92" spans="1:8" s="29" customFormat="1" x14ac:dyDescent="0.25">
      <c r="A92" s="120" t="s">
        <v>55</v>
      </c>
      <c r="B92" s="120"/>
      <c r="C92" s="120"/>
      <c r="D92" s="120"/>
      <c r="E92" s="120"/>
      <c r="F92" s="75">
        <f>F80*0.8</f>
        <v>16000</v>
      </c>
      <c r="G92" s="75"/>
      <c r="H92" s="75"/>
    </row>
    <row r="93" spans="1:8" s="30" customFormat="1" ht="15.75" hidden="1" customHeight="1" x14ac:dyDescent="0.25">
      <c r="A93" s="119" t="s">
        <v>80</v>
      </c>
      <c r="B93" s="119"/>
      <c r="C93" s="119"/>
      <c r="D93" s="119"/>
      <c r="E93" s="119"/>
      <c r="F93" s="119"/>
      <c r="G93" s="119"/>
      <c r="H93" s="119"/>
    </row>
    <row r="94" spans="1:8" s="30" customFormat="1" ht="15.75" hidden="1" customHeight="1" x14ac:dyDescent="0.25">
      <c r="A94" s="64" t="s">
        <v>56</v>
      </c>
      <c r="B94" s="64"/>
      <c r="C94" s="108" t="s">
        <v>83</v>
      </c>
      <c r="D94" s="108"/>
      <c r="E94" s="165" t="s">
        <v>57</v>
      </c>
      <c r="F94" s="165"/>
      <c r="G94" s="64" t="s">
        <v>58</v>
      </c>
      <c r="H94" s="64"/>
    </row>
    <row r="95" spans="1:8" s="30" customFormat="1" hidden="1" x14ac:dyDescent="0.25">
      <c r="A95" s="105"/>
      <c r="B95" s="105"/>
      <c r="C95" s="106"/>
      <c r="D95" s="106"/>
      <c r="E95" s="107"/>
      <c r="F95" s="107"/>
      <c r="G95" s="76"/>
      <c r="H95" s="76"/>
    </row>
    <row r="96" spans="1:8" s="30" customFormat="1" hidden="1" x14ac:dyDescent="0.25">
      <c r="A96" s="105"/>
      <c r="B96" s="105"/>
      <c r="C96" s="106"/>
      <c r="D96" s="106"/>
      <c r="E96" s="107"/>
      <c r="F96" s="107"/>
      <c r="G96" s="76"/>
      <c r="H96" s="76"/>
    </row>
    <row r="97" spans="1:14" s="30" customFormat="1" hidden="1" x14ac:dyDescent="0.25">
      <c r="A97" s="119" t="s">
        <v>160</v>
      </c>
      <c r="B97" s="119"/>
      <c r="C97" s="108"/>
      <c r="D97" s="108"/>
      <c r="E97" s="165"/>
      <c r="F97" s="165"/>
      <c r="G97" s="64"/>
      <c r="H97" s="64"/>
    </row>
    <row r="98" spans="1:14" s="30" customFormat="1" x14ac:dyDescent="0.25">
      <c r="A98" s="119" t="s">
        <v>74</v>
      </c>
      <c r="B98" s="119"/>
      <c r="C98" s="119"/>
      <c r="D98" s="119"/>
      <c r="E98" s="119"/>
      <c r="F98" s="119"/>
      <c r="G98" s="119"/>
      <c r="H98" s="119"/>
    </row>
    <row r="99" spans="1:14" s="30" customFormat="1" ht="15.75" customHeight="1" x14ac:dyDescent="0.25">
      <c r="A99" s="64" t="s">
        <v>56</v>
      </c>
      <c r="B99" s="64"/>
      <c r="C99" s="108" t="s">
        <v>83</v>
      </c>
      <c r="D99" s="108"/>
      <c r="E99" s="165" t="s">
        <v>57</v>
      </c>
      <c r="F99" s="165"/>
      <c r="G99" s="64" t="s">
        <v>58</v>
      </c>
      <c r="H99" s="64"/>
    </row>
    <row r="100" spans="1:14" s="30" customFormat="1" x14ac:dyDescent="0.25">
      <c r="A100" s="105" t="s">
        <v>199</v>
      </c>
      <c r="B100" s="105"/>
      <c r="C100" s="156">
        <f>COUNT(D117:D121)+COUNT(D123:D127)*6+COUNT(D129:D133)+COUNT(D135:D138,D141:D145,D147:D148,D150:D151)</f>
        <v>53</v>
      </c>
      <c r="D100" s="156"/>
      <c r="E100" s="157">
        <f>SUM(D117:D121)+SUM(D123:D127)*6+SUM(D129:D133)+SUM(D135:D138,D141:D145,D147:D148,D150:D151)</f>
        <v>28313.948519999998</v>
      </c>
      <c r="F100" s="157"/>
      <c r="G100" s="157">
        <f>SUM(F117:F121)+SUM(F123:F127)*6+SUM(F129:F133)+SUM(F135:F138,F141:F145,F147:F148,F150:F151)</f>
        <v>43886.620205999992</v>
      </c>
      <c r="H100" s="157"/>
    </row>
    <row r="101" spans="1:14" s="30" customFormat="1" hidden="1" x14ac:dyDescent="0.25">
      <c r="A101" s="105"/>
      <c r="B101" s="105"/>
      <c r="C101" s="106"/>
      <c r="D101" s="106"/>
      <c r="E101" s="107"/>
      <c r="F101" s="107"/>
      <c r="G101" s="76"/>
      <c r="H101" s="76"/>
    </row>
    <row r="102" spans="1:14" s="30" customFormat="1" hidden="1" x14ac:dyDescent="0.25">
      <c r="A102" s="119" t="s">
        <v>160</v>
      </c>
      <c r="B102" s="119"/>
      <c r="C102" s="108"/>
      <c r="D102" s="108"/>
      <c r="E102" s="165"/>
      <c r="F102" s="165"/>
      <c r="G102" s="64"/>
      <c r="H102" s="64"/>
    </row>
    <row r="103" spans="1:14" s="29" customFormat="1" x14ac:dyDescent="0.25">
      <c r="A103" s="80" t="s">
        <v>59</v>
      </c>
      <c r="B103" s="80"/>
      <c r="C103" s="80"/>
      <c r="D103" s="80"/>
      <c r="E103" s="80"/>
      <c r="F103" s="80"/>
      <c r="G103" s="80"/>
      <c r="H103" s="80"/>
    </row>
    <row r="104" spans="1:14" x14ac:dyDescent="0.25">
      <c r="A104" s="80" t="s">
        <v>60</v>
      </c>
      <c r="B104" s="80"/>
      <c r="C104" s="80"/>
      <c r="D104" s="80"/>
      <c r="E104" s="80"/>
      <c r="F104" s="80"/>
      <c r="G104" s="80"/>
      <c r="H104" s="80"/>
      <c r="I104" s="53"/>
    </row>
    <row r="105" spans="1:14" ht="47.25" hidden="1" customHeight="1" x14ac:dyDescent="0.25">
      <c r="A105" s="81" t="s">
        <v>127</v>
      </c>
      <c r="B105" s="81" t="s">
        <v>126</v>
      </c>
      <c r="C105" s="81" t="s">
        <v>61</v>
      </c>
      <c r="D105" s="81" t="s">
        <v>62</v>
      </c>
      <c r="E105" s="158" t="s">
        <v>166</v>
      </c>
      <c r="F105" s="38" t="s">
        <v>159</v>
      </c>
      <c r="G105" s="160" t="s">
        <v>64</v>
      </c>
      <c r="H105" s="161"/>
    </row>
    <row r="106" spans="1:14" s="32" customFormat="1" hidden="1" x14ac:dyDescent="0.25">
      <c r="A106" s="82"/>
      <c r="B106" s="82"/>
      <c r="C106" s="82"/>
      <c r="D106" s="82"/>
      <c r="E106" s="159"/>
      <c r="F106" s="13">
        <v>0.6</v>
      </c>
      <c r="G106" s="162"/>
      <c r="H106" s="163"/>
    </row>
    <row r="107" spans="1:14" s="32" customFormat="1" hidden="1" x14ac:dyDescent="0.25">
      <c r="A107" s="83" t="s">
        <v>125</v>
      </c>
      <c r="B107" s="84"/>
      <c r="C107" s="84"/>
      <c r="D107" s="84"/>
      <c r="E107" s="84"/>
      <c r="F107" s="84"/>
      <c r="G107" s="84"/>
      <c r="H107" s="85"/>
      <c r="J107" s="31"/>
    </row>
    <row r="108" spans="1:14" s="32" customFormat="1" hidden="1" x14ac:dyDescent="0.25">
      <c r="A108" s="86">
        <v>1</v>
      </c>
      <c r="B108" s="87"/>
      <c r="C108" s="37"/>
      <c r="D108" s="37"/>
      <c r="E108" s="37">
        <v>0</v>
      </c>
      <c r="F108" s="37">
        <f>(D108+E108)*(($F$106)+1)</f>
        <v>0</v>
      </c>
      <c r="G108" s="86" t="str">
        <f>A107</f>
        <v>Ground Floor</v>
      </c>
      <c r="H108" s="87"/>
      <c r="I108" s="31"/>
      <c r="L108" s="155"/>
      <c r="M108" s="155"/>
      <c r="N108" s="31"/>
    </row>
    <row r="109" spans="1:14" s="32" customFormat="1" hidden="1" x14ac:dyDescent="0.25">
      <c r="A109" s="86">
        <f>A108+1</f>
        <v>2</v>
      </c>
      <c r="B109" s="87"/>
      <c r="C109" s="37"/>
      <c r="D109" s="37"/>
      <c r="E109" s="37">
        <v>0</v>
      </c>
      <c r="F109" s="37">
        <f>(D109+E109)*(($F$106)+1)</f>
        <v>0</v>
      </c>
      <c r="G109" s="86" t="str">
        <f>G108</f>
        <v>Ground Floor</v>
      </c>
      <c r="H109" s="87"/>
      <c r="I109" s="31"/>
      <c r="L109" s="155"/>
      <c r="M109" s="155"/>
      <c r="N109" s="31"/>
    </row>
    <row r="110" spans="1:14" s="32" customFormat="1" hidden="1" x14ac:dyDescent="0.25">
      <c r="A110" s="86">
        <f>A109+1</f>
        <v>3</v>
      </c>
      <c r="B110" s="87"/>
      <c r="C110" s="37"/>
      <c r="D110" s="37"/>
      <c r="E110" s="37">
        <v>0</v>
      </c>
      <c r="F110" s="37">
        <f>(D110+E110)*(($F$106)+1)</f>
        <v>0</v>
      </c>
      <c r="G110" s="86" t="str">
        <f>G109</f>
        <v>Ground Floor</v>
      </c>
      <c r="H110" s="87"/>
      <c r="I110" s="31"/>
      <c r="L110" s="155"/>
      <c r="M110" s="155"/>
      <c r="N110" s="31"/>
    </row>
    <row r="111" spans="1:14" s="32" customFormat="1" hidden="1" x14ac:dyDescent="0.25">
      <c r="A111" s="86">
        <f>A110+1</f>
        <v>4</v>
      </c>
      <c r="B111" s="87"/>
      <c r="C111" s="37"/>
      <c r="D111" s="37"/>
      <c r="E111" s="37">
        <v>0</v>
      </c>
      <c r="F111" s="37">
        <f>(D111+E111)*(($F$106)+1)</f>
        <v>0</v>
      </c>
      <c r="G111" s="86" t="str">
        <f>G110</f>
        <v>Ground Floor</v>
      </c>
      <c r="H111" s="87"/>
      <c r="I111" s="31"/>
      <c r="L111" s="155"/>
      <c r="M111" s="155"/>
      <c r="N111" s="31"/>
    </row>
    <row r="112" spans="1:14" s="32" customFormat="1" hidden="1" x14ac:dyDescent="0.25">
      <c r="A112" s="86"/>
      <c r="B112" s="166"/>
      <c r="C112" s="166"/>
      <c r="D112" s="166"/>
      <c r="E112" s="166"/>
      <c r="F112" s="166"/>
      <c r="G112" s="166"/>
      <c r="H112" s="87"/>
      <c r="I112" s="31"/>
      <c r="N112" s="31"/>
    </row>
    <row r="113" spans="1:14" ht="47.25" customHeight="1" x14ac:dyDescent="0.25">
      <c r="A113" s="69" t="s">
        <v>128</v>
      </c>
      <c r="B113" s="69" t="s">
        <v>129</v>
      </c>
      <c r="C113" s="65" t="s">
        <v>61</v>
      </c>
      <c r="D113" s="65" t="s">
        <v>62</v>
      </c>
      <c r="E113" s="67" t="s">
        <v>63</v>
      </c>
      <c r="F113" s="44" t="s">
        <v>159</v>
      </c>
      <c r="G113" s="69" t="s">
        <v>64</v>
      </c>
      <c r="H113" s="70"/>
      <c r="I113" s="31"/>
    </row>
    <row r="114" spans="1:14" s="32" customFormat="1" x14ac:dyDescent="0.25">
      <c r="A114" s="71"/>
      <c r="B114" s="71"/>
      <c r="C114" s="66"/>
      <c r="D114" s="66"/>
      <c r="E114" s="68"/>
      <c r="F114" s="45">
        <v>0.55000000000000004</v>
      </c>
      <c r="G114" s="71"/>
      <c r="H114" s="72"/>
      <c r="I114" s="31"/>
    </row>
    <row r="115" spans="1:14" s="32" customFormat="1" x14ac:dyDescent="0.25">
      <c r="A115" s="83" t="s">
        <v>200</v>
      </c>
      <c r="B115" s="84"/>
      <c r="C115" s="84"/>
      <c r="D115" s="84"/>
      <c r="E115" s="84"/>
      <c r="F115" s="84"/>
      <c r="G115" s="84"/>
      <c r="H115" s="85"/>
      <c r="J115" s="31"/>
    </row>
    <row r="116" spans="1:14" s="32" customFormat="1" x14ac:dyDescent="0.25">
      <c r="A116" s="83" t="s">
        <v>197</v>
      </c>
      <c r="B116" s="84"/>
      <c r="C116" s="84"/>
      <c r="D116" s="84"/>
      <c r="E116" s="84"/>
      <c r="F116" s="84"/>
      <c r="G116" s="84"/>
      <c r="H116" s="85"/>
      <c r="J116" s="31"/>
    </row>
    <row r="117" spans="1:14" s="32" customFormat="1" x14ac:dyDescent="0.25">
      <c r="A117" s="86">
        <v>1</v>
      </c>
      <c r="B117" s="87"/>
      <c r="C117" s="37" t="s">
        <v>195</v>
      </c>
      <c r="D117" s="43">
        <f>(28.68)*10.764</f>
        <v>308.71151999999995</v>
      </c>
      <c r="E117" s="37">
        <v>0</v>
      </c>
      <c r="F117" s="37">
        <f>D117*(($F$114)+1)+(IF(E117&lt;101,E117,IF(E117&lt;201,E117/2,IF(E117&lt;=301,E117/3,E117/4))))</f>
        <v>478.50285599999995</v>
      </c>
      <c r="G117" s="86" t="str">
        <f>A116</f>
        <v>1st Floor For Residential</v>
      </c>
      <c r="H117" s="87"/>
      <c r="I117" s="31">
        <f>3*4.28+1.15*1.88+1.9*2+3.1*1.2+1.2*1.8+2.2*1</f>
        <v>26.881999999999998</v>
      </c>
      <c r="J117" s="43">
        <v>10.763999999999999</v>
      </c>
      <c r="L117" s="155"/>
      <c r="M117" s="155"/>
      <c r="N117" s="31"/>
    </row>
    <row r="118" spans="1:14" s="32" customFormat="1" x14ac:dyDescent="0.25">
      <c r="A118" s="86">
        <f>A117+1</f>
        <v>2</v>
      </c>
      <c r="B118" s="87"/>
      <c r="C118" s="37" t="s">
        <v>196</v>
      </c>
      <c r="D118" s="43">
        <f>(57.85)*10.764</f>
        <v>622.69740000000002</v>
      </c>
      <c r="E118" s="37">
        <v>0</v>
      </c>
      <c r="F118" s="37">
        <f>D118*(($F$114)+1)+(IF(E118&lt;101,E118,IF(E118&lt;201,E118/2,IF(E118&lt;=301,E118/3,E118/4))))</f>
        <v>965.18097</v>
      </c>
      <c r="G118" s="86" t="str">
        <f>G117</f>
        <v>1st Floor For Residential</v>
      </c>
      <c r="H118" s="87"/>
      <c r="I118" s="31">
        <f>1.4*1.27+3*4.62+2*2.27+2.3*2.05+3*3.15+3.15*3.2+2.15*1.4+1.2*2.25+2.5*1+1*0.9+0.9*3</f>
        <v>56.233000000000004</v>
      </c>
      <c r="L118" s="155"/>
      <c r="M118" s="155"/>
      <c r="N118" s="31"/>
    </row>
    <row r="119" spans="1:14" s="32" customFormat="1" x14ac:dyDescent="0.25">
      <c r="A119" s="86">
        <f>A118+1</f>
        <v>3</v>
      </c>
      <c r="B119" s="87"/>
      <c r="C119" s="37" t="s">
        <v>196</v>
      </c>
      <c r="D119" s="43">
        <f>(60)*10.764</f>
        <v>645.83999999999992</v>
      </c>
      <c r="E119" s="37">
        <v>0</v>
      </c>
      <c r="F119" s="37">
        <f>D119*(($F$114)+1)+(IF(E119&lt;101,E119,IF(E119&lt;201,E119/2,IF(E119&lt;=301,E119/3,E119/4))))</f>
        <v>1001.0519999999999</v>
      </c>
      <c r="G119" s="86" t="str">
        <f>G118</f>
        <v>1st Floor For Residential</v>
      </c>
      <c r="H119" s="87"/>
      <c r="I119" s="31"/>
      <c r="J119" s="32" t="s">
        <v>118</v>
      </c>
      <c r="K119" s="58" t="s">
        <v>208</v>
      </c>
      <c r="L119" s="155"/>
      <c r="M119" s="155"/>
      <c r="N119" s="31"/>
    </row>
    <row r="120" spans="1:14" s="32" customFormat="1" x14ac:dyDescent="0.25">
      <c r="A120" s="86">
        <f>A119+1</f>
        <v>4</v>
      </c>
      <c r="B120" s="87"/>
      <c r="C120" s="37" t="s">
        <v>196</v>
      </c>
      <c r="D120" s="43">
        <f>(57.87)*10.764</f>
        <v>622.91267999999991</v>
      </c>
      <c r="E120" s="37">
        <v>0</v>
      </c>
      <c r="F120" s="37">
        <f>D120*(($F$114)+1)+(IF(E120&lt;101,E120,IF(E120&lt;201,E120/2,IF(E120&lt;=301,E120/3,E120/4))))</f>
        <v>965.51465399999984</v>
      </c>
      <c r="G120" s="86" t="str">
        <f>G119</f>
        <v>1st Floor For Residential</v>
      </c>
      <c r="H120" s="87"/>
      <c r="I120" s="51" t="s">
        <v>206</v>
      </c>
      <c r="J120" s="31">
        <f>11400000/F117</f>
        <v>23824.309211646589</v>
      </c>
      <c r="K120" s="56">
        <f>11500000/F117</f>
        <v>24033.294380169806</v>
      </c>
      <c r="L120" s="172">
        <f>11500000/F117</f>
        <v>24033.294380169806</v>
      </c>
      <c r="M120" s="172"/>
      <c r="N120" s="31"/>
    </row>
    <row r="121" spans="1:14" s="32" customFormat="1" x14ac:dyDescent="0.25">
      <c r="A121" s="86">
        <f>A119+1</f>
        <v>4</v>
      </c>
      <c r="B121" s="87"/>
      <c r="C121" s="37" t="s">
        <v>195</v>
      </c>
      <c r="D121" s="43">
        <f>(28.43)*10.764</f>
        <v>306.02051999999998</v>
      </c>
      <c r="E121" s="37">
        <v>0</v>
      </c>
      <c r="F121" s="37">
        <f>D121*(($F$114)+1)+(IF(E121&lt;101,E121,IF(E121&lt;201,E121/2,IF(E121&lt;=301,E121/3,E121/4))))</f>
        <v>474.33180599999997</v>
      </c>
      <c r="G121" s="86" t="str">
        <f>G119</f>
        <v>1st Floor For Residential</v>
      </c>
      <c r="H121" s="87"/>
      <c r="I121" s="52" t="s">
        <v>207</v>
      </c>
      <c r="J121" s="31">
        <f>13400000/F123</f>
        <v>21860.508460940135</v>
      </c>
      <c r="K121" s="56">
        <f>17000000/F119</f>
        <v>16982.134794196507</v>
      </c>
      <c r="L121" s="172">
        <f>17000000/F125</f>
        <v>16982.134794196507</v>
      </c>
      <c r="M121" s="172"/>
      <c r="N121" s="31"/>
    </row>
    <row r="122" spans="1:14" s="32" customFormat="1" x14ac:dyDescent="0.25">
      <c r="A122" s="83" t="s">
        <v>214</v>
      </c>
      <c r="B122" s="84"/>
      <c r="C122" s="84"/>
      <c r="D122" s="84"/>
      <c r="E122" s="84"/>
      <c r="F122" s="84"/>
      <c r="G122" s="84"/>
      <c r="H122" s="85"/>
      <c r="I122" s="52"/>
      <c r="J122" s="31">
        <f>17800000/F124</f>
        <v>18442.137333064078</v>
      </c>
      <c r="K122" s="57">
        <f>AVERAGE(K120:K121)</f>
        <v>20507.714587183156</v>
      </c>
      <c r="L122" s="173">
        <f>AVERAGE(L120:M121)</f>
        <v>20507.714587183156</v>
      </c>
      <c r="M122" s="173"/>
    </row>
    <row r="123" spans="1:14" s="32" customFormat="1" x14ac:dyDescent="0.25">
      <c r="A123" s="86">
        <v>1</v>
      </c>
      <c r="B123" s="87"/>
      <c r="C123" s="37" t="s">
        <v>195</v>
      </c>
      <c r="D123" s="43">
        <f>(36.74)*10.764</f>
        <v>395.46935999999999</v>
      </c>
      <c r="E123" s="37">
        <v>0</v>
      </c>
      <c r="F123" s="37">
        <f>D123*(($F$114)+1)+(IF(E123&lt;101,E123,IF(E123&lt;201,E123/2,IF(E123&lt;=301,E123/3,E123/4))))</f>
        <v>612.97750800000006</v>
      </c>
      <c r="G123" s="86" t="str">
        <f>A122</f>
        <v>2nd to 6th, 10th Floor</v>
      </c>
      <c r="H123" s="87"/>
      <c r="I123" s="52"/>
      <c r="J123" s="31">
        <f>20300000/F125</f>
        <v>20278.666842481711</v>
      </c>
      <c r="L123" s="155"/>
      <c r="M123" s="155"/>
      <c r="N123" s="31"/>
    </row>
    <row r="124" spans="1:14" s="32" customFormat="1" x14ac:dyDescent="0.25">
      <c r="A124" s="86">
        <f>A123+1</f>
        <v>2</v>
      </c>
      <c r="B124" s="87"/>
      <c r="C124" s="37" t="s">
        <v>196</v>
      </c>
      <c r="D124" s="43">
        <f>(57.85)*10.764</f>
        <v>622.69740000000002</v>
      </c>
      <c r="E124" s="37">
        <v>0</v>
      </c>
      <c r="F124" s="37">
        <f>D124*(($F$114)+1)+(IF(E124&lt;101,E124,IF(E124&lt;201,E124/2,IF(E124&lt;=301,E124/3,E124/4))))</f>
        <v>965.18097</v>
      </c>
      <c r="G124" s="86" t="str">
        <f>G123</f>
        <v>2nd to 6th, 10th Floor</v>
      </c>
      <c r="H124" s="87"/>
      <c r="I124" s="54">
        <f>31000/1.55</f>
        <v>20000</v>
      </c>
      <c r="J124" s="55">
        <f>AVERAGE(J120:J123)</f>
        <v>21101.40546203313</v>
      </c>
      <c r="L124" s="155"/>
      <c r="M124" s="155"/>
      <c r="N124" s="31"/>
    </row>
    <row r="125" spans="1:14" s="32" customFormat="1" x14ac:dyDescent="0.25">
      <c r="A125" s="86">
        <f>A124+1</f>
        <v>3</v>
      </c>
      <c r="B125" s="87"/>
      <c r="C125" s="37" t="s">
        <v>196</v>
      </c>
      <c r="D125" s="43">
        <f>(60)*10.764</f>
        <v>645.83999999999992</v>
      </c>
      <c r="E125" s="37">
        <v>0</v>
      </c>
      <c r="F125" s="37">
        <f>D125*(($F$114)+1)+(IF(E125&lt;101,E125,IF(E125&lt;201,E125/2,IF(E125&lt;=301,E125/3,E125/4))))</f>
        <v>1001.0519999999999</v>
      </c>
      <c r="G125" s="86" t="str">
        <f>G124</f>
        <v>2nd to 6th, 10th Floor</v>
      </c>
      <c r="H125" s="87"/>
      <c r="I125" s="31"/>
      <c r="L125" s="155"/>
      <c r="M125" s="155"/>
      <c r="N125" s="31"/>
    </row>
    <row r="126" spans="1:14" s="32" customFormat="1" x14ac:dyDescent="0.25">
      <c r="A126" s="86">
        <f>A125+1</f>
        <v>4</v>
      </c>
      <c r="B126" s="87"/>
      <c r="C126" s="37" t="s">
        <v>196</v>
      </c>
      <c r="D126" s="43">
        <f>(57.87)*10.764</f>
        <v>622.91267999999991</v>
      </c>
      <c r="E126" s="37">
        <v>0</v>
      </c>
      <c r="F126" s="37">
        <f>D126*(($F$114)+1)+(IF(E126&lt;101,E126,IF(E126&lt;201,E126/2,IF(E126&lt;=301,E126/3,E126/4))))</f>
        <v>965.51465399999984</v>
      </c>
      <c r="G126" s="86" t="str">
        <f>G125</f>
        <v>2nd to 6th, 10th Floor</v>
      </c>
      <c r="H126" s="87"/>
      <c r="I126" s="31"/>
      <c r="L126" s="155"/>
      <c r="M126" s="155"/>
      <c r="N126" s="31"/>
    </row>
    <row r="127" spans="1:14" s="32" customFormat="1" x14ac:dyDescent="0.25">
      <c r="A127" s="86">
        <f>A126+1</f>
        <v>5</v>
      </c>
      <c r="B127" s="87"/>
      <c r="C127" s="37" t="s">
        <v>195</v>
      </c>
      <c r="D127" s="43">
        <f>(36.74)*10.764</f>
        <v>395.46935999999999</v>
      </c>
      <c r="E127" s="37">
        <v>0</v>
      </c>
      <c r="F127" s="37">
        <f>D127*(($F$114)+1)+(IF(E127&lt;101,E127,IF(E127&lt;201,E127/2,IF(E127&lt;=301,E127/3,E127/4))))</f>
        <v>612.97750800000006</v>
      </c>
      <c r="G127" s="86" t="str">
        <f>G125</f>
        <v>2nd to 6th, 10th Floor</v>
      </c>
      <c r="H127" s="87"/>
      <c r="I127" s="174" t="s">
        <v>209</v>
      </c>
      <c r="J127" s="175"/>
      <c r="L127" s="155"/>
      <c r="M127" s="155"/>
      <c r="N127" s="31"/>
    </row>
    <row r="128" spans="1:14" s="32" customFormat="1" x14ac:dyDescent="0.25">
      <c r="A128" s="168" t="s">
        <v>215</v>
      </c>
      <c r="B128" s="168"/>
      <c r="C128" s="168"/>
      <c r="D128" s="168"/>
      <c r="E128" s="168"/>
      <c r="F128" s="168"/>
      <c r="G128" s="168"/>
      <c r="H128" s="168"/>
      <c r="J128" s="31"/>
    </row>
    <row r="129" spans="1:14" s="32" customFormat="1" x14ac:dyDescent="0.25">
      <c r="A129" s="167">
        <v>1</v>
      </c>
      <c r="B129" s="167"/>
      <c r="C129" s="37" t="s">
        <v>195</v>
      </c>
      <c r="D129" s="43">
        <f>(36.74)*10.764</f>
        <v>395.46935999999999</v>
      </c>
      <c r="E129" s="37">
        <v>0</v>
      </c>
      <c r="F129" s="37">
        <f>D129*(($F$114)+1)+(IF(E129&lt;101,E129,IF(E129&lt;201,E129/2,IF(E129&lt;=301,E129/3,E129/4))))</f>
        <v>612.97750800000006</v>
      </c>
      <c r="G129" s="167" t="str">
        <f>A128</f>
        <v>8th Floor</v>
      </c>
      <c r="H129" s="167"/>
      <c r="I129" s="31"/>
      <c r="L129" s="155"/>
      <c r="M129" s="155"/>
      <c r="N129" s="31"/>
    </row>
    <row r="130" spans="1:14" s="32" customFormat="1" x14ac:dyDescent="0.25">
      <c r="A130" s="167">
        <f>A129+1</f>
        <v>2</v>
      </c>
      <c r="B130" s="167"/>
      <c r="C130" s="37" t="s">
        <v>196</v>
      </c>
      <c r="D130" s="43">
        <f>(57.85)*10.764</f>
        <v>622.69740000000002</v>
      </c>
      <c r="E130" s="37">
        <v>0</v>
      </c>
      <c r="F130" s="37">
        <f>D130*(($F$114)+1)+(IF(E130&lt;101,E130,IF(E130&lt;201,E130/2,IF(E130&lt;=301,E130/3,E130/4))))</f>
        <v>965.18097</v>
      </c>
      <c r="G130" s="167" t="str">
        <f>G129</f>
        <v>8th Floor</v>
      </c>
      <c r="H130" s="167"/>
      <c r="I130" s="31"/>
      <c r="L130" s="155"/>
      <c r="M130" s="155"/>
      <c r="N130" s="31"/>
    </row>
    <row r="131" spans="1:14" s="32" customFormat="1" x14ac:dyDescent="0.25">
      <c r="A131" s="167">
        <f>A130+1</f>
        <v>3</v>
      </c>
      <c r="B131" s="167"/>
      <c r="C131" s="37" t="s">
        <v>196</v>
      </c>
      <c r="D131" s="43">
        <f>(60)*10.764</f>
        <v>645.83999999999992</v>
      </c>
      <c r="E131" s="37">
        <v>0</v>
      </c>
      <c r="F131" s="37">
        <f>D131*(($F$114)+1)+(IF(E131&lt;101,E131,IF(E131&lt;201,E131/2,IF(E131&lt;=301,E131/3,E131/4))))</f>
        <v>1001.0519999999999</v>
      </c>
      <c r="G131" s="167" t="str">
        <f>G130</f>
        <v>8th Floor</v>
      </c>
      <c r="H131" s="167"/>
      <c r="I131" s="31"/>
      <c r="L131" s="155"/>
      <c r="M131" s="155"/>
      <c r="N131" s="31"/>
    </row>
    <row r="132" spans="1:14" s="32" customFormat="1" x14ac:dyDescent="0.25">
      <c r="A132" s="167">
        <f>A131+1</f>
        <v>4</v>
      </c>
      <c r="B132" s="167"/>
      <c r="C132" s="37" t="s">
        <v>196</v>
      </c>
      <c r="D132" s="43">
        <f>(57.87)*10.764</f>
        <v>622.91267999999991</v>
      </c>
      <c r="E132" s="37">
        <v>0</v>
      </c>
      <c r="F132" s="37">
        <f>D132*(($F$114)+1)+(IF(E132&lt;101,E132,IF(E132&lt;201,E132/2,IF(E132&lt;=301,E132/3,E132/4))))</f>
        <v>965.51465399999984</v>
      </c>
      <c r="G132" s="167" t="str">
        <f>G131</f>
        <v>8th Floor</v>
      </c>
      <c r="H132" s="167"/>
      <c r="I132" s="31"/>
      <c r="L132" s="155"/>
      <c r="M132" s="155"/>
      <c r="N132" s="31"/>
    </row>
    <row r="133" spans="1:14" s="32" customFormat="1" x14ac:dyDescent="0.25">
      <c r="A133" s="167">
        <f>A132+1</f>
        <v>5</v>
      </c>
      <c r="B133" s="167"/>
      <c r="C133" s="37" t="s">
        <v>195</v>
      </c>
      <c r="D133" s="43">
        <f>(36.74)*10.764</f>
        <v>395.46935999999999</v>
      </c>
      <c r="E133" s="37">
        <v>0</v>
      </c>
      <c r="F133" s="37">
        <f>D133*(($F$114)+1)+(IF(E133&lt;101,E133,IF(E133&lt;201,E133/2,IF(E133&lt;=301,E133/3,E133/4))))</f>
        <v>612.97750800000006</v>
      </c>
      <c r="G133" s="167" t="str">
        <f>G131</f>
        <v>8th Floor</v>
      </c>
      <c r="H133" s="167"/>
      <c r="I133" s="31"/>
      <c r="L133" s="155"/>
      <c r="M133" s="155"/>
      <c r="N133" s="31"/>
    </row>
    <row r="134" spans="1:14" s="32" customFormat="1" x14ac:dyDescent="0.25">
      <c r="A134" s="168" t="s">
        <v>217</v>
      </c>
      <c r="B134" s="168"/>
      <c r="C134" s="168"/>
      <c r="D134" s="168"/>
      <c r="E134" s="168"/>
      <c r="F134" s="168"/>
      <c r="G134" s="168"/>
      <c r="H134" s="168"/>
      <c r="J134" s="31"/>
    </row>
    <row r="135" spans="1:14" s="32" customFormat="1" ht="15.75" customHeight="1" x14ac:dyDescent="0.25">
      <c r="A135" s="86">
        <v>1</v>
      </c>
      <c r="B135" s="87"/>
      <c r="C135" s="37" t="s">
        <v>195</v>
      </c>
      <c r="D135" s="43">
        <f>(36.74)*10.764</f>
        <v>395.46935999999999</v>
      </c>
      <c r="E135" s="37">
        <v>0</v>
      </c>
      <c r="F135" s="37">
        <f>D135*(($F$114)+1)+(IF(E135&lt;101,E135,IF(E135&lt;201,E135/2,IF(E135&lt;=301,E135/3,E135/4))))</f>
        <v>612.97750800000006</v>
      </c>
      <c r="G135" s="86" t="str">
        <f>A134</f>
        <v>7th Floor (Part Refuge Area)</v>
      </c>
      <c r="H135" s="87"/>
      <c r="I135" s="31"/>
      <c r="L135" s="155"/>
      <c r="M135" s="155"/>
      <c r="N135" s="31"/>
    </row>
    <row r="136" spans="1:14" s="32" customFormat="1" x14ac:dyDescent="0.25">
      <c r="A136" s="86">
        <f>A135+1</f>
        <v>2</v>
      </c>
      <c r="B136" s="87"/>
      <c r="C136" s="37" t="s">
        <v>196</v>
      </c>
      <c r="D136" s="43">
        <f>(57.85)*10.764</f>
        <v>622.69740000000002</v>
      </c>
      <c r="E136" s="37">
        <v>0</v>
      </c>
      <c r="F136" s="37">
        <f>D136*(($F$114)+1)+(IF(E136&lt;101,E136,IF(E136&lt;201,E136/2,IF(E136&lt;=301,E136/3,E136/4))))</f>
        <v>965.18097</v>
      </c>
      <c r="G136" s="86" t="str">
        <f>G135</f>
        <v>7th Floor (Part Refuge Area)</v>
      </c>
      <c r="H136" s="87"/>
      <c r="I136" s="31"/>
      <c r="L136" s="155"/>
      <c r="M136" s="155"/>
      <c r="N136" s="31"/>
    </row>
    <row r="137" spans="1:14" s="32" customFormat="1" x14ac:dyDescent="0.25">
      <c r="A137" s="86">
        <f>A136+1</f>
        <v>3</v>
      </c>
      <c r="B137" s="87"/>
      <c r="C137" s="37" t="s">
        <v>196</v>
      </c>
      <c r="D137" s="43">
        <f>(60)*10.764</f>
        <v>645.83999999999992</v>
      </c>
      <c r="E137" s="37">
        <v>0</v>
      </c>
      <c r="F137" s="37">
        <f>D137*(($F$114)+1)+(IF(E137&lt;101,E137,IF(E137&lt;201,E137/2,IF(E137&lt;=301,E137/3,E137/4))))</f>
        <v>1001.0519999999999</v>
      </c>
      <c r="G137" s="86" t="str">
        <f>G136</f>
        <v>7th Floor (Part Refuge Area)</v>
      </c>
      <c r="H137" s="87"/>
      <c r="I137" s="31"/>
      <c r="L137" s="155"/>
      <c r="M137" s="155"/>
      <c r="N137" s="31"/>
    </row>
    <row r="138" spans="1:14" s="32" customFormat="1" ht="15.75" customHeight="1" x14ac:dyDescent="0.25">
      <c r="A138" s="86">
        <f>A137+1</f>
        <v>4</v>
      </c>
      <c r="B138" s="87"/>
      <c r="C138" s="37" t="s">
        <v>196</v>
      </c>
      <c r="D138" s="43">
        <f>(50.13)*10.764</f>
        <v>539.59932000000003</v>
      </c>
      <c r="E138" s="37">
        <v>0</v>
      </c>
      <c r="F138" s="37">
        <f>D138*(($F$114)+1)+(IF(E138&lt;101,E138,IF(E138&lt;201,E138/2,IF(E138&lt;=301,E138/3,E138/4))))</f>
        <v>836.37894600000004</v>
      </c>
      <c r="G138" s="86" t="str">
        <f>G137</f>
        <v>7th Floor (Part Refuge Area)</v>
      </c>
      <c r="H138" s="87"/>
      <c r="I138" s="31"/>
      <c r="L138" s="155"/>
      <c r="M138" s="155"/>
      <c r="N138" s="31"/>
    </row>
    <row r="139" spans="1:14" s="32" customFormat="1" x14ac:dyDescent="0.25">
      <c r="A139" s="86">
        <f>A138+1</f>
        <v>5</v>
      </c>
      <c r="B139" s="87"/>
      <c r="C139" s="176" t="s">
        <v>216</v>
      </c>
      <c r="D139" s="177"/>
      <c r="E139" s="177"/>
      <c r="F139" s="178"/>
      <c r="G139" s="86" t="str">
        <f>G137</f>
        <v>7th Floor (Part Refuge Area)</v>
      </c>
      <c r="H139" s="87"/>
      <c r="I139" s="31"/>
      <c r="L139" s="155"/>
      <c r="M139" s="155"/>
      <c r="N139" s="31"/>
    </row>
    <row r="140" spans="1:14" s="32" customFormat="1" x14ac:dyDescent="0.25">
      <c r="A140" s="83" t="s">
        <v>218</v>
      </c>
      <c r="B140" s="84"/>
      <c r="C140" s="84"/>
      <c r="D140" s="84"/>
      <c r="E140" s="84"/>
      <c r="F140" s="84"/>
      <c r="G140" s="84"/>
      <c r="H140" s="85"/>
      <c r="J140" s="31"/>
    </row>
    <row r="141" spans="1:14" s="32" customFormat="1" ht="15.75" customHeight="1" x14ac:dyDescent="0.25">
      <c r="A141" s="86">
        <v>1</v>
      </c>
      <c r="B141" s="87"/>
      <c r="C141" s="37" t="s">
        <v>195</v>
      </c>
      <c r="D141" s="43">
        <f>(36.74)*10.764</f>
        <v>395.46935999999999</v>
      </c>
      <c r="E141" s="37">
        <v>0</v>
      </c>
      <c r="F141" s="37">
        <f>D141*(($F$114)+1)+(IF(E141&lt;101,E141,IF(E141&lt;201,E141/2,IF(E141&lt;=301,E141/3,E141/4))))</f>
        <v>612.97750800000006</v>
      </c>
      <c r="G141" s="86" t="str">
        <f>A140</f>
        <v>9th Floor</v>
      </c>
      <c r="H141" s="87"/>
      <c r="I141" s="31"/>
      <c r="L141" s="155"/>
      <c r="M141" s="155"/>
      <c r="N141" s="31"/>
    </row>
    <row r="142" spans="1:14" s="32" customFormat="1" x14ac:dyDescent="0.25">
      <c r="A142" s="86">
        <f>A141+1</f>
        <v>2</v>
      </c>
      <c r="B142" s="87"/>
      <c r="C142" s="37" t="s">
        <v>196</v>
      </c>
      <c r="D142" s="43">
        <f>(57.85)*10.764</f>
        <v>622.69740000000002</v>
      </c>
      <c r="E142" s="37">
        <v>0</v>
      </c>
      <c r="F142" s="37">
        <f>D142*(($F$114)+1)+(IF(E142&lt;101,E142,IF(E142&lt;201,E142/2,IF(E142&lt;=301,E142/3,E142/4))))</f>
        <v>965.18097</v>
      </c>
      <c r="G142" s="86" t="str">
        <f>G141</f>
        <v>9th Floor</v>
      </c>
      <c r="H142" s="87"/>
      <c r="I142" s="31"/>
      <c r="L142" s="155"/>
      <c r="M142" s="155"/>
      <c r="N142" s="31"/>
    </row>
    <row r="143" spans="1:14" s="32" customFormat="1" x14ac:dyDescent="0.25">
      <c r="A143" s="86">
        <f>A142+1</f>
        <v>3</v>
      </c>
      <c r="B143" s="87"/>
      <c r="C143" s="37" t="s">
        <v>196</v>
      </c>
      <c r="D143" s="43">
        <f>(60)*10.764</f>
        <v>645.83999999999992</v>
      </c>
      <c r="E143" s="37">
        <v>0</v>
      </c>
      <c r="F143" s="37">
        <f>D143*(($F$114)+1)+(IF(E143&lt;101,E143,IF(E143&lt;201,E143/2,IF(E143&lt;=301,E143/3,E143/4))))</f>
        <v>1001.0519999999999</v>
      </c>
      <c r="G143" s="86" t="str">
        <f>G142</f>
        <v>9th Floor</v>
      </c>
      <c r="H143" s="87"/>
      <c r="I143" s="31"/>
      <c r="L143" s="155"/>
      <c r="M143" s="155"/>
      <c r="N143" s="31"/>
    </row>
    <row r="144" spans="1:14" s="32" customFormat="1" ht="15.75" customHeight="1" x14ac:dyDescent="0.25">
      <c r="A144" s="86">
        <f>A143+1</f>
        <v>4</v>
      </c>
      <c r="B144" s="87"/>
      <c r="C144" s="37" t="s">
        <v>196</v>
      </c>
      <c r="D144" s="43">
        <f>(57.87)*10.764</f>
        <v>622.91267999999991</v>
      </c>
      <c r="E144" s="37">
        <v>0</v>
      </c>
      <c r="F144" s="37">
        <f>D144*(($F$114)+1)+(IF(E144&lt;101,E144,IF(E144&lt;201,E144/2,IF(E144&lt;=301,E144/3,E144/4))))</f>
        <v>965.51465399999984</v>
      </c>
      <c r="G144" s="86" t="str">
        <f>G143</f>
        <v>9th Floor</v>
      </c>
      <c r="H144" s="87"/>
      <c r="I144" s="31"/>
      <c r="L144" s="155"/>
      <c r="M144" s="155"/>
      <c r="N144" s="31"/>
    </row>
    <row r="145" spans="1:14" s="32" customFormat="1" x14ac:dyDescent="0.25">
      <c r="A145" s="86">
        <f>A144+1</f>
        <v>5</v>
      </c>
      <c r="B145" s="87"/>
      <c r="C145" s="37" t="s">
        <v>195</v>
      </c>
      <c r="D145" s="43">
        <f>(36.74)*10.764</f>
        <v>395.46935999999999</v>
      </c>
      <c r="E145" s="37">
        <v>0</v>
      </c>
      <c r="F145" s="37">
        <f>D145*(($F$114)+1)+(IF(E145&lt;101,E145,IF(E145&lt;201,E145/2,IF(E145&lt;=301,E145/3,E145/4))))</f>
        <v>612.97750800000006</v>
      </c>
      <c r="G145" s="86" t="str">
        <f>G143</f>
        <v>9th Floor</v>
      </c>
      <c r="H145" s="87"/>
      <c r="I145" s="31"/>
      <c r="L145" s="155"/>
      <c r="M145" s="155"/>
      <c r="N145" s="31"/>
    </row>
    <row r="146" spans="1:14" s="32" customFormat="1" x14ac:dyDescent="0.25">
      <c r="A146" s="83" t="s">
        <v>220</v>
      </c>
      <c r="B146" s="84"/>
      <c r="C146" s="84"/>
      <c r="D146" s="84"/>
      <c r="E146" s="84"/>
      <c r="F146" s="84"/>
      <c r="G146" s="84"/>
      <c r="H146" s="85"/>
      <c r="J146" s="31"/>
    </row>
    <row r="147" spans="1:14" s="32" customFormat="1" ht="15.75" customHeight="1" x14ac:dyDescent="0.25">
      <c r="A147" s="86">
        <v>1</v>
      </c>
      <c r="B147" s="87"/>
      <c r="C147" s="37" t="s">
        <v>195</v>
      </c>
      <c r="D147" s="43">
        <f>(36.74)*10.764</f>
        <v>395.46935999999999</v>
      </c>
      <c r="E147" s="37">
        <v>0</v>
      </c>
      <c r="F147" s="37">
        <f>D147*(($F$114)+1)+(IF(E147&lt;101,E147,IF(E147&lt;201,E147/2,IF(E147&lt;=301,E147/3,E147/4))))</f>
        <v>612.97750800000006</v>
      </c>
      <c r="G147" s="86" t="str">
        <f>A146</f>
        <v>11th Floor (Part Amenties Area)</v>
      </c>
      <c r="H147" s="87"/>
      <c r="I147" s="31"/>
      <c r="L147" s="155"/>
      <c r="M147" s="155"/>
      <c r="N147" s="31"/>
    </row>
    <row r="148" spans="1:14" s="32" customFormat="1" x14ac:dyDescent="0.25">
      <c r="A148" s="86">
        <f>A147+1</f>
        <v>2</v>
      </c>
      <c r="B148" s="87"/>
      <c r="C148" s="37" t="s">
        <v>196</v>
      </c>
      <c r="D148" s="43">
        <f>(57.85)*10.764</f>
        <v>622.69740000000002</v>
      </c>
      <c r="E148" s="37">
        <v>0</v>
      </c>
      <c r="F148" s="37">
        <f>D148*(($F$114)+1)+(IF(E148&lt;101,E148,IF(E148&lt;201,E148/2,IF(E148&lt;=301,E148/3,E148/4))))</f>
        <v>965.18097</v>
      </c>
      <c r="G148" s="86" t="str">
        <f>G147</f>
        <v>11th Floor (Part Amenties Area)</v>
      </c>
      <c r="H148" s="87"/>
      <c r="I148" s="31"/>
      <c r="L148" s="155"/>
      <c r="M148" s="155"/>
      <c r="N148" s="31"/>
    </row>
    <row r="149" spans="1:14" s="32" customFormat="1" x14ac:dyDescent="0.25">
      <c r="A149" s="86">
        <f>A148+1</f>
        <v>3</v>
      </c>
      <c r="B149" s="87"/>
      <c r="C149" s="176" t="s">
        <v>221</v>
      </c>
      <c r="D149" s="177"/>
      <c r="E149" s="177"/>
      <c r="F149" s="178"/>
      <c r="G149" s="86" t="str">
        <f>G148</f>
        <v>11th Floor (Part Amenties Area)</v>
      </c>
      <c r="H149" s="87"/>
      <c r="I149" s="31"/>
      <c r="L149" s="155"/>
      <c r="M149" s="155"/>
      <c r="N149" s="31"/>
    </row>
    <row r="150" spans="1:14" s="32" customFormat="1" ht="15.75" customHeight="1" x14ac:dyDescent="0.25">
      <c r="A150" s="86">
        <f>A149+1</f>
        <v>4</v>
      </c>
      <c r="B150" s="87"/>
      <c r="C150" s="37" t="s">
        <v>219</v>
      </c>
      <c r="D150" s="43">
        <f>(67.95)*10.764</f>
        <v>731.41380000000004</v>
      </c>
      <c r="E150" s="37">
        <v>0</v>
      </c>
      <c r="F150" s="37">
        <f>D150*(($F$114)+1)+(IF(E150&lt;101,E150,IF(E150&lt;201,E150/2,IF(E150&lt;=301,E150/3,E150/4))))</f>
        <v>1133.6913900000002</v>
      </c>
      <c r="G150" s="86" t="str">
        <f>G149</f>
        <v>11th Floor (Part Amenties Area)</v>
      </c>
      <c r="H150" s="87"/>
      <c r="I150" s="31"/>
      <c r="L150" s="155"/>
      <c r="M150" s="155"/>
      <c r="N150" s="31"/>
    </row>
    <row r="151" spans="1:14" s="32" customFormat="1" x14ac:dyDescent="0.25">
      <c r="A151" s="86">
        <f>A150+1</f>
        <v>5</v>
      </c>
      <c r="B151" s="87"/>
      <c r="C151" s="37" t="s">
        <v>195</v>
      </c>
      <c r="D151" s="43">
        <f>(36.74)*10.764</f>
        <v>395.46935999999999</v>
      </c>
      <c r="E151" s="37">
        <v>0</v>
      </c>
      <c r="F151" s="37">
        <f>D151*(($F$114)+1)+(IF(E151&lt;101,E151,IF(E151&lt;201,E151/2,IF(E151&lt;=301,E151/3,E151/4))))</f>
        <v>612.97750800000006</v>
      </c>
      <c r="G151" s="86" t="str">
        <f>G149</f>
        <v>11th Floor (Part Amenties Area)</v>
      </c>
      <c r="H151" s="87"/>
      <c r="I151" s="31"/>
      <c r="L151" s="155"/>
      <c r="M151" s="155"/>
      <c r="N151" s="31"/>
    </row>
    <row r="152" spans="1:14" s="30" customFormat="1" x14ac:dyDescent="0.25">
      <c r="A152" s="91" t="s">
        <v>72</v>
      </c>
      <c r="B152" s="91"/>
      <c r="C152" s="91"/>
      <c r="D152" s="91"/>
      <c r="E152" s="91"/>
      <c r="F152" s="91"/>
      <c r="G152" s="91"/>
      <c r="H152" s="91"/>
    </row>
    <row r="153" spans="1:14" s="30" customFormat="1" x14ac:dyDescent="0.25">
      <c r="A153" s="40" t="s">
        <v>163</v>
      </c>
      <c r="B153" s="77" t="s">
        <v>224</v>
      </c>
      <c r="C153" s="78"/>
      <c r="D153" s="78"/>
      <c r="E153" s="78"/>
      <c r="F153" s="78"/>
      <c r="G153" s="78"/>
      <c r="H153" s="79"/>
    </row>
    <row r="154" spans="1:14" s="30" customFormat="1" x14ac:dyDescent="0.25">
      <c r="A154" s="40" t="s">
        <v>163</v>
      </c>
      <c r="B154" s="77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54" s="78"/>
      <c r="D154" s="78"/>
      <c r="E154" s="78"/>
      <c r="F154" s="78"/>
      <c r="G154" s="78"/>
      <c r="H154" s="79"/>
    </row>
    <row r="155" spans="1:14" s="30" customFormat="1" x14ac:dyDescent="0.25">
      <c r="A155" s="40" t="s">
        <v>163</v>
      </c>
      <c r="B155" s="77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5" s="78"/>
      <c r="D155" s="78"/>
      <c r="E155" s="78"/>
      <c r="F155" s="78"/>
      <c r="G155" s="78"/>
      <c r="H155" s="79"/>
    </row>
    <row r="156" spans="1:14" s="30" customFormat="1" x14ac:dyDescent="0.25">
      <c r="A156" s="40" t="s">
        <v>163</v>
      </c>
      <c r="B156" s="88" t="s">
        <v>133</v>
      </c>
      <c r="C156" s="89"/>
      <c r="D156" s="89"/>
      <c r="E156" s="89"/>
      <c r="F156" s="89"/>
      <c r="G156" s="89"/>
      <c r="H156" s="90"/>
    </row>
    <row r="157" spans="1:14" s="30" customFormat="1" x14ac:dyDescent="0.25">
      <c r="A157" s="40" t="s">
        <v>163</v>
      </c>
      <c r="B157" s="88" t="s">
        <v>198</v>
      </c>
      <c r="C157" s="89"/>
      <c r="D157" s="89"/>
      <c r="E157" s="89"/>
      <c r="F157" s="89"/>
      <c r="G157" s="89"/>
      <c r="H157" s="90"/>
    </row>
    <row r="158" spans="1:14" s="30" customFormat="1" x14ac:dyDescent="0.25">
      <c r="A158" s="40" t="s">
        <v>163</v>
      </c>
      <c r="B158" s="88" t="s">
        <v>162</v>
      </c>
      <c r="C158" s="89"/>
      <c r="D158" s="89"/>
      <c r="E158" s="89"/>
      <c r="F158" s="89"/>
      <c r="G158" s="89"/>
      <c r="H158" s="90"/>
    </row>
    <row r="159" spans="1:14" s="30" customFormat="1" x14ac:dyDescent="0.25">
      <c r="A159" s="40" t="s">
        <v>163</v>
      </c>
      <c r="B159" s="88" t="s">
        <v>134</v>
      </c>
      <c r="C159" s="89"/>
      <c r="D159" s="89"/>
      <c r="E159" s="89"/>
      <c r="F159" s="89"/>
      <c r="G159" s="89"/>
      <c r="H159" s="90"/>
    </row>
    <row r="160" spans="1:14" s="30" customFormat="1" ht="34.5" customHeight="1" x14ac:dyDescent="0.25">
      <c r="A160" s="40" t="s">
        <v>163</v>
      </c>
      <c r="B160" s="88" t="s">
        <v>164</v>
      </c>
      <c r="C160" s="89"/>
      <c r="D160" s="89"/>
      <c r="E160" s="89"/>
      <c r="F160" s="89"/>
      <c r="G160" s="89"/>
      <c r="H160" s="90"/>
    </row>
    <row r="161" spans="1:8" s="30" customFormat="1" x14ac:dyDescent="0.25">
      <c r="A161" s="40" t="s">
        <v>163</v>
      </c>
      <c r="B161" s="88" t="s">
        <v>135</v>
      </c>
      <c r="C161" s="89"/>
      <c r="D161" s="89"/>
      <c r="E161" s="89"/>
      <c r="F161" s="89"/>
      <c r="G161" s="89"/>
      <c r="H161" s="90"/>
    </row>
    <row r="162" spans="1:8" s="30" customFormat="1" x14ac:dyDescent="0.25">
      <c r="A162" s="40" t="s">
        <v>163</v>
      </c>
      <c r="B162" s="88" t="s">
        <v>223</v>
      </c>
      <c r="C162" s="89"/>
      <c r="D162" s="89"/>
      <c r="E162" s="89"/>
      <c r="F162" s="89"/>
      <c r="G162" s="89"/>
      <c r="H162" s="90"/>
    </row>
    <row r="163" spans="1:8" s="30" customFormat="1" hidden="1" x14ac:dyDescent="0.25">
      <c r="A163" s="40" t="s">
        <v>163</v>
      </c>
      <c r="B163" s="88" t="s">
        <v>225</v>
      </c>
      <c r="C163" s="89"/>
      <c r="D163" s="89"/>
      <c r="E163" s="89"/>
      <c r="F163" s="89"/>
      <c r="G163" s="89"/>
      <c r="H163" s="90"/>
    </row>
    <row r="164" spans="1:8" x14ac:dyDescent="0.25">
      <c r="A164" s="104" t="s">
        <v>65</v>
      </c>
      <c r="B164" s="104"/>
      <c r="C164" s="104"/>
      <c r="D164" s="104"/>
      <c r="E164" s="104"/>
      <c r="F164" s="104"/>
      <c r="G164" s="104"/>
      <c r="H164" s="104"/>
    </row>
    <row r="165" spans="1:8" x14ac:dyDescent="0.25">
      <c r="A165" s="62" t="s">
        <v>66</v>
      </c>
      <c r="B165" s="62"/>
      <c r="C165" s="62"/>
      <c r="D165" s="62"/>
      <c r="E165" s="62"/>
      <c r="F165" s="62"/>
      <c r="G165" s="62"/>
      <c r="H165" s="62"/>
    </row>
    <row r="166" spans="1:8" ht="15.75" customHeight="1" x14ac:dyDescent="0.25">
      <c r="A166" s="63" t="s">
        <v>67</v>
      </c>
      <c r="B166" s="63"/>
      <c r="C166" s="63"/>
      <c r="D166" s="63"/>
      <c r="E166" s="63"/>
      <c r="F166" s="63"/>
      <c r="G166" s="63"/>
      <c r="H166" s="63"/>
    </row>
    <row r="167" spans="1:8" x14ac:dyDescent="0.25">
      <c r="A167" s="62" t="s">
        <v>68</v>
      </c>
      <c r="B167" s="62"/>
      <c r="C167" s="62"/>
      <c r="D167" s="62"/>
      <c r="E167" s="62"/>
      <c r="F167" s="62"/>
      <c r="G167" s="62"/>
      <c r="H167" s="62"/>
    </row>
    <row r="168" spans="1:8" x14ac:dyDescent="0.25">
      <c r="A168" s="62" t="s">
        <v>69</v>
      </c>
      <c r="B168" s="62"/>
      <c r="C168" s="62"/>
      <c r="D168" s="62"/>
      <c r="E168" s="62"/>
      <c r="F168" s="62"/>
      <c r="G168" s="62"/>
      <c r="H168" s="62"/>
    </row>
    <row r="169" spans="1:8" x14ac:dyDescent="0.25">
      <c r="A169" s="62" t="s">
        <v>136</v>
      </c>
      <c r="B169" s="62"/>
      <c r="C169" s="62"/>
      <c r="D169" s="62"/>
      <c r="E169" s="62"/>
      <c r="F169" s="62"/>
      <c r="G169" s="62"/>
      <c r="H169" s="62"/>
    </row>
    <row r="170" spans="1:8" hidden="1" x14ac:dyDescent="0.25">
      <c r="A170" s="100" t="s">
        <v>137</v>
      </c>
      <c r="B170" s="100"/>
      <c r="C170" s="100"/>
      <c r="D170" s="100"/>
      <c r="E170" s="100"/>
      <c r="F170" s="100"/>
      <c r="G170" s="100"/>
      <c r="H170" s="100"/>
    </row>
    <row r="171" spans="1:8" x14ac:dyDescent="0.25">
      <c r="A171" s="118" t="s">
        <v>82</v>
      </c>
      <c r="B171" s="118"/>
      <c r="C171" s="118" t="s">
        <v>227</v>
      </c>
      <c r="D171" s="118"/>
      <c r="E171" s="118" t="s">
        <v>112</v>
      </c>
      <c r="F171" s="118"/>
      <c r="G171" s="118" t="s">
        <v>229</v>
      </c>
      <c r="H171" s="118"/>
    </row>
    <row r="172" spans="1:8" x14ac:dyDescent="0.25">
      <c r="A172" s="117" t="s">
        <v>84</v>
      </c>
      <c r="B172" s="117"/>
      <c r="C172" s="117"/>
      <c r="D172" s="117"/>
      <c r="E172" s="117"/>
      <c r="F172" s="117"/>
      <c r="G172" s="117"/>
      <c r="H172" s="117"/>
    </row>
    <row r="173" spans="1:8" x14ac:dyDescent="0.25">
      <c r="A173" s="117"/>
      <c r="B173" s="117"/>
      <c r="C173" s="117"/>
      <c r="D173" s="117"/>
      <c r="E173" s="117"/>
      <c r="F173" s="117"/>
      <c r="G173" s="117"/>
      <c r="H173" s="117"/>
    </row>
    <row r="174" spans="1:8" x14ac:dyDescent="0.25">
      <c r="A174" s="117"/>
      <c r="B174" s="117"/>
      <c r="C174" s="117"/>
      <c r="D174" s="117"/>
      <c r="E174" s="117"/>
      <c r="F174" s="117"/>
      <c r="G174" s="117"/>
      <c r="H174" s="117"/>
    </row>
    <row r="175" spans="1:8" x14ac:dyDescent="0.25">
      <c r="A175" s="117"/>
      <c r="B175" s="117"/>
      <c r="C175" s="117"/>
      <c r="D175" s="117"/>
      <c r="E175" s="117"/>
      <c r="F175" s="117"/>
      <c r="G175" s="117"/>
      <c r="H175" s="117"/>
    </row>
    <row r="176" spans="1:8" x14ac:dyDescent="0.25">
      <c r="A176" s="33" t="s">
        <v>70</v>
      </c>
      <c r="B176" s="34"/>
      <c r="C176" s="34"/>
      <c r="D176" s="33" t="str">
        <f>E8</f>
        <v>Janki Heritage</v>
      </c>
      <c r="F176" s="34"/>
      <c r="G176" s="34"/>
      <c r="H176" s="34"/>
    </row>
    <row r="177" spans="1:8" x14ac:dyDescent="0.25">
      <c r="A177" s="34"/>
      <c r="B177" s="34"/>
      <c r="C177" s="34"/>
      <c r="D177" s="34"/>
      <c r="E177" s="34"/>
      <c r="F177" s="34"/>
      <c r="G177" s="34"/>
      <c r="H177" s="34"/>
    </row>
    <row r="178" spans="1:8" x14ac:dyDescent="0.25">
      <c r="A178" s="34"/>
      <c r="B178" s="34"/>
      <c r="C178" s="34"/>
      <c r="D178" s="34"/>
      <c r="E178" s="34"/>
      <c r="F178" s="34"/>
      <c r="G178" s="34"/>
      <c r="H178" s="34"/>
    </row>
    <row r="179" spans="1:8" ht="15" customHeight="1" x14ac:dyDescent="0.25"/>
    <row r="219" spans="1:1" x14ac:dyDescent="0.25">
      <c r="A219" s="36" t="s">
        <v>178</v>
      </c>
    </row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spans="1:1" hidden="1" x14ac:dyDescent="0.25"/>
    <row r="258" spans="1:1" hidden="1" x14ac:dyDescent="0.25"/>
    <row r="260" spans="1:1" x14ac:dyDescent="0.25">
      <c r="A260" s="36" t="s">
        <v>71</v>
      </c>
    </row>
  </sheetData>
  <mergeCells count="373">
    <mergeCell ref="B162:H162"/>
    <mergeCell ref="A150:B150"/>
    <mergeCell ref="G150:H150"/>
    <mergeCell ref="L150:M150"/>
    <mergeCell ref="A151:B151"/>
    <mergeCell ref="G151:H151"/>
    <mergeCell ref="L151:M151"/>
    <mergeCell ref="C139:F139"/>
    <mergeCell ref="C149:F149"/>
    <mergeCell ref="L145:M145"/>
    <mergeCell ref="A146:H146"/>
    <mergeCell ref="A147:B147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L141:M141"/>
    <mergeCell ref="A142:B142"/>
    <mergeCell ref="G142:H142"/>
    <mergeCell ref="L142:M142"/>
    <mergeCell ref="L143:M143"/>
    <mergeCell ref="A144:B144"/>
    <mergeCell ref="G144:H144"/>
    <mergeCell ref="L144:M144"/>
    <mergeCell ref="L139:M139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35:B135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L125:M125"/>
    <mergeCell ref="A126:B126"/>
    <mergeCell ref="G126:H126"/>
    <mergeCell ref="L126:M126"/>
    <mergeCell ref="A127:B127"/>
    <mergeCell ref="G127:H127"/>
    <mergeCell ref="L127:M127"/>
    <mergeCell ref="A128:H128"/>
    <mergeCell ref="A129:B129"/>
    <mergeCell ref="G129:H129"/>
    <mergeCell ref="L129:M129"/>
    <mergeCell ref="I127:J127"/>
    <mergeCell ref="L120:M120"/>
    <mergeCell ref="A115:H115"/>
    <mergeCell ref="A122:H122"/>
    <mergeCell ref="A123:B123"/>
    <mergeCell ref="G123:H123"/>
    <mergeCell ref="L123:M123"/>
    <mergeCell ref="A124:B124"/>
    <mergeCell ref="G124:H124"/>
    <mergeCell ref="L124:M124"/>
    <mergeCell ref="L121:M121"/>
    <mergeCell ref="L117:M117"/>
    <mergeCell ref="G118:H118"/>
    <mergeCell ref="L118:M118"/>
    <mergeCell ref="A119:B119"/>
    <mergeCell ref="G119:H119"/>
    <mergeCell ref="L119:M119"/>
    <mergeCell ref="L122:M122"/>
    <mergeCell ref="B160:H160"/>
    <mergeCell ref="A47:B47"/>
    <mergeCell ref="C47:H47"/>
    <mergeCell ref="B158:H158"/>
    <mergeCell ref="F81:H81"/>
    <mergeCell ref="A81:E81"/>
    <mergeCell ref="D105:D106"/>
    <mergeCell ref="A83:E83"/>
    <mergeCell ref="A108:B108"/>
    <mergeCell ref="A109:B109"/>
    <mergeCell ref="A110:B110"/>
    <mergeCell ref="A111:B111"/>
    <mergeCell ref="A84:E84"/>
    <mergeCell ref="A90:E90"/>
    <mergeCell ref="G102:H102"/>
    <mergeCell ref="C96:D96"/>
    <mergeCell ref="E96:F96"/>
    <mergeCell ref="G96:H96"/>
    <mergeCell ref="A97:B97"/>
    <mergeCell ref="C97:D97"/>
    <mergeCell ref="E97:F97"/>
    <mergeCell ref="G97:H97"/>
    <mergeCell ref="A139:B139"/>
    <mergeCell ref="G139:H139"/>
    <mergeCell ref="A102:B102"/>
    <mergeCell ref="E102:F102"/>
    <mergeCell ref="A85:E85"/>
    <mergeCell ref="F85:H85"/>
    <mergeCell ref="A86:E86"/>
    <mergeCell ref="A88:E88"/>
    <mergeCell ref="C102:D102"/>
    <mergeCell ref="F89:H89"/>
    <mergeCell ref="E94:F94"/>
    <mergeCell ref="A94:B94"/>
    <mergeCell ref="A96:B96"/>
    <mergeCell ref="G99:H99"/>
    <mergeCell ref="A112:H112"/>
    <mergeCell ref="A113:A114"/>
    <mergeCell ref="G117:H117"/>
    <mergeCell ref="A118:B118"/>
    <mergeCell ref="A140:H140"/>
    <mergeCell ref="A141:B141"/>
    <mergeCell ref="G141:H141"/>
    <mergeCell ref="A145:B145"/>
    <mergeCell ref="G145:H145"/>
    <mergeCell ref="G143:H143"/>
    <mergeCell ref="A121:B121"/>
    <mergeCell ref="A117:B117"/>
    <mergeCell ref="A120:B120"/>
    <mergeCell ref="G120:H120"/>
    <mergeCell ref="A125:B125"/>
    <mergeCell ref="G125:H125"/>
    <mergeCell ref="A130:B130"/>
    <mergeCell ref="G130:H130"/>
    <mergeCell ref="A134:H134"/>
    <mergeCell ref="A143:B143"/>
    <mergeCell ref="L111:M111"/>
    <mergeCell ref="L110:M110"/>
    <mergeCell ref="L109:M109"/>
    <mergeCell ref="L108:M108"/>
    <mergeCell ref="A76:B76"/>
    <mergeCell ref="C100:D100"/>
    <mergeCell ref="E100:F100"/>
    <mergeCell ref="G100:H100"/>
    <mergeCell ref="F86:H86"/>
    <mergeCell ref="A80:E80"/>
    <mergeCell ref="A107:H107"/>
    <mergeCell ref="E105:E106"/>
    <mergeCell ref="G105:H106"/>
    <mergeCell ref="F79:H79"/>
    <mergeCell ref="F84:H84"/>
    <mergeCell ref="E99:F99"/>
    <mergeCell ref="F87:H87"/>
    <mergeCell ref="C94:D94"/>
    <mergeCell ref="F90:H90"/>
    <mergeCell ref="F88:H88"/>
    <mergeCell ref="G94:H94"/>
    <mergeCell ref="A89:E89"/>
    <mergeCell ref="C95:D95"/>
    <mergeCell ref="E95:F95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A52:B52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F82:H82"/>
    <mergeCell ref="A87:E87"/>
    <mergeCell ref="A82:E82"/>
    <mergeCell ref="A79:E79"/>
    <mergeCell ref="F83:H83"/>
    <mergeCell ref="A72:B72"/>
    <mergeCell ref="A172:H175"/>
    <mergeCell ref="A171:B171"/>
    <mergeCell ref="E171:F171"/>
    <mergeCell ref="C171:D171"/>
    <mergeCell ref="G171:H171"/>
    <mergeCell ref="A93:H93"/>
    <mergeCell ref="A91:E91"/>
    <mergeCell ref="F91:H91"/>
    <mergeCell ref="A92:E92"/>
    <mergeCell ref="F92:H92"/>
    <mergeCell ref="A100:B100"/>
    <mergeCell ref="A95:B95"/>
    <mergeCell ref="A167:H167"/>
    <mergeCell ref="A98:H98"/>
    <mergeCell ref="A170:H170"/>
    <mergeCell ref="A168:H168"/>
    <mergeCell ref="D54:H54"/>
    <mergeCell ref="C50:E50"/>
    <mergeCell ref="A57:C57"/>
    <mergeCell ref="D57:H57"/>
    <mergeCell ref="A164:H164"/>
    <mergeCell ref="A165:H165"/>
    <mergeCell ref="A101:B101"/>
    <mergeCell ref="C101:D101"/>
    <mergeCell ref="E101:F101"/>
    <mergeCell ref="G101:H101"/>
    <mergeCell ref="C99:D99"/>
    <mergeCell ref="C52:E52"/>
    <mergeCell ref="A53:H53"/>
    <mergeCell ref="A54:C54"/>
    <mergeCell ref="A55:C55"/>
    <mergeCell ref="D55:H55"/>
    <mergeCell ref="G52:H52"/>
    <mergeCell ref="B161:H161"/>
    <mergeCell ref="G110:H110"/>
    <mergeCell ref="G108:H108"/>
    <mergeCell ref="G109:H109"/>
    <mergeCell ref="G111:H111"/>
    <mergeCell ref="B159:H159"/>
    <mergeCell ref="B155:H155"/>
    <mergeCell ref="A16:B16"/>
    <mergeCell ref="C16:H16"/>
    <mergeCell ref="E41:H41"/>
    <mergeCell ref="A41:D41"/>
    <mergeCell ref="A48:B48"/>
    <mergeCell ref="C48:E48"/>
    <mergeCell ref="C51:E51"/>
    <mergeCell ref="G51:H51"/>
    <mergeCell ref="G48:H48"/>
    <mergeCell ref="G50:H50"/>
    <mergeCell ref="C49:E49"/>
    <mergeCell ref="A49:B49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69:H169"/>
    <mergeCell ref="A166:H166"/>
    <mergeCell ref="A99:B99"/>
    <mergeCell ref="D113:D114"/>
    <mergeCell ref="E113:E114"/>
    <mergeCell ref="G113:H114"/>
    <mergeCell ref="A74:B74"/>
    <mergeCell ref="F80:H80"/>
    <mergeCell ref="G95:H95"/>
    <mergeCell ref="B154:H154"/>
    <mergeCell ref="A104:H104"/>
    <mergeCell ref="B105:B106"/>
    <mergeCell ref="A105:A106"/>
    <mergeCell ref="C113:C114"/>
    <mergeCell ref="A116:H116"/>
    <mergeCell ref="G121:H121"/>
    <mergeCell ref="B163:H163"/>
    <mergeCell ref="A103:H103"/>
    <mergeCell ref="B153:H153"/>
    <mergeCell ref="B156:H156"/>
    <mergeCell ref="B157:H157"/>
    <mergeCell ref="A152:H152"/>
    <mergeCell ref="C105:C106"/>
    <mergeCell ref="B113:B114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75" max="16383" man="1"/>
    <brk id="218" max="16383" man="1"/>
    <brk id="25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G33" sqref="G3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9" t="s">
        <v>113</v>
      </c>
      <c r="C3" s="179"/>
      <c r="D3" s="179"/>
      <c r="E3" s="179"/>
      <c r="F3" s="179"/>
      <c r="G3" s="179"/>
      <c r="H3" s="179"/>
    </row>
    <row r="4" spans="1:9" x14ac:dyDescent="0.25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25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2025-07-09T11:53:51Z</cp:lastPrinted>
  <dcterms:created xsi:type="dcterms:W3CDTF">2019-07-16T09:29:46Z</dcterms:created>
  <dcterms:modified xsi:type="dcterms:W3CDTF">2025-07-09T11:53:52Z</dcterms:modified>
</cp:coreProperties>
</file>