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New folder\"/>
    </mc:Choice>
  </mc:AlternateContent>
  <bookViews>
    <workbookView xWindow="0" yWindow="0" windowWidth="20490" windowHeight="7755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D199" i="1"/>
  <c r="D198" i="1"/>
  <c r="G193" i="1"/>
  <c r="G250" i="1"/>
  <c r="D190" i="1"/>
  <c r="G184" i="1"/>
  <c r="G185" i="1" s="1"/>
  <c r="G186" i="1" s="1"/>
  <c r="G187" i="1" s="1"/>
  <c r="G188" i="1" s="1"/>
  <c r="G189" i="1" s="1"/>
  <c r="G190" i="1" s="1"/>
  <c r="D245" i="1"/>
  <c r="D247" i="1"/>
  <c r="D246" i="1"/>
  <c r="D244" i="1"/>
  <c r="D243" i="1"/>
  <c r="G242" i="1"/>
  <c r="D242" i="1"/>
  <c r="D178" i="1"/>
  <c r="F178" i="1" s="1"/>
  <c r="K178" i="1" s="1"/>
  <c r="D182" i="1"/>
  <c r="K182" i="1" s="1"/>
  <c r="D181" i="1"/>
  <c r="K181" i="1" s="1"/>
  <c r="D180" i="1"/>
  <c r="K180" i="1" s="1"/>
  <c r="D179" i="1"/>
  <c r="K179" i="1" s="1"/>
  <c r="G176" i="1"/>
  <c r="G177" i="1" s="1"/>
  <c r="G178" i="1" s="1"/>
  <c r="G179" i="1" s="1"/>
  <c r="G180" i="1" s="1"/>
  <c r="G181" i="1" s="1"/>
  <c r="G182" i="1" s="1"/>
  <c r="D176" i="1"/>
  <c r="K176" i="1" s="1"/>
  <c r="P242" i="1"/>
  <c r="O193" i="1"/>
  <c r="P250" i="1"/>
  <c r="P184" i="1"/>
  <c r="O242" i="1"/>
  <c r="P193" i="1"/>
  <c r="P176" i="1"/>
  <c r="O250" i="1"/>
  <c r="O176" i="1"/>
  <c r="O184" i="1"/>
  <c r="G96" i="1" l="1"/>
  <c r="G98" i="1" s="1"/>
  <c r="N193" i="1"/>
  <c r="O194" i="1"/>
  <c r="P194" i="1"/>
  <c r="P195" i="1" s="1"/>
  <c r="P196" i="1" s="1"/>
  <c r="P197" i="1" s="1"/>
  <c r="P198" i="1" s="1"/>
  <c r="P199" i="1" s="1"/>
  <c r="P251" i="1"/>
  <c r="P252" i="1" s="1"/>
  <c r="P253" i="1" s="1"/>
  <c r="P254" i="1" s="1"/>
  <c r="P255" i="1" s="1"/>
  <c r="P256" i="1" s="1"/>
  <c r="O251" i="1"/>
  <c r="N250" i="1"/>
  <c r="P185" i="1"/>
  <c r="P186" i="1" s="1"/>
  <c r="P187" i="1" s="1"/>
  <c r="P188" i="1" s="1"/>
  <c r="P189" i="1" s="1"/>
  <c r="P190" i="1" s="1"/>
  <c r="O185" i="1"/>
  <c r="N184" i="1"/>
  <c r="P243" i="1"/>
  <c r="P244" i="1" s="1"/>
  <c r="P245" i="1" s="1"/>
  <c r="P246" i="1" s="1"/>
  <c r="P247" i="1" s="1"/>
  <c r="P248" i="1" s="1"/>
  <c r="N242" i="1"/>
  <c r="O243" i="1"/>
  <c r="P177" i="1"/>
  <c r="P178" i="1" s="1"/>
  <c r="P179" i="1" s="1"/>
  <c r="P180" i="1" s="1"/>
  <c r="P181" i="1" s="1"/>
  <c r="P182" i="1" s="1"/>
  <c r="O177" i="1"/>
  <c r="N176" i="1"/>
  <c r="D220" i="1"/>
  <c r="D218" i="1"/>
  <c r="D210" i="1"/>
  <c r="D209" i="1"/>
  <c r="D201" i="1"/>
  <c r="D207" i="1"/>
  <c r="D206" i="1"/>
  <c r="G201" i="1"/>
  <c r="G202" i="1" s="1"/>
  <c r="G203" i="1" s="1"/>
  <c r="G204" i="1" s="1"/>
  <c r="G205" i="1" s="1"/>
  <c r="G206" i="1" s="1"/>
  <c r="G207" i="1" s="1"/>
  <c r="J128" i="1"/>
  <c r="P201" i="1"/>
  <c r="O201" i="1"/>
  <c r="N194" i="1" l="1"/>
  <c r="O195" i="1"/>
  <c r="N251" i="1"/>
  <c r="O252" i="1"/>
  <c r="O186" i="1"/>
  <c r="N185" i="1"/>
  <c r="O244" i="1"/>
  <c r="N243" i="1"/>
  <c r="N177" i="1"/>
  <c r="O178" i="1"/>
  <c r="P202" i="1"/>
  <c r="P203" i="1" s="1"/>
  <c r="P204" i="1" s="1"/>
  <c r="P205" i="1" s="1"/>
  <c r="P206" i="1" s="1"/>
  <c r="P207" i="1" s="1"/>
  <c r="O202" i="1"/>
  <c r="N201" i="1"/>
  <c r="I129" i="1"/>
  <c r="I128" i="1"/>
  <c r="N195" i="1" l="1"/>
  <c r="O196" i="1"/>
  <c r="O253" i="1"/>
  <c r="N252" i="1"/>
  <c r="N186" i="1"/>
  <c r="O187" i="1"/>
  <c r="N244" i="1"/>
  <c r="O245" i="1"/>
  <c r="O179" i="1"/>
  <c r="N178" i="1"/>
  <c r="O203" i="1"/>
  <c r="N202" i="1"/>
  <c r="D237" i="1"/>
  <c r="D236" i="1"/>
  <c r="D235" i="1"/>
  <c r="D234" i="1"/>
  <c r="D233" i="1"/>
  <c r="D225" i="1"/>
  <c r="D229" i="1"/>
  <c r="D228" i="1"/>
  <c r="D227" i="1"/>
  <c r="D226" i="1"/>
  <c r="D223" i="1"/>
  <c r="D222" i="1"/>
  <c r="D221" i="1"/>
  <c r="D219" i="1"/>
  <c r="D217" i="1"/>
  <c r="D215" i="1"/>
  <c r="D214" i="1"/>
  <c r="D213" i="1"/>
  <c r="D212" i="1"/>
  <c r="D211" i="1"/>
  <c r="G233" i="1"/>
  <c r="G234" i="1" s="1"/>
  <c r="G235" i="1" s="1"/>
  <c r="G236" i="1" s="1"/>
  <c r="G237" i="1" s="1"/>
  <c r="G238" i="1" s="1"/>
  <c r="G239" i="1" s="1"/>
  <c r="G225" i="1"/>
  <c r="G226" i="1" s="1"/>
  <c r="G227" i="1" s="1"/>
  <c r="G228" i="1" s="1"/>
  <c r="G229" i="1" s="1"/>
  <c r="G230" i="1" s="1"/>
  <c r="G231" i="1" s="1"/>
  <c r="G217" i="1"/>
  <c r="G209" i="1"/>
  <c r="G210" i="1" s="1"/>
  <c r="G211" i="1" s="1"/>
  <c r="G212" i="1" s="1"/>
  <c r="G213" i="1" s="1"/>
  <c r="G214" i="1" s="1"/>
  <c r="G215" i="1" s="1"/>
  <c r="D173" i="1"/>
  <c r="D172" i="1"/>
  <c r="D171" i="1"/>
  <c r="D170" i="1"/>
  <c r="D167" i="1"/>
  <c r="G167" i="1"/>
  <c r="G168" i="1" s="1"/>
  <c r="G169" i="1" s="1"/>
  <c r="G170" i="1" s="1"/>
  <c r="G171" i="1" s="1"/>
  <c r="G172" i="1" s="1"/>
  <c r="G173" i="1" s="1"/>
  <c r="D165" i="1"/>
  <c r="D164" i="1"/>
  <c r="D163" i="1"/>
  <c r="D162" i="1"/>
  <c r="D159" i="1"/>
  <c r="D157" i="1"/>
  <c r="D156" i="1"/>
  <c r="J156" i="1" s="1"/>
  <c r="D155" i="1"/>
  <c r="D154" i="1"/>
  <c r="D153" i="1"/>
  <c r="D152" i="1"/>
  <c r="D151" i="1"/>
  <c r="G151" i="1"/>
  <c r="G152" i="1" s="1"/>
  <c r="G153" i="1" s="1"/>
  <c r="G154" i="1" s="1"/>
  <c r="G155" i="1" s="1"/>
  <c r="G156" i="1" s="1"/>
  <c r="G157" i="1" s="1"/>
  <c r="D149" i="1"/>
  <c r="D148" i="1"/>
  <c r="D147" i="1"/>
  <c r="D146" i="1"/>
  <c r="D145" i="1"/>
  <c r="D144" i="1"/>
  <c r="D143" i="1"/>
  <c r="D141" i="1"/>
  <c r="D140" i="1"/>
  <c r="D139" i="1"/>
  <c r="D138" i="1"/>
  <c r="D137" i="1"/>
  <c r="D136" i="1"/>
  <c r="D135" i="1"/>
  <c r="A136" i="1"/>
  <c r="A137" i="1" s="1"/>
  <c r="A138" i="1" s="1"/>
  <c r="A139" i="1" s="1"/>
  <c r="A140" i="1" s="1"/>
  <c r="A141" i="1" s="1"/>
  <c r="G135" i="1"/>
  <c r="D133" i="1"/>
  <c r="K133" i="1" s="1"/>
  <c r="D132" i="1"/>
  <c r="K132" i="1" s="1"/>
  <c r="D131" i="1"/>
  <c r="K131" i="1" s="1"/>
  <c r="D130" i="1"/>
  <c r="K130" i="1" s="1"/>
  <c r="D129" i="1"/>
  <c r="K129" i="1" s="1"/>
  <c r="D128" i="1"/>
  <c r="D123" i="1"/>
  <c r="F123" i="1" s="1"/>
  <c r="D122" i="1"/>
  <c r="F122" i="1" s="1"/>
  <c r="D121" i="1"/>
  <c r="F121" i="1" s="1"/>
  <c r="D120" i="1"/>
  <c r="F120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D112" i="1"/>
  <c r="D111" i="1"/>
  <c r="D110" i="1"/>
  <c r="D109" i="1"/>
  <c r="D108" i="1"/>
  <c r="D107" i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P225" i="1"/>
  <c r="O225" i="1"/>
  <c r="O151" i="1"/>
  <c r="O217" i="1"/>
  <c r="P217" i="1"/>
  <c r="P233" i="1"/>
  <c r="O167" i="1"/>
  <c r="P167" i="1"/>
  <c r="P209" i="1"/>
  <c r="O233" i="1"/>
  <c r="P151" i="1"/>
  <c r="O209" i="1"/>
  <c r="E93" i="1" l="1"/>
  <c r="E96" i="1"/>
  <c r="C96" i="1"/>
  <c r="E97" i="1"/>
  <c r="C97" i="1"/>
  <c r="N196" i="1"/>
  <c r="O197" i="1"/>
  <c r="N253" i="1"/>
  <c r="O254" i="1"/>
  <c r="O188" i="1"/>
  <c r="N187" i="1"/>
  <c r="O246" i="1"/>
  <c r="N245" i="1"/>
  <c r="N179" i="1"/>
  <c r="O180" i="1"/>
  <c r="N203" i="1"/>
  <c r="O204" i="1"/>
  <c r="C93" i="1"/>
  <c r="N225" i="1"/>
  <c r="O226" i="1"/>
  <c r="P210" i="1"/>
  <c r="P211" i="1" s="1"/>
  <c r="P212" i="1" s="1"/>
  <c r="P213" i="1" s="1"/>
  <c r="P214" i="1" s="1"/>
  <c r="P215" i="1" s="1"/>
  <c r="P226" i="1"/>
  <c r="P227" i="1" s="1"/>
  <c r="P228" i="1" s="1"/>
  <c r="P229" i="1" s="1"/>
  <c r="P230" i="1" s="1"/>
  <c r="P231" i="1" s="1"/>
  <c r="O218" i="1"/>
  <c r="N217" i="1"/>
  <c r="O234" i="1"/>
  <c r="N233" i="1"/>
  <c r="N209" i="1"/>
  <c r="O210" i="1"/>
  <c r="P218" i="1"/>
  <c r="P219" i="1" s="1"/>
  <c r="P220" i="1" s="1"/>
  <c r="P221" i="1" s="1"/>
  <c r="P222" i="1" s="1"/>
  <c r="P223" i="1" s="1"/>
  <c r="P234" i="1"/>
  <c r="P235" i="1" s="1"/>
  <c r="P236" i="1" s="1"/>
  <c r="P237" i="1" s="1"/>
  <c r="P238" i="1" s="1"/>
  <c r="P239" i="1" s="1"/>
  <c r="O168" i="1"/>
  <c r="N167" i="1"/>
  <c r="P168" i="1"/>
  <c r="P169" i="1" s="1"/>
  <c r="P170" i="1" s="1"/>
  <c r="P171" i="1" s="1"/>
  <c r="P172" i="1" s="1"/>
  <c r="P173" i="1" s="1"/>
  <c r="N151" i="1"/>
  <c r="O152" i="1"/>
  <c r="P152" i="1"/>
  <c r="P153" i="1" s="1"/>
  <c r="P154" i="1" s="1"/>
  <c r="P155" i="1" s="1"/>
  <c r="P156" i="1" s="1"/>
  <c r="P157" i="1" s="1"/>
  <c r="D57" i="1"/>
  <c r="C98" i="1" l="1"/>
  <c r="E98" i="1"/>
  <c r="C99" i="1"/>
  <c r="E99" i="1"/>
  <c r="N197" i="1"/>
  <c r="O198" i="1"/>
  <c r="O255" i="1"/>
  <c r="N254" i="1"/>
  <c r="N188" i="1"/>
  <c r="O189" i="1"/>
  <c r="N246" i="1"/>
  <c r="O247" i="1"/>
  <c r="N180" i="1"/>
  <c r="O181" i="1"/>
  <c r="N204" i="1"/>
  <c r="O205" i="1"/>
  <c r="N226" i="1"/>
  <c r="O227" i="1"/>
  <c r="N218" i="1"/>
  <c r="O219" i="1"/>
  <c r="O211" i="1"/>
  <c r="N210" i="1"/>
  <c r="O235" i="1"/>
  <c r="N234" i="1"/>
  <c r="O169" i="1"/>
  <c r="N168" i="1"/>
  <c r="N152" i="1"/>
  <c r="O153" i="1"/>
  <c r="C60" i="1"/>
  <c r="J71" i="1"/>
  <c r="J70" i="1"/>
  <c r="H61" i="1"/>
  <c r="N198" i="1" l="1"/>
  <c r="O199" i="1"/>
  <c r="N199" i="1" s="1"/>
  <c r="N255" i="1"/>
  <c r="O256" i="1"/>
  <c r="N256" i="1" s="1"/>
  <c r="N189" i="1"/>
  <c r="O190" i="1"/>
  <c r="N190" i="1" s="1"/>
  <c r="O248" i="1"/>
  <c r="N248" i="1" s="1"/>
  <c r="N247" i="1"/>
  <c r="O182" i="1"/>
  <c r="N182" i="1" s="1"/>
  <c r="N181" i="1"/>
  <c r="N205" i="1"/>
  <c r="O206" i="1"/>
  <c r="N235" i="1"/>
  <c r="O236" i="1"/>
  <c r="N227" i="1"/>
  <c r="O228" i="1"/>
  <c r="N211" i="1"/>
  <c r="O212" i="1"/>
  <c r="O220" i="1"/>
  <c r="N219" i="1"/>
  <c r="N169" i="1"/>
  <c r="O170" i="1"/>
  <c r="N153" i="1"/>
  <c r="O154" i="1"/>
  <c r="D66" i="1"/>
  <c r="D72" i="1"/>
  <c r="J64" i="1"/>
  <c r="D73" i="1"/>
  <c r="D69" i="1"/>
  <c r="J65" i="1"/>
  <c r="C64" i="1" s="1"/>
  <c r="D64" i="1" s="1"/>
  <c r="J63" i="1"/>
  <c r="D68" i="1"/>
  <c r="D71" i="1"/>
  <c r="D67" i="1"/>
  <c r="J66" i="1"/>
  <c r="J67" i="1" s="1"/>
  <c r="J72" i="1" s="1"/>
  <c r="D70" i="1"/>
  <c r="G47" i="1"/>
  <c r="O143" i="1"/>
  <c r="O159" i="1"/>
  <c r="O207" i="1" l="1"/>
  <c r="N207" i="1" s="1"/>
  <c r="N206" i="1"/>
  <c r="N220" i="1"/>
  <c r="O221" i="1"/>
  <c r="N212" i="1"/>
  <c r="O213" i="1"/>
  <c r="N236" i="1"/>
  <c r="O237" i="1"/>
  <c r="N228" i="1"/>
  <c r="O229" i="1"/>
  <c r="N170" i="1"/>
  <c r="O171" i="1"/>
  <c r="N154" i="1"/>
  <c r="O155" i="1"/>
  <c r="J68" i="1"/>
  <c r="J69" i="1" s="1"/>
  <c r="A259" i="1"/>
  <c r="A260" i="1" s="1"/>
  <c r="A261" i="1" s="1"/>
  <c r="A264" i="1" l="1"/>
  <c r="A265" i="1" s="1"/>
  <c r="A262" i="1"/>
  <c r="N237" i="1"/>
  <c r="O238" i="1"/>
  <c r="O222" i="1"/>
  <c r="N221" i="1"/>
  <c r="N229" i="1"/>
  <c r="O230" i="1"/>
  <c r="N213" i="1"/>
  <c r="O214" i="1"/>
  <c r="N171" i="1"/>
  <c r="O172" i="1"/>
  <c r="N155" i="1"/>
  <c r="O156" i="1"/>
  <c r="J73" i="1"/>
  <c r="A129" i="1"/>
  <c r="A130" i="1" s="1"/>
  <c r="A131" i="1" s="1"/>
  <c r="A132" i="1" s="1"/>
  <c r="A133" i="1" s="1"/>
  <c r="P143" i="1"/>
  <c r="P159" i="1"/>
  <c r="O215" i="1" l="1"/>
  <c r="N215" i="1" s="1"/>
  <c r="N214" i="1"/>
  <c r="N222" i="1"/>
  <c r="O223" i="1"/>
  <c r="N223" i="1" s="1"/>
  <c r="N230" i="1"/>
  <c r="O231" i="1"/>
  <c r="N231" i="1" s="1"/>
  <c r="N238" i="1"/>
  <c r="O239" i="1"/>
  <c r="N239" i="1" s="1"/>
  <c r="N172" i="1"/>
  <c r="O173" i="1"/>
  <c r="N173" i="1" s="1"/>
  <c r="N156" i="1"/>
  <c r="O157" i="1"/>
  <c r="N157" i="1" s="1"/>
  <c r="E64" i="1"/>
  <c r="I60" i="1" s="1"/>
  <c r="C62" i="1" s="1"/>
  <c r="D65" i="1"/>
  <c r="G64" i="1"/>
  <c r="N159" i="1"/>
  <c r="N143" i="1"/>
  <c r="D59" i="1" l="1"/>
  <c r="F74" i="1" s="1"/>
  <c r="C14" i="1" l="1"/>
  <c r="E41" i="1" l="1"/>
  <c r="E42" i="1" s="1"/>
  <c r="G159" i="1" l="1"/>
  <c r="G160" i="1" s="1"/>
  <c r="G161" i="1" s="1"/>
  <c r="G162" i="1" s="1"/>
  <c r="G163" i="1" s="1"/>
  <c r="G164" i="1" s="1"/>
  <c r="G165" i="1" s="1"/>
  <c r="F107" i="1"/>
  <c r="G107" i="1"/>
  <c r="A108" i="1"/>
  <c r="F108" i="1"/>
  <c r="F109" i="1"/>
  <c r="F110" i="1"/>
  <c r="F111" i="1"/>
  <c r="F112" i="1"/>
  <c r="F113" i="1"/>
  <c r="E3" i="1"/>
  <c r="G93" i="1" l="1"/>
  <c r="G99" i="1" s="1"/>
  <c r="O160" i="1"/>
  <c r="G143" i="1"/>
  <c r="G144" i="1" s="1"/>
  <c r="G145" i="1" s="1"/>
  <c r="G146" i="1" s="1"/>
  <c r="G147" i="1" s="1"/>
  <c r="G148" i="1" s="1"/>
  <c r="G149" i="1" s="1"/>
  <c r="P160" i="1" l="1"/>
  <c r="P161" i="1" s="1"/>
  <c r="P162" i="1" s="1"/>
  <c r="P163" i="1" s="1"/>
  <c r="P164" i="1" s="1"/>
  <c r="P165" i="1" s="1"/>
  <c r="O161" i="1"/>
  <c r="O144" i="1"/>
  <c r="G128" i="1"/>
  <c r="E25" i="1"/>
  <c r="E23" i="1"/>
  <c r="N161" i="1" l="1"/>
  <c r="N160" i="1"/>
  <c r="O162" i="1"/>
  <c r="N162" i="1" s="1"/>
  <c r="P144" i="1"/>
  <c r="P145" i="1" s="1"/>
  <c r="P146" i="1" s="1"/>
  <c r="P147" i="1" s="1"/>
  <c r="P148" i="1" s="1"/>
  <c r="P149" i="1" s="1"/>
  <c r="O145" i="1"/>
  <c r="N144" i="1" l="1"/>
  <c r="N145" i="1"/>
  <c r="O163" i="1"/>
  <c r="N163" i="1" s="1"/>
  <c r="O146" i="1"/>
  <c r="N146" i="1" s="1"/>
  <c r="O164" i="1" l="1"/>
  <c r="O147" i="1"/>
  <c r="N147" i="1" s="1"/>
  <c r="N164" i="1" l="1"/>
  <c r="O165" i="1"/>
  <c r="O148" i="1"/>
  <c r="N165" i="1" l="1"/>
  <c r="N148" i="1"/>
  <c r="O149" i="1"/>
  <c r="N149" i="1" s="1"/>
  <c r="E7" i="1"/>
  <c r="D281" i="1" l="1"/>
  <c r="F90" i="1"/>
  <c r="C47" i="1"/>
  <c r="C48" i="1" s="1"/>
  <c r="D52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<sst xmlns="http://schemas.openxmlformats.org/spreadsheetml/2006/main" count="409" uniqueCount="252">
  <si>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</si>
  <si>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</si>
  <si>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</si>
  <si>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</si>
  <si>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</si>
  <si>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</si>
  <si>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</si>
  <si>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</si>
  <si>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</si>
  <si>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</si>
  <si>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</si>
  <si>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</si>
  <si>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</si>
  <si>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</si>
  <si>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</si>
  <si>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</si>
  <si>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</si>
  <si>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</si>
  <si>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</si>
  <si>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</si>
  <si>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</si>
  <si>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</si>
  <si>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</si>
  <si>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</si>
  <si>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</si>
  <si>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</si>
  <si>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</si>
  <si>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</si>
  <si>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</si>
  <si>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</si>
  <si>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</si>
  <si>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</si>
  <si>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</si>
  <si>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</si>
  <si>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</si>
  <si>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</si>
  <si>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</si>
  <si>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</si>
  <si>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</si>
  <si>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</si>
  <si>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</si>
  <si>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</si>
  <si>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</si>
  <si>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</si>
  <si>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</si>
  <si>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</si>
  <si>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</si>
  <si>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</si>
  <si>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</si>
  <si>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</si>
  <si>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</si>
  <si>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</si>
  <si>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</si>
  <si>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</si>
  <si>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</si>
  <si>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</si>
  <si>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</si>
  <si>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</si>
  <si>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</si>
  <si>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</si>
  <si>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</si>
  <si>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</si>
  <si>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</si>
  <si>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</si>
  <si>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</si>
  <si>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</si>
  <si>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</si>
  <si>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</si>
  <si>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</si>
  <si>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</si>
  <si>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</si>
  <si>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</si>
  <si>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</si>
  <si>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</si>
  <si>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</si>
  <si>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</si>
  <si>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</si>
  <si>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</si>
  <si>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</si>
  <si>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</si>
  <si>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</si>
  <si>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</si>
  <si>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</si>
  <si>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</si>
  <si>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</si>
  <si>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</si>
  <si>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</si>
  <si>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</si>
  <si>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</si>
  <si>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</si>
  <si>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</si>
  <si>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</si>
  <si>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</si>
  <si>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</si>
  <si>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</si>
  <si>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</si>
  <si>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</si>
  <si>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</si>
  <si>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</si>
  <si>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</si>
  <si>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</si>
  <si>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</si>
  <si>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</si>
  <si>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</si>
  <si>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</si>
  <si>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</si>
  <si>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</si>
  <si>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</si>
  <si>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</si>
  <si>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</si>
  <si>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</si>
  <si>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</si>
  <si>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</si>
  <si>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</si>
  <si>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</si>
  <si>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</si>
  <si>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</si>
  <si>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</si>
  <si>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</si>
  <si>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</si>
  <si>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</si>
  <si>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</si>
  <si>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</si>
  <si>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</si>
  <si>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</si>
  <si>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</si>
  <si>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</si>
  <si>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</si>
  <si>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</si>
  <si>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</si>
  <si>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</si>
  <si>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</si>
  <si>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</si>
  <si>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</si>
  <si>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</si>
  <si>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</si>
  <si>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</si>
  <si>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</si>
  <si>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</si>
  <si>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</si>
  <si>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</si>
  <si>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</si>
  <si>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</si>
  <si>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</si>
  <si>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</si>
  <si>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</si>
  <si>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</si>
  <si>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</si>
  <si>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</si>
  <si>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</si>
  <si>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</si>
  <si>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</si>
  <si>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</si>
  <si>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</si>
  <si>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</si>
  <si>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</si>
  <si>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</si>
  <si>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</si>
  <si>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</si>
  <si>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</si>
  <si>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</si>
  <si>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</si>
  <si>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</si>
  <si>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</si>
  <si>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</si>
  <si>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</si>
  <si>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</si>
  <si>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</si>
  <si>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</si>
  <si>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</si>
  <si>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</si>
  <si>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</si>
  <si>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</si>
  <si>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</si>
  <si>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</si>
  <si>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</si>
  <si>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</si>
  <si>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</si>
  <si>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</si>
  <si>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M/s.Shraddha Landmark Private Limited</t>
  </si>
  <si>
    <t>Shraddha Classic</t>
  </si>
  <si>
    <t>P51800028400</t>
  </si>
  <si>
    <t>Kanjur</t>
  </si>
  <si>
    <t>Tembipada Road</t>
  </si>
  <si>
    <t>Bhandup west</t>
  </si>
  <si>
    <t>Mumbai</t>
  </si>
  <si>
    <t>Kurla</t>
  </si>
  <si>
    <t>49,49/1-8,73,73/1-4,74,74/1-7&amp;80 (Part) Existing building - Panchamukhi chs prop.</t>
  </si>
  <si>
    <t>CTS No</t>
  </si>
  <si>
    <t>1.7 Km  from Bhandup Railway Station</t>
  </si>
  <si>
    <t>Shiv Mandir</t>
  </si>
  <si>
    <t>Lingeshwar Society</t>
  </si>
  <si>
    <t>Om Sai Prasad Apartment</t>
  </si>
  <si>
    <t>S/PVT&amp;STGOVT/0005/20131021/AP</t>
  </si>
  <si>
    <t>Basement Floor for Parking</t>
  </si>
  <si>
    <t>Shop</t>
  </si>
  <si>
    <t>1BHK</t>
  </si>
  <si>
    <t>1st Floor for Residential</t>
  </si>
  <si>
    <t xml:space="preserve">2nd Floor </t>
  </si>
  <si>
    <t>3rd to 7th Floor, 9th to 14th &amp; 16th Floor</t>
  </si>
  <si>
    <t>Refuge Area</t>
  </si>
  <si>
    <t>Service Floor (Above 22nd Floor)</t>
  </si>
  <si>
    <t>1st Floor for Residential &amp; Podium</t>
  </si>
  <si>
    <t>As per RERA - 31/12/2025</t>
  </si>
  <si>
    <t>We considered Gross carpet area = Net carpet.</t>
  </si>
  <si>
    <t>Nainesh Tambe</t>
  </si>
  <si>
    <t>5,00,000/-</t>
  </si>
  <si>
    <t>Wing A &amp; B = 1B + G/St + 1st to 40th Floor</t>
  </si>
  <si>
    <t>02 Wings</t>
  </si>
  <si>
    <t>25000/-</t>
  </si>
  <si>
    <t>40000/-</t>
  </si>
  <si>
    <t>35000/-</t>
  </si>
  <si>
    <t>50000/-</t>
  </si>
  <si>
    <t>Recommended rate of the flat Per Sq. Ft. ( on Saleable area)
Including Floor Rise</t>
  </si>
  <si>
    <t>Builder Saleable area</t>
  </si>
  <si>
    <t>We considered Saleable area of Flat as per Builder area sheet &amp; Shop Area as per our calculation.</t>
  </si>
  <si>
    <t>Approved Plans, CC, Sale Plans, Cost Sheet, Builder area sheet</t>
  </si>
  <si>
    <t>Recommended rate should be considered as all inclusive rate if other charges are not mentioned. (Excluding GST &amp; other government Taxes).</t>
  </si>
  <si>
    <t>On Site, we meet Mr.Shubham Gupta - 8652568817.</t>
  </si>
  <si>
    <t>Wing A &amp; B</t>
  </si>
  <si>
    <t xml:space="preserve">Wing A </t>
  </si>
  <si>
    <t>Wing B</t>
  </si>
  <si>
    <t>Latitude, Longitude</t>
  </si>
  <si>
    <t>Location Link</t>
  </si>
  <si>
    <t>https://goo.gl/maps/8TJcAQLp4gohSGBj7</t>
  </si>
  <si>
    <t>Muslim cemetery</t>
  </si>
  <si>
    <t>The Muslim Sunni Jamat Kabrastan is on North side of project.</t>
  </si>
  <si>
    <t>Site meet person Contact Details ( Name &amp; Contact No.)</t>
  </si>
  <si>
    <t>Grand Total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</si>
  <si>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     E mail : vsjcapf@gmail.com. Web site : www.vsjadon.com</t>
  </si>
  <si>
    <t>19.148967,72.928138</t>
  </si>
  <si>
    <t>Wing A</t>
  </si>
  <si>
    <t>Construction work is in process at the time of Visit. Internal photographs was not allowed.</t>
  </si>
  <si>
    <t>Valid Up to:  This C.C. is re-endersed &amp; further extended from 25th to 32nd upper floor &amp; only RCC framework from 33rd to 38th + 39th (Pt) upper floors including LMR &amp; OHWT or sale bldg as per approved amended plans dtd.10/01/2024.</t>
  </si>
  <si>
    <t>Ground Floor for Commercial, Meter Room &amp; Parking</t>
  </si>
  <si>
    <t>17th to 21st, 23rd to 28th, 30th to 35th, 37th &amp; 38th Floor</t>
  </si>
  <si>
    <t>8th &amp; 15th Floor (Part Refuge Area)</t>
  </si>
  <si>
    <t>22nd &amp; 29th Floor (Part Refuge Area)</t>
  </si>
  <si>
    <t>36th Floor (Part Refuge Area)</t>
  </si>
  <si>
    <t>39th Floor for Fitness Center &amp; Residential</t>
  </si>
  <si>
    <t>Fitness Center</t>
  </si>
  <si>
    <t>39th Floor for Fitness Center (Part Terrace Area)</t>
  </si>
  <si>
    <t>Terrace Area</t>
  </si>
  <si>
    <t>Parking Area</t>
  </si>
  <si>
    <t>Flats - 505, Shop - 17</t>
  </si>
  <si>
    <t>Wing A &amp; B = 1B + G/St + 1st to 39th Floor</t>
  </si>
  <si>
    <t>We have updated latest approved floor plans &amp; CC (On 28/11/2024).</t>
  </si>
  <si>
    <t>Wing A + B</t>
  </si>
  <si>
    <t>Mr Vasant Gaikwad 9987548281</t>
  </si>
  <si>
    <t>Shruti Tathare</t>
  </si>
  <si>
    <t xml:space="preserve"> </t>
  </si>
  <si>
    <t>Please Provide revised approved plans &amp;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</si>
</sst>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.00_);_(* \(#,##0.00\);_(* &quot;-&quot;??_);_(@_)"/>
    <numFmt numFmtId="166" formatCode="dd\/mm\/yyyy"/>
  </numFmts>
  <fonts count="2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90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 applyFont="1"/>
    <xf numFmtId="0" fontId="5" fillId="0" borderId="0" xfId="4"/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0" applyNumberFormat="1" applyFont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4" xfId="0" applyFont="1" applyFill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5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3" borderId="0" xfId="1" applyFont="1" applyFill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0" fontId="8" fillId="4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166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/>
      <protection locked="0"/>
    </xf>
    <xf numFmtId="0" fontId="12" fillId="0" borderId="24" xfId="1" applyFont="1" applyFill="1" applyBorder="1" applyAlignment="1" applyProtection="1">
      <alignment horizontal="left" vertical="top"/>
      <protection locked="0"/>
    </xf>
    <xf numFmtId="0" fontId="12" fillId="0" borderId="10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66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21" fillId="0" borderId="9" xfId="9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403408</xdr:colOff>
      <xdr:row>325</xdr:row>
      <xdr:rowOff>0</xdr:rowOff>
    </xdr:from>
    <xdr:to>
      <xdr:col>7</xdr:col>
      <xdr:colOff>484809</xdr:colOff>
      <xdr:row>344</xdr:row>
      <xdr:rowOff>83981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3408" y="49765324"/>
          <a:ext cx="6211019" cy="39163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412034</xdr:colOff>
      <xdr:row>345</xdr:row>
      <xdr:rowOff>90262</xdr:rowOff>
    </xdr:from>
    <xdr:to>
      <xdr:col>7</xdr:col>
      <xdr:colOff>476182</xdr:colOff>
      <xdr:row>364</xdr:row>
      <xdr:rowOff>139737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2034" y="53889703"/>
          <a:ext cx="6193766" cy="38818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381000</xdr:colOff>
      <xdr:row>46</xdr:row>
      <xdr:rowOff>158752</xdr:rowOff>
    </xdr:from>
    <xdr:to>
      <xdr:col>16</xdr:col>
      <xdr:colOff>23000</xdr:colOff>
      <xdr:row>51</xdr:row>
      <xdr:rowOff>129566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26300" y="10706102"/>
          <a:ext cx="3960000" cy="15204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704850</xdr:colOff>
      <xdr:row>39</xdr:row>
      <xdr:rowOff>69850</xdr:rowOff>
    </xdr:from>
    <xdr:to>
      <xdr:col>11</xdr:col>
      <xdr:colOff>108950</xdr:colOff>
      <xdr:row>46</xdr:row>
      <xdr:rowOff>39870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50150" y="9239250"/>
          <a:ext cx="2160000" cy="13479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624508</xdr:colOff>
      <xdr:row>281</xdr:row>
      <xdr:rowOff>56323</xdr:rowOff>
    </xdr:from>
    <xdr:to>
      <xdr:col>7</xdr:col>
      <xdr:colOff>389314</xdr:colOff>
      <xdr:row>321</xdr:row>
      <xdr:rowOff>158923</xdr:rowOff>
    </xdr:to>
    <xdr:grpSp>
      <xdr:nvGrpSpPr>
        <xdr:cNvPr id="7" name="Group 6"/>
        <xdr:cNvGrpSpPr/>
      </xdr:nvGrpSpPr>
      <xdr:grpSpPr>
        <a:xfrm>
          <a:off x="624508" y="59111323"/>
          <a:ext cx="5468600" cy="8159629"/>
          <a:chOff x="624508" y="58158823"/>
          <a:chExt cx="5454958" cy="8045622"/>
        </a:xfrm>
      </xdr:grpSpPr>
      <xdr:grpSp>
        <xdr:nvGrpSpPr>
          <xdr:cNvPr id="5" name="Group 4"/>
          <xdr:cNvGrpSpPr/>
        </xdr:nvGrpSpPr>
        <xdr:grpSpPr>
          <a:xfrm>
            <a:off x="624508" y="58158823"/>
            <a:ext cx="5403955" cy="8045622"/>
            <a:chOff x="624508" y="58158823"/>
            <a:chExt cx="5403955" cy="8045622"/>
          </a:xfrm>
        </xdr:grpSpPr>
        <xdr:pic>
          <xdr:nvPicPr>
            <xdr:cNvPr id="37" name="Picture 36" descr="https://vsjcllp.vsjadon.com/upload/insp-240145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15848" y="64041130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" name="Picture 37" descr="https://vsjcllp.vsjadon.com/upload/insp-240145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4508" y="58163793"/>
              <a:ext cx="2667379" cy="354661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9" name="Picture 38" descr="https://vsjcllp.vsjadon.com/upload/insp-240145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97627" y="61794887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0" name="Picture 39" descr="https://vsjcllp.vsjadon.com/upload/insp-240145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11287" y="61806483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" name="Picture 40" descr="https://vsjcllp.vsjadon.com/upload/insp-240145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9978" y="64037817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" name="Picture 41" descr="https://vsjcllp.vsjadon.com/upload/insp-240145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9978" y="61796543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Picture 42" descr="https://vsjcllp.vsjadon.com/upload/insp-240145-87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12944" y="64044445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Picture 43" descr="https://vsjcllp.vsjadon.com/upload/insp-240145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61084" y="58158823"/>
              <a:ext cx="2667379" cy="354661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5" name="TextBox 76"/>
          <xdr:cNvSpPr txBox="1"/>
        </xdr:nvSpPr>
        <xdr:spPr>
          <a:xfrm>
            <a:off x="5204791" y="58233367"/>
            <a:ext cx="874675" cy="36015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ysClr val="windowText" lastClr="000000"/>
                </a:solidFill>
              </a:rPr>
              <a:t>Wing B</a:t>
            </a:r>
          </a:p>
        </xdr:txBody>
      </xdr:sp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624508" y="58216802"/>
            <a:ext cx="755970" cy="3840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352489</xdr:colOff>
      <xdr:row>21</xdr:row>
      <xdr:rowOff>171000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865783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22</xdr:row>
      <xdr:rowOff>119000</xdr:rowOff>
    </xdr:from>
    <xdr:to>
      <xdr:col>6</xdr:col>
      <xdr:colOff>352489</xdr:colOff>
      <xdr:row>41</xdr:row>
      <xdr:rowOff>99500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6604283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62736</xdr:colOff>
      <xdr:row>42</xdr:row>
      <xdr:rowOff>45360</xdr:rowOff>
    </xdr:from>
    <xdr:to>
      <xdr:col>6</xdr:col>
      <xdr:colOff>415225</xdr:colOff>
      <xdr:row>61</xdr:row>
      <xdr:rowOff>25860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519" y="10340643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561976</xdr:colOff>
      <xdr:row>3</xdr:row>
      <xdr:rowOff>19050</xdr:rowOff>
    </xdr:from>
    <xdr:to>
      <xdr:col>15</xdr:col>
      <xdr:colOff>469051</xdr:colOff>
      <xdr:row>21</xdr:row>
      <xdr:rowOff>190050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3801" y="590550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8TJcAQLp4gohSGBj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24"/>
  <sheetViews>
    <sheetView tabSelected="1" view="pageBreakPreview" zoomScale="85" zoomScaleNormal="100" zoomScaleSheetLayoutView="85" zoomScalePageLayoutView="85" workbookViewId="0">
      <selection activeCell="K10" sqref="K10"/>
    </sheetView>
  </sheetViews>
  <sheetFormatPr defaultColWidth="9.140625" defaultRowHeight="15.75" x14ac:dyDescent="0.25"/>
  <cols>
    <col min="1" max="1" width="11.42578125" style="16" customWidth="1"/>
    <col min="2" max="2" width="12" style="16" customWidth="1"/>
    <col min="3" max="3" width="12.7109375" style="16" customWidth="1"/>
    <col min="4" max="4" width="14.140625" style="16" customWidth="1"/>
    <col min="5" max="7" width="11.7109375" style="16" customWidth="1"/>
    <col min="8" max="8" width="12.42578125" style="16" customWidth="1"/>
    <col min="9" max="9" width="17.42578125" style="8" customWidth="1"/>
    <col min="10" max="10" width="11.42578125" style="8" customWidth="1"/>
    <col min="11" max="11" width="10.5703125" style="8" bestFit="1" customWidth="1"/>
    <col min="12" max="12" width="10.5703125" style="8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8" ht="46.5" customHeight="1" x14ac:dyDescent="0.25">
      <c r="A1" s="149" t="s">
        <v>229</v>
      </c>
      <c r="B1" s="149"/>
      <c r="C1" s="149"/>
      <c r="D1" s="149"/>
      <c r="E1" s="149"/>
      <c r="F1" s="149"/>
      <c r="G1" s="149"/>
      <c r="H1" s="149"/>
    </row>
    <row r="2" spans="1:8" ht="16.5" customHeight="1" x14ac:dyDescent="0.25">
      <c r="A2" s="150" t="s">
        <v>0</v>
      </c>
      <c r="B2" s="150"/>
      <c r="C2" s="150"/>
      <c r="D2" s="150"/>
      <c r="E2" s="150"/>
      <c r="F2" s="150"/>
      <c r="G2" s="150"/>
      <c r="H2" s="150"/>
    </row>
    <row r="3" spans="1:8" x14ac:dyDescent="0.25">
      <c r="A3" s="147" t="s">
        <v>1</v>
      </c>
      <c r="B3" s="147"/>
      <c r="C3" s="147"/>
      <c r="D3" s="147"/>
      <c r="E3" s="148" t="str">
        <f ca="1">TEXT(TODAY(),"DD/MM/YYYY")</f>
        <v>15/07/2025</v>
      </c>
      <c r="F3" s="148"/>
      <c r="G3" s="148"/>
      <c r="H3" s="148"/>
    </row>
    <row r="4" spans="1:8" ht="15" customHeight="1" x14ac:dyDescent="0.25">
      <c r="A4" s="147" t="s">
        <v>2</v>
      </c>
      <c r="B4" s="147"/>
      <c r="C4" s="147"/>
      <c r="D4" s="147"/>
      <c r="E4" s="141" t="s">
        <v>178</v>
      </c>
      <c r="F4" s="141"/>
      <c r="G4" s="141"/>
      <c r="H4" s="141"/>
    </row>
    <row r="5" spans="1:8" x14ac:dyDescent="0.25">
      <c r="A5" s="147" t="s">
        <v>3</v>
      </c>
      <c r="B5" s="147"/>
      <c r="C5" s="147"/>
      <c r="D5" s="147"/>
      <c r="E5" s="148">
        <v>45849</v>
      </c>
      <c r="F5" s="148"/>
      <c r="G5" s="148"/>
      <c r="H5" s="148"/>
    </row>
    <row r="6" spans="1:8" ht="16.5" customHeight="1" x14ac:dyDescent="0.25">
      <c r="A6" s="147" t="s">
        <v>4</v>
      </c>
      <c r="B6" s="147"/>
      <c r="C6" s="147"/>
      <c r="D6" s="147"/>
      <c r="E6" s="144" t="s">
        <v>179</v>
      </c>
      <c r="F6" s="144"/>
      <c r="G6" s="144"/>
      <c r="H6" s="144"/>
    </row>
    <row r="7" spans="1:8" ht="15" customHeight="1" x14ac:dyDescent="0.25">
      <c r="A7" s="147" t="s">
        <v>5</v>
      </c>
      <c r="B7" s="147"/>
      <c r="C7" s="147"/>
      <c r="D7" s="147"/>
      <c r="E7" s="144" t="str">
        <f>E6</f>
        <v>M/s.Shraddha Landmark Private Limited</v>
      </c>
      <c r="F7" s="144"/>
      <c r="G7" s="144"/>
      <c r="H7" s="144"/>
    </row>
    <row r="8" spans="1:8" x14ac:dyDescent="0.25">
      <c r="A8" s="147" t="s">
        <v>6</v>
      </c>
      <c r="B8" s="147"/>
      <c r="C8" s="147"/>
      <c r="D8" s="147"/>
      <c r="E8" s="151" t="s">
        <v>180</v>
      </c>
      <c r="F8" s="151"/>
      <c r="G8" s="151"/>
      <c r="H8" s="151"/>
    </row>
    <row r="9" spans="1:8" x14ac:dyDescent="0.25">
      <c r="A9" s="147" t="s">
        <v>151</v>
      </c>
      <c r="B9" s="147"/>
      <c r="C9" s="147"/>
      <c r="D9" s="147"/>
      <c r="E9" s="147">
        <v>8652568817</v>
      </c>
      <c r="F9" s="147"/>
      <c r="G9" s="147"/>
      <c r="H9" s="147"/>
    </row>
    <row r="10" spans="1:8" x14ac:dyDescent="0.25">
      <c r="A10" s="147" t="s">
        <v>227</v>
      </c>
      <c r="B10" s="147"/>
      <c r="C10" s="147"/>
      <c r="D10" s="147"/>
      <c r="E10" s="147" t="s">
        <v>248</v>
      </c>
      <c r="F10" s="147"/>
      <c r="G10" s="147"/>
      <c r="H10" s="147"/>
    </row>
    <row r="11" spans="1:8" x14ac:dyDescent="0.25">
      <c r="A11" s="143" t="s">
        <v>7</v>
      </c>
      <c r="B11" s="143"/>
      <c r="C11" s="143"/>
      <c r="D11" s="143"/>
      <c r="E11" s="143" t="s">
        <v>219</v>
      </c>
      <c r="F11" s="143"/>
      <c r="G11" s="143"/>
      <c r="H11" s="143"/>
    </row>
    <row r="12" spans="1:8" ht="31.5" customHeight="1" x14ac:dyDescent="0.25">
      <c r="A12" s="147" t="s">
        <v>8</v>
      </c>
      <c r="B12" s="147"/>
      <c r="C12" s="147"/>
      <c r="D12" s="147"/>
      <c r="E12" s="142" t="s">
        <v>216</v>
      </c>
      <c r="F12" s="142"/>
      <c r="G12" s="142"/>
      <c r="H12" s="142"/>
    </row>
    <row r="13" spans="1:8" x14ac:dyDescent="0.25">
      <c r="A13" s="147" t="s">
        <v>9</v>
      </c>
      <c r="B13" s="147"/>
      <c r="C13" s="147"/>
      <c r="D13" s="147"/>
      <c r="E13" s="142" t="s">
        <v>181</v>
      </c>
      <c r="F13" s="143"/>
      <c r="G13" s="143"/>
      <c r="H13" s="143"/>
    </row>
    <row r="14" spans="1:8" ht="48.75" customHeight="1" x14ac:dyDescent="0.25">
      <c r="A14" s="144" t="s">
        <v>10</v>
      </c>
      <c r="B14" s="144"/>
      <c r="C14" s="144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Shraddha Classic, CTS No.49,49/1-8,73,73/1-4,74,74/1-7&amp;80 (Part) Existing building - Panchamukhi chs prop., near Shiv Mandir, Tembipada Road, Kanjur, Bhandup west, Kurla, Mumbai.</v>
      </c>
      <c r="D14" s="144"/>
      <c r="E14" s="144"/>
      <c r="F14" s="144"/>
      <c r="G14" s="144"/>
      <c r="H14" s="144"/>
    </row>
    <row r="15" spans="1:8" x14ac:dyDescent="0.25">
      <c r="A15" s="115" t="s">
        <v>188</v>
      </c>
      <c r="B15" s="115"/>
      <c r="C15" s="115" t="s">
        <v>187</v>
      </c>
      <c r="D15" s="115"/>
      <c r="E15" s="115"/>
      <c r="F15" s="115"/>
      <c r="G15" s="115"/>
      <c r="H15" s="115"/>
    </row>
    <row r="16" spans="1:8" ht="15.75" customHeight="1" x14ac:dyDescent="0.25">
      <c r="A16" s="140" t="s">
        <v>11</v>
      </c>
      <c r="B16" s="140"/>
      <c r="C16" s="114" t="s">
        <v>183</v>
      </c>
      <c r="D16" s="114"/>
      <c r="E16" s="140" t="s">
        <v>102</v>
      </c>
      <c r="F16" s="140"/>
      <c r="G16" s="115" t="s">
        <v>182</v>
      </c>
      <c r="H16" s="115"/>
    </row>
    <row r="17" spans="1:8" x14ac:dyDescent="0.25">
      <c r="A17" s="77" t="s">
        <v>13</v>
      </c>
      <c r="B17" s="77"/>
      <c r="C17" s="115" t="s">
        <v>184</v>
      </c>
      <c r="D17" s="115"/>
      <c r="E17" s="140" t="s">
        <v>12</v>
      </c>
      <c r="F17" s="140"/>
      <c r="G17" s="145" t="s">
        <v>185</v>
      </c>
      <c r="H17" s="145"/>
    </row>
    <row r="18" spans="1:8" x14ac:dyDescent="0.25">
      <c r="A18" s="77" t="s">
        <v>103</v>
      </c>
      <c r="B18" s="77"/>
      <c r="C18" s="115" t="s">
        <v>186</v>
      </c>
      <c r="D18" s="115"/>
      <c r="E18" s="140" t="s">
        <v>14</v>
      </c>
      <c r="F18" s="140"/>
      <c r="G18" s="115">
        <v>400078</v>
      </c>
      <c r="H18" s="115"/>
    </row>
    <row r="19" spans="1:8" ht="32.25" customHeight="1" x14ac:dyDescent="0.25">
      <c r="A19" s="77" t="s">
        <v>152</v>
      </c>
      <c r="B19" s="77"/>
      <c r="C19" s="146" t="s">
        <v>190</v>
      </c>
      <c r="D19" s="146"/>
      <c r="E19" s="140" t="s">
        <v>15</v>
      </c>
      <c r="F19" s="140"/>
      <c r="G19" s="115" t="s">
        <v>189</v>
      </c>
      <c r="H19" s="115"/>
    </row>
    <row r="20" spans="1:8" ht="15" customHeight="1" x14ac:dyDescent="0.25">
      <c r="A20" s="140" t="s">
        <v>107</v>
      </c>
      <c r="B20" s="140"/>
      <c r="C20" s="140"/>
      <c r="D20" s="140"/>
      <c r="E20" s="114" t="s">
        <v>16</v>
      </c>
      <c r="F20" s="114"/>
      <c r="G20" s="114"/>
      <c r="H20" s="114"/>
    </row>
    <row r="21" spans="1:8" ht="18.75" customHeight="1" x14ac:dyDescent="0.25">
      <c r="A21" s="140"/>
      <c r="B21" s="140"/>
      <c r="C21" s="140"/>
      <c r="D21" s="140"/>
      <c r="E21" s="114"/>
      <c r="F21" s="114"/>
      <c r="G21" s="114"/>
      <c r="H21" s="114"/>
    </row>
    <row r="22" spans="1:8" ht="15" customHeight="1" x14ac:dyDescent="0.25">
      <c r="A22" s="140" t="s">
        <v>17</v>
      </c>
      <c r="B22" s="140"/>
      <c r="C22" s="140"/>
      <c r="D22" s="140"/>
      <c r="E22" s="115" t="s">
        <v>18</v>
      </c>
      <c r="F22" s="115"/>
      <c r="G22" s="115"/>
      <c r="H22" s="115"/>
    </row>
    <row r="23" spans="1:8" ht="15" customHeight="1" x14ac:dyDescent="0.25">
      <c r="A23" s="77" t="s">
        <v>19</v>
      </c>
      <c r="B23" s="77"/>
      <c r="C23" s="77"/>
      <c r="D23" s="77"/>
      <c r="E23" s="115" t="str">
        <f>IF(AND(G17="Mumbai"),"Upper Class","Middle Class")</f>
        <v>Upper Class</v>
      </c>
      <c r="F23" s="115"/>
      <c r="G23" s="115"/>
      <c r="H23" s="115"/>
    </row>
    <row r="24" spans="1:8" x14ac:dyDescent="0.25">
      <c r="A24" s="77" t="s">
        <v>20</v>
      </c>
      <c r="B24" s="77"/>
      <c r="C24" s="77"/>
      <c r="D24" s="77"/>
      <c r="E24" s="115" t="s">
        <v>21</v>
      </c>
      <c r="F24" s="115"/>
      <c r="G24" s="115"/>
      <c r="H24" s="115"/>
    </row>
    <row r="25" spans="1:8" ht="15.75" customHeight="1" x14ac:dyDescent="0.25">
      <c r="A25" s="77" t="s">
        <v>22</v>
      </c>
      <c r="B25" s="77"/>
      <c r="C25" s="77"/>
      <c r="D25" s="77"/>
      <c r="E25" s="115" t="str">
        <f>IF(AND(G17="Mumbai"),"Developed","Developing")</f>
        <v>Developed</v>
      </c>
      <c r="F25" s="115"/>
      <c r="G25" s="115"/>
      <c r="H25" s="115"/>
    </row>
    <row r="26" spans="1:8" x14ac:dyDescent="0.25">
      <c r="A26" s="77" t="s">
        <v>23</v>
      </c>
      <c r="B26" s="77"/>
      <c r="C26" s="77"/>
      <c r="D26" s="77"/>
      <c r="E26" s="115" t="s">
        <v>24</v>
      </c>
      <c r="F26" s="115"/>
      <c r="G26" s="115"/>
      <c r="H26" s="115"/>
    </row>
    <row r="27" spans="1:8" x14ac:dyDescent="0.25">
      <c r="A27" s="77" t="s">
        <v>115</v>
      </c>
      <c r="B27" s="77"/>
      <c r="C27" s="77"/>
      <c r="D27" s="77"/>
      <c r="E27" s="115" t="s">
        <v>116</v>
      </c>
      <c r="F27" s="115"/>
      <c r="G27" s="115"/>
      <c r="H27" s="115"/>
    </row>
    <row r="28" spans="1:8" ht="15" customHeight="1" x14ac:dyDescent="0.25">
      <c r="A28" s="140" t="s">
        <v>33</v>
      </c>
      <c r="B28" s="140"/>
      <c r="C28" s="140"/>
      <c r="D28" s="140"/>
      <c r="E28" s="141" t="s">
        <v>111</v>
      </c>
      <c r="F28" s="141"/>
      <c r="G28" s="141"/>
      <c r="H28" s="141"/>
    </row>
    <row r="29" spans="1:8" x14ac:dyDescent="0.25">
      <c r="A29" s="140" t="s">
        <v>127</v>
      </c>
      <c r="B29" s="140"/>
      <c r="C29" s="140"/>
      <c r="D29" s="140"/>
      <c r="E29" s="140" t="s">
        <v>34</v>
      </c>
      <c r="F29" s="140"/>
      <c r="G29" s="140"/>
      <c r="H29" s="140"/>
    </row>
    <row r="30" spans="1:8" s="11" customFormat="1" x14ac:dyDescent="0.25">
      <c r="A30" s="134" t="s">
        <v>128</v>
      </c>
      <c r="B30" s="134"/>
      <c r="C30" s="132" t="s">
        <v>29</v>
      </c>
      <c r="D30" s="132"/>
      <c r="E30" s="132"/>
      <c r="F30" s="132" t="s">
        <v>31</v>
      </c>
      <c r="G30" s="132"/>
      <c r="H30" s="132"/>
    </row>
    <row r="31" spans="1:8" s="11" customFormat="1" x14ac:dyDescent="0.25">
      <c r="A31" s="133" t="s">
        <v>25</v>
      </c>
      <c r="B31" s="133" t="s">
        <v>30</v>
      </c>
      <c r="C31" s="135" t="s">
        <v>30</v>
      </c>
      <c r="D31" s="135"/>
      <c r="E31" s="135"/>
      <c r="F31" s="135" t="s">
        <v>190</v>
      </c>
      <c r="G31" s="135"/>
      <c r="H31" s="135"/>
    </row>
    <row r="32" spans="1:8" x14ac:dyDescent="0.25">
      <c r="A32" s="133" t="s">
        <v>26</v>
      </c>
      <c r="B32" s="133" t="s">
        <v>30</v>
      </c>
      <c r="C32" s="135" t="s">
        <v>30</v>
      </c>
      <c r="D32" s="135"/>
      <c r="E32" s="135"/>
      <c r="F32" s="135" t="s">
        <v>191</v>
      </c>
      <c r="G32" s="135"/>
      <c r="H32" s="135"/>
    </row>
    <row r="33" spans="1:8" s="11" customFormat="1" x14ac:dyDescent="0.25">
      <c r="A33" s="133" t="s">
        <v>28</v>
      </c>
      <c r="B33" s="133" t="s">
        <v>30</v>
      </c>
      <c r="C33" s="135" t="s">
        <v>30</v>
      </c>
      <c r="D33" s="135"/>
      <c r="E33" s="135"/>
      <c r="F33" s="135" t="s">
        <v>225</v>
      </c>
      <c r="G33" s="135"/>
      <c r="H33" s="135"/>
    </row>
    <row r="34" spans="1:8" x14ac:dyDescent="0.25">
      <c r="A34" s="133" t="s">
        <v>27</v>
      </c>
      <c r="B34" s="133" t="s">
        <v>30</v>
      </c>
      <c r="C34" s="135" t="s">
        <v>30</v>
      </c>
      <c r="D34" s="135"/>
      <c r="E34" s="135"/>
      <c r="F34" s="135" t="s">
        <v>192</v>
      </c>
      <c r="G34" s="135"/>
      <c r="H34" s="135"/>
    </row>
    <row r="35" spans="1:8" x14ac:dyDescent="0.25">
      <c r="A35" s="77" t="s">
        <v>32</v>
      </c>
      <c r="B35" s="77"/>
      <c r="C35" s="77"/>
      <c r="D35" s="77"/>
      <c r="E35" s="77"/>
      <c r="F35" s="77"/>
      <c r="G35" s="77"/>
      <c r="H35" s="77"/>
    </row>
    <row r="36" spans="1:8" ht="15.75" customHeight="1" x14ac:dyDescent="0.25">
      <c r="A36" s="102" t="s">
        <v>222</v>
      </c>
      <c r="B36" s="102"/>
      <c r="C36" s="136" t="s">
        <v>230</v>
      </c>
      <c r="D36" s="137"/>
      <c r="E36" s="137"/>
      <c r="F36" s="137"/>
      <c r="G36" s="137"/>
      <c r="H36" s="138"/>
    </row>
    <row r="37" spans="1:8" ht="15.75" customHeight="1" x14ac:dyDescent="0.25">
      <c r="A37" s="102" t="s">
        <v>223</v>
      </c>
      <c r="B37" s="102"/>
      <c r="C37" s="187" t="s">
        <v>224</v>
      </c>
      <c r="D37" s="137"/>
      <c r="E37" s="137"/>
      <c r="F37" s="137"/>
      <c r="G37" s="137"/>
      <c r="H37" s="138"/>
    </row>
    <row r="38" spans="1:8" x14ac:dyDescent="0.25">
      <c r="A38" s="139" t="s">
        <v>35</v>
      </c>
      <c r="B38" s="139"/>
      <c r="C38" s="139"/>
      <c r="D38" s="139"/>
      <c r="E38" s="139"/>
      <c r="F38" s="139"/>
      <c r="G38" s="139"/>
      <c r="H38" s="139"/>
    </row>
    <row r="39" spans="1:8" x14ac:dyDescent="0.25">
      <c r="A39" s="77" t="s">
        <v>36</v>
      </c>
      <c r="B39" s="77"/>
      <c r="C39" s="77"/>
      <c r="D39" s="77"/>
      <c r="E39" s="113">
        <v>3964.52</v>
      </c>
      <c r="F39" s="113"/>
      <c r="G39" s="113"/>
      <c r="H39" s="113"/>
    </row>
    <row r="40" spans="1:8" x14ac:dyDescent="0.25">
      <c r="A40" s="77" t="s">
        <v>37</v>
      </c>
      <c r="B40" s="77"/>
      <c r="C40" s="77"/>
      <c r="D40" s="77"/>
      <c r="E40" s="125">
        <v>1</v>
      </c>
      <c r="F40" s="125"/>
      <c r="G40" s="125"/>
      <c r="H40" s="125"/>
    </row>
    <row r="41" spans="1:8" x14ac:dyDescent="0.25">
      <c r="A41" s="77" t="s">
        <v>38</v>
      </c>
      <c r="B41" s="77"/>
      <c r="C41" s="77"/>
      <c r="D41" s="77"/>
      <c r="E41" s="125">
        <f>E43/E39-E40</f>
        <v>4.6833563710108663</v>
      </c>
      <c r="F41" s="125"/>
      <c r="G41" s="125"/>
      <c r="H41" s="125"/>
    </row>
    <row r="42" spans="1:8" x14ac:dyDescent="0.25">
      <c r="A42" s="77" t="s">
        <v>39</v>
      </c>
      <c r="B42" s="77"/>
      <c r="C42" s="77"/>
      <c r="D42" s="77"/>
      <c r="E42" s="125">
        <f>E40+E41</f>
        <v>5.6833563710108663</v>
      </c>
      <c r="F42" s="125"/>
      <c r="G42" s="125"/>
      <c r="H42" s="125"/>
    </row>
    <row r="43" spans="1:8" x14ac:dyDescent="0.25">
      <c r="A43" s="77" t="s">
        <v>126</v>
      </c>
      <c r="B43" s="77"/>
      <c r="C43" s="77"/>
      <c r="D43" s="77"/>
      <c r="E43" s="126">
        <v>22531.78</v>
      </c>
      <c r="F43" s="126"/>
      <c r="G43" s="126"/>
      <c r="H43" s="126"/>
    </row>
    <row r="44" spans="1:8" x14ac:dyDescent="0.25">
      <c r="A44" s="114" t="s">
        <v>40</v>
      </c>
      <c r="B44" s="114"/>
      <c r="C44" s="114"/>
      <c r="D44" s="114"/>
      <c r="E44" s="114" t="s">
        <v>208</v>
      </c>
      <c r="F44" s="114"/>
      <c r="G44" s="114"/>
      <c r="H44" s="114"/>
    </row>
    <row r="45" spans="1:8" x14ac:dyDescent="0.25">
      <c r="A45" s="127" t="s">
        <v>41</v>
      </c>
      <c r="B45" s="127"/>
      <c r="C45" s="127"/>
      <c r="D45" s="127"/>
      <c r="E45" s="127"/>
      <c r="F45" s="127"/>
      <c r="G45" s="127"/>
      <c r="H45" s="127"/>
    </row>
    <row r="46" spans="1:8" x14ac:dyDescent="0.25">
      <c r="A46" s="115" t="s">
        <v>42</v>
      </c>
      <c r="B46" s="115"/>
      <c r="C46" s="154" t="s">
        <v>193</v>
      </c>
      <c r="D46" s="154"/>
      <c r="E46" s="154"/>
      <c r="F46" s="52" t="s">
        <v>43</v>
      </c>
      <c r="G46" s="131">
        <v>45301</v>
      </c>
      <c r="H46" s="131"/>
    </row>
    <row r="47" spans="1:8" x14ac:dyDescent="0.25">
      <c r="A47" s="114" t="s">
        <v>44</v>
      </c>
      <c r="B47" s="114"/>
      <c r="C47" s="154" t="str">
        <f>C46</f>
        <v>S/PVT&amp;STGOVT/0005/20131021/AP</v>
      </c>
      <c r="D47" s="154"/>
      <c r="E47" s="154"/>
      <c r="F47" s="52" t="s">
        <v>43</v>
      </c>
      <c r="G47" s="131">
        <f>G46</f>
        <v>45301</v>
      </c>
      <c r="H47" s="131"/>
    </row>
    <row r="48" spans="1:8" s="10" customFormat="1" x14ac:dyDescent="0.25">
      <c r="A48" s="115" t="s">
        <v>45</v>
      </c>
      <c r="B48" s="115"/>
      <c r="C48" s="154" t="str">
        <f>C47</f>
        <v>S/PVT&amp;STGOVT/0005/20131021/AP</v>
      </c>
      <c r="D48" s="154"/>
      <c r="E48" s="154"/>
      <c r="F48" s="13" t="s">
        <v>43</v>
      </c>
      <c r="G48" s="131">
        <v>45352</v>
      </c>
      <c r="H48" s="131"/>
    </row>
    <row r="49" spans="1:14" s="10" customFormat="1" ht="60" customHeight="1" x14ac:dyDescent="0.25">
      <c r="A49" s="115"/>
      <c r="B49" s="115"/>
      <c r="C49" s="179" t="s">
        <v>233</v>
      </c>
      <c r="D49" s="180"/>
      <c r="E49" s="180"/>
      <c r="F49" s="180"/>
      <c r="G49" s="180"/>
      <c r="H49" s="181"/>
      <c r="I49" s="56"/>
    </row>
    <row r="50" spans="1:14" x14ac:dyDescent="0.25">
      <c r="A50" s="162" t="s">
        <v>46</v>
      </c>
      <c r="B50" s="162"/>
      <c r="C50" s="183" t="s">
        <v>143</v>
      </c>
      <c r="D50" s="184"/>
      <c r="E50" s="184" t="s">
        <v>47</v>
      </c>
      <c r="F50" s="55" t="s">
        <v>43</v>
      </c>
      <c r="G50" s="178" t="s">
        <v>30</v>
      </c>
      <c r="H50" s="178"/>
    </row>
    <row r="51" spans="1:14" x14ac:dyDescent="0.25">
      <c r="A51" s="177" t="s">
        <v>49</v>
      </c>
      <c r="B51" s="177"/>
      <c r="C51" s="177"/>
      <c r="D51" s="177"/>
      <c r="E51" s="177"/>
      <c r="F51" s="177"/>
      <c r="G51" s="177"/>
      <c r="H51" s="177"/>
    </row>
    <row r="52" spans="1:14" x14ac:dyDescent="0.25">
      <c r="A52" s="115" t="s">
        <v>125</v>
      </c>
      <c r="B52" s="115"/>
      <c r="C52" s="115"/>
      <c r="D52" s="114">
        <f>E43</f>
        <v>22531.78</v>
      </c>
      <c r="E52" s="114"/>
      <c r="F52" s="114"/>
      <c r="G52" s="114"/>
      <c r="H52" s="114"/>
    </row>
    <row r="53" spans="1:14" x14ac:dyDescent="0.25">
      <c r="A53" s="115" t="s">
        <v>50</v>
      </c>
      <c r="B53" s="114"/>
      <c r="C53" s="114"/>
      <c r="D53" s="114" t="s">
        <v>244</v>
      </c>
      <c r="E53" s="114"/>
      <c r="F53" s="114"/>
      <c r="G53" s="114"/>
      <c r="H53" s="114"/>
      <c r="I53" s="36"/>
    </row>
    <row r="54" spans="1:14" ht="15.75" customHeight="1" x14ac:dyDescent="0.25">
      <c r="A54" s="128" t="s">
        <v>51</v>
      </c>
      <c r="B54" s="129"/>
      <c r="C54" s="130"/>
      <c r="D54" s="114" t="s">
        <v>245</v>
      </c>
      <c r="E54" s="114"/>
      <c r="F54" s="114"/>
      <c r="G54" s="114"/>
      <c r="H54" s="114"/>
      <c r="I54" s="37"/>
    </row>
    <row r="55" spans="1:14" ht="15.75" customHeight="1" x14ac:dyDescent="0.25">
      <c r="A55" s="128" t="s">
        <v>123</v>
      </c>
      <c r="B55" s="129"/>
      <c r="C55" s="129"/>
      <c r="D55" s="163" t="s">
        <v>207</v>
      </c>
      <c r="E55" s="164"/>
      <c r="F55" s="164"/>
      <c r="G55" s="164"/>
      <c r="H55" s="165"/>
      <c r="I55" s="37"/>
    </row>
    <row r="56" spans="1:14" ht="15.75" customHeight="1" x14ac:dyDescent="0.25">
      <c r="A56" s="114" t="s">
        <v>48</v>
      </c>
      <c r="B56" s="114"/>
      <c r="C56" s="114"/>
      <c r="D56" s="115" t="s">
        <v>203</v>
      </c>
      <c r="E56" s="115"/>
      <c r="F56" s="115"/>
      <c r="G56" s="115"/>
      <c r="H56" s="115"/>
      <c r="J56" s="35"/>
      <c r="K56" s="36"/>
      <c r="N56" s="36"/>
    </row>
    <row r="57" spans="1:14" ht="15.75" customHeight="1" x14ac:dyDescent="0.25">
      <c r="A57" s="114" t="s">
        <v>121</v>
      </c>
      <c r="B57" s="114"/>
      <c r="C57" s="114"/>
      <c r="D57" s="124" t="str">
        <f>(IF(G50="NA","60 Years After Completion",IF(G50&lt;&gt;"NA",""&amp;60-ROUNDDOWN((E3-G50)/360,0)&amp;" Years"," ")))</f>
        <v>60 Years After Completion</v>
      </c>
      <c r="E57" s="124"/>
      <c r="F57" s="124"/>
      <c r="G57" s="124"/>
      <c r="H57" s="124"/>
      <c r="N57" s="36"/>
    </row>
    <row r="58" spans="1:14" ht="15.75" customHeight="1" x14ac:dyDescent="0.25">
      <c r="A58" s="77" t="s">
        <v>122</v>
      </c>
      <c r="B58" s="77"/>
      <c r="C58" s="77"/>
      <c r="D58" s="140" t="s">
        <v>24</v>
      </c>
      <c r="E58" s="140"/>
      <c r="F58" s="140"/>
      <c r="G58" s="140"/>
      <c r="H58" s="140"/>
      <c r="J58" s="18"/>
      <c r="K58" s="18"/>
    </row>
    <row r="59" spans="1:14" ht="15.75" customHeight="1" thickBot="1" x14ac:dyDescent="0.3">
      <c r="A59" s="156" t="s">
        <v>120</v>
      </c>
      <c r="B59" s="156"/>
      <c r="C59" s="156"/>
      <c r="D59" s="157" t="str">
        <f ca="1">(IF(G64&gt;95%,"Nothing",IF(G64&gt;0%,"Cement, Aggregate, Steel, etc",IF(G64=0%,"Work not yet Started"))))</f>
        <v>Cement, Aggregate, Steel, etc</v>
      </c>
      <c r="E59" s="157"/>
      <c r="F59" s="157"/>
      <c r="G59" s="157"/>
      <c r="H59" s="157"/>
      <c r="J59" s="18"/>
    </row>
    <row r="60" spans="1:14" ht="15.75" customHeight="1" x14ac:dyDescent="0.25">
      <c r="A60" s="172" t="s">
        <v>170</v>
      </c>
      <c r="B60" s="173"/>
      <c r="C60" s="174" t="str">
        <f>D55</f>
        <v>Wing A &amp; B = 1B + G/St + 1st to 40th Floor</v>
      </c>
      <c r="D60" s="175"/>
      <c r="E60" s="175"/>
      <c r="F60" s="175"/>
      <c r="G60" s="175"/>
      <c r="H60" s="176"/>
      <c r="I60" s="42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Excavation work Completed. Plinth work completed, RCC Slab, Brickwork upto 36 Floor, Internal Plaster upto 32 Floor, External Plaster upto 30 Floor, Flooring upto 14 Floor Completed</v>
      </c>
      <c r="J60" s="20"/>
    </row>
    <row r="61" spans="1:14" x14ac:dyDescent="0.25">
      <c r="A61" s="48" t="s">
        <v>172</v>
      </c>
      <c r="B61" s="53">
        <v>1</v>
      </c>
      <c r="C61" s="53" t="s">
        <v>101</v>
      </c>
      <c r="D61" s="53">
        <v>1</v>
      </c>
      <c r="E61" s="53" t="s">
        <v>100</v>
      </c>
      <c r="F61" s="53">
        <v>0</v>
      </c>
      <c r="G61" s="53" t="s">
        <v>114</v>
      </c>
      <c r="H61" s="50">
        <f ca="1">--TRIM(RIGHT(SUBSTITUTE(LEFT(C60,_xlfn.AGGREGATE(16,6,FIND({0,1,2,3,4,5,6,7,8,9},C60,ROW(INDIRECT("1:"&amp;LEN(C60)))),1))," ",REPT(" ",LEN(C60))),LEN(C60)))</f>
        <v>40</v>
      </c>
      <c r="I61" s="43"/>
      <c r="J61" s="21"/>
    </row>
    <row r="62" spans="1:14" ht="48.95" customHeight="1" x14ac:dyDescent="0.25">
      <c r="A62" s="171" t="s">
        <v>124</v>
      </c>
      <c r="B62" s="127"/>
      <c r="C62" s="162" t="str">
        <f ca="1">I60</f>
        <v>Excavation work Completed. Plinth work completed, RCC Slab, Brickwork upto 36 Floor, Internal Plaster upto 32 Floor, External Plaster upto 30 Floor, Flooring upto 14 Floor Completed</v>
      </c>
      <c r="D62" s="162"/>
      <c r="E62" s="162"/>
      <c r="F62" s="162"/>
      <c r="G62" s="162"/>
      <c r="H62" s="169"/>
      <c r="I62" s="43" t="s">
        <v>142</v>
      </c>
      <c r="J62" s="21"/>
    </row>
    <row r="63" spans="1:14" ht="15.75" customHeight="1" x14ac:dyDescent="0.25">
      <c r="A63" s="120" t="s">
        <v>52</v>
      </c>
      <c r="B63" s="121"/>
      <c r="C63" s="57" t="s">
        <v>169</v>
      </c>
      <c r="D63" s="58" t="s">
        <v>117</v>
      </c>
      <c r="E63" s="121" t="s">
        <v>119</v>
      </c>
      <c r="F63" s="121"/>
      <c r="G63" s="121" t="s">
        <v>118</v>
      </c>
      <c r="H63" s="170"/>
      <c r="I63" s="34" t="s">
        <v>171</v>
      </c>
      <c r="J63" s="22">
        <f ca="1">H61*25%</f>
        <v>10</v>
      </c>
    </row>
    <row r="64" spans="1:14" x14ac:dyDescent="0.25">
      <c r="A64" s="120" t="s">
        <v>158</v>
      </c>
      <c r="B64" s="121"/>
      <c r="C64" s="59">
        <f ca="1">J65</f>
        <v>40</v>
      </c>
      <c r="D64" s="60">
        <f ca="1">((100/H61)*C64)/100</f>
        <v>1</v>
      </c>
      <c r="E64" s="116">
        <f ca="1">(((C65/H61*10)+(40/(D61+F61+H61)*C66)+(7.5/(H61)*C67)+(7.5/(H61)*C68)+(10/H61*C69)+(10/H61*C70)+(5/H61*C71)+(5/H61*C72)+(5/H61*C73))/100)</f>
        <v>0.73750000000000004</v>
      </c>
      <c r="F64" s="116"/>
      <c r="G64" s="116">
        <f ca="1">((((C64/H61)*20)+((C65/H61)*25)+(30/(H61+F61+D61)*C66)+(5/H61*C67)+(5/H61*C68)+(5/H61*C69)+(5/H61*C70)+(0/H61*C71)+(0/H61*C72)+(5/H61*C73))/100)</f>
        <v>0.89</v>
      </c>
      <c r="H64" s="118"/>
      <c r="I64" s="34" t="s">
        <v>137</v>
      </c>
      <c r="J64" s="41">
        <f ca="1">H61*50%</f>
        <v>20</v>
      </c>
    </row>
    <row r="65" spans="1:10" x14ac:dyDescent="0.25">
      <c r="A65" s="120" t="s">
        <v>53</v>
      </c>
      <c r="B65" s="121"/>
      <c r="C65" s="61">
        <v>40</v>
      </c>
      <c r="D65" s="60">
        <f ca="1">((100/H61)*C65)/100</f>
        <v>1</v>
      </c>
      <c r="E65" s="116"/>
      <c r="F65" s="116"/>
      <c r="G65" s="116"/>
      <c r="H65" s="118"/>
      <c r="I65" s="34" t="s">
        <v>138</v>
      </c>
      <c r="J65" s="41">
        <f ca="1">H61</f>
        <v>40</v>
      </c>
    </row>
    <row r="66" spans="1:10" ht="15.75" customHeight="1" x14ac:dyDescent="0.25">
      <c r="A66" s="120" t="s">
        <v>159</v>
      </c>
      <c r="B66" s="121"/>
      <c r="C66" s="61">
        <v>41</v>
      </c>
      <c r="D66" s="60">
        <f ca="1">((100/(D61+F61+H61))*C66)/100</f>
        <v>1</v>
      </c>
      <c r="E66" s="116"/>
      <c r="F66" s="116"/>
      <c r="G66" s="116"/>
      <c r="H66" s="118"/>
      <c r="I66" s="34" t="s">
        <v>139</v>
      </c>
      <c r="J66" s="45">
        <f ca="1">(IF(B61&gt;1,(H61/(B61+2)),H61/4))</f>
        <v>10</v>
      </c>
    </row>
    <row r="67" spans="1:10" ht="15.75" customHeight="1" x14ac:dyDescent="0.25">
      <c r="A67" s="120" t="s">
        <v>166</v>
      </c>
      <c r="B67" s="121" t="s">
        <v>160</v>
      </c>
      <c r="C67" s="59">
        <v>36</v>
      </c>
      <c r="D67" s="60">
        <f ca="1">((100/H61)*C67)/100</f>
        <v>0.9</v>
      </c>
      <c r="E67" s="116"/>
      <c r="F67" s="116"/>
      <c r="G67" s="116"/>
      <c r="H67" s="118"/>
      <c r="I67" s="34" t="s">
        <v>140</v>
      </c>
      <c r="J67" s="45">
        <f ca="1">(IF(B61&gt;1,(H61/(B61+2)+J66),H61/4+J66))</f>
        <v>20</v>
      </c>
    </row>
    <row r="68" spans="1:10" ht="15.75" customHeight="1" x14ac:dyDescent="0.25">
      <c r="A68" s="120" t="s">
        <v>167</v>
      </c>
      <c r="B68" s="121" t="s">
        <v>160</v>
      </c>
      <c r="C68" s="59">
        <v>32</v>
      </c>
      <c r="D68" s="60">
        <f ca="1">((100/H61)*C68)/100</f>
        <v>0.8</v>
      </c>
      <c r="E68" s="116"/>
      <c r="F68" s="116"/>
      <c r="G68" s="116"/>
      <c r="H68" s="118"/>
      <c r="I68" s="34" t="s">
        <v>176</v>
      </c>
      <c r="J68" s="45">
        <f>(IF(B61&gt;1,(H61/(B61+2)+J67),0))</f>
        <v>0</v>
      </c>
    </row>
    <row r="69" spans="1:10" ht="15" customHeight="1" x14ac:dyDescent="0.25">
      <c r="A69" s="120" t="s">
        <v>165</v>
      </c>
      <c r="B69" s="121" t="s">
        <v>162</v>
      </c>
      <c r="C69" s="59">
        <v>30</v>
      </c>
      <c r="D69" s="60">
        <f ca="1">((100/(H61))*C69)/100</f>
        <v>0.75</v>
      </c>
      <c r="E69" s="116"/>
      <c r="F69" s="116"/>
      <c r="G69" s="116"/>
      <c r="H69" s="118"/>
      <c r="I69" s="34" t="s">
        <v>173</v>
      </c>
      <c r="J69" s="45">
        <f>(IF(B61&gt;2,(H61/(B61+2)+J68),0))</f>
        <v>0</v>
      </c>
    </row>
    <row r="70" spans="1:10" ht="15.75" customHeight="1" x14ac:dyDescent="0.25">
      <c r="A70" s="120" t="s">
        <v>161</v>
      </c>
      <c r="B70" s="121" t="s">
        <v>161</v>
      </c>
      <c r="C70" s="59">
        <v>14</v>
      </c>
      <c r="D70" s="60">
        <f ca="1">((100/H61)*C70)/100</f>
        <v>0.35</v>
      </c>
      <c r="E70" s="116"/>
      <c r="F70" s="116"/>
      <c r="G70" s="116"/>
      <c r="H70" s="118"/>
      <c r="I70" s="34" t="s">
        <v>174</v>
      </c>
      <c r="J70" s="46">
        <f>(IF(B61&gt;3,(H61/(B61+2)+J69),0))</f>
        <v>0</v>
      </c>
    </row>
    <row r="71" spans="1:10" ht="15.75" customHeight="1" x14ac:dyDescent="0.25">
      <c r="A71" s="120" t="s">
        <v>168</v>
      </c>
      <c r="B71" s="121"/>
      <c r="C71" s="59">
        <v>0</v>
      </c>
      <c r="D71" s="60">
        <f ca="1">((100/H61)*C71)/100</f>
        <v>0</v>
      </c>
      <c r="E71" s="116"/>
      <c r="F71" s="116"/>
      <c r="G71" s="116"/>
      <c r="H71" s="118"/>
      <c r="I71" s="34" t="s">
        <v>175</v>
      </c>
      <c r="J71" s="45">
        <f>(IF(B61&gt;4,(H61/(B61+2)+J70),0))</f>
        <v>0</v>
      </c>
    </row>
    <row r="72" spans="1:10" ht="15.75" customHeight="1" x14ac:dyDescent="0.25">
      <c r="A72" s="120" t="s">
        <v>163</v>
      </c>
      <c r="B72" s="121" t="s">
        <v>163</v>
      </c>
      <c r="C72" s="59">
        <v>0</v>
      </c>
      <c r="D72" s="60">
        <f ca="1">((100/(H61))*C72)/100</f>
        <v>0</v>
      </c>
      <c r="E72" s="116"/>
      <c r="F72" s="116"/>
      <c r="G72" s="116"/>
      <c r="H72" s="118"/>
      <c r="I72" s="34" t="s">
        <v>177</v>
      </c>
      <c r="J72" s="45">
        <f ca="1">(IF(B61=1,(H61/(B61+3)+J67),IF(B61=0,(H61/4+J67),IF(B61&gt;1,0))))</f>
        <v>30</v>
      </c>
    </row>
    <row r="73" spans="1:10" ht="16.5" thickBot="1" x14ac:dyDescent="0.3">
      <c r="A73" s="122" t="s">
        <v>164</v>
      </c>
      <c r="B73" s="123"/>
      <c r="C73" s="62">
        <v>0</v>
      </c>
      <c r="D73" s="63">
        <f ca="1">((100/(H61))*C73)/100</f>
        <v>0</v>
      </c>
      <c r="E73" s="117"/>
      <c r="F73" s="117"/>
      <c r="G73" s="117"/>
      <c r="H73" s="119"/>
      <c r="I73" s="44" t="s">
        <v>141</v>
      </c>
      <c r="J73" s="47">
        <f ca="1">(IF(B61&gt;1.5,(H61/(B61+2)+J67+MAX(0,J68-J67)+MAX(0,J69-J68)+MAX(0,J70-J69)+MAX(0,J71-J70)+MAX(0,J72-J71)),IF(B61=1,(H61/(B61+3)+J72),IF(B61=0,H61/4+J72))))</f>
        <v>40</v>
      </c>
    </row>
    <row r="74" spans="1:10" x14ac:dyDescent="0.25">
      <c r="A74" s="159" t="s">
        <v>145</v>
      </c>
      <c r="B74" s="160"/>
      <c r="C74" s="160"/>
      <c r="D74" s="160"/>
      <c r="E74" s="161"/>
      <c r="F74" s="159" t="str">
        <f ca="1">(IF(D59="Nothing","Yes",IF(D59="Cement, Aggregate, Steel, etc","Under Construction",IF(D59="Work not yet Started","Work not yet Started"))))</f>
        <v>Under Construction</v>
      </c>
      <c r="G74" s="160"/>
      <c r="H74" s="161"/>
    </row>
    <row r="75" spans="1:10" x14ac:dyDescent="0.25">
      <c r="A75" s="77" t="s">
        <v>54</v>
      </c>
      <c r="B75" s="77"/>
      <c r="C75" s="77"/>
      <c r="D75" s="77"/>
      <c r="E75" s="77"/>
      <c r="F75" s="77"/>
      <c r="G75" s="77"/>
      <c r="H75" s="77"/>
    </row>
    <row r="76" spans="1:10" ht="15" customHeight="1" x14ac:dyDescent="0.25">
      <c r="A76" s="127" t="s">
        <v>104</v>
      </c>
      <c r="B76" s="127"/>
      <c r="C76" s="162" t="s">
        <v>105</v>
      </c>
      <c r="D76" s="162"/>
      <c r="E76" s="162"/>
      <c r="F76" s="162"/>
      <c r="G76" s="162"/>
      <c r="H76" s="162"/>
    </row>
    <row r="77" spans="1:10" x14ac:dyDescent="0.25">
      <c r="A77" s="139" t="s">
        <v>55</v>
      </c>
      <c r="B77" s="139"/>
      <c r="C77" s="139"/>
      <c r="D77" s="139"/>
      <c r="E77" s="139"/>
      <c r="F77" s="139"/>
      <c r="G77" s="139"/>
      <c r="H77" s="139"/>
    </row>
    <row r="78" spans="1:10" ht="33.75" customHeight="1" x14ac:dyDescent="0.25">
      <c r="A78" s="115" t="s">
        <v>213</v>
      </c>
      <c r="B78" s="114"/>
      <c r="C78" s="114"/>
      <c r="D78" s="114"/>
      <c r="E78" s="114"/>
      <c r="F78" s="76">
        <v>12800</v>
      </c>
      <c r="G78" s="76"/>
      <c r="H78" s="76"/>
    </row>
    <row r="79" spans="1:10" x14ac:dyDescent="0.25">
      <c r="A79" s="114" t="s">
        <v>112</v>
      </c>
      <c r="B79" s="114"/>
      <c r="C79" s="114"/>
      <c r="D79" s="114"/>
      <c r="E79" s="114"/>
      <c r="F79" s="76">
        <v>24000</v>
      </c>
      <c r="G79" s="76"/>
      <c r="H79" s="76"/>
    </row>
    <row r="80" spans="1:10" hidden="1" x14ac:dyDescent="0.25">
      <c r="A80" s="77" t="s">
        <v>113</v>
      </c>
      <c r="B80" s="77"/>
      <c r="C80" s="77"/>
      <c r="D80" s="77"/>
      <c r="E80" s="77"/>
      <c r="F80" s="76"/>
      <c r="G80" s="76"/>
      <c r="H80" s="76"/>
    </row>
    <row r="81" spans="1:8" s="12" customFormat="1" hidden="1" x14ac:dyDescent="0.25">
      <c r="A81" s="77" t="s">
        <v>129</v>
      </c>
      <c r="B81" s="77"/>
      <c r="C81" s="77"/>
      <c r="D81" s="77"/>
      <c r="E81" s="77"/>
      <c r="F81" s="76" t="s">
        <v>30</v>
      </c>
      <c r="G81" s="76"/>
      <c r="H81" s="76"/>
    </row>
    <row r="82" spans="1:8" s="12" customFormat="1" x14ac:dyDescent="0.25">
      <c r="A82" s="77" t="s">
        <v>130</v>
      </c>
      <c r="B82" s="77"/>
      <c r="C82" s="77"/>
      <c r="D82" s="77"/>
      <c r="E82" s="77"/>
      <c r="F82" s="76" t="s">
        <v>212</v>
      </c>
      <c r="G82" s="76"/>
      <c r="H82" s="76"/>
    </row>
    <row r="83" spans="1:8" s="12" customFormat="1" x14ac:dyDescent="0.25">
      <c r="A83" s="77" t="s">
        <v>131</v>
      </c>
      <c r="B83" s="77"/>
      <c r="C83" s="77"/>
      <c r="D83" s="77"/>
      <c r="E83" s="77"/>
      <c r="F83" s="76" t="s">
        <v>212</v>
      </c>
      <c r="G83" s="76"/>
      <c r="H83" s="76"/>
    </row>
    <row r="84" spans="1:8" s="12" customFormat="1" hidden="1" x14ac:dyDescent="0.25">
      <c r="A84" s="77" t="s">
        <v>132</v>
      </c>
      <c r="B84" s="77"/>
      <c r="C84" s="77"/>
      <c r="D84" s="77"/>
      <c r="E84" s="77"/>
      <c r="F84" s="76" t="s">
        <v>30</v>
      </c>
      <c r="G84" s="76"/>
      <c r="H84" s="76"/>
    </row>
    <row r="85" spans="1:8" s="12" customFormat="1" hidden="1" x14ac:dyDescent="0.25">
      <c r="A85" s="77" t="s">
        <v>133</v>
      </c>
      <c r="B85" s="77"/>
      <c r="C85" s="77"/>
      <c r="D85" s="77"/>
      <c r="E85" s="77"/>
      <c r="F85" s="76" t="s">
        <v>30</v>
      </c>
      <c r="G85" s="76"/>
      <c r="H85" s="76"/>
    </row>
    <row r="86" spans="1:8" s="12" customFormat="1" x14ac:dyDescent="0.25">
      <c r="A86" s="77" t="s">
        <v>134</v>
      </c>
      <c r="B86" s="77"/>
      <c r="C86" s="77"/>
      <c r="D86" s="77"/>
      <c r="E86" s="77"/>
      <c r="F86" s="76" t="s">
        <v>211</v>
      </c>
      <c r="G86" s="76"/>
      <c r="H86" s="76"/>
    </row>
    <row r="87" spans="1:8" s="12" customFormat="1" x14ac:dyDescent="0.25">
      <c r="A87" s="77" t="s">
        <v>135</v>
      </c>
      <c r="B87" s="77"/>
      <c r="C87" s="77"/>
      <c r="D87" s="77"/>
      <c r="E87" s="77"/>
      <c r="F87" s="76" t="s">
        <v>209</v>
      </c>
      <c r="G87" s="76"/>
      <c r="H87" s="76"/>
    </row>
    <row r="88" spans="1:8" s="12" customFormat="1" x14ac:dyDescent="0.25">
      <c r="A88" s="77" t="s">
        <v>136</v>
      </c>
      <c r="B88" s="77"/>
      <c r="C88" s="77"/>
      <c r="D88" s="77"/>
      <c r="E88" s="77"/>
      <c r="F88" s="76" t="s">
        <v>210</v>
      </c>
      <c r="G88" s="76"/>
      <c r="H88" s="76"/>
    </row>
    <row r="89" spans="1:8" x14ac:dyDescent="0.25">
      <c r="A89" s="77" t="s">
        <v>56</v>
      </c>
      <c r="B89" s="77"/>
      <c r="C89" s="77"/>
      <c r="D89" s="77"/>
      <c r="E89" s="77"/>
      <c r="F89" s="154" t="s">
        <v>206</v>
      </c>
      <c r="G89" s="154"/>
      <c r="H89" s="154"/>
    </row>
    <row r="90" spans="1:8" s="9" customFormat="1" x14ac:dyDescent="0.25">
      <c r="A90" s="139" t="s">
        <v>57</v>
      </c>
      <c r="B90" s="139"/>
      <c r="C90" s="139"/>
      <c r="D90" s="139"/>
      <c r="E90" s="139"/>
      <c r="F90" s="76">
        <f>F78*0.8</f>
        <v>10240</v>
      </c>
      <c r="G90" s="76"/>
      <c r="H90" s="76"/>
    </row>
    <row r="91" spans="1:8" s="1" customFormat="1" ht="15.75" customHeight="1" x14ac:dyDescent="0.25">
      <c r="A91" s="105" t="s">
        <v>106</v>
      </c>
      <c r="B91" s="105"/>
      <c r="C91" s="105"/>
      <c r="D91" s="105"/>
      <c r="E91" s="105"/>
      <c r="F91" s="105"/>
      <c r="G91" s="105"/>
      <c r="H91" s="105"/>
    </row>
    <row r="92" spans="1:8" s="1" customFormat="1" ht="15.75" customHeight="1" x14ac:dyDescent="0.25">
      <c r="A92" s="80" t="s">
        <v>58</v>
      </c>
      <c r="B92" s="80"/>
      <c r="C92" s="81" t="s">
        <v>109</v>
      </c>
      <c r="D92" s="81"/>
      <c r="E92" s="103" t="s">
        <v>59</v>
      </c>
      <c r="F92" s="103"/>
      <c r="G92" s="80" t="s">
        <v>60</v>
      </c>
      <c r="H92" s="80"/>
    </row>
    <row r="93" spans="1:8" s="1" customFormat="1" x14ac:dyDescent="0.25">
      <c r="A93" s="104" t="s">
        <v>247</v>
      </c>
      <c r="B93" s="104"/>
      <c r="C93" s="166">
        <f>COUNT(D107:D123)</f>
        <v>17</v>
      </c>
      <c r="D93" s="167"/>
      <c r="E93" s="95">
        <f>SUM(D107:D123)</f>
        <v>2713.1200199999994</v>
      </c>
      <c r="F93" s="168"/>
      <c r="G93" s="95">
        <f>SUM(F107:F123)</f>
        <v>4340.9920320000001</v>
      </c>
      <c r="H93" s="168"/>
    </row>
    <row r="94" spans="1:8" s="1" customFormat="1" x14ac:dyDescent="0.25">
      <c r="A94" s="105" t="s">
        <v>99</v>
      </c>
      <c r="B94" s="105"/>
      <c r="C94" s="105"/>
      <c r="D94" s="105"/>
      <c r="E94" s="105"/>
      <c r="F94" s="105"/>
      <c r="G94" s="105"/>
      <c r="H94" s="105"/>
    </row>
    <row r="95" spans="1:8" s="1" customFormat="1" ht="15.75" customHeight="1" x14ac:dyDescent="0.25">
      <c r="A95" s="80" t="s">
        <v>58</v>
      </c>
      <c r="B95" s="80"/>
      <c r="C95" s="81" t="s">
        <v>109</v>
      </c>
      <c r="D95" s="81"/>
      <c r="E95" s="103" t="s">
        <v>59</v>
      </c>
      <c r="F95" s="103"/>
      <c r="G95" s="80" t="s">
        <v>60</v>
      </c>
      <c r="H95" s="80"/>
    </row>
    <row r="96" spans="1:8" s="1" customFormat="1" x14ac:dyDescent="0.25">
      <c r="A96" s="104" t="s">
        <v>231</v>
      </c>
      <c r="B96" s="104"/>
      <c r="C96" s="95">
        <f>COUNT(D128:D133)+COUNT(D135:D141)+COUNT(D143:D149)*12+COUNT(D151:D157)*19+COUNT(D159,D162:D165)*2+COUNT(D167,D170:D173)*2+COUNT(D176,D178:D182)+COUNT(D190)</f>
        <v>257</v>
      </c>
      <c r="D96" s="95"/>
      <c r="E96" s="95">
        <f>SUM(D128:D133)+SUM(D135:D141)+SUM(D143:D149)*12+SUM(D151:D157)*19+SUM(D159,D162:D165)*2+SUM(D167,D170:D173)*2+SUM(D176,D178:D182)+SUM(D190)</f>
        <v>90025.682759999996</v>
      </c>
      <c r="F96" s="95"/>
      <c r="G96" s="95">
        <f>SUM(F128:F133)+SUM(F135:F141)+SUM(F143:F149)*12+SUM(F151:F157)*19+SUM(F159,F162:F165)*2+SUM(F167,F170:F173)*2+SUM(F176,F178:F182)+SUM(F190)</f>
        <v>149721.184462</v>
      </c>
      <c r="H96" s="95"/>
    </row>
    <row r="97" spans="1:14" s="1" customFormat="1" x14ac:dyDescent="0.25">
      <c r="A97" s="104" t="s">
        <v>221</v>
      </c>
      <c r="B97" s="104"/>
      <c r="C97" s="95">
        <f>COUNT(D198:D199)+COUNT(D201,D206:D207)+COUNT(D209:D215)*12+COUNT(D217:D223)*19+COUNT(D225:D229)*2+COUNT(D233:D237)*2+COUNT(D242:D247)</f>
        <v>248</v>
      </c>
      <c r="D97" s="95"/>
      <c r="E97" s="95">
        <f>SUM(D198:D199)+SUM(D201,D206:D207)+SUM(D209:D215)*12+SUM(D217:D223)*19+SUM(D225:D229)*2+SUM(D233:D237)*2+SUM(D242:D247)</f>
        <v>85623.42203999999</v>
      </c>
      <c r="F97" s="95"/>
      <c r="G97" s="95">
        <f>SUM(F198:F199)+SUM(F201,F206:F207)+SUM(F209:F215)*12+SUM(F217:F223)*19+SUM(F225:F229)*2+SUM(F233:F237)*2+SUM(F242:F247)</f>
        <v>144185</v>
      </c>
      <c r="H97" s="95"/>
    </row>
    <row r="98" spans="1:14" s="1" customFormat="1" x14ac:dyDescent="0.25">
      <c r="A98" s="105" t="s">
        <v>62</v>
      </c>
      <c r="B98" s="105"/>
      <c r="C98" s="106">
        <f>SUM(C96:D97)</f>
        <v>505</v>
      </c>
      <c r="D98" s="81"/>
      <c r="E98" s="107">
        <f>SUM(E96:F97)</f>
        <v>175649.10479999997</v>
      </c>
      <c r="F98" s="103"/>
      <c r="G98" s="80">
        <f>SUM(G96:H97)</f>
        <v>293906.18446200003</v>
      </c>
      <c r="H98" s="80"/>
    </row>
    <row r="99" spans="1:14" s="1" customFormat="1" x14ac:dyDescent="0.25">
      <c r="A99" s="105" t="s">
        <v>228</v>
      </c>
      <c r="B99" s="105"/>
      <c r="C99" s="106">
        <f>C93+C98</f>
        <v>522</v>
      </c>
      <c r="D99" s="81"/>
      <c r="E99" s="107">
        <f>E93+E98</f>
        <v>178362.22481999997</v>
      </c>
      <c r="F99" s="103"/>
      <c r="G99" s="80">
        <f>G93+G98</f>
        <v>298247.17649400001</v>
      </c>
      <c r="H99" s="80"/>
    </row>
    <row r="100" spans="1:14" s="9" customFormat="1" x14ac:dyDescent="0.25">
      <c r="A100" s="102" t="s">
        <v>63</v>
      </c>
      <c r="B100" s="102"/>
      <c r="C100" s="102"/>
      <c r="D100" s="102"/>
      <c r="E100" s="102"/>
      <c r="F100" s="102"/>
      <c r="G100" s="102"/>
      <c r="H100" s="102"/>
    </row>
    <row r="101" spans="1:14" x14ac:dyDescent="0.25">
      <c r="A101" s="102" t="s">
        <v>64</v>
      </c>
      <c r="B101" s="102"/>
      <c r="C101" s="102"/>
      <c r="D101" s="102"/>
      <c r="E101" s="102"/>
      <c r="F101" s="102"/>
      <c r="G101" s="102"/>
      <c r="H101" s="102"/>
    </row>
    <row r="102" spans="1:14" ht="47.25" customHeight="1" x14ac:dyDescent="0.25">
      <c r="A102" s="74" t="s">
        <v>148</v>
      </c>
      <c r="B102" s="74" t="s">
        <v>147</v>
      </c>
      <c r="C102" s="74" t="s">
        <v>65</v>
      </c>
      <c r="D102" s="74" t="s">
        <v>66</v>
      </c>
      <c r="E102" s="96" t="s">
        <v>67</v>
      </c>
      <c r="F102" s="25" t="s">
        <v>146</v>
      </c>
      <c r="G102" s="98" t="s">
        <v>68</v>
      </c>
      <c r="H102" s="99"/>
    </row>
    <row r="103" spans="1:14" s="2" customFormat="1" x14ac:dyDescent="0.25">
      <c r="A103" s="75"/>
      <c r="B103" s="75"/>
      <c r="C103" s="75"/>
      <c r="D103" s="75"/>
      <c r="E103" s="97"/>
      <c r="F103" s="26">
        <v>0.6</v>
      </c>
      <c r="G103" s="100"/>
      <c r="H103" s="101"/>
    </row>
    <row r="104" spans="1:14" x14ac:dyDescent="0.25">
      <c r="A104" s="111" t="s">
        <v>247</v>
      </c>
      <c r="B104" s="111"/>
      <c r="C104" s="111"/>
      <c r="D104" s="111"/>
      <c r="E104" s="111"/>
      <c r="F104" s="111"/>
      <c r="G104" s="111"/>
      <c r="H104" s="111"/>
    </row>
    <row r="105" spans="1:14" x14ac:dyDescent="0.25">
      <c r="A105" s="102" t="s">
        <v>194</v>
      </c>
      <c r="B105" s="102"/>
      <c r="C105" s="102"/>
      <c r="D105" s="102"/>
      <c r="E105" s="102"/>
      <c r="F105" s="102"/>
      <c r="G105" s="102"/>
      <c r="H105" s="102"/>
    </row>
    <row r="106" spans="1:14" s="2" customFormat="1" x14ac:dyDescent="0.25">
      <c r="A106" s="91" t="s">
        <v>234</v>
      </c>
      <c r="B106" s="92"/>
      <c r="C106" s="92"/>
      <c r="D106" s="92"/>
      <c r="E106" s="92"/>
      <c r="F106" s="92"/>
      <c r="G106" s="92"/>
      <c r="H106" s="93"/>
    </row>
    <row r="107" spans="1:14" s="2" customFormat="1" ht="15.6" customHeight="1" x14ac:dyDescent="0.25">
      <c r="A107" s="78">
        <v>1</v>
      </c>
      <c r="B107" s="79"/>
      <c r="C107" s="27" t="s">
        <v>195</v>
      </c>
      <c r="D107" s="27">
        <f>(40.71)*10.764</f>
        <v>438.20243999999997</v>
      </c>
      <c r="E107" s="27">
        <v>0</v>
      </c>
      <c r="F107" s="27">
        <f>D107*(($F$103)+1)+E107</f>
        <v>701.12390400000004</v>
      </c>
      <c r="G107" s="82" t="str">
        <f>A106</f>
        <v>Ground Floor for Commercial, Meter Room &amp; Parking</v>
      </c>
      <c r="H107" s="84"/>
      <c r="I107" s="28"/>
      <c r="L107" s="112"/>
      <c r="M107" s="112"/>
      <c r="N107" s="28"/>
    </row>
    <row r="108" spans="1:14" s="2" customFormat="1" ht="15.6" customHeight="1" x14ac:dyDescent="0.25">
      <c r="A108" s="78">
        <f>A107+1</f>
        <v>2</v>
      </c>
      <c r="B108" s="79"/>
      <c r="C108" s="51" t="s">
        <v>195</v>
      </c>
      <c r="D108" s="27">
        <f>(14.44)*10.764</f>
        <v>155.43215999999998</v>
      </c>
      <c r="E108" s="40">
        <v>0</v>
      </c>
      <c r="F108" s="27">
        <f t="shared" ref="F108:F109" si="0">D108*(($F$103)+1)+E108</f>
        <v>248.69145599999999</v>
      </c>
      <c r="G108" s="85"/>
      <c r="H108" s="87"/>
      <c r="I108" s="28"/>
      <c r="L108" s="112"/>
      <c r="M108" s="112"/>
      <c r="N108" s="28"/>
    </row>
    <row r="109" spans="1:14" s="2" customFormat="1" ht="15.6" customHeight="1" x14ac:dyDescent="0.25">
      <c r="A109" s="78">
        <v>3</v>
      </c>
      <c r="B109" s="79"/>
      <c r="C109" s="51" t="s">
        <v>195</v>
      </c>
      <c r="D109" s="27">
        <f>(14.44)*10.764</f>
        <v>155.43215999999998</v>
      </c>
      <c r="E109" s="40">
        <v>0</v>
      </c>
      <c r="F109" s="27">
        <f t="shared" si="0"/>
        <v>248.69145599999999</v>
      </c>
      <c r="G109" s="85"/>
      <c r="H109" s="87"/>
      <c r="I109" s="28"/>
      <c r="L109" s="112"/>
      <c r="M109" s="112"/>
      <c r="N109" s="28"/>
    </row>
    <row r="110" spans="1:14" s="2" customFormat="1" ht="15.6" customHeight="1" x14ac:dyDescent="0.25">
      <c r="A110" s="78">
        <f t="shared" ref="A110" si="1">A109+1</f>
        <v>4</v>
      </c>
      <c r="B110" s="79"/>
      <c r="C110" s="51" t="s">
        <v>195</v>
      </c>
      <c r="D110" s="27">
        <f>(10.505)*10.764</f>
        <v>113.07582000000001</v>
      </c>
      <c r="E110" s="40">
        <v>0</v>
      </c>
      <c r="F110" s="27">
        <f t="shared" ref="F110:F111" si="2">D110*(($F$103)+1)+E110</f>
        <v>180.92131200000003</v>
      </c>
      <c r="G110" s="85"/>
      <c r="H110" s="87"/>
      <c r="I110" s="28"/>
      <c r="L110" s="112"/>
      <c r="M110" s="112"/>
      <c r="N110" s="28"/>
    </row>
    <row r="111" spans="1:14" s="2" customFormat="1" ht="15.6" customHeight="1" x14ac:dyDescent="0.25">
      <c r="A111" s="78">
        <f t="shared" ref="A111:A120" si="3">A110+1</f>
        <v>5</v>
      </c>
      <c r="B111" s="79"/>
      <c r="C111" s="51" t="s">
        <v>195</v>
      </c>
      <c r="D111" s="27">
        <f>(14.44)*10.764</f>
        <v>155.43215999999998</v>
      </c>
      <c r="E111" s="40">
        <v>0</v>
      </c>
      <c r="F111" s="27">
        <f t="shared" si="2"/>
        <v>248.69145599999999</v>
      </c>
      <c r="G111" s="85"/>
      <c r="H111" s="87"/>
      <c r="I111" s="28"/>
      <c r="L111" s="112"/>
      <c r="M111" s="112"/>
      <c r="N111" s="28"/>
    </row>
    <row r="112" spans="1:14" s="2" customFormat="1" ht="15.6" customHeight="1" x14ac:dyDescent="0.25">
      <c r="A112" s="78">
        <f t="shared" si="3"/>
        <v>6</v>
      </c>
      <c r="B112" s="79"/>
      <c r="C112" s="51" t="s">
        <v>195</v>
      </c>
      <c r="D112" s="27">
        <f>(14.44)*10.764</f>
        <v>155.43215999999998</v>
      </c>
      <c r="E112" s="40">
        <v>0</v>
      </c>
      <c r="F112" s="27">
        <f t="shared" ref="F112:F113" si="4">D112*(($F$103)+1)+E112</f>
        <v>248.69145599999999</v>
      </c>
      <c r="G112" s="85"/>
      <c r="H112" s="87"/>
      <c r="I112" s="28"/>
      <c r="L112" s="112"/>
      <c r="M112" s="112"/>
      <c r="N112" s="28"/>
    </row>
    <row r="113" spans="1:14" s="2" customFormat="1" ht="15.6" customHeight="1" x14ac:dyDescent="0.25">
      <c r="A113" s="78">
        <f t="shared" si="3"/>
        <v>7</v>
      </c>
      <c r="B113" s="79"/>
      <c r="C113" s="51" t="s">
        <v>195</v>
      </c>
      <c r="D113" s="27">
        <f>(10.5)*10.764</f>
        <v>113.02199999999999</v>
      </c>
      <c r="E113" s="40">
        <v>0</v>
      </c>
      <c r="F113" s="27">
        <f t="shared" si="4"/>
        <v>180.83519999999999</v>
      </c>
      <c r="G113" s="85"/>
      <c r="H113" s="87"/>
      <c r="I113" s="28"/>
      <c r="L113" s="112"/>
      <c r="M113" s="112"/>
      <c r="N113" s="28"/>
    </row>
    <row r="114" spans="1:14" s="54" customFormat="1" ht="15.6" customHeight="1" x14ac:dyDescent="0.25">
      <c r="A114" s="78">
        <f t="shared" si="3"/>
        <v>8</v>
      </c>
      <c r="B114" s="79"/>
      <c r="C114" s="51" t="s">
        <v>195</v>
      </c>
      <c r="D114" s="51">
        <f>(14.44)*10.764</f>
        <v>155.43215999999998</v>
      </c>
      <c r="E114" s="51">
        <v>0</v>
      </c>
      <c r="F114" s="51">
        <f>D114*(($F$103)+1)+E114</f>
        <v>248.69145599999999</v>
      </c>
      <c r="G114" s="85"/>
      <c r="H114" s="87"/>
      <c r="I114" s="28"/>
      <c r="L114" s="112"/>
      <c r="M114" s="112"/>
      <c r="N114" s="28"/>
    </row>
    <row r="115" spans="1:14" s="54" customFormat="1" ht="15.6" customHeight="1" x14ac:dyDescent="0.25">
      <c r="A115" s="78">
        <f t="shared" si="3"/>
        <v>9</v>
      </c>
      <c r="B115" s="79"/>
      <c r="C115" s="51" t="s">
        <v>195</v>
      </c>
      <c r="D115" s="51">
        <f>(14.44)*10.764</f>
        <v>155.43215999999998</v>
      </c>
      <c r="E115" s="51">
        <v>0</v>
      </c>
      <c r="F115" s="51">
        <f t="shared" ref="F115:F120" si="5">D115*(($F$103)+1)+E115</f>
        <v>248.69145599999999</v>
      </c>
      <c r="G115" s="85"/>
      <c r="H115" s="87"/>
      <c r="I115" s="28"/>
      <c r="L115" s="112"/>
      <c r="M115" s="112"/>
      <c r="N115" s="28"/>
    </row>
    <row r="116" spans="1:14" s="54" customFormat="1" ht="15.6" customHeight="1" x14ac:dyDescent="0.25">
      <c r="A116" s="78">
        <f t="shared" si="3"/>
        <v>10</v>
      </c>
      <c r="B116" s="79"/>
      <c r="C116" s="51" t="s">
        <v>195</v>
      </c>
      <c r="D116" s="51">
        <f>(10.5)*10.764</f>
        <v>113.02199999999999</v>
      </c>
      <c r="E116" s="51">
        <v>0</v>
      </c>
      <c r="F116" s="51">
        <f t="shared" si="5"/>
        <v>180.83519999999999</v>
      </c>
      <c r="G116" s="85"/>
      <c r="H116" s="87"/>
      <c r="I116" s="28"/>
      <c r="L116" s="112"/>
      <c r="M116" s="112"/>
      <c r="N116" s="28"/>
    </row>
    <row r="117" spans="1:14" s="54" customFormat="1" ht="15.6" customHeight="1" x14ac:dyDescent="0.25">
      <c r="A117" s="78">
        <f t="shared" si="3"/>
        <v>11</v>
      </c>
      <c r="B117" s="79"/>
      <c r="C117" s="51" t="s">
        <v>195</v>
      </c>
      <c r="D117" s="51">
        <f>(14.44)*10.764</f>
        <v>155.43215999999998</v>
      </c>
      <c r="E117" s="51">
        <v>0</v>
      </c>
      <c r="F117" s="51">
        <f t="shared" si="5"/>
        <v>248.69145599999999</v>
      </c>
      <c r="G117" s="85"/>
      <c r="H117" s="87"/>
      <c r="I117" s="28"/>
      <c r="L117" s="112"/>
      <c r="M117" s="112"/>
      <c r="N117" s="28"/>
    </row>
    <row r="118" spans="1:14" s="54" customFormat="1" ht="15.6" customHeight="1" x14ac:dyDescent="0.25">
      <c r="A118" s="78">
        <f t="shared" si="3"/>
        <v>12</v>
      </c>
      <c r="B118" s="79"/>
      <c r="C118" s="51" t="s">
        <v>195</v>
      </c>
      <c r="D118" s="51">
        <f>(14.44)*10.764</f>
        <v>155.43215999999998</v>
      </c>
      <c r="E118" s="51">
        <v>0</v>
      </c>
      <c r="F118" s="51">
        <f t="shared" si="5"/>
        <v>248.69145599999999</v>
      </c>
      <c r="G118" s="85"/>
      <c r="H118" s="87"/>
      <c r="I118" s="28"/>
      <c r="L118" s="112"/>
      <c r="M118" s="112"/>
      <c r="N118" s="28"/>
    </row>
    <row r="119" spans="1:14" s="54" customFormat="1" ht="15.6" customHeight="1" x14ac:dyDescent="0.25">
      <c r="A119" s="78">
        <f t="shared" si="3"/>
        <v>13</v>
      </c>
      <c r="B119" s="79"/>
      <c r="C119" s="51" t="s">
        <v>195</v>
      </c>
      <c r="D119" s="51">
        <f>(10.5)*10.764</f>
        <v>113.02199999999999</v>
      </c>
      <c r="E119" s="51">
        <v>0</v>
      </c>
      <c r="F119" s="51">
        <f t="shared" si="5"/>
        <v>180.83519999999999</v>
      </c>
      <c r="G119" s="85"/>
      <c r="H119" s="87"/>
      <c r="I119" s="28"/>
      <c r="L119" s="112"/>
      <c r="M119" s="112"/>
      <c r="N119" s="28"/>
    </row>
    <row r="120" spans="1:14" s="54" customFormat="1" ht="15.6" customHeight="1" x14ac:dyDescent="0.25">
      <c r="A120" s="78">
        <f t="shared" si="3"/>
        <v>14</v>
      </c>
      <c r="B120" s="79"/>
      <c r="C120" s="51" t="s">
        <v>195</v>
      </c>
      <c r="D120" s="51">
        <f>(14.44)*10.764</f>
        <v>155.43215999999998</v>
      </c>
      <c r="E120" s="51">
        <v>0</v>
      </c>
      <c r="F120" s="51">
        <f t="shared" si="5"/>
        <v>248.69145599999999</v>
      </c>
      <c r="G120" s="85"/>
      <c r="H120" s="87"/>
      <c r="I120" s="28"/>
      <c r="L120" s="112"/>
      <c r="M120" s="112"/>
      <c r="N120" s="28"/>
    </row>
    <row r="121" spans="1:14" s="54" customFormat="1" ht="15.6" customHeight="1" x14ac:dyDescent="0.25">
      <c r="A121" s="78">
        <f t="shared" ref="A121:A123" si="6">A120+1</f>
        <v>15</v>
      </c>
      <c r="B121" s="79"/>
      <c r="C121" s="51" t="s">
        <v>195</v>
      </c>
      <c r="D121" s="51">
        <f>(14.44)*10.764</f>
        <v>155.43215999999998</v>
      </c>
      <c r="E121" s="51">
        <v>0</v>
      </c>
      <c r="F121" s="51">
        <f t="shared" ref="F121:F123" si="7">D121*(($F$103)+1)+E121</f>
        <v>248.69145599999999</v>
      </c>
      <c r="G121" s="85"/>
      <c r="H121" s="87"/>
      <c r="I121" s="28"/>
      <c r="L121" s="112"/>
      <c r="M121" s="112"/>
      <c r="N121" s="28"/>
    </row>
    <row r="122" spans="1:14" s="54" customFormat="1" ht="15.6" customHeight="1" x14ac:dyDescent="0.25">
      <c r="A122" s="78">
        <f t="shared" si="6"/>
        <v>16</v>
      </c>
      <c r="B122" s="79"/>
      <c r="C122" s="51" t="s">
        <v>195</v>
      </c>
      <c r="D122" s="51">
        <f>(10.5)*10.764</f>
        <v>113.02199999999999</v>
      </c>
      <c r="E122" s="51">
        <v>0</v>
      </c>
      <c r="F122" s="51">
        <f t="shared" si="7"/>
        <v>180.83519999999999</v>
      </c>
      <c r="G122" s="85"/>
      <c r="H122" s="87"/>
      <c r="I122" s="28"/>
      <c r="L122" s="112"/>
      <c r="M122" s="112"/>
      <c r="N122" s="28"/>
    </row>
    <row r="123" spans="1:14" s="54" customFormat="1" ht="15.6" customHeight="1" x14ac:dyDescent="0.25">
      <c r="A123" s="78">
        <f t="shared" si="6"/>
        <v>17</v>
      </c>
      <c r="B123" s="79"/>
      <c r="C123" s="51" t="s">
        <v>195</v>
      </c>
      <c r="D123" s="51">
        <f>(14.44)*10.764</f>
        <v>155.43215999999998</v>
      </c>
      <c r="E123" s="51">
        <v>0</v>
      </c>
      <c r="F123" s="51">
        <f t="shared" si="7"/>
        <v>248.69145599999999</v>
      </c>
      <c r="G123" s="88"/>
      <c r="H123" s="90"/>
      <c r="I123" s="28"/>
      <c r="L123" s="112"/>
      <c r="M123" s="112"/>
      <c r="N123" s="28"/>
    </row>
    <row r="124" spans="1:14" s="69" customFormat="1" ht="15.6" customHeight="1" x14ac:dyDescent="0.25">
      <c r="A124" s="78"/>
      <c r="B124" s="185"/>
      <c r="C124" s="185"/>
      <c r="D124" s="185"/>
      <c r="E124" s="185"/>
      <c r="F124" s="185"/>
      <c r="G124" s="185"/>
      <c r="H124" s="79"/>
      <c r="I124" s="28"/>
      <c r="L124" s="112"/>
      <c r="M124" s="112"/>
      <c r="N124" s="28"/>
    </row>
    <row r="125" spans="1:14" ht="47.25" customHeight="1" x14ac:dyDescent="0.25">
      <c r="A125" s="67" t="s">
        <v>149</v>
      </c>
      <c r="B125" s="67" t="s">
        <v>150</v>
      </c>
      <c r="C125" s="65" t="s">
        <v>65</v>
      </c>
      <c r="D125" s="65" t="s">
        <v>66</v>
      </c>
      <c r="E125" s="66" t="s">
        <v>67</v>
      </c>
      <c r="F125" s="30" t="s">
        <v>214</v>
      </c>
      <c r="G125" s="98" t="s">
        <v>68</v>
      </c>
      <c r="H125" s="99"/>
      <c r="I125" s="28"/>
    </row>
    <row r="126" spans="1:14" x14ac:dyDescent="0.25">
      <c r="A126" s="111" t="s">
        <v>220</v>
      </c>
      <c r="B126" s="111"/>
      <c r="C126" s="111"/>
      <c r="D126" s="111"/>
      <c r="E126" s="111"/>
      <c r="F126" s="111"/>
      <c r="G126" s="111"/>
      <c r="H126" s="111"/>
    </row>
    <row r="127" spans="1:14" s="2" customFormat="1" x14ac:dyDescent="0.25">
      <c r="A127" s="155" t="s">
        <v>197</v>
      </c>
      <c r="B127" s="155"/>
      <c r="C127" s="155"/>
      <c r="D127" s="155"/>
      <c r="E127" s="155"/>
      <c r="F127" s="155"/>
      <c r="G127" s="155"/>
      <c r="H127" s="155"/>
      <c r="I127" s="28"/>
      <c r="L127" s="112"/>
      <c r="M127" s="112"/>
    </row>
    <row r="128" spans="1:14" s="2" customFormat="1" ht="15.6" customHeight="1" x14ac:dyDescent="0.25">
      <c r="A128" s="94">
        <v>1</v>
      </c>
      <c r="B128" s="94"/>
      <c r="C128" s="19" t="s">
        <v>196</v>
      </c>
      <c r="D128" s="19">
        <f>(31.44)*10.764</f>
        <v>338.42016000000001</v>
      </c>
      <c r="E128" s="19">
        <v>0</v>
      </c>
      <c r="F128" s="31">
        <v>560</v>
      </c>
      <c r="G128" s="82" t="str">
        <f>A127</f>
        <v>1st Floor for Residential</v>
      </c>
      <c r="H128" s="84"/>
      <c r="I128" s="28">
        <f>(6328000+800000)/F128</f>
        <v>12728.571428571429</v>
      </c>
      <c r="J128" s="72">
        <f>2.75*4.1+2.1*2.8+2.75*3+1.25*2+1.05*2</f>
        <v>30.004999999999999</v>
      </c>
      <c r="L128" s="38"/>
      <c r="M128" s="38"/>
      <c r="N128" s="28"/>
    </row>
    <row r="129" spans="1:16" s="2" customFormat="1" ht="15.6" customHeight="1" x14ac:dyDescent="0.25">
      <c r="A129" s="94">
        <f>A128+1</f>
        <v>2</v>
      </c>
      <c r="B129" s="94"/>
      <c r="C129" s="19" t="s">
        <v>196</v>
      </c>
      <c r="D129" s="19">
        <f>(30.6)*10.764</f>
        <v>329.3784</v>
      </c>
      <c r="E129" s="39">
        <v>0</v>
      </c>
      <c r="F129" s="31">
        <v>545</v>
      </c>
      <c r="G129" s="85"/>
      <c r="H129" s="87"/>
      <c r="I129" s="28">
        <f>(6158500+800000)/F129</f>
        <v>12767.889908256881</v>
      </c>
      <c r="K129" s="72">
        <f>F129/D129</f>
        <v>1.6546318762857553</v>
      </c>
      <c r="L129" s="38"/>
      <c r="M129" s="38"/>
      <c r="N129" s="28"/>
    </row>
    <row r="130" spans="1:16" s="2" customFormat="1" ht="15.6" customHeight="1" x14ac:dyDescent="0.25">
      <c r="A130" s="94">
        <f>A129+1</f>
        <v>3</v>
      </c>
      <c r="B130" s="94"/>
      <c r="C130" s="19" t="s">
        <v>196</v>
      </c>
      <c r="D130" s="19">
        <f>(30.6)*10.764</f>
        <v>329.3784</v>
      </c>
      <c r="E130" s="39">
        <v>0</v>
      </c>
      <c r="F130" s="31">
        <v>545</v>
      </c>
      <c r="G130" s="85"/>
      <c r="H130" s="87"/>
      <c r="I130" s="28"/>
      <c r="K130" s="72">
        <f t="shared" ref="K130:K133" si="8">F130/D130</f>
        <v>1.6546318762857553</v>
      </c>
      <c r="L130" s="38"/>
      <c r="M130" s="38"/>
      <c r="N130" s="28"/>
    </row>
    <row r="131" spans="1:16" s="2" customFormat="1" ht="15.6" customHeight="1" x14ac:dyDescent="0.25">
      <c r="A131" s="94">
        <f t="shared" ref="A131:A133" si="9">A130+1</f>
        <v>4</v>
      </c>
      <c r="B131" s="94"/>
      <c r="C131" s="27" t="s">
        <v>196</v>
      </c>
      <c r="D131" s="27">
        <f>(30.87)*10.764</f>
        <v>332.28467999999998</v>
      </c>
      <c r="E131" s="39">
        <v>0</v>
      </c>
      <c r="F131" s="31">
        <v>550</v>
      </c>
      <c r="G131" s="85"/>
      <c r="H131" s="87"/>
      <c r="I131" s="28"/>
      <c r="J131" s="54"/>
      <c r="K131" s="72">
        <f t="shared" si="8"/>
        <v>1.6552072156922795</v>
      </c>
      <c r="L131" s="38"/>
      <c r="M131" s="38"/>
      <c r="N131" s="28"/>
    </row>
    <row r="132" spans="1:16" s="2" customFormat="1" ht="15.6" customHeight="1" x14ac:dyDescent="0.25">
      <c r="A132" s="94">
        <f t="shared" si="9"/>
        <v>5</v>
      </c>
      <c r="B132" s="94"/>
      <c r="C132" s="27" t="s">
        <v>196</v>
      </c>
      <c r="D132" s="27">
        <f>(30.87)*10.764</f>
        <v>332.28467999999998</v>
      </c>
      <c r="E132" s="39">
        <v>0</v>
      </c>
      <c r="F132" s="31">
        <v>550</v>
      </c>
      <c r="G132" s="85"/>
      <c r="H132" s="87"/>
      <c r="I132" s="28"/>
      <c r="K132" s="72">
        <f t="shared" si="8"/>
        <v>1.6552072156922795</v>
      </c>
      <c r="L132" s="38"/>
      <c r="M132" s="38"/>
      <c r="N132" s="28"/>
    </row>
    <row r="133" spans="1:16" s="2" customFormat="1" ht="15.6" customHeight="1" x14ac:dyDescent="0.25">
      <c r="A133" s="94">
        <f t="shared" si="9"/>
        <v>6</v>
      </c>
      <c r="B133" s="94"/>
      <c r="C133" s="27" t="s">
        <v>196</v>
      </c>
      <c r="D133" s="27">
        <f>(30.56)*10.764</f>
        <v>328.94783999999999</v>
      </c>
      <c r="E133" s="39">
        <v>0</v>
      </c>
      <c r="F133" s="31">
        <v>545</v>
      </c>
      <c r="G133" s="88"/>
      <c r="H133" s="90"/>
      <c r="I133" s="28"/>
      <c r="K133" s="72">
        <f t="shared" si="8"/>
        <v>1.6567976248149252</v>
      </c>
      <c r="L133" s="38"/>
      <c r="M133" s="38"/>
      <c r="N133" s="28"/>
    </row>
    <row r="134" spans="1:16" s="54" customFormat="1" x14ac:dyDescent="0.25">
      <c r="A134" s="155" t="s">
        <v>198</v>
      </c>
      <c r="B134" s="155"/>
      <c r="C134" s="155"/>
      <c r="D134" s="155"/>
      <c r="E134" s="155"/>
      <c r="F134" s="155"/>
      <c r="G134" s="155"/>
      <c r="H134" s="155"/>
      <c r="I134" s="28"/>
      <c r="L134" s="112"/>
      <c r="M134" s="112"/>
    </row>
    <row r="135" spans="1:16" s="54" customFormat="1" x14ac:dyDescent="0.25">
      <c r="A135" s="94">
        <v>1</v>
      </c>
      <c r="B135" s="94"/>
      <c r="C135" s="51" t="s">
        <v>196</v>
      </c>
      <c r="D135" s="51">
        <f>(31.44)*10.764</f>
        <v>338.42016000000001</v>
      </c>
      <c r="E135" s="51">
        <v>0</v>
      </c>
      <c r="F135" s="31">
        <v>560</v>
      </c>
      <c r="G135" s="82" t="str">
        <f>A134</f>
        <v xml:space="preserve">2nd Floor </v>
      </c>
      <c r="H135" s="84"/>
      <c r="I135" s="28"/>
      <c r="N135" s="28"/>
    </row>
    <row r="136" spans="1:16" s="54" customFormat="1" x14ac:dyDescent="0.25">
      <c r="A136" s="94">
        <f>A135+1</f>
        <v>2</v>
      </c>
      <c r="B136" s="94"/>
      <c r="C136" s="51" t="s">
        <v>196</v>
      </c>
      <c r="D136" s="51">
        <f>(30.6)*10.764</f>
        <v>329.3784</v>
      </c>
      <c r="E136" s="51">
        <v>0</v>
      </c>
      <c r="F136" s="31">
        <v>545</v>
      </c>
      <c r="G136" s="85"/>
      <c r="H136" s="87"/>
      <c r="I136" s="28"/>
      <c r="N136" s="28"/>
    </row>
    <row r="137" spans="1:16" s="54" customFormat="1" x14ac:dyDescent="0.25">
      <c r="A137" s="94">
        <f>A136+1</f>
        <v>3</v>
      </c>
      <c r="B137" s="94"/>
      <c r="C137" s="51" t="s">
        <v>196</v>
      </c>
      <c r="D137" s="51">
        <f>(30.6)*10.764</f>
        <v>329.3784</v>
      </c>
      <c r="E137" s="51">
        <v>0</v>
      </c>
      <c r="F137" s="31">
        <v>545</v>
      </c>
      <c r="G137" s="85"/>
      <c r="H137" s="87"/>
      <c r="I137" s="28"/>
      <c r="N137" s="28"/>
    </row>
    <row r="138" spans="1:16" s="54" customFormat="1" x14ac:dyDescent="0.25">
      <c r="A138" s="94">
        <f t="shared" ref="A138:A141" si="10">A137+1</f>
        <v>4</v>
      </c>
      <c r="B138" s="94"/>
      <c r="C138" s="51" t="s">
        <v>196</v>
      </c>
      <c r="D138" s="51">
        <f>(30.87)*10.764</f>
        <v>332.28467999999998</v>
      </c>
      <c r="E138" s="51">
        <v>0</v>
      </c>
      <c r="F138" s="31">
        <v>550</v>
      </c>
      <c r="G138" s="85"/>
      <c r="H138" s="87"/>
      <c r="I138" s="28"/>
      <c r="N138" s="28"/>
    </row>
    <row r="139" spans="1:16" s="54" customFormat="1" x14ac:dyDescent="0.25">
      <c r="A139" s="94">
        <f t="shared" si="10"/>
        <v>5</v>
      </c>
      <c r="B139" s="94"/>
      <c r="C139" s="51" t="s">
        <v>196</v>
      </c>
      <c r="D139" s="51">
        <f>(30.87)*10.764</f>
        <v>332.28467999999998</v>
      </c>
      <c r="E139" s="51">
        <v>0</v>
      </c>
      <c r="F139" s="31">
        <v>550</v>
      </c>
      <c r="G139" s="85"/>
      <c r="H139" s="87"/>
      <c r="I139" s="28"/>
      <c r="N139" s="28"/>
    </row>
    <row r="140" spans="1:16" s="54" customFormat="1" x14ac:dyDescent="0.25">
      <c r="A140" s="94">
        <f t="shared" si="10"/>
        <v>6</v>
      </c>
      <c r="B140" s="94"/>
      <c r="C140" s="51" t="s">
        <v>196</v>
      </c>
      <c r="D140" s="51">
        <f>(30.56)*10.764</f>
        <v>328.94783999999999</v>
      </c>
      <c r="E140" s="51">
        <v>0</v>
      </c>
      <c r="F140" s="31">
        <v>545</v>
      </c>
      <c r="G140" s="85"/>
      <c r="H140" s="87"/>
      <c r="I140" s="28"/>
      <c r="N140" s="28"/>
    </row>
    <row r="141" spans="1:16" s="54" customFormat="1" x14ac:dyDescent="0.25">
      <c r="A141" s="94">
        <f t="shared" si="10"/>
        <v>7</v>
      </c>
      <c r="B141" s="94"/>
      <c r="C141" s="51" t="s">
        <v>196</v>
      </c>
      <c r="D141" s="51">
        <f>(30.56)*10.764</f>
        <v>328.94783999999999</v>
      </c>
      <c r="E141" s="51">
        <v>0</v>
      </c>
      <c r="F141" s="31">
        <v>545</v>
      </c>
      <c r="G141" s="88"/>
      <c r="H141" s="90"/>
      <c r="I141" s="28"/>
      <c r="N141" s="28"/>
    </row>
    <row r="142" spans="1:16" s="2" customFormat="1" x14ac:dyDescent="0.25">
      <c r="A142" s="91" t="s">
        <v>199</v>
      </c>
      <c r="B142" s="92"/>
      <c r="C142" s="92"/>
      <c r="D142" s="92"/>
      <c r="E142" s="92"/>
      <c r="F142" s="92"/>
      <c r="G142" s="92"/>
      <c r="H142" s="93"/>
      <c r="I142" s="28"/>
      <c r="M142" s="38"/>
      <c r="N142" s="38"/>
      <c r="P142" s="29"/>
    </row>
    <row r="143" spans="1:16" s="2" customFormat="1" ht="15.6" customHeight="1" x14ac:dyDescent="0.25">
      <c r="A143" s="78">
        <v>1</v>
      </c>
      <c r="B143" s="79"/>
      <c r="C143" s="27" t="s">
        <v>196</v>
      </c>
      <c r="D143" s="27">
        <f>(31.44)*10.764</f>
        <v>338.42016000000001</v>
      </c>
      <c r="E143" s="39">
        <v>0</v>
      </c>
      <c r="F143" s="31">
        <v>560</v>
      </c>
      <c r="G143" s="82" t="str">
        <f>A142</f>
        <v>3rd to 7th Floor, 9th to 14th &amp; 16th Floor</v>
      </c>
      <c r="H143" s="84"/>
      <c r="I143" s="28"/>
      <c r="M143" s="38"/>
      <c r="N143" s="38" t="str">
        <f t="shared" ref="N143:N148" ca="1" si="11">O143&amp;""&amp;" to "&amp;""&amp;P143</f>
        <v>301 to 1601</v>
      </c>
      <c r="O143" s="49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10^ROW(INDIRECT("1:"&amp;LEN((LEFT(A142,SUM(LEN(A142)-LEN(SUBSTITUTE(A142,{"0","1","2"},""))))))))/10))*100+1</f>
        <v>301</v>
      </c>
      <c r="P143" s="49">
        <f ca="1">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",LEN(A142))),LEN(A142)))))))/10))*100+1</f>
        <v>1601</v>
      </c>
    </row>
    <row r="144" spans="1:16" s="2" customFormat="1" ht="15.75" customHeight="1" x14ac:dyDescent="0.25">
      <c r="A144" s="78">
        <v>2</v>
      </c>
      <c r="B144" s="79"/>
      <c r="C144" s="27" t="s">
        <v>196</v>
      </c>
      <c r="D144" s="27">
        <f>(30.6)*10.764</f>
        <v>329.3784</v>
      </c>
      <c r="E144" s="39">
        <v>0</v>
      </c>
      <c r="F144" s="31">
        <v>545</v>
      </c>
      <c r="G144" s="85" t="str">
        <f t="shared" ref="G144:G149" si="12">G143</f>
        <v>3rd to 7th Floor, 9th to 14th &amp; 16th Floor</v>
      </c>
      <c r="H144" s="87"/>
      <c r="I144" s="28"/>
      <c r="M144" s="38"/>
      <c r="N144" s="49" t="str">
        <f t="shared" ca="1" si="11"/>
        <v>302 to 1602</v>
      </c>
      <c r="O144" s="2">
        <f t="shared" ref="O144:P147" ca="1" si="13">O143+1</f>
        <v>302</v>
      </c>
      <c r="P144" s="2">
        <f t="shared" ca="1" si="13"/>
        <v>1602</v>
      </c>
    </row>
    <row r="145" spans="1:16" s="2" customFormat="1" ht="15.75" customHeight="1" x14ac:dyDescent="0.25">
      <c r="A145" s="78">
        <v>3</v>
      </c>
      <c r="B145" s="79"/>
      <c r="C145" s="27" t="s">
        <v>196</v>
      </c>
      <c r="D145" s="27">
        <f>(30.6)*10.764</f>
        <v>329.3784</v>
      </c>
      <c r="E145" s="39">
        <v>0</v>
      </c>
      <c r="F145" s="31">
        <v>545</v>
      </c>
      <c r="G145" s="85" t="str">
        <f t="shared" si="12"/>
        <v>3rd to 7th Floor, 9th to 14th &amp; 16th Floor</v>
      </c>
      <c r="H145" s="87"/>
      <c r="I145" s="28"/>
      <c r="M145" s="38"/>
      <c r="N145" s="49" t="str">
        <f t="shared" ca="1" si="11"/>
        <v>303 to 1603</v>
      </c>
      <c r="O145" s="2">
        <f t="shared" ca="1" si="13"/>
        <v>303</v>
      </c>
      <c r="P145" s="2">
        <f t="shared" ca="1" si="13"/>
        <v>1603</v>
      </c>
    </row>
    <row r="146" spans="1:16" s="2" customFormat="1" ht="15.75" customHeight="1" x14ac:dyDescent="0.25">
      <c r="A146" s="78">
        <v>4</v>
      </c>
      <c r="B146" s="79"/>
      <c r="C146" s="51" t="s">
        <v>196</v>
      </c>
      <c r="D146" s="27">
        <f>(30.87)*10.764</f>
        <v>332.28467999999998</v>
      </c>
      <c r="E146" s="39">
        <v>0</v>
      </c>
      <c r="F146" s="31">
        <v>550</v>
      </c>
      <c r="G146" s="85" t="str">
        <f t="shared" si="12"/>
        <v>3rd to 7th Floor, 9th to 14th &amp; 16th Floor</v>
      </c>
      <c r="H146" s="87"/>
      <c r="I146" s="28"/>
      <c r="M146" s="38"/>
      <c r="N146" s="49" t="str">
        <f t="shared" ca="1" si="11"/>
        <v>304 to 1604</v>
      </c>
      <c r="O146" s="2">
        <f t="shared" ca="1" si="13"/>
        <v>304</v>
      </c>
      <c r="P146" s="2">
        <f t="shared" ca="1" si="13"/>
        <v>1604</v>
      </c>
    </row>
    <row r="147" spans="1:16" s="2" customFormat="1" ht="15.75" customHeight="1" x14ac:dyDescent="0.25">
      <c r="A147" s="78">
        <v>5</v>
      </c>
      <c r="B147" s="79"/>
      <c r="C147" s="51" t="s">
        <v>196</v>
      </c>
      <c r="D147" s="27">
        <f>(30.87)*10.764</f>
        <v>332.28467999999998</v>
      </c>
      <c r="E147" s="39">
        <v>0</v>
      </c>
      <c r="F147" s="31">
        <v>550</v>
      </c>
      <c r="G147" s="85" t="str">
        <f t="shared" si="12"/>
        <v>3rd to 7th Floor, 9th to 14th &amp; 16th Floor</v>
      </c>
      <c r="H147" s="87"/>
      <c r="I147" s="28"/>
      <c r="M147" s="38"/>
      <c r="N147" s="49" t="str">
        <f t="shared" ca="1" si="11"/>
        <v>305 to 1605</v>
      </c>
      <c r="O147" s="2">
        <f t="shared" ca="1" si="13"/>
        <v>305</v>
      </c>
      <c r="P147" s="2">
        <f t="shared" ca="1" si="13"/>
        <v>1605</v>
      </c>
    </row>
    <row r="148" spans="1:16" s="32" customFormat="1" ht="15.75" customHeight="1" x14ac:dyDescent="0.25">
      <c r="A148" s="78">
        <v>6</v>
      </c>
      <c r="B148" s="79"/>
      <c r="C148" s="51" t="s">
        <v>196</v>
      </c>
      <c r="D148" s="33">
        <f>(30.56)*10.764</f>
        <v>328.94783999999999</v>
      </c>
      <c r="E148" s="39">
        <v>0</v>
      </c>
      <c r="F148" s="31">
        <v>545</v>
      </c>
      <c r="G148" s="85" t="str">
        <f t="shared" si="12"/>
        <v>3rd to 7th Floor, 9th to 14th &amp; 16th Floor</v>
      </c>
      <c r="H148" s="87"/>
      <c r="I148" s="28"/>
      <c r="M148" s="38"/>
      <c r="N148" s="49" t="str">
        <f t="shared" ca="1" si="11"/>
        <v>306 to 1606</v>
      </c>
      <c r="O148" s="32">
        <f t="shared" ref="O148:P149" ca="1" si="14">O147+1</f>
        <v>306</v>
      </c>
      <c r="P148" s="32">
        <f t="shared" ca="1" si="14"/>
        <v>1606</v>
      </c>
    </row>
    <row r="149" spans="1:16" s="54" customFormat="1" ht="15.75" customHeight="1" x14ac:dyDescent="0.25">
      <c r="A149" s="78">
        <v>7</v>
      </c>
      <c r="B149" s="79"/>
      <c r="C149" s="51" t="s">
        <v>196</v>
      </c>
      <c r="D149" s="51">
        <f>(30.56)*10.764</f>
        <v>328.94783999999999</v>
      </c>
      <c r="E149" s="51">
        <v>0</v>
      </c>
      <c r="F149" s="31">
        <v>545</v>
      </c>
      <c r="G149" s="88" t="str">
        <f t="shared" si="12"/>
        <v>3rd to 7th Floor, 9th to 14th &amp; 16th Floor</v>
      </c>
      <c r="H149" s="90"/>
      <c r="I149" s="28"/>
      <c r="N149" s="54" t="str">
        <f t="shared" ref="N149" ca="1" si="15">O149&amp;""&amp;" to "&amp;""&amp;P149</f>
        <v>307 to 1607</v>
      </c>
      <c r="O149" s="54">
        <f t="shared" ca="1" si="14"/>
        <v>307</v>
      </c>
      <c r="P149" s="54">
        <f t="shared" ca="1" si="14"/>
        <v>1607</v>
      </c>
    </row>
    <row r="150" spans="1:16" s="54" customFormat="1" x14ac:dyDescent="0.25">
      <c r="A150" s="91" t="s">
        <v>235</v>
      </c>
      <c r="B150" s="92"/>
      <c r="C150" s="92"/>
      <c r="D150" s="92"/>
      <c r="E150" s="92"/>
      <c r="F150" s="92"/>
      <c r="G150" s="92"/>
      <c r="H150" s="93"/>
      <c r="I150" s="28"/>
      <c r="P150" s="29"/>
    </row>
    <row r="151" spans="1:16" s="54" customFormat="1" ht="15.6" customHeight="1" x14ac:dyDescent="0.25">
      <c r="A151" s="78">
        <v>1</v>
      </c>
      <c r="B151" s="79"/>
      <c r="C151" s="51" t="s">
        <v>196</v>
      </c>
      <c r="D151" s="51">
        <f>(34.46)*10.764</f>
        <v>370.92743999999999</v>
      </c>
      <c r="E151" s="51">
        <v>0</v>
      </c>
      <c r="F151" s="31">
        <v>610</v>
      </c>
      <c r="G151" s="82" t="str">
        <f>A150</f>
        <v>17th to 21st, 23rd to 28th, 30th to 35th, 37th &amp; 38th Floor</v>
      </c>
      <c r="H151" s="84"/>
      <c r="I151" s="28"/>
      <c r="N151" s="54" t="str">
        <f t="shared" ref="N151:N157" ca="1" si="16">O151&amp;""&amp;" to "&amp;""&amp;P151</f>
        <v>1701 to 3801</v>
      </c>
      <c r="O151" s="54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10^ROW(INDIRECT("1:"&amp;LEN((LEFT(A150,SUM(LEN(A150)-LEN(SUBSTITUTE(A150,{"0","1","2"},""))))))))/10))*100+1</f>
        <v>1701</v>
      </c>
      <c r="P151" s="54">
        <f ca="1">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",LEN(A150))),LEN(A150)))))))/10))*100+1</f>
        <v>3801</v>
      </c>
    </row>
    <row r="152" spans="1:16" s="54" customFormat="1" ht="15.75" customHeight="1" x14ac:dyDescent="0.25">
      <c r="A152" s="78">
        <v>2</v>
      </c>
      <c r="B152" s="79"/>
      <c r="C152" s="51" t="s">
        <v>196</v>
      </c>
      <c r="D152" s="51">
        <f>(33.47)*10.764</f>
        <v>360.27107999999998</v>
      </c>
      <c r="E152" s="51">
        <v>0</v>
      </c>
      <c r="F152" s="31">
        <v>600</v>
      </c>
      <c r="G152" s="85" t="str">
        <f t="shared" ref="G152:G157" si="17">G151</f>
        <v>17th to 21st, 23rd to 28th, 30th to 35th, 37th &amp; 38th Floor</v>
      </c>
      <c r="H152" s="87"/>
      <c r="I152" s="28"/>
      <c r="N152" s="54" t="str">
        <f t="shared" ca="1" si="16"/>
        <v>1702 to 3802</v>
      </c>
      <c r="O152" s="54">
        <f t="shared" ref="O152:P152" ca="1" si="18">O151+1</f>
        <v>1702</v>
      </c>
      <c r="P152" s="54">
        <f t="shared" ca="1" si="18"/>
        <v>3802</v>
      </c>
    </row>
    <row r="153" spans="1:16" s="54" customFormat="1" ht="15.75" customHeight="1" x14ac:dyDescent="0.25">
      <c r="A153" s="78">
        <v>3</v>
      </c>
      <c r="B153" s="79"/>
      <c r="C153" s="51" t="s">
        <v>196</v>
      </c>
      <c r="D153" s="51">
        <f>(33.47)*10.764</f>
        <v>360.27107999999998</v>
      </c>
      <c r="E153" s="51">
        <v>0</v>
      </c>
      <c r="F153" s="31">
        <v>600</v>
      </c>
      <c r="G153" s="85" t="str">
        <f t="shared" si="17"/>
        <v>17th to 21st, 23rd to 28th, 30th to 35th, 37th &amp; 38th Floor</v>
      </c>
      <c r="H153" s="87"/>
      <c r="I153" s="28"/>
      <c r="N153" s="54" t="str">
        <f t="shared" ca="1" si="16"/>
        <v>1703 to 3803</v>
      </c>
      <c r="O153" s="54">
        <f t="shared" ref="O153:P153" ca="1" si="19">O152+1</f>
        <v>1703</v>
      </c>
      <c r="P153" s="54">
        <f t="shared" ca="1" si="19"/>
        <v>3803</v>
      </c>
    </row>
    <row r="154" spans="1:16" s="54" customFormat="1" ht="15.75" customHeight="1" x14ac:dyDescent="0.25">
      <c r="A154" s="78">
        <v>4</v>
      </c>
      <c r="B154" s="79"/>
      <c r="C154" s="51" t="s">
        <v>196</v>
      </c>
      <c r="D154" s="51">
        <f>(33.73)*10.764</f>
        <v>363.06971999999996</v>
      </c>
      <c r="E154" s="51">
        <v>0</v>
      </c>
      <c r="F154" s="31">
        <v>600</v>
      </c>
      <c r="G154" s="85" t="str">
        <f t="shared" si="17"/>
        <v>17th to 21st, 23rd to 28th, 30th to 35th, 37th &amp; 38th Floor</v>
      </c>
      <c r="H154" s="87"/>
      <c r="I154" s="28"/>
      <c r="N154" s="54" t="str">
        <f t="shared" ca="1" si="16"/>
        <v>1704 to 3804</v>
      </c>
      <c r="O154" s="54">
        <f t="shared" ref="O154:P154" ca="1" si="20">O153+1</f>
        <v>1704</v>
      </c>
      <c r="P154" s="54">
        <f t="shared" ca="1" si="20"/>
        <v>3804</v>
      </c>
    </row>
    <row r="155" spans="1:16" s="54" customFormat="1" ht="15.75" customHeight="1" x14ac:dyDescent="0.25">
      <c r="A155" s="78">
        <v>5</v>
      </c>
      <c r="B155" s="79"/>
      <c r="C155" s="51" t="s">
        <v>196</v>
      </c>
      <c r="D155" s="51">
        <f>(33.73)*10.764</f>
        <v>363.06971999999996</v>
      </c>
      <c r="E155" s="51">
        <v>0</v>
      </c>
      <c r="F155" s="31">
        <v>600</v>
      </c>
      <c r="G155" s="85" t="str">
        <f t="shared" si="17"/>
        <v>17th to 21st, 23rd to 28th, 30th to 35th, 37th &amp; 38th Floor</v>
      </c>
      <c r="H155" s="87"/>
      <c r="I155" s="28"/>
      <c r="N155" s="54" t="str">
        <f t="shared" ca="1" si="16"/>
        <v>1705 to 3805</v>
      </c>
      <c r="O155" s="54">
        <f t="shared" ref="O155:P155" ca="1" si="21">O154+1</f>
        <v>1705</v>
      </c>
      <c r="P155" s="54">
        <f t="shared" ca="1" si="21"/>
        <v>3805</v>
      </c>
    </row>
    <row r="156" spans="1:16" s="54" customFormat="1" ht="15.75" customHeight="1" x14ac:dyDescent="0.25">
      <c r="A156" s="78">
        <v>6</v>
      </c>
      <c r="B156" s="79"/>
      <c r="C156" s="51" t="s">
        <v>196</v>
      </c>
      <c r="D156" s="51">
        <f>(33.46)*10.764</f>
        <v>360.16343999999998</v>
      </c>
      <c r="E156" s="51">
        <v>0</v>
      </c>
      <c r="F156" s="31">
        <v>600</v>
      </c>
      <c r="G156" s="85" t="str">
        <f t="shared" si="17"/>
        <v>17th to 21st, 23rd to 28th, 30th to 35th, 37th &amp; 38th Floor</v>
      </c>
      <c r="H156" s="87"/>
      <c r="I156" s="28">
        <v>7500000</v>
      </c>
      <c r="J156" s="54">
        <f>I156/F156</f>
        <v>12500</v>
      </c>
      <c r="N156" s="54" t="str">
        <f t="shared" ca="1" si="16"/>
        <v>1706 to 3806</v>
      </c>
      <c r="O156" s="54">
        <f t="shared" ref="O156:P156" ca="1" si="22">O155+1</f>
        <v>1706</v>
      </c>
      <c r="P156" s="54">
        <f t="shared" ca="1" si="22"/>
        <v>3806</v>
      </c>
    </row>
    <row r="157" spans="1:16" s="54" customFormat="1" ht="15.75" customHeight="1" x14ac:dyDescent="0.25">
      <c r="A157" s="78">
        <v>7</v>
      </c>
      <c r="B157" s="79"/>
      <c r="C157" s="51" t="s">
        <v>196</v>
      </c>
      <c r="D157" s="51">
        <f>(33.46)*10.764</f>
        <v>360.16343999999998</v>
      </c>
      <c r="E157" s="51">
        <v>0</v>
      </c>
      <c r="F157" s="31">
        <v>600</v>
      </c>
      <c r="G157" s="88" t="str">
        <f t="shared" si="17"/>
        <v>17th to 21st, 23rd to 28th, 30th to 35th, 37th &amp; 38th Floor</v>
      </c>
      <c r="H157" s="90"/>
      <c r="I157" s="28"/>
      <c r="N157" s="54" t="str">
        <f t="shared" ca="1" si="16"/>
        <v>1707 to 3807</v>
      </c>
      <c r="O157" s="54">
        <f t="shared" ref="O157:P157" ca="1" si="23">O156+1</f>
        <v>1707</v>
      </c>
      <c r="P157" s="54">
        <f t="shared" ca="1" si="23"/>
        <v>3807</v>
      </c>
    </row>
    <row r="158" spans="1:16" s="32" customFormat="1" x14ac:dyDescent="0.25">
      <c r="A158" s="91" t="s">
        <v>236</v>
      </c>
      <c r="B158" s="92"/>
      <c r="C158" s="92"/>
      <c r="D158" s="92"/>
      <c r="E158" s="92"/>
      <c r="F158" s="92"/>
      <c r="G158" s="92"/>
      <c r="H158" s="93"/>
      <c r="I158" s="28"/>
      <c r="M158" s="38"/>
      <c r="N158" s="38"/>
      <c r="P158" s="29"/>
    </row>
    <row r="159" spans="1:16" s="32" customFormat="1" ht="15.6" customHeight="1" x14ac:dyDescent="0.25">
      <c r="A159" s="78">
        <v>1</v>
      </c>
      <c r="B159" s="79"/>
      <c r="C159" s="33" t="s">
        <v>196</v>
      </c>
      <c r="D159" s="33">
        <f>(31.43)*10.764</f>
        <v>338.31251999999995</v>
      </c>
      <c r="E159" s="39">
        <v>0</v>
      </c>
      <c r="F159" s="31">
        <v>610</v>
      </c>
      <c r="G159" s="82" t="str">
        <f>A158</f>
        <v>8th &amp; 15th Floor (Part Refuge Area)</v>
      </c>
      <c r="H159" s="84"/>
      <c r="I159" s="28"/>
      <c r="M159" s="38"/>
      <c r="N159" s="38" t="str">
        <f t="shared" ref="N159:N164" ca="1" si="24">O159&amp;""&amp;" &amp; "&amp;""&amp;P159</f>
        <v>801 &amp; 1501</v>
      </c>
      <c r="O159" s="49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10^ROW(INDIRECT("1:"&amp;LEN((LEFT(A158,SUM(LEN(A158)-LEN(SUBSTITUTE(A158,{"0","1","2"},""))))))))/10))*100+1</f>
        <v>801</v>
      </c>
      <c r="P159" s="49">
        <f ca="1">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",LEN(A158))),LEN(A158)))))))/10))*100+1</f>
        <v>1501</v>
      </c>
    </row>
    <row r="160" spans="1:16" s="32" customFormat="1" ht="15.6" customHeight="1" x14ac:dyDescent="0.25">
      <c r="A160" s="78">
        <v>2</v>
      </c>
      <c r="B160" s="79"/>
      <c r="C160" s="82" t="s">
        <v>200</v>
      </c>
      <c r="D160" s="83"/>
      <c r="E160" s="83"/>
      <c r="F160" s="84"/>
      <c r="G160" s="85" t="str">
        <f t="shared" ref="G160:G165" si="25">G159</f>
        <v>8th &amp; 15th Floor (Part Refuge Area)</v>
      </c>
      <c r="H160" s="87"/>
      <c r="I160" s="28"/>
      <c r="M160" s="38"/>
      <c r="N160" s="49" t="str">
        <f t="shared" ca="1" si="24"/>
        <v>802 &amp; 1502</v>
      </c>
      <c r="O160" s="32">
        <f t="shared" ref="O160:P160" ca="1" si="26">O159+1</f>
        <v>802</v>
      </c>
      <c r="P160" s="32">
        <f t="shared" ca="1" si="26"/>
        <v>1502</v>
      </c>
    </row>
    <row r="161" spans="1:16" s="32" customFormat="1" ht="15.75" customHeight="1" x14ac:dyDescent="0.25">
      <c r="A161" s="78">
        <v>3</v>
      </c>
      <c r="B161" s="79"/>
      <c r="C161" s="88"/>
      <c r="D161" s="89"/>
      <c r="E161" s="89"/>
      <c r="F161" s="90"/>
      <c r="G161" s="85" t="str">
        <f t="shared" si="25"/>
        <v>8th &amp; 15th Floor (Part Refuge Area)</v>
      </c>
      <c r="H161" s="87"/>
      <c r="I161" s="28"/>
      <c r="M161" s="38"/>
      <c r="N161" s="49" t="str">
        <f t="shared" ca="1" si="24"/>
        <v>803 &amp; 1503</v>
      </c>
      <c r="O161" s="32">
        <f t="shared" ref="O161:P161" ca="1" si="27">O160+1</f>
        <v>803</v>
      </c>
      <c r="P161" s="32">
        <f t="shared" ca="1" si="27"/>
        <v>1503</v>
      </c>
    </row>
    <row r="162" spans="1:16" s="32" customFormat="1" ht="15.75" customHeight="1" x14ac:dyDescent="0.25">
      <c r="A162" s="78">
        <v>4</v>
      </c>
      <c r="B162" s="79"/>
      <c r="C162" s="51" t="s">
        <v>196</v>
      </c>
      <c r="D162" s="33">
        <f>(30.87)*10.764</f>
        <v>332.28467999999998</v>
      </c>
      <c r="E162" s="39">
        <v>0</v>
      </c>
      <c r="F162" s="31">
        <v>600</v>
      </c>
      <c r="G162" s="85" t="str">
        <f t="shared" si="25"/>
        <v>8th &amp; 15th Floor (Part Refuge Area)</v>
      </c>
      <c r="H162" s="87"/>
      <c r="I162" s="28"/>
      <c r="M162" s="38"/>
      <c r="N162" s="49" t="str">
        <f t="shared" ca="1" si="24"/>
        <v>804 &amp; 1504</v>
      </c>
      <c r="O162" s="32">
        <f t="shared" ref="O162:P162" ca="1" si="28">O161+1</f>
        <v>804</v>
      </c>
      <c r="P162" s="32">
        <f t="shared" ca="1" si="28"/>
        <v>1504</v>
      </c>
    </row>
    <row r="163" spans="1:16" s="32" customFormat="1" ht="15.75" customHeight="1" x14ac:dyDescent="0.25">
      <c r="A163" s="78">
        <v>5</v>
      </c>
      <c r="B163" s="79"/>
      <c r="C163" s="51" t="s">
        <v>196</v>
      </c>
      <c r="D163" s="33">
        <f>(30.87)*10.764</f>
        <v>332.28467999999998</v>
      </c>
      <c r="E163" s="39">
        <v>0</v>
      </c>
      <c r="F163" s="31">
        <v>600</v>
      </c>
      <c r="G163" s="85" t="str">
        <f t="shared" si="25"/>
        <v>8th &amp; 15th Floor (Part Refuge Area)</v>
      </c>
      <c r="H163" s="87"/>
      <c r="I163" s="28"/>
      <c r="M163" s="38"/>
      <c r="N163" s="49" t="str">
        <f t="shared" ca="1" si="24"/>
        <v>805 &amp; 1505</v>
      </c>
      <c r="O163" s="32">
        <f t="shared" ref="O163:P163" ca="1" si="29">O162+1</f>
        <v>805</v>
      </c>
      <c r="P163" s="32">
        <f t="shared" ca="1" si="29"/>
        <v>1505</v>
      </c>
    </row>
    <row r="164" spans="1:16" s="32" customFormat="1" ht="15.75" customHeight="1" x14ac:dyDescent="0.25">
      <c r="A164" s="78">
        <v>6</v>
      </c>
      <c r="B164" s="79"/>
      <c r="C164" s="51" t="s">
        <v>196</v>
      </c>
      <c r="D164" s="33">
        <f>(30.56)*10.764</f>
        <v>328.94783999999999</v>
      </c>
      <c r="E164" s="39">
        <v>0</v>
      </c>
      <c r="F164" s="31">
        <v>600</v>
      </c>
      <c r="G164" s="85" t="str">
        <f t="shared" si="25"/>
        <v>8th &amp; 15th Floor (Part Refuge Area)</v>
      </c>
      <c r="H164" s="87"/>
      <c r="I164" s="28"/>
      <c r="M164" s="38"/>
      <c r="N164" s="49" t="str">
        <f t="shared" ca="1" si="24"/>
        <v>806 &amp; 1506</v>
      </c>
      <c r="O164" s="32">
        <f t="shared" ref="O164:P164" ca="1" si="30">O163+1</f>
        <v>806</v>
      </c>
      <c r="P164" s="32">
        <f t="shared" ca="1" si="30"/>
        <v>1506</v>
      </c>
    </row>
    <row r="165" spans="1:16" s="54" customFormat="1" ht="15.75" customHeight="1" x14ac:dyDescent="0.25">
      <c r="A165" s="78">
        <v>7</v>
      </c>
      <c r="B165" s="79"/>
      <c r="C165" s="51" t="s">
        <v>196</v>
      </c>
      <c r="D165" s="51">
        <f>(30.56)*10.764</f>
        <v>328.94783999999999</v>
      </c>
      <c r="E165" s="51">
        <v>0</v>
      </c>
      <c r="F165" s="31">
        <v>600</v>
      </c>
      <c r="G165" s="88" t="str">
        <f t="shared" si="25"/>
        <v>8th &amp; 15th Floor (Part Refuge Area)</v>
      </c>
      <c r="H165" s="90"/>
      <c r="I165" s="28"/>
      <c r="N165" s="54" t="str">
        <f t="shared" ref="N165" ca="1" si="31">O165&amp;""&amp;" &amp; "&amp;""&amp;P165</f>
        <v>807 &amp; 1507</v>
      </c>
      <c r="O165" s="54">
        <f t="shared" ref="O165:P165" ca="1" si="32">O164+1</f>
        <v>807</v>
      </c>
      <c r="P165" s="54">
        <f t="shared" ca="1" si="32"/>
        <v>1507</v>
      </c>
    </row>
    <row r="166" spans="1:16" s="54" customFormat="1" x14ac:dyDescent="0.25">
      <c r="A166" s="91" t="s">
        <v>237</v>
      </c>
      <c r="B166" s="92"/>
      <c r="C166" s="92"/>
      <c r="D166" s="92"/>
      <c r="E166" s="92"/>
      <c r="F166" s="92"/>
      <c r="G166" s="92"/>
      <c r="H166" s="93"/>
      <c r="I166" s="28"/>
      <c r="P166" s="29"/>
    </row>
    <row r="167" spans="1:16" s="54" customFormat="1" ht="15.6" customHeight="1" x14ac:dyDescent="0.25">
      <c r="A167" s="78">
        <v>1</v>
      </c>
      <c r="B167" s="79"/>
      <c r="C167" s="51" t="s">
        <v>196</v>
      </c>
      <c r="D167" s="51">
        <f>(34.46)*10.764</f>
        <v>370.92743999999999</v>
      </c>
      <c r="E167" s="51">
        <v>0</v>
      </c>
      <c r="F167" s="31">
        <v>610</v>
      </c>
      <c r="G167" s="82" t="str">
        <f>A166</f>
        <v>22nd &amp; 29th Floor (Part Refuge Area)</v>
      </c>
      <c r="H167" s="84"/>
      <c r="I167" s="28"/>
      <c r="N167" s="54" t="str">
        <f t="shared" ref="N167:N173" ca="1" si="33">O167&amp;""&amp;" &amp; "&amp;""&amp;P167</f>
        <v>2201 &amp; 2901</v>
      </c>
      <c r="O167" s="54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10^ROW(INDIRECT("1:"&amp;LEN((LEFT(A166,SUM(LEN(A166)-LEN(SUBSTITUTE(A166,{"0","1","2"},""))))))))/10))*100+1</f>
        <v>2201</v>
      </c>
      <c r="P167" s="54">
        <f ca="1">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",LEN(A166))),LEN(A166)))))))/10))*100+1</f>
        <v>2901</v>
      </c>
    </row>
    <row r="168" spans="1:16" s="54" customFormat="1" ht="15.6" customHeight="1" x14ac:dyDescent="0.25">
      <c r="A168" s="78">
        <v>2</v>
      </c>
      <c r="B168" s="79"/>
      <c r="C168" s="82" t="s">
        <v>200</v>
      </c>
      <c r="D168" s="83"/>
      <c r="E168" s="83"/>
      <c r="F168" s="84"/>
      <c r="G168" s="85" t="str">
        <f t="shared" ref="G168:G173" si="34">G167</f>
        <v>22nd &amp; 29th Floor (Part Refuge Area)</v>
      </c>
      <c r="H168" s="87"/>
      <c r="I168" s="28"/>
      <c r="N168" s="54" t="str">
        <f t="shared" ca="1" si="33"/>
        <v>2202 &amp; 2902</v>
      </c>
      <c r="O168" s="54">
        <f t="shared" ref="O168:P168" ca="1" si="35">O167+1</f>
        <v>2202</v>
      </c>
      <c r="P168" s="54">
        <f t="shared" ca="1" si="35"/>
        <v>2902</v>
      </c>
    </row>
    <row r="169" spans="1:16" s="54" customFormat="1" ht="15.75" customHeight="1" x14ac:dyDescent="0.25">
      <c r="A169" s="78">
        <v>3</v>
      </c>
      <c r="B169" s="79"/>
      <c r="C169" s="88"/>
      <c r="D169" s="89"/>
      <c r="E169" s="89"/>
      <c r="F169" s="90"/>
      <c r="G169" s="85" t="str">
        <f t="shared" si="34"/>
        <v>22nd &amp; 29th Floor (Part Refuge Area)</v>
      </c>
      <c r="H169" s="87"/>
      <c r="I169" s="28"/>
      <c r="N169" s="54" t="str">
        <f t="shared" ca="1" si="33"/>
        <v>2203 &amp; 2903</v>
      </c>
      <c r="O169" s="54">
        <f t="shared" ref="O169:P169" ca="1" si="36">O168+1</f>
        <v>2203</v>
      </c>
      <c r="P169" s="54">
        <f t="shared" ca="1" si="36"/>
        <v>2903</v>
      </c>
    </row>
    <row r="170" spans="1:16" s="54" customFormat="1" ht="15.75" customHeight="1" x14ac:dyDescent="0.25">
      <c r="A170" s="78">
        <v>4</v>
      </c>
      <c r="B170" s="79"/>
      <c r="C170" s="51" t="s">
        <v>196</v>
      </c>
      <c r="D170" s="51">
        <f>(33.73)*10.764</f>
        <v>363.06971999999996</v>
      </c>
      <c r="E170" s="51">
        <v>0</v>
      </c>
      <c r="F170" s="31">
        <v>600</v>
      </c>
      <c r="G170" s="85" t="str">
        <f t="shared" si="34"/>
        <v>22nd &amp; 29th Floor (Part Refuge Area)</v>
      </c>
      <c r="H170" s="87"/>
      <c r="I170" s="28"/>
      <c r="N170" s="54" t="str">
        <f t="shared" ca="1" si="33"/>
        <v>2204 &amp; 2904</v>
      </c>
      <c r="O170" s="54">
        <f t="shared" ref="O170:P170" ca="1" si="37">O169+1</f>
        <v>2204</v>
      </c>
      <c r="P170" s="54">
        <f t="shared" ca="1" si="37"/>
        <v>2904</v>
      </c>
    </row>
    <row r="171" spans="1:16" s="54" customFormat="1" ht="15.75" customHeight="1" x14ac:dyDescent="0.25">
      <c r="A171" s="78">
        <v>5</v>
      </c>
      <c r="B171" s="79"/>
      <c r="C171" s="51" t="s">
        <v>196</v>
      </c>
      <c r="D171" s="51">
        <f>(33.73)*10.764</f>
        <v>363.06971999999996</v>
      </c>
      <c r="E171" s="51">
        <v>0</v>
      </c>
      <c r="F171" s="31">
        <v>600</v>
      </c>
      <c r="G171" s="85" t="str">
        <f t="shared" si="34"/>
        <v>22nd &amp; 29th Floor (Part Refuge Area)</v>
      </c>
      <c r="H171" s="87"/>
      <c r="I171" s="28"/>
      <c r="N171" s="54" t="str">
        <f t="shared" ca="1" si="33"/>
        <v>2205 &amp; 2905</v>
      </c>
      <c r="O171" s="54">
        <f t="shared" ref="O171:P171" ca="1" si="38">O170+1</f>
        <v>2205</v>
      </c>
      <c r="P171" s="54">
        <f t="shared" ca="1" si="38"/>
        <v>2905</v>
      </c>
    </row>
    <row r="172" spans="1:16" s="54" customFormat="1" ht="15.75" customHeight="1" x14ac:dyDescent="0.25">
      <c r="A172" s="78">
        <v>6</v>
      </c>
      <c r="B172" s="79"/>
      <c r="C172" s="51" t="s">
        <v>196</v>
      </c>
      <c r="D172" s="51">
        <f>(33.46)*10.764</f>
        <v>360.16343999999998</v>
      </c>
      <c r="E172" s="51">
        <v>0</v>
      </c>
      <c r="F172" s="31">
        <v>600</v>
      </c>
      <c r="G172" s="85" t="str">
        <f t="shared" si="34"/>
        <v>22nd &amp; 29th Floor (Part Refuge Area)</v>
      </c>
      <c r="H172" s="87"/>
      <c r="I172" s="28"/>
      <c r="N172" s="54" t="str">
        <f t="shared" ca="1" si="33"/>
        <v>2206 &amp; 2906</v>
      </c>
      <c r="O172" s="54">
        <f t="shared" ref="O172:P172" ca="1" si="39">O171+1</f>
        <v>2206</v>
      </c>
      <c r="P172" s="54">
        <f t="shared" ca="1" si="39"/>
        <v>2906</v>
      </c>
    </row>
    <row r="173" spans="1:16" s="54" customFormat="1" ht="15.75" customHeight="1" x14ac:dyDescent="0.25">
      <c r="A173" s="78">
        <v>7</v>
      </c>
      <c r="B173" s="79"/>
      <c r="C173" s="51" t="s">
        <v>196</v>
      </c>
      <c r="D173" s="51">
        <f>(33.46)*10.764</f>
        <v>360.16343999999998</v>
      </c>
      <c r="E173" s="51">
        <v>0</v>
      </c>
      <c r="F173" s="31">
        <v>600</v>
      </c>
      <c r="G173" s="88" t="str">
        <f t="shared" si="34"/>
        <v>22nd &amp; 29th Floor (Part Refuge Area)</v>
      </c>
      <c r="H173" s="90"/>
      <c r="I173" s="28"/>
      <c r="N173" s="54" t="str">
        <f t="shared" ca="1" si="33"/>
        <v>2207 &amp; 2907</v>
      </c>
      <c r="O173" s="54">
        <f t="shared" ref="O173:P173" ca="1" si="40">O172+1</f>
        <v>2207</v>
      </c>
      <c r="P173" s="54">
        <f t="shared" ca="1" si="40"/>
        <v>2907</v>
      </c>
    </row>
    <row r="174" spans="1:16" x14ac:dyDescent="0.25">
      <c r="A174" s="102" t="s">
        <v>201</v>
      </c>
      <c r="B174" s="102"/>
      <c r="C174" s="102"/>
      <c r="D174" s="102"/>
      <c r="E174" s="102"/>
      <c r="F174" s="102"/>
      <c r="G174" s="102"/>
      <c r="H174" s="102"/>
    </row>
    <row r="175" spans="1:16" s="71" customFormat="1" x14ac:dyDescent="0.25">
      <c r="A175" s="91" t="s">
        <v>238</v>
      </c>
      <c r="B175" s="92"/>
      <c r="C175" s="92"/>
      <c r="D175" s="92"/>
      <c r="E175" s="92"/>
      <c r="F175" s="92"/>
      <c r="G175" s="92"/>
      <c r="H175" s="93"/>
      <c r="I175" s="28"/>
      <c r="P175" s="29"/>
    </row>
    <row r="176" spans="1:16" s="71" customFormat="1" ht="15.6" customHeight="1" x14ac:dyDescent="0.25">
      <c r="A176" s="78">
        <v>1</v>
      </c>
      <c r="B176" s="79"/>
      <c r="C176" s="70" t="s">
        <v>196</v>
      </c>
      <c r="D176" s="70">
        <f>(34.46)*10.764</f>
        <v>370.92743999999999</v>
      </c>
      <c r="E176" s="70">
        <v>0</v>
      </c>
      <c r="F176" s="31">
        <v>610</v>
      </c>
      <c r="G176" s="82" t="str">
        <f>A175</f>
        <v>36th Floor (Part Refuge Area)</v>
      </c>
      <c r="H176" s="84"/>
      <c r="I176" s="28"/>
      <c r="K176" s="72">
        <f>F176/D176</f>
        <v>1.6445264874445524</v>
      </c>
      <c r="N176" s="71" t="e">
        <f t="shared" ref="N176:N182" ca="1" si="41">O176&amp;""&amp;" to "&amp;""&amp;P176</f>
        <v>#REF!</v>
      </c>
      <c r="O176" s="71" t="e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10^ROW(INDIRECT("1:"&amp;LEN((LEFT(A175,SUM(LEN(A175)-LEN(SUBSTITUTE(A175,{"0","1","2"},""))))))))/10))*100+1</f>
        <v>#REF!</v>
      </c>
      <c r="P176" s="71">
        <f ca="1">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",LEN(A175))),LEN(A175)))))))/10))*100+1</f>
        <v>3601</v>
      </c>
    </row>
    <row r="177" spans="1:16" s="71" customFormat="1" ht="15.75" customHeight="1" x14ac:dyDescent="0.25">
      <c r="A177" s="78">
        <v>2</v>
      </c>
      <c r="B177" s="79"/>
      <c r="C177" s="78" t="s">
        <v>200</v>
      </c>
      <c r="D177" s="185"/>
      <c r="E177" s="185"/>
      <c r="F177" s="79"/>
      <c r="G177" s="85" t="str">
        <f t="shared" ref="G177:G182" si="42">G176</f>
        <v>36th Floor (Part Refuge Area)</v>
      </c>
      <c r="H177" s="87"/>
      <c r="I177" s="28"/>
      <c r="K177" s="72"/>
      <c r="N177" s="71" t="e">
        <f t="shared" ca="1" si="41"/>
        <v>#REF!</v>
      </c>
      <c r="O177" s="71" t="e">
        <f t="shared" ref="O177:P177" ca="1" si="43">O176+1</f>
        <v>#REF!</v>
      </c>
      <c r="P177" s="71">
        <f t="shared" ca="1" si="43"/>
        <v>3602</v>
      </c>
    </row>
    <row r="178" spans="1:16" s="71" customFormat="1" ht="15.75" customHeight="1" x14ac:dyDescent="0.25">
      <c r="A178" s="78">
        <v>3</v>
      </c>
      <c r="B178" s="79"/>
      <c r="C178" s="70" t="s">
        <v>196</v>
      </c>
      <c r="D178" s="70">
        <f>(48.77)*10.764</f>
        <v>524.96028000000001</v>
      </c>
      <c r="E178" s="70">
        <v>0</v>
      </c>
      <c r="F178" s="73">
        <f>(D178+E178)*1.65</f>
        <v>866.18446199999994</v>
      </c>
      <c r="G178" s="85" t="str">
        <f t="shared" si="42"/>
        <v>36th Floor (Part Refuge Area)</v>
      </c>
      <c r="H178" s="87"/>
      <c r="I178" s="28"/>
      <c r="K178" s="72">
        <f>F178/D178</f>
        <v>1.65</v>
      </c>
      <c r="N178" s="71" t="e">
        <f t="shared" ca="1" si="41"/>
        <v>#REF!</v>
      </c>
      <c r="O178" s="71" t="e">
        <f t="shared" ref="O178:P178" ca="1" si="44">O177+1</f>
        <v>#REF!</v>
      </c>
      <c r="P178" s="71">
        <f t="shared" ca="1" si="44"/>
        <v>3603</v>
      </c>
    </row>
    <row r="179" spans="1:16" s="71" customFormat="1" ht="15.75" customHeight="1" x14ac:dyDescent="0.25">
      <c r="A179" s="78">
        <v>4</v>
      </c>
      <c r="B179" s="79"/>
      <c r="C179" s="70" t="s">
        <v>196</v>
      </c>
      <c r="D179" s="70">
        <f>(33.73)*10.764</f>
        <v>363.06971999999996</v>
      </c>
      <c r="E179" s="70">
        <v>0</v>
      </c>
      <c r="F179" s="31">
        <v>600</v>
      </c>
      <c r="G179" s="85" t="str">
        <f t="shared" si="42"/>
        <v>36th Floor (Part Refuge Area)</v>
      </c>
      <c r="H179" s="87"/>
      <c r="I179" s="28"/>
      <c r="K179" s="72">
        <f t="shared" ref="K179:K182" si="45">F179/D179</f>
        <v>1.6525751582919117</v>
      </c>
      <c r="N179" s="71" t="e">
        <f t="shared" ca="1" si="41"/>
        <v>#REF!</v>
      </c>
      <c r="O179" s="71" t="e">
        <f t="shared" ref="O179:P179" ca="1" si="46">O178+1</f>
        <v>#REF!</v>
      </c>
      <c r="P179" s="71">
        <f t="shared" ca="1" si="46"/>
        <v>3604</v>
      </c>
    </row>
    <row r="180" spans="1:16" s="71" customFormat="1" ht="15.75" customHeight="1" x14ac:dyDescent="0.25">
      <c r="A180" s="78">
        <v>5</v>
      </c>
      <c r="B180" s="79"/>
      <c r="C180" s="70" t="s">
        <v>196</v>
      </c>
      <c r="D180" s="70">
        <f>(33.73)*10.764</f>
        <v>363.06971999999996</v>
      </c>
      <c r="E180" s="70">
        <v>0</v>
      </c>
      <c r="F180" s="31">
        <v>600</v>
      </c>
      <c r="G180" s="85" t="str">
        <f t="shared" si="42"/>
        <v>36th Floor (Part Refuge Area)</v>
      </c>
      <c r="H180" s="87"/>
      <c r="I180" s="28"/>
      <c r="K180" s="72">
        <f t="shared" si="45"/>
        <v>1.6525751582919117</v>
      </c>
      <c r="N180" s="71" t="e">
        <f t="shared" ca="1" si="41"/>
        <v>#REF!</v>
      </c>
      <c r="O180" s="71" t="e">
        <f t="shared" ref="O180:P180" ca="1" si="47">O179+1</f>
        <v>#REF!</v>
      </c>
      <c r="P180" s="71">
        <f t="shared" ca="1" si="47"/>
        <v>3605</v>
      </c>
    </row>
    <row r="181" spans="1:16" s="71" customFormat="1" ht="15.75" customHeight="1" x14ac:dyDescent="0.25">
      <c r="A181" s="78">
        <v>6</v>
      </c>
      <c r="B181" s="79"/>
      <c r="C181" s="70" t="s">
        <v>196</v>
      </c>
      <c r="D181" s="70">
        <f>(33.46)*10.764</f>
        <v>360.16343999999998</v>
      </c>
      <c r="E181" s="70">
        <v>0</v>
      </c>
      <c r="F181" s="31">
        <v>600</v>
      </c>
      <c r="G181" s="85" t="str">
        <f t="shared" si="42"/>
        <v>36th Floor (Part Refuge Area)</v>
      </c>
      <c r="H181" s="87"/>
      <c r="I181" s="28"/>
      <c r="K181" s="72">
        <f t="shared" si="45"/>
        <v>1.6659103433707765</v>
      </c>
      <c r="N181" s="71" t="e">
        <f t="shared" ca="1" si="41"/>
        <v>#REF!</v>
      </c>
      <c r="O181" s="71" t="e">
        <f t="shared" ref="O181:P181" ca="1" si="48">O180+1</f>
        <v>#REF!</v>
      </c>
      <c r="P181" s="71">
        <f t="shared" ca="1" si="48"/>
        <v>3606</v>
      </c>
    </row>
    <row r="182" spans="1:16" s="71" customFormat="1" ht="15.75" customHeight="1" x14ac:dyDescent="0.25">
      <c r="A182" s="78">
        <v>7</v>
      </c>
      <c r="B182" s="79"/>
      <c r="C182" s="70" t="s">
        <v>196</v>
      </c>
      <c r="D182" s="70">
        <f>(33.46)*10.764</f>
        <v>360.16343999999998</v>
      </c>
      <c r="E182" s="70">
        <v>0</v>
      </c>
      <c r="F182" s="31">
        <v>600</v>
      </c>
      <c r="G182" s="88" t="str">
        <f t="shared" si="42"/>
        <v>36th Floor (Part Refuge Area)</v>
      </c>
      <c r="H182" s="90"/>
      <c r="I182" s="28"/>
      <c r="K182" s="72">
        <f t="shared" si="45"/>
        <v>1.6659103433707765</v>
      </c>
      <c r="N182" s="71" t="e">
        <f t="shared" ca="1" si="41"/>
        <v>#REF!</v>
      </c>
      <c r="O182" s="71" t="e">
        <f t="shared" ref="O182:P182" ca="1" si="49">O181+1</f>
        <v>#REF!</v>
      </c>
      <c r="P182" s="71">
        <f t="shared" ca="1" si="49"/>
        <v>3607</v>
      </c>
    </row>
    <row r="183" spans="1:16" s="71" customFormat="1" x14ac:dyDescent="0.25">
      <c r="A183" s="91" t="s">
        <v>239</v>
      </c>
      <c r="B183" s="92"/>
      <c r="C183" s="92"/>
      <c r="D183" s="92"/>
      <c r="E183" s="92"/>
      <c r="F183" s="92"/>
      <c r="G183" s="92"/>
      <c r="H183" s="93"/>
      <c r="I183" s="28"/>
      <c r="P183" s="29"/>
    </row>
    <row r="184" spans="1:16" s="71" customFormat="1" ht="15.6" customHeight="1" x14ac:dyDescent="0.25">
      <c r="A184" s="78">
        <v>1</v>
      </c>
      <c r="B184" s="79"/>
      <c r="C184" s="82" t="s">
        <v>240</v>
      </c>
      <c r="D184" s="83"/>
      <c r="E184" s="83"/>
      <c r="F184" s="84"/>
      <c r="G184" s="82" t="str">
        <f>A183</f>
        <v>39th Floor for Fitness Center &amp; Residential</v>
      </c>
      <c r="H184" s="84"/>
      <c r="I184" s="28"/>
      <c r="N184" s="71" t="e">
        <f t="shared" ref="N184:N190" ca="1" si="50">O184&amp;""&amp;" to "&amp;""&amp;P184</f>
        <v>#REF!</v>
      </c>
      <c r="O184" s="71" t="e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10^ROW(INDIRECT("1:"&amp;LEN((LEFT(A183,SUM(LEN(A183)-LEN(SUBSTITUTE(A183,{"0","1","2"},""))))))))/10))*100+1</f>
        <v>#REF!</v>
      </c>
      <c r="P184" s="71">
        <f ca="1">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",LEN(A183))),LEN(A183)))))))/10))*100+1</f>
        <v>3901</v>
      </c>
    </row>
    <row r="185" spans="1:16" s="71" customFormat="1" ht="15.75" customHeight="1" x14ac:dyDescent="0.25">
      <c r="A185" s="78">
        <v>2</v>
      </c>
      <c r="B185" s="79"/>
      <c r="C185" s="85"/>
      <c r="D185" s="86"/>
      <c r="E185" s="86"/>
      <c r="F185" s="87"/>
      <c r="G185" s="85" t="str">
        <f t="shared" ref="G185:G190" si="51">G184</f>
        <v>39th Floor for Fitness Center &amp; Residential</v>
      </c>
      <c r="H185" s="87"/>
      <c r="I185" s="28"/>
      <c r="N185" s="71" t="e">
        <f t="shared" ca="1" si="50"/>
        <v>#REF!</v>
      </c>
      <c r="O185" s="71" t="e">
        <f t="shared" ref="O185:P185" ca="1" si="52">O184+1</f>
        <v>#REF!</v>
      </c>
      <c r="P185" s="71">
        <f t="shared" ca="1" si="52"/>
        <v>3902</v>
      </c>
    </row>
    <row r="186" spans="1:16" s="71" customFormat="1" ht="15.75" customHeight="1" x14ac:dyDescent="0.25">
      <c r="A186" s="78">
        <v>3</v>
      </c>
      <c r="B186" s="79"/>
      <c r="C186" s="85"/>
      <c r="D186" s="86"/>
      <c r="E186" s="86"/>
      <c r="F186" s="87"/>
      <c r="G186" s="85" t="str">
        <f t="shared" si="51"/>
        <v>39th Floor for Fitness Center &amp; Residential</v>
      </c>
      <c r="H186" s="87"/>
      <c r="I186" s="28"/>
      <c r="N186" s="71" t="e">
        <f t="shared" ca="1" si="50"/>
        <v>#REF!</v>
      </c>
      <c r="O186" s="71" t="e">
        <f t="shared" ref="O186:P186" ca="1" si="53">O185+1</f>
        <v>#REF!</v>
      </c>
      <c r="P186" s="71">
        <f t="shared" ca="1" si="53"/>
        <v>3903</v>
      </c>
    </row>
    <row r="187" spans="1:16" s="71" customFormat="1" ht="15.75" customHeight="1" x14ac:dyDescent="0.25">
      <c r="A187" s="78">
        <v>4</v>
      </c>
      <c r="B187" s="79"/>
      <c r="C187" s="85"/>
      <c r="D187" s="86"/>
      <c r="E187" s="86"/>
      <c r="F187" s="87"/>
      <c r="G187" s="85" t="str">
        <f t="shared" si="51"/>
        <v>39th Floor for Fitness Center &amp; Residential</v>
      </c>
      <c r="H187" s="87"/>
      <c r="I187" s="28"/>
      <c r="N187" s="71" t="e">
        <f t="shared" ca="1" si="50"/>
        <v>#REF!</v>
      </c>
      <c r="O187" s="71" t="e">
        <f t="shared" ref="O187:P187" ca="1" si="54">O186+1</f>
        <v>#REF!</v>
      </c>
      <c r="P187" s="71">
        <f t="shared" ca="1" si="54"/>
        <v>3904</v>
      </c>
    </row>
    <row r="188" spans="1:16" s="71" customFormat="1" ht="15.75" customHeight="1" x14ac:dyDescent="0.25">
      <c r="A188" s="78">
        <v>5</v>
      </c>
      <c r="B188" s="79"/>
      <c r="C188" s="85"/>
      <c r="D188" s="86"/>
      <c r="E188" s="86"/>
      <c r="F188" s="87"/>
      <c r="G188" s="85" t="str">
        <f t="shared" si="51"/>
        <v>39th Floor for Fitness Center &amp; Residential</v>
      </c>
      <c r="H188" s="87"/>
      <c r="I188" s="28"/>
      <c r="N188" s="71" t="e">
        <f t="shared" ca="1" si="50"/>
        <v>#REF!</v>
      </c>
      <c r="O188" s="71" t="e">
        <f t="shared" ref="O188:P188" ca="1" si="55">O187+1</f>
        <v>#REF!</v>
      </c>
      <c r="P188" s="71">
        <f t="shared" ca="1" si="55"/>
        <v>3905</v>
      </c>
    </row>
    <row r="189" spans="1:16" s="71" customFormat="1" ht="15.75" customHeight="1" x14ac:dyDescent="0.25">
      <c r="A189" s="78">
        <v>6</v>
      </c>
      <c r="B189" s="79"/>
      <c r="C189" s="88"/>
      <c r="D189" s="89"/>
      <c r="E189" s="89"/>
      <c r="F189" s="90"/>
      <c r="G189" s="85" t="str">
        <f t="shared" si="51"/>
        <v>39th Floor for Fitness Center &amp; Residential</v>
      </c>
      <c r="H189" s="87"/>
      <c r="I189" s="28"/>
      <c r="N189" s="71" t="e">
        <f t="shared" ca="1" si="50"/>
        <v>#REF!</v>
      </c>
      <c r="O189" s="71" t="e">
        <f t="shared" ref="O189:P189" ca="1" si="56">O188+1</f>
        <v>#REF!</v>
      </c>
      <c r="P189" s="71">
        <f t="shared" ca="1" si="56"/>
        <v>3906</v>
      </c>
    </row>
    <row r="190" spans="1:16" s="71" customFormat="1" ht="15.75" customHeight="1" x14ac:dyDescent="0.25">
      <c r="A190" s="78">
        <v>7</v>
      </c>
      <c r="B190" s="79"/>
      <c r="C190" s="70" t="s">
        <v>196</v>
      </c>
      <c r="D190" s="70">
        <f>(33.46)*10.764</f>
        <v>360.16343999999998</v>
      </c>
      <c r="E190" s="70">
        <v>0</v>
      </c>
      <c r="F190" s="31">
        <v>600</v>
      </c>
      <c r="G190" s="88" t="str">
        <f t="shared" si="51"/>
        <v>39th Floor for Fitness Center &amp; Residential</v>
      </c>
      <c r="H190" s="90"/>
      <c r="I190" s="28"/>
      <c r="N190" s="71" t="e">
        <f t="shared" ca="1" si="50"/>
        <v>#REF!</v>
      </c>
      <c r="O190" s="71" t="e">
        <f t="shared" ref="O190:P190" ca="1" si="57">O189+1</f>
        <v>#REF!</v>
      </c>
      <c r="P190" s="71">
        <f t="shared" ca="1" si="57"/>
        <v>3907</v>
      </c>
    </row>
    <row r="191" spans="1:16" x14ac:dyDescent="0.25">
      <c r="A191" s="111" t="s">
        <v>221</v>
      </c>
      <c r="B191" s="111"/>
      <c r="C191" s="111"/>
      <c r="D191" s="111"/>
      <c r="E191" s="111"/>
      <c r="F191" s="111"/>
      <c r="G191" s="111"/>
      <c r="H191" s="111"/>
    </row>
    <row r="192" spans="1:16" s="71" customFormat="1" x14ac:dyDescent="0.25">
      <c r="A192" s="155" t="s">
        <v>202</v>
      </c>
      <c r="B192" s="155"/>
      <c r="C192" s="155"/>
      <c r="D192" s="155"/>
      <c r="E192" s="155"/>
      <c r="F192" s="155"/>
      <c r="G192" s="155"/>
      <c r="H192" s="155"/>
      <c r="I192" s="28"/>
      <c r="P192" s="29"/>
    </row>
    <row r="193" spans="1:16" s="71" customFormat="1" ht="15.6" customHeight="1" x14ac:dyDescent="0.25">
      <c r="A193" s="78">
        <v>1</v>
      </c>
      <c r="B193" s="79"/>
      <c r="C193" s="78" t="s">
        <v>243</v>
      </c>
      <c r="D193" s="185"/>
      <c r="E193" s="185"/>
      <c r="F193" s="79"/>
      <c r="G193" s="82" t="str">
        <f>A192</f>
        <v>1st Floor for Residential &amp; Podium</v>
      </c>
      <c r="H193" s="84"/>
      <c r="I193" s="28"/>
      <c r="N193" s="71" t="str">
        <f t="shared" ref="N193:N199" ca="1" si="58">O193&amp;""&amp;" to "&amp;""&amp;P193</f>
        <v>101 to 101</v>
      </c>
      <c r="O193" s="71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10^ROW(INDIRECT("1:"&amp;LEN((LEFT(A192,SUM(LEN(A192)-LEN(SUBSTITUTE(A192,{"0","1","2"},""))))))))/10))*100+1</f>
        <v>101</v>
      </c>
      <c r="P193" s="71">
        <f ca="1">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",LEN(A192))),LEN(A192)))))))/10))*100+1</f>
        <v>101</v>
      </c>
    </row>
    <row r="194" spans="1:16" s="71" customFormat="1" ht="15.75" customHeight="1" x14ac:dyDescent="0.25">
      <c r="A194" s="78">
        <v>2</v>
      </c>
      <c r="B194" s="79"/>
      <c r="C194" s="82" t="s">
        <v>85</v>
      </c>
      <c r="D194" s="83"/>
      <c r="E194" s="83"/>
      <c r="F194" s="84"/>
      <c r="G194" s="85"/>
      <c r="H194" s="87"/>
      <c r="I194" s="28"/>
      <c r="N194" s="71" t="str">
        <f t="shared" ca="1" si="58"/>
        <v>102 to 102</v>
      </c>
      <c r="O194" s="71">
        <f t="shared" ref="O194:P194" ca="1" si="59">O193+1</f>
        <v>102</v>
      </c>
      <c r="P194" s="71">
        <f t="shared" ca="1" si="59"/>
        <v>102</v>
      </c>
    </row>
    <row r="195" spans="1:16" s="71" customFormat="1" ht="15.75" customHeight="1" x14ac:dyDescent="0.25">
      <c r="A195" s="78">
        <v>3</v>
      </c>
      <c r="B195" s="79"/>
      <c r="C195" s="85"/>
      <c r="D195" s="86"/>
      <c r="E195" s="86"/>
      <c r="F195" s="87"/>
      <c r="G195" s="85"/>
      <c r="H195" s="87"/>
      <c r="I195" s="28"/>
      <c r="N195" s="71" t="str">
        <f t="shared" ca="1" si="58"/>
        <v>103 to 103</v>
      </c>
      <c r="O195" s="71">
        <f t="shared" ref="O195:P195" ca="1" si="60">O194+1</f>
        <v>103</v>
      </c>
      <c r="P195" s="71">
        <f t="shared" ca="1" si="60"/>
        <v>103</v>
      </c>
    </row>
    <row r="196" spans="1:16" s="71" customFormat="1" ht="15.75" customHeight="1" x14ac:dyDescent="0.25">
      <c r="A196" s="78">
        <v>4</v>
      </c>
      <c r="B196" s="79"/>
      <c r="C196" s="85"/>
      <c r="D196" s="86"/>
      <c r="E196" s="86"/>
      <c r="F196" s="87"/>
      <c r="G196" s="85"/>
      <c r="H196" s="87"/>
      <c r="I196" s="28"/>
      <c r="N196" s="71" t="str">
        <f t="shared" ca="1" si="58"/>
        <v>104 to 104</v>
      </c>
      <c r="O196" s="71">
        <f t="shared" ref="O196:P196" ca="1" si="61">O195+1</f>
        <v>104</v>
      </c>
      <c r="P196" s="71">
        <f t="shared" ca="1" si="61"/>
        <v>104</v>
      </c>
    </row>
    <row r="197" spans="1:16" s="71" customFormat="1" ht="15.75" customHeight="1" x14ac:dyDescent="0.25">
      <c r="A197" s="78">
        <v>5</v>
      </c>
      <c r="B197" s="79"/>
      <c r="C197" s="88"/>
      <c r="D197" s="89"/>
      <c r="E197" s="89"/>
      <c r="F197" s="90"/>
      <c r="G197" s="85"/>
      <c r="H197" s="87"/>
      <c r="I197" s="28"/>
      <c r="N197" s="71" t="str">
        <f t="shared" ca="1" si="58"/>
        <v>105 to 105</v>
      </c>
      <c r="O197" s="71">
        <f t="shared" ref="O197:P197" ca="1" si="62">O196+1</f>
        <v>105</v>
      </c>
      <c r="P197" s="71">
        <f t="shared" ca="1" si="62"/>
        <v>105</v>
      </c>
    </row>
    <row r="198" spans="1:16" s="71" customFormat="1" ht="15.75" customHeight="1" x14ac:dyDescent="0.25">
      <c r="A198" s="78">
        <v>6</v>
      </c>
      <c r="B198" s="79"/>
      <c r="C198" s="70" t="s">
        <v>196</v>
      </c>
      <c r="D198" s="70">
        <f>(30.59)*10.764</f>
        <v>329.27076</v>
      </c>
      <c r="E198" s="70">
        <v>0</v>
      </c>
      <c r="F198" s="31">
        <v>545</v>
      </c>
      <c r="G198" s="85"/>
      <c r="H198" s="87"/>
      <c r="I198" s="28"/>
      <c r="N198" s="71" t="str">
        <f t="shared" ca="1" si="58"/>
        <v>106 to 106</v>
      </c>
      <c r="O198" s="71">
        <f t="shared" ref="O198:P198" ca="1" si="63">O197+1</f>
        <v>106</v>
      </c>
      <c r="P198" s="71">
        <f t="shared" ca="1" si="63"/>
        <v>106</v>
      </c>
    </row>
    <row r="199" spans="1:16" s="71" customFormat="1" ht="15.75" customHeight="1" x14ac:dyDescent="0.25">
      <c r="A199" s="78">
        <v>7</v>
      </c>
      <c r="B199" s="79"/>
      <c r="C199" s="70" t="s">
        <v>196</v>
      </c>
      <c r="D199" s="70">
        <f>(30.59)*10.764</f>
        <v>329.27076</v>
      </c>
      <c r="E199" s="70">
        <v>0</v>
      </c>
      <c r="F199" s="31">
        <v>545</v>
      </c>
      <c r="G199" s="88"/>
      <c r="H199" s="90"/>
      <c r="I199" s="28"/>
      <c r="N199" s="71" t="str">
        <f t="shared" ca="1" si="58"/>
        <v>107 to 107</v>
      </c>
      <c r="O199" s="71">
        <f t="shared" ref="O199:P199" ca="1" si="64">O198+1</f>
        <v>107</v>
      </c>
      <c r="P199" s="71">
        <f t="shared" ca="1" si="64"/>
        <v>107</v>
      </c>
    </row>
    <row r="200" spans="1:16" s="69" customFormat="1" x14ac:dyDescent="0.25">
      <c r="A200" s="91" t="s">
        <v>198</v>
      </c>
      <c r="B200" s="92"/>
      <c r="C200" s="92"/>
      <c r="D200" s="92"/>
      <c r="E200" s="92"/>
      <c r="F200" s="92"/>
      <c r="G200" s="92"/>
      <c r="H200" s="93"/>
      <c r="I200" s="28"/>
      <c r="P200" s="29"/>
    </row>
    <row r="201" spans="1:16" s="69" customFormat="1" x14ac:dyDescent="0.25">
      <c r="A201" s="78">
        <v>1</v>
      </c>
      <c r="B201" s="79"/>
      <c r="C201" s="68" t="s">
        <v>196</v>
      </c>
      <c r="D201" s="68">
        <f>(30.56)*10.764</f>
        <v>328.94783999999999</v>
      </c>
      <c r="E201" s="68">
        <v>0</v>
      </c>
      <c r="F201" s="31">
        <v>545</v>
      </c>
      <c r="G201" s="82" t="str">
        <f>A200</f>
        <v xml:space="preserve">2nd Floor </v>
      </c>
      <c r="H201" s="84"/>
      <c r="I201" s="28"/>
      <c r="N201" s="69" t="str">
        <f t="shared" ref="N201:N207" ca="1" si="65">O201&amp;""&amp;" to "&amp;""&amp;P201</f>
        <v>201 to 201</v>
      </c>
      <c r="O201" s="69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10^ROW(INDIRECT("1:"&amp;LEN((LEFT(A200,SUM(LEN(A200)-LEN(SUBSTITUTE(A200,{"0","1","2"},""))))))))/10))*100+1</f>
        <v>201</v>
      </c>
      <c r="P201" s="69">
        <f ca="1">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",LEN(A200))),LEN(A200)))))))/10))*100+1</f>
        <v>201</v>
      </c>
    </row>
    <row r="202" spans="1:16" s="69" customFormat="1" ht="15.75" customHeight="1" x14ac:dyDescent="0.25">
      <c r="A202" s="78">
        <v>2</v>
      </c>
      <c r="B202" s="79"/>
      <c r="C202" s="82" t="s">
        <v>85</v>
      </c>
      <c r="D202" s="83"/>
      <c r="E202" s="83"/>
      <c r="F202" s="84"/>
      <c r="G202" s="85" t="str">
        <f t="shared" ref="G202:G207" si="66">G201</f>
        <v xml:space="preserve">2nd Floor </v>
      </c>
      <c r="H202" s="87"/>
      <c r="I202" s="28"/>
      <c r="N202" s="69" t="str">
        <f t="shared" ca="1" si="65"/>
        <v>202 to 202</v>
      </c>
      <c r="O202" s="69">
        <f t="shared" ref="O202:P202" ca="1" si="67">O201+1</f>
        <v>202</v>
      </c>
      <c r="P202" s="69">
        <f t="shared" ca="1" si="67"/>
        <v>202</v>
      </c>
    </row>
    <row r="203" spans="1:16" s="69" customFormat="1" ht="15.75" customHeight="1" x14ac:dyDescent="0.25">
      <c r="A203" s="78">
        <v>3</v>
      </c>
      <c r="B203" s="79"/>
      <c r="C203" s="85"/>
      <c r="D203" s="86"/>
      <c r="E203" s="86"/>
      <c r="F203" s="87"/>
      <c r="G203" s="85" t="str">
        <f t="shared" si="66"/>
        <v xml:space="preserve">2nd Floor </v>
      </c>
      <c r="H203" s="87"/>
      <c r="I203" s="28"/>
      <c r="N203" s="69" t="str">
        <f t="shared" ca="1" si="65"/>
        <v>203 to 203</v>
      </c>
      <c r="O203" s="69">
        <f t="shared" ref="O203:P203" ca="1" si="68">O202+1</f>
        <v>203</v>
      </c>
      <c r="P203" s="69">
        <f t="shared" ca="1" si="68"/>
        <v>203</v>
      </c>
    </row>
    <row r="204" spans="1:16" s="69" customFormat="1" ht="15.75" customHeight="1" x14ac:dyDescent="0.25">
      <c r="A204" s="78">
        <v>4</v>
      </c>
      <c r="B204" s="79"/>
      <c r="C204" s="85"/>
      <c r="D204" s="86"/>
      <c r="E204" s="86"/>
      <c r="F204" s="87"/>
      <c r="G204" s="85" t="str">
        <f t="shared" si="66"/>
        <v xml:space="preserve">2nd Floor </v>
      </c>
      <c r="H204" s="87"/>
      <c r="I204" s="28"/>
      <c r="N204" s="69" t="str">
        <f t="shared" ca="1" si="65"/>
        <v>204 to 204</v>
      </c>
      <c r="O204" s="69">
        <f t="shared" ref="O204:P204" ca="1" si="69">O203+1</f>
        <v>204</v>
      </c>
      <c r="P204" s="69">
        <f t="shared" ca="1" si="69"/>
        <v>204</v>
      </c>
    </row>
    <row r="205" spans="1:16" s="69" customFormat="1" ht="15.75" customHeight="1" x14ac:dyDescent="0.25">
      <c r="A205" s="78">
        <v>5</v>
      </c>
      <c r="B205" s="79"/>
      <c r="C205" s="88"/>
      <c r="D205" s="89"/>
      <c r="E205" s="89"/>
      <c r="F205" s="90"/>
      <c r="G205" s="85" t="str">
        <f t="shared" si="66"/>
        <v xml:space="preserve">2nd Floor </v>
      </c>
      <c r="H205" s="87"/>
      <c r="I205" s="28"/>
      <c r="N205" s="69" t="str">
        <f t="shared" ca="1" si="65"/>
        <v>205 to 205</v>
      </c>
      <c r="O205" s="69">
        <f t="shared" ref="O205:P205" ca="1" si="70">O204+1</f>
        <v>205</v>
      </c>
      <c r="P205" s="69">
        <f t="shared" ca="1" si="70"/>
        <v>205</v>
      </c>
    </row>
    <row r="206" spans="1:16" s="69" customFormat="1" ht="15.75" customHeight="1" x14ac:dyDescent="0.25">
      <c r="A206" s="78">
        <v>6</v>
      </c>
      <c r="B206" s="79"/>
      <c r="C206" s="68" t="s">
        <v>196</v>
      </c>
      <c r="D206" s="68">
        <f>(30.59)*10.764</f>
        <v>329.27076</v>
      </c>
      <c r="E206" s="68">
        <v>0</v>
      </c>
      <c r="F206" s="31">
        <v>545</v>
      </c>
      <c r="G206" s="85" t="str">
        <f t="shared" si="66"/>
        <v xml:space="preserve">2nd Floor </v>
      </c>
      <c r="H206" s="87"/>
      <c r="I206" s="28"/>
      <c r="N206" s="69" t="str">
        <f t="shared" ca="1" si="65"/>
        <v>206 to 206</v>
      </c>
      <c r="O206" s="69">
        <f t="shared" ref="O206:P206" ca="1" si="71">O205+1</f>
        <v>206</v>
      </c>
      <c r="P206" s="69">
        <f t="shared" ca="1" si="71"/>
        <v>206</v>
      </c>
    </row>
    <row r="207" spans="1:16" s="69" customFormat="1" ht="15.75" customHeight="1" x14ac:dyDescent="0.25">
      <c r="A207" s="78">
        <v>7</v>
      </c>
      <c r="B207" s="79"/>
      <c r="C207" s="68" t="s">
        <v>196</v>
      </c>
      <c r="D207" s="68">
        <f>(30.59)*10.764</f>
        <v>329.27076</v>
      </c>
      <c r="E207" s="68">
        <v>0</v>
      </c>
      <c r="F207" s="31">
        <v>545</v>
      </c>
      <c r="G207" s="88" t="str">
        <f t="shared" si="66"/>
        <v xml:space="preserve">2nd Floor </v>
      </c>
      <c r="H207" s="90"/>
      <c r="I207" s="28"/>
      <c r="N207" s="69" t="str">
        <f t="shared" ca="1" si="65"/>
        <v>207 to 207</v>
      </c>
      <c r="O207" s="69">
        <f t="shared" ref="O207:P207" ca="1" si="72">O206+1</f>
        <v>207</v>
      </c>
      <c r="P207" s="69">
        <f t="shared" ca="1" si="72"/>
        <v>207</v>
      </c>
    </row>
    <row r="208" spans="1:16" s="54" customFormat="1" x14ac:dyDescent="0.25">
      <c r="A208" s="91" t="s">
        <v>199</v>
      </c>
      <c r="B208" s="92"/>
      <c r="C208" s="92"/>
      <c r="D208" s="92"/>
      <c r="E208" s="92"/>
      <c r="F208" s="92"/>
      <c r="G208" s="92"/>
      <c r="H208" s="93"/>
      <c r="I208" s="28"/>
      <c r="P208" s="29"/>
    </row>
    <row r="209" spans="1:16" s="54" customFormat="1" ht="15.6" customHeight="1" x14ac:dyDescent="0.25">
      <c r="A209" s="78">
        <v>1</v>
      </c>
      <c r="B209" s="79"/>
      <c r="C209" s="51" t="s">
        <v>196</v>
      </c>
      <c r="D209" s="51">
        <f>(30.56)*10.764</f>
        <v>328.94783999999999</v>
      </c>
      <c r="E209" s="51">
        <v>0</v>
      </c>
      <c r="F209" s="31">
        <v>545</v>
      </c>
      <c r="G209" s="82" t="str">
        <f>A208</f>
        <v>3rd to 7th Floor, 9th to 14th &amp; 16th Floor</v>
      </c>
      <c r="H209" s="84"/>
      <c r="I209" s="28"/>
      <c r="N209" s="54" t="str">
        <f t="shared" ref="N209:N215" ca="1" si="73">O209&amp;""&amp;" to "&amp;""&amp;P209</f>
        <v>301 to 1601</v>
      </c>
      <c r="O209" s="54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10^ROW(INDIRECT("1:"&amp;LEN((LEFT(A208,SUM(LEN(A208)-LEN(SUBSTITUTE(A208,{"0","1","2"},""))))))))/10))*100+1</f>
        <v>301</v>
      </c>
      <c r="P209" s="54">
        <f ca="1">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",LEN(A208))),LEN(A208)))))))/10))*100+1</f>
        <v>1601</v>
      </c>
    </row>
    <row r="210" spans="1:16" s="54" customFormat="1" ht="15.75" customHeight="1" x14ac:dyDescent="0.25">
      <c r="A210" s="78">
        <v>2</v>
      </c>
      <c r="B210" s="79"/>
      <c r="C210" s="51" t="s">
        <v>196</v>
      </c>
      <c r="D210" s="51">
        <f>(30.76)*10.764</f>
        <v>331.10064</v>
      </c>
      <c r="E210" s="51">
        <v>0</v>
      </c>
      <c r="F210" s="31">
        <v>550</v>
      </c>
      <c r="G210" s="85" t="str">
        <f t="shared" ref="G210:G215" si="74">G209</f>
        <v>3rd to 7th Floor, 9th to 14th &amp; 16th Floor</v>
      </c>
      <c r="H210" s="87"/>
      <c r="I210" s="28"/>
      <c r="N210" s="54" t="str">
        <f t="shared" ca="1" si="73"/>
        <v>302 to 1602</v>
      </c>
      <c r="O210" s="54">
        <f t="shared" ref="O210:P210" ca="1" si="75">O209+1</f>
        <v>302</v>
      </c>
      <c r="P210" s="54">
        <f t="shared" ca="1" si="75"/>
        <v>1602</v>
      </c>
    </row>
    <row r="211" spans="1:16" s="54" customFormat="1" ht="15.75" customHeight="1" x14ac:dyDescent="0.25">
      <c r="A211" s="78">
        <v>3</v>
      </c>
      <c r="B211" s="79"/>
      <c r="C211" s="51" t="s">
        <v>196</v>
      </c>
      <c r="D211" s="51">
        <f>(30.6)*10.764</f>
        <v>329.3784</v>
      </c>
      <c r="E211" s="51">
        <v>0</v>
      </c>
      <c r="F211" s="31">
        <v>545</v>
      </c>
      <c r="G211" s="85" t="str">
        <f t="shared" si="74"/>
        <v>3rd to 7th Floor, 9th to 14th &amp; 16th Floor</v>
      </c>
      <c r="H211" s="87"/>
      <c r="I211" s="28"/>
      <c r="N211" s="54" t="str">
        <f t="shared" ca="1" si="73"/>
        <v>303 to 1603</v>
      </c>
      <c r="O211" s="54">
        <f t="shared" ref="O211:P211" ca="1" si="76">O210+1</f>
        <v>303</v>
      </c>
      <c r="P211" s="54">
        <f t="shared" ca="1" si="76"/>
        <v>1603</v>
      </c>
    </row>
    <row r="212" spans="1:16" s="54" customFormat="1" ht="15.75" customHeight="1" x14ac:dyDescent="0.25">
      <c r="A212" s="78">
        <v>4</v>
      </c>
      <c r="B212" s="79"/>
      <c r="C212" s="51" t="s">
        <v>196</v>
      </c>
      <c r="D212" s="51">
        <f>(30.59)*10.764</f>
        <v>329.27076</v>
      </c>
      <c r="E212" s="51">
        <v>0</v>
      </c>
      <c r="F212" s="31">
        <v>545</v>
      </c>
      <c r="G212" s="85" t="str">
        <f t="shared" si="74"/>
        <v>3rd to 7th Floor, 9th to 14th &amp; 16th Floor</v>
      </c>
      <c r="H212" s="87"/>
      <c r="I212" s="28"/>
      <c r="N212" s="54" t="str">
        <f t="shared" ca="1" si="73"/>
        <v>304 to 1604</v>
      </c>
      <c r="O212" s="54">
        <f t="shared" ref="O212:P212" ca="1" si="77">O211+1</f>
        <v>304</v>
      </c>
      <c r="P212" s="54">
        <f t="shared" ca="1" si="77"/>
        <v>1604</v>
      </c>
    </row>
    <row r="213" spans="1:16" s="54" customFormat="1" ht="15.75" customHeight="1" x14ac:dyDescent="0.25">
      <c r="A213" s="78">
        <v>5</v>
      </c>
      <c r="B213" s="79"/>
      <c r="C213" s="51" t="s">
        <v>196</v>
      </c>
      <c r="D213" s="51">
        <f>(30.59)*10.764</f>
        <v>329.27076</v>
      </c>
      <c r="E213" s="51">
        <v>0</v>
      </c>
      <c r="F213" s="31">
        <v>545</v>
      </c>
      <c r="G213" s="85" t="str">
        <f t="shared" si="74"/>
        <v>3rd to 7th Floor, 9th to 14th &amp; 16th Floor</v>
      </c>
      <c r="H213" s="87"/>
      <c r="I213" s="28"/>
      <c r="N213" s="54" t="str">
        <f t="shared" ca="1" si="73"/>
        <v>305 to 1605</v>
      </c>
      <c r="O213" s="54">
        <f t="shared" ref="O213:P213" ca="1" si="78">O212+1</f>
        <v>305</v>
      </c>
      <c r="P213" s="54">
        <f t="shared" ca="1" si="78"/>
        <v>1605</v>
      </c>
    </row>
    <row r="214" spans="1:16" s="54" customFormat="1" ht="15.75" customHeight="1" x14ac:dyDescent="0.25">
      <c r="A214" s="78">
        <v>6</v>
      </c>
      <c r="B214" s="79"/>
      <c r="C214" s="51" t="s">
        <v>196</v>
      </c>
      <c r="D214" s="51">
        <f>(30.59)*10.764</f>
        <v>329.27076</v>
      </c>
      <c r="E214" s="51">
        <v>0</v>
      </c>
      <c r="F214" s="31">
        <v>545</v>
      </c>
      <c r="G214" s="85" t="str">
        <f t="shared" si="74"/>
        <v>3rd to 7th Floor, 9th to 14th &amp; 16th Floor</v>
      </c>
      <c r="H214" s="87"/>
      <c r="I214" s="28"/>
      <c r="N214" s="54" t="str">
        <f t="shared" ca="1" si="73"/>
        <v>306 to 1606</v>
      </c>
      <c r="O214" s="54">
        <f t="shared" ref="O214:P214" ca="1" si="79">O213+1</f>
        <v>306</v>
      </c>
      <c r="P214" s="54">
        <f t="shared" ca="1" si="79"/>
        <v>1606</v>
      </c>
    </row>
    <row r="215" spans="1:16" s="54" customFormat="1" ht="15.75" customHeight="1" x14ac:dyDescent="0.25">
      <c r="A215" s="78">
        <v>7</v>
      </c>
      <c r="B215" s="79"/>
      <c r="C215" s="51" t="s">
        <v>196</v>
      </c>
      <c r="D215" s="51">
        <f>(30.59)*10.764</f>
        <v>329.27076</v>
      </c>
      <c r="E215" s="51">
        <v>0</v>
      </c>
      <c r="F215" s="31">
        <v>545</v>
      </c>
      <c r="G215" s="88" t="str">
        <f t="shared" si="74"/>
        <v>3rd to 7th Floor, 9th to 14th &amp; 16th Floor</v>
      </c>
      <c r="H215" s="90"/>
      <c r="I215" s="28"/>
      <c r="N215" s="54" t="str">
        <f t="shared" ca="1" si="73"/>
        <v>307 to 1607</v>
      </c>
      <c r="O215" s="54">
        <f t="shared" ref="O215:P215" ca="1" si="80">O214+1</f>
        <v>307</v>
      </c>
      <c r="P215" s="54">
        <f t="shared" ca="1" si="80"/>
        <v>1607</v>
      </c>
    </row>
    <row r="216" spans="1:16" s="54" customFormat="1" ht="15.6" customHeight="1" x14ac:dyDescent="0.25">
      <c r="A216" s="91" t="s">
        <v>235</v>
      </c>
      <c r="B216" s="92"/>
      <c r="C216" s="92"/>
      <c r="D216" s="92"/>
      <c r="E216" s="92"/>
      <c r="F216" s="92"/>
      <c r="G216" s="92"/>
      <c r="H216" s="93"/>
      <c r="I216" s="28"/>
      <c r="P216" s="29"/>
    </row>
    <row r="217" spans="1:16" s="54" customFormat="1" ht="15.75" customHeight="1" x14ac:dyDescent="0.25">
      <c r="A217" s="78">
        <v>1</v>
      </c>
      <c r="B217" s="79"/>
      <c r="C217" s="51" t="s">
        <v>196</v>
      </c>
      <c r="D217" s="51">
        <f>(30.56)*10.764</f>
        <v>328.94783999999999</v>
      </c>
      <c r="E217" s="51">
        <v>0</v>
      </c>
      <c r="F217" s="31">
        <v>610</v>
      </c>
      <c r="G217" s="82" t="str">
        <f>A216</f>
        <v>17th to 21st, 23rd to 28th, 30th to 35th, 37th &amp; 38th Floor</v>
      </c>
      <c r="H217" s="84"/>
      <c r="I217" s="28"/>
      <c r="N217" s="54" t="str">
        <f t="shared" ref="N217:N223" ca="1" si="81">O217&amp;""&amp;" to "&amp;""&amp;P217</f>
        <v>1701 to 3801</v>
      </c>
      <c r="O217" s="54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10^ROW(INDIRECT("1:"&amp;LEN((LEFT(A216,SUM(LEN(A216)-LEN(SUBSTITUTE(A216,{"0","1","2"},""))))))))/10))*100+1</f>
        <v>1701</v>
      </c>
      <c r="P217" s="54">
        <f ca="1">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",LEN(A216))),LEN(A216)))))))/10))*100+1</f>
        <v>3801</v>
      </c>
    </row>
    <row r="218" spans="1:16" s="54" customFormat="1" ht="15.75" customHeight="1" x14ac:dyDescent="0.25">
      <c r="A218" s="78">
        <v>2</v>
      </c>
      <c r="B218" s="79"/>
      <c r="C218" s="51" t="s">
        <v>196</v>
      </c>
      <c r="D218" s="51">
        <f>(33.55)*10.764</f>
        <v>361.13219999999995</v>
      </c>
      <c r="E218" s="51">
        <v>0</v>
      </c>
      <c r="F218" s="31">
        <v>600</v>
      </c>
      <c r="G218" s="85"/>
      <c r="H218" s="87"/>
      <c r="I218" s="28"/>
      <c r="N218" s="54" t="str">
        <f t="shared" ca="1" si="81"/>
        <v>1702 to 3802</v>
      </c>
      <c r="O218" s="54">
        <f t="shared" ref="O218:P218" ca="1" si="82">O217+1</f>
        <v>1702</v>
      </c>
      <c r="P218" s="54">
        <f t="shared" ca="1" si="82"/>
        <v>3802</v>
      </c>
    </row>
    <row r="219" spans="1:16" s="54" customFormat="1" ht="15.75" customHeight="1" x14ac:dyDescent="0.25">
      <c r="A219" s="78">
        <v>3</v>
      </c>
      <c r="B219" s="79"/>
      <c r="C219" s="51" t="s">
        <v>196</v>
      </c>
      <c r="D219" s="51">
        <f>(33.47)*10.764</f>
        <v>360.27107999999998</v>
      </c>
      <c r="E219" s="51">
        <v>0</v>
      </c>
      <c r="F219" s="31">
        <v>600</v>
      </c>
      <c r="G219" s="85"/>
      <c r="H219" s="87"/>
      <c r="I219" s="28"/>
      <c r="N219" s="54" t="str">
        <f t="shared" ca="1" si="81"/>
        <v>1703 to 3803</v>
      </c>
      <c r="O219" s="54">
        <f t="shared" ref="O219:P219" ca="1" si="83">O218+1</f>
        <v>1703</v>
      </c>
      <c r="P219" s="54">
        <f t="shared" ca="1" si="83"/>
        <v>3803</v>
      </c>
    </row>
    <row r="220" spans="1:16" s="54" customFormat="1" ht="15.75" customHeight="1" x14ac:dyDescent="0.25">
      <c r="A220" s="78">
        <v>4</v>
      </c>
      <c r="B220" s="79"/>
      <c r="C220" s="51" t="s">
        <v>196</v>
      </c>
      <c r="D220" s="51">
        <f>(33.47)*10.764</f>
        <v>360.27107999999998</v>
      </c>
      <c r="E220" s="51">
        <v>0</v>
      </c>
      <c r="F220" s="31">
        <v>600</v>
      </c>
      <c r="G220" s="85"/>
      <c r="H220" s="87"/>
      <c r="I220" s="28"/>
      <c r="N220" s="54" t="str">
        <f t="shared" ca="1" si="81"/>
        <v>1704 to 3804</v>
      </c>
      <c r="O220" s="54">
        <f t="shared" ref="O220:P220" ca="1" si="84">O219+1</f>
        <v>1704</v>
      </c>
      <c r="P220" s="54">
        <f t="shared" ca="1" si="84"/>
        <v>3804</v>
      </c>
    </row>
    <row r="221" spans="1:16" s="54" customFormat="1" ht="15.75" customHeight="1" x14ac:dyDescent="0.25">
      <c r="A221" s="78">
        <v>5</v>
      </c>
      <c r="B221" s="79"/>
      <c r="C221" s="51" t="s">
        <v>196</v>
      </c>
      <c r="D221" s="51">
        <f>(33.46)*10.764</f>
        <v>360.16343999999998</v>
      </c>
      <c r="E221" s="51">
        <v>0</v>
      </c>
      <c r="F221" s="31">
        <v>600</v>
      </c>
      <c r="G221" s="85"/>
      <c r="H221" s="87"/>
      <c r="I221" s="28"/>
      <c r="N221" s="54" t="str">
        <f t="shared" ca="1" si="81"/>
        <v>1705 to 3805</v>
      </c>
      <c r="O221" s="54">
        <f t="shared" ref="O221:P221" ca="1" si="85">O220+1</f>
        <v>1705</v>
      </c>
      <c r="P221" s="54">
        <f t="shared" ca="1" si="85"/>
        <v>3805</v>
      </c>
    </row>
    <row r="222" spans="1:16" s="54" customFormat="1" ht="15.75" customHeight="1" x14ac:dyDescent="0.25">
      <c r="A222" s="78">
        <v>6</v>
      </c>
      <c r="B222" s="79"/>
      <c r="C222" s="51" t="s">
        <v>196</v>
      </c>
      <c r="D222" s="51">
        <f>(33.46)*10.764</f>
        <v>360.16343999999998</v>
      </c>
      <c r="E222" s="51">
        <v>0</v>
      </c>
      <c r="F222" s="31">
        <v>600</v>
      </c>
      <c r="G222" s="85"/>
      <c r="H222" s="87"/>
      <c r="I222" s="28"/>
      <c r="N222" s="54" t="str">
        <f t="shared" ca="1" si="81"/>
        <v>1706 to 3806</v>
      </c>
      <c r="O222" s="54">
        <f t="shared" ref="O222:P222" ca="1" si="86">O221+1</f>
        <v>1706</v>
      </c>
      <c r="P222" s="54">
        <f t="shared" ca="1" si="86"/>
        <v>3806</v>
      </c>
    </row>
    <row r="223" spans="1:16" s="54" customFormat="1" ht="15.75" customHeight="1" x14ac:dyDescent="0.25">
      <c r="A223" s="78">
        <v>7</v>
      </c>
      <c r="B223" s="79"/>
      <c r="C223" s="51" t="s">
        <v>196</v>
      </c>
      <c r="D223" s="51">
        <f>(33.46)*10.764</f>
        <v>360.16343999999998</v>
      </c>
      <c r="E223" s="51">
        <v>0</v>
      </c>
      <c r="F223" s="31">
        <v>600</v>
      </c>
      <c r="G223" s="88"/>
      <c r="H223" s="90"/>
      <c r="I223" s="28"/>
      <c r="N223" s="54" t="str">
        <f t="shared" ca="1" si="81"/>
        <v>1707 to 3807</v>
      </c>
      <c r="O223" s="54">
        <f t="shared" ref="O223:P223" ca="1" si="87">O222+1</f>
        <v>1707</v>
      </c>
      <c r="P223" s="54">
        <f t="shared" ca="1" si="87"/>
        <v>3807</v>
      </c>
    </row>
    <row r="224" spans="1:16" s="54" customFormat="1" ht="15.6" customHeight="1" x14ac:dyDescent="0.25">
      <c r="A224" s="91" t="s">
        <v>236</v>
      </c>
      <c r="B224" s="92"/>
      <c r="C224" s="92"/>
      <c r="D224" s="92"/>
      <c r="E224" s="92"/>
      <c r="F224" s="92"/>
      <c r="G224" s="92"/>
      <c r="H224" s="93"/>
      <c r="I224" s="28"/>
      <c r="P224" s="29"/>
    </row>
    <row r="225" spans="1:16" s="54" customFormat="1" ht="15.6" customHeight="1" x14ac:dyDescent="0.25">
      <c r="A225" s="78">
        <v>1</v>
      </c>
      <c r="B225" s="79"/>
      <c r="C225" s="51" t="s">
        <v>196</v>
      </c>
      <c r="D225" s="51">
        <f>(30.56)*10.764</f>
        <v>328.94783999999999</v>
      </c>
      <c r="E225" s="51">
        <v>0</v>
      </c>
      <c r="F225" s="31">
        <v>610</v>
      </c>
      <c r="G225" s="82" t="str">
        <f>A224</f>
        <v>8th &amp; 15th Floor (Part Refuge Area)</v>
      </c>
      <c r="H225" s="84"/>
      <c r="I225" s="28"/>
      <c r="N225" s="54" t="str">
        <f t="shared" ref="N225:N231" ca="1" si="88">O225&amp;""&amp;" &amp; "&amp;""&amp;P225</f>
        <v>801 &amp; 1501</v>
      </c>
      <c r="O225" s="54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10^ROW(INDIRECT("1:"&amp;LEN((LEFT(A224,SUM(LEN(A224)-LEN(SUBSTITUTE(A224,{"0","1","2"},""))))))))/10))*100+1</f>
        <v>801</v>
      </c>
      <c r="P225" s="54">
        <f ca="1">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",LEN(A224))),LEN(A224)))))))/10))*100+1</f>
        <v>1501</v>
      </c>
    </row>
    <row r="226" spans="1:16" s="54" customFormat="1" ht="15.6" customHeight="1" x14ac:dyDescent="0.25">
      <c r="A226" s="78">
        <v>2</v>
      </c>
      <c r="B226" s="79"/>
      <c r="C226" s="51" t="s">
        <v>196</v>
      </c>
      <c r="D226" s="51">
        <f>(30.76)*10.764</f>
        <v>331.10064</v>
      </c>
      <c r="E226" s="51">
        <v>0</v>
      </c>
      <c r="F226" s="31">
        <v>600</v>
      </c>
      <c r="G226" s="85" t="str">
        <f t="shared" ref="G226:G231" si="89">G225</f>
        <v>8th &amp; 15th Floor (Part Refuge Area)</v>
      </c>
      <c r="H226" s="87"/>
      <c r="I226" s="28"/>
      <c r="N226" s="54" t="str">
        <f t="shared" ca="1" si="88"/>
        <v>802 &amp; 1502</v>
      </c>
      <c r="O226" s="54">
        <f t="shared" ref="O226:P226" ca="1" si="90">O225+1</f>
        <v>802</v>
      </c>
      <c r="P226" s="54">
        <f t="shared" ca="1" si="90"/>
        <v>1502</v>
      </c>
    </row>
    <row r="227" spans="1:16" s="54" customFormat="1" ht="15.75" customHeight="1" x14ac:dyDescent="0.25">
      <c r="A227" s="78">
        <v>3</v>
      </c>
      <c r="B227" s="79"/>
      <c r="C227" s="51" t="s">
        <v>196</v>
      </c>
      <c r="D227" s="51">
        <f>(30.6)*10.764</f>
        <v>329.3784</v>
      </c>
      <c r="E227" s="51">
        <v>0</v>
      </c>
      <c r="F227" s="31">
        <v>600</v>
      </c>
      <c r="G227" s="85" t="str">
        <f t="shared" si="89"/>
        <v>8th &amp; 15th Floor (Part Refuge Area)</v>
      </c>
      <c r="H227" s="87"/>
      <c r="I227" s="28"/>
      <c r="N227" s="54" t="str">
        <f t="shared" ca="1" si="88"/>
        <v>803 &amp; 1503</v>
      </c>
      <c r="O227" s="54">
        <f t="shared" ref="O227:P227" ca="1" si="91">O226+1</f>
        <v>803</v>
      </c>
      <c r="P227" s="54">
        <f t="shared" ca="1" si="91"/>
        <v>1503</v>
      </c>
    </row>
    <row r="228" spans="1:16" s="54" customFormat="1" ht="15.75" customHeight="1" x14ac:dyDescent="0.25">
      <c r="A228" s="78">
        <v>4</v>
      </c>
      <c r="B228" s="79"/>
      <c r="C228" s="51" t="s">
        <v>196</v>
      </c>
      <c r="D228" s="51">
        <f>(30.59)*10.764</f>
        <v>329.27076</v>
      </c>
      <c r="E228" s="51">
        <v>0</v>
      </c>
      <c r="F228" s="31">
        <v>600</v>
      </c>
      <c r="G228" s="85" t="str">
        <f t="shared" si="89"/>
        <v>8th &amp; 15th Floor (Part Refuge Area)</v>
      </c>
      <c r="H228" s="87"/>
      <c r="I228" s="28"/>
      <c r="N228" s="54" t="str">
        <f t="shared" ca="1" si="88"/>
        <v>804 &amp; 1504</v>
      </c>
      <c r="O228" s="54">
        <f t="shared" ref="O228:P228" ca="1" si="92">O227+1</f>
        <v>804</v>
      </c>
      <c r="P228" s="54">
        <f t="shared" ca="1" si="92"/>
        <v>1504</v>
      </c>
    </row>
    <row r="229" spans="1:16" s="54" customFormat="1" ht="15.75" customHeight="1" x14ac:dyDescent="0.25">
      <c r="A229" s="78">
        <v>5</v>
      </c>
      <c r="B229" s="79"/>
      <c r="C229" s="51" t="s">
        <v>196</v>
      </c>
      <c r="D229" s="51">
        <f>(30.59)*10.764</f>
        <v>329.27076</v>
      </c>
      <c r="E229" s="51">
        <v>0</v>
      </c>
      <c r="F229" s="31">
        <v>600</v>
      </c>
      <c r="G229" s="85" t="str">
        <f t="shared" si="89"/>
        <v>8th &amp; 15th Floor (Part Refuge Area)</v>
      </c>
      <c r="H229" s="87"/>
      <c r="I229" s="28"/>
      <c r="N229" s="54" t="str">
        <f t="shared" ca="1" si="88"/>
        <v>805 &amp; 1505</v>
      </c>
      <c r="O229" s="54">
        <f t="shared" ref="O229:P229" ca="1" si="93">O228+1</f>
        <v>805</v>
      </c>
      <c r="P229" s="54">
        <f t="shared" ca="1" si="93"/>
        <v>1505</v>
      </c>
    </row>
    <row r="230" spans="1:16" s="54" customFormat="1" ht="15.75" customHeight="1" x14ac:dyDescent="0.25">
      <c r="A230" s="78">
        <v>6</v>
      </c>
      <c r="B230" s="79"/>
      <c r="C230" s="82" t="s">
        <v>200</v>
      </c>
      <c r="D230" s="83"/>
      <c r="E230" s="83"/>
      <c r="F230" s="84"/>
      <c r="G230" s="85" t="str">
        <f t="shared" si="89"/>
        <v>8th &amp; 15th Floor (Part Refuge Area)</v>
      </c>
      <c r="H230" s="87"/>
      <c r="I230" s="28"/>
      <c r="N230" s="54" t="str">
        <f t="shared" ca="1" si="88"/>
        <v>806 &amp; 1506</v>
      </c>
      <c r="O230" s="54">
        <f t="shared" ref="O230:P230" ca="1" si="94">O229+1</f>
        <v>806</v>
      </c>
      <c r="P230" s="54">
        <f t="shared" ca="1" si="94"/>
        <v>1506</v>
      </c>
    </row>
    <row r="231" spans="1:16" s="54" customFormat="1" ht="15.75" customHeight="1" x14ac:dyDescent="0.25">
      <c r="A231" s="78">
        <v>7</v>
      </c>
      <c r="B231" s="79"/>
      <c r="C231" s="88"/>
      <c r="D231" s="89"/>
      <c r="E231" s="89"/>
      <c r="F231" s="90"/>
      <c r="G231" s="88" t="str">
        <f t="shared" si="89"/>
        <v>8th &amp; 15th Floor (Part Refuge Area)</v>
      </c>
      <c r="H231" s="90"/>
      <c r="I231" s="28"/>
      <c r="N231" s="54" t="str">
        <f t="shared" ca="1" si="88"/>
        <v>807 &amp; 1507</v>
      </c>
      <c r="O231" s="54">
        <f t="shared" ref="O231:P231" ca="1" si="95">O230+1</f>
        <v>807</v>
      </c>
      <c r="P231" s="54">
        <f t="shared" ca="1" si="95"/>
        <v>1507</v>
      </c>
    </row>
    <row r="232" spans="1:16" s="54" customFormat="1" ht="15.6" customHeight="1" x14ac:dyDescent="0.25">
      <c r="A232" s="91" t="s">
        <v>237</v>
      </c>
      <c r="B232" s="92"/>
      <c r="C232" s="92"/>
      <c r="D232" s="92"/>
      <c r="E232" s="92"/>
      <c r="F232" s="92"/>
      <c r="G232" s="92"/>
      <c r="H232" s="93"/>
      <c r="I232" s="28"/>
      <c r="P232" s="29"/>
    </row>
    <row r="233" spans="1:16" s="54" customFormat="1" ht="15.6" customHeight="1" x14ac:dyDescent="0.25">
      <c r="A233" s="78">
        <v>1</v>
      </c>
      <c r="B233" s="79"/>
      <c r="C233" s="51" t="s">
        <v>196</v>
      </c>
      <c r="D233" s="51">
        <f>(30.56)*10.764</f>
        <v>328.94783999999999</v>
      </c>
      <c r="E233" s="51">
        <v>0</v>
      </c>
      <c r="F233" s="31">
        <v>600</v>
      </c>
      <c r="G233" s="82" t="str">
        <f>A232</f>
        <v>22nd &amp; 29th Floor (Part Refuge Area)</v>
      </c>
      <c r="H233" s="84"/>
      <c r="I233" s="28"/>
      <c r="N233" s="54" t="str">
        <f t="shared" ref="N233:N239" ca="1" si="96">O233&amp;""&amp;" &amp; "&amp;""&amp;P233</f>
        <v>2201 &amp; 2901</v>
      </c>
      <c r="O233" s="54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10^ROW(INDIRECT("1:"&amp;LEN((LEFT(A232,SUM(LEN(A232)-LEN(SUBSTITUTE(A232,{"0","1","2"},""))))))))/10))*100+1</f>
        <v>2201</v>
      </c>
      <c r="P233" s="54">
        <f ca="1">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",LEN(A232))),LEN(A232)))))))/10))*100+1</f>
        <v>2901</v>
      </c>
    </row>
    <row r="234" spans="1:16" s="54" customFormat="1" ht="15.6" customHeight="1" x14ac:dyDescent="0.25">
      <c r="A234" s="78">
        <v>2</v>
      </c>
      <c r="B234" s="79"/>
      <c r="C234" s="51" t="s">
        <v>196</v>
      </c>
      <c r="D234" s="51">
        <f>(33.55)*10.764</f>
        <v>361.13219999999995</v>
      </c>
      <c r="E234" s="51">
        <v>0</v>
      </c>
      <c r="F234" s="31">
        <v>600</v>
      </c>
      <c r="G234" s="85" t="str">
        <f t="shared" ref="G234:G239" si="97">G233</f>
        <v>22nd &amp; 29th Floor (Part Refuge Area)</v>
      </c>
      <c r="H234" s="87"/>
      <c r="I234" s="28"/>
      <c r="N234" s="54" t="str">
        <f t="shared" ca="1" si="96"/>
        <v>2202 &amp; 2902</v>
      </c>
      <c r="O234" s="54">
        <f t="shared" ref="O234:P234" ca="1" si="98">O233+1</f>
        <v>2202</v>
      </c>
      <c r="P234" s="54">
        <f t="shared" ca="1" si="98"/>
        <v>2902</v>
      </c>
    </row>
    <row r="235" spans="1:16" s="54" customFormat="1" ht="15.75" customHeight="1" x14ac:dyDescent="0.25">
      <c r="A235" s="78">
        <v>3</v>
      </c>
      <c r="B235" s="79"/>
      <c r="C235" s="51" t="s">
        <v>196</v>
      </c>
      <c r="D235" s="51">
        <f>(33.47)*10.764</f>
        <v>360.27107999999998</v>
      </c>
      <c r="E235" s="51">
        <v>0</v>
      </c>
      <c r="F235" s="31">
        <v>600</v>
      </c>
      <c r="G235" s="85" t="str">
        <f t="shared" si="97"/>
        <v>22nd &amp; 29th Floor (Part Refuge Area)</v>
      </c>
      <c r="H235" s="87"/>
      <c r="I235" s="28"/>
      <c r="N235" s="54" t="str">
        <f t="shared" ca="1" si="96"/>
        <v>2203 &amp; 2903</v>
      </c>
      <c r="O235" s="54">
        <f t="shared" ref="O235:P235" ca="1" si="99">O234+1</f>
        <v>2203</v>
      </c>
      <c r="P235" s="54">
        <f t="shared" ca="1" si="99"/>
        <v>2903</v>
      </c>
    </row>
    <row r="236" spans="1:16" s="54" customFormat="1" ht="15.75" customHeight="1" x14ac:dyDescent="0.25">
      <c r="A236" s="78">
        <v>4</v>
      </c>
      <c r="B236" s="79"/>
      <c r="C236" s="51" t="s">
        <v>196</v>
      </c>
      <c r="D236" s="51">
        <f>(33.46)*10.764</f>
        <v>360.16343999999998</v>
      </c>
      <c r="E236" s="51">
        <v>0</v>
      </c>
      <c r="F236" s="31">
        <v>600</v>
      </c>
      <c r="G236" s="85" t="str">
        <f t="shared" si="97"/>
        <v>22nd &amp; 29th Floor (Part Refuge Area)</v>
      </c>
      <c r="H236" s="87"/>
      <c r="I236" s="28"/>
      <c r="N236" s="54" t="str">
        <f t="shared" ca="1" si="96"/>
        <v>2204 &amp; 2904</v>
      </c>
      <c r="O236" s="54">
        <f t="shared" ref="O236:P236" ca="1" si="100">O235+1</f>
        <v>2204</v>
      </c>
      <c r="P236" s="54">
        <f t="shared" ca="1" si="100"/>
        <v>2904</v>
      </c>
    </row>
    <row r="237" spans="1:16" s="54" customFormat="1" ht="15.75" customHeight="1" x14ac:dyDescent="0.25">
      <c r="A237" s="78">
        <v>5</v>
      </c>
      <c r="B237" s="79"/>
      <c r="C237" s="51" t="s">
        <v>196</v>
      </c>
      <c r="D237" s="51">
        <f>(33.46)*10.764</f>
        <v>360.16343999999998</v>
      </c>
      <c r="E237" s="51">
        <v>0</v>
      </c>
      <c r="F237" s="31">
        <v>600</v>
      </c>
      <c r="G237" s="85" t="str">
        <f t="shared" si="97"/>
        <v>22nd &amp; 29th Floor (Part Refuge Area)</v>
      </c>
      <c r="H237" s="87"/>
      <c r="I237" s="28"/>
      <c r="N237" s="54" t="str">
        <f t="shared" ca="1" si="96"/>
        <v>2205 &amp; 2905</v>
      </c>
      <c r="O237" s="54">
        <f t="shared" ref="O237:P237" ca="1" si="101">O236+1</f>
        <v>2205</v>
      </c>
      <c r="P237" s="54">
        <f t="shared" ca="1" si="101"/>
        <v>2905</v>
      </c>
    </row>
    <row r="238" spans="1:16" s="54" customFormat="1" ht="15.75" customHeight="1" x14ac:dyDescent="0.25">
      <c r="A238" s="78">
        <v>6</v>
      </c>
      <c r="B238" s="79"/>
      <c r="C238" s="82" t="s">
        <v>200</v>
      </c>
      <c r="D238" s="83"/>
      <c r="E238" s="83"/>
      <c r="F238" s="84"/>
      <c r="G238" s="85" t="str">
        <f t="shared" si="97"/>
        <v>22nd &amp; 29th Floor (Part Refuge Area)</v>
      </c>
      <c r="H238" s="87"/>
      <c r="I238" s="28"/>
      <c r="N238" s="54" t="str">
        <f t="shared" ca="1" si="96"/>
        <v>2206 &amp; 2906</v>
      </c>
      <c r="O238" s="54">
        <f t="shared" ref="O238:P238" ca="1" si="102">O237+1</f>
        <v>2206</v>
      </c>
      <c r="P238" s="54">
        <f t="shared" ca="1" si="102"/>
        <v>2906</v>
      </c>
    </row>
    <row r="239" spans="1:16" s="54" customFormat="1" ht="15.75" customHeight="1" x14ac:dyDescent="0.25">
      <c r="A239" s="78">
        <v>7</v>
      </c>
      <c r="B239" s="79"/>
      <c r="C239" s="88"/>
      <c r="D239" s="89"/>
      <c r="E239" s="89"/>
      <c r="F239" s="90"/>
      <c r="G239" s="88" t="str">
        <f t="shared" si="97"/>
        <v>22nd &amp; 29th Floor (Part Refuge Area)</v>
      </c>
      <c r="H239" s="90"/>
      <c r="I239" s="28"/>
      <c r="N239" s="54" t="str">
        <f t="shared" ca="1" si="96"/>
        <v>2207 &amp; 2907</v>
      </c>
      <c r="O239" s="54">
        <f t="shared" ref="O239:P239" ca="1" si="103">O238+1</f>
        <v>2207</v>
      </c>
      <c r="P239" s="54">
        <f t="shared" ca="1" si="103"/>
        <v>2907</v>
      </c>
    </row>
    <row r="240" spans="1:16" x14ac:dyDescent="0.25">
      <c r="A240" s="102" t="s">
        <v>201</v>
      </c>
      <c r="B240" s="102"/>
      <c r="C240" s="102"/>
      <c r="D240" s="102"/>
      <c r="E240" s="102"/>
      <c r="F240" s="102"/>
      <c r="G240" s="102"/>
      <c r="H240" s="102"/>
    </row>
    <row r="241" spans="1:16" s="71" customFormat="1" ht="15.6" customHeight="1" x14ac:dyDescent="0.25">
      <c r="A241" s="91" t="s">
        <v>238</v>
      </c>
      <c r="B241" s="92"/>
      <c r="C241" s="92"/>
      <c r="D241" s="92"/>
      <c r="E241" s="92"/>
      <c r="F241" s="92"/>
      <c r="G241" s="92"/>
      <c r="H241" s="93"/>
      <c r="I241" s="28"/>
      <c r="P241" s="29"/>
    </row>
    <row r="242" spans="1:16" s="71" customFormat="1" ht="15.75" customHeight="1" x14ac:dyDescent="0.25">
      <c r="A242" s="78">
        <v>1</v>
      </c>
      <c r="B242" s="79"/>
      <c r="C242" s="70" t="s">
        <v>196</v>
      </c>
      <c r="D242" s="70">
        <f>(30.56)*10.764</f>
        <v>328.94783999999999</v>
      </c>
      <c r="E242" s="70">
        <v>0</v>
      </c>
      <c r="F242" s="31">
        <v>610</v>
      </c>
      <c r="G242" s="82" t="str">
        <f>A241</f>
        <v>36th Floor (Part Refuge Area)</v>
      </c>
      <c r="H242" s="84"/>
      <c r="I242" s="28"/>
      <c r="N242" s="71" t="e">
        <f t="shared" ref="N242:N248" ca="1" si="104">O242&amp;""&amp;" to "&amp;""&amp;P242</f>
        <v>#REF!</v>
      </c>
      <c r="O242" s="71" t="e">
        <f ca="1">(SUMPRODUCT(MID(0&amp;(LEFT(A241,SUM(LEN(A241)-LEN(SUBSTITUTE(A241,{"0","1","2"},""))))), LARGE(INDEX(ISNUMBER(--MID((LEFT(A241,SUM(LEN(A241)-LEN(SUBSTITUTE(A241,{"0","1","2"},""))))), ROW(INDIRECT("1:"&amp;LEN((LEFT(A241,SUM(LEN(A241)-LEN(SUBSTITUTE(A241,{"0","1","2"},"")))))))), 1)) * ROW(INDIRECT("1:"&amp;LEN((LEFT(A241,SUM(LEN(A241)-LEN(SUBSTITUTE(A241,{"0","1","2"},"")))))))), 0), ROW(INDIRECT("1:"&amp;LEN((LEFT(A241,SUM(LEN(A241)-LEN(SUBSTITUTE(A241,{"0","1","2"},"")))))))))+1, 1) * 10^ROW(INDIRECT("1:"&amp;LEN((LEFT(A241,SUM(LEN(A241)-LEN(SUBSTITUTE(A241,{"0","1","2"},""))))))))/10))*100+1</f>
        <v>#REF!</v>
      </c>
      <c r="P242" s="71">
        <f ca="1">(SUMPRODUCT(MID(0&amp;(--TRIM(RIGHT(SUBSTITUTE(LEFT(A241,_xlfn.AGGREGATE(16,6,FIND({0,1,2,3,4,5,6,7,8,9},A241,ROW(INDIRECT("1:"&amp;LEN(A241)))),1))," ",REPT(" ",LEN(A241))),LEN(A241)))), LARGE(INDEX(ISNUMBER(--MID((--TRIM(RIGHT(SUBSTITUTE(LEFT(A241,_xlfn.AGGREGATE(16,6,FIND({0,1,2,3,4,5,6,7,8,9},A241,ROW(INDIRECT("1:"&amp;LEN(A241)))),1))," ",REPT(" ",LEN(A241))),LEN(A241)))), ROW(INDIRECT("1:"&amp;LEN((--TRIM(RIGHT(SUBSTITUTE(LEFT(A241,_xlfn.AGGREGATE(16,6,FIND({0,1,2,3,4,5,6,7,8,9},A241,ROW(INDIRECT("1:"&amp;LEN(A241)))),1))," ",REPT(" ",LEN(A241))),LEN(A241))))))), 1)) * ROW(INDIRECT("1:"&amp;LEN((--TRIM(RIGHT(SUBSTITUTE(LEFT(A241,_xlfn.AGGREGATE(16,6,FIND({0,1,2,3,4,5,6,7,8,9},A241,ROW(INDIRECT("1:"&amp;LEN(A241)))),1))," ",REPT(" ",LEN(A241))),LEN(A241))))))), 0), ROW(INDIRECT("1:"&amp;LEN((--TRIM(RIGHT(SUBSTITUTE(LEFT(A241,_xlfn.AGGREGATE(16,6,FIND({0,1,2,3,4,5,6,7,8,9},A241,ROW(INDIRECT("1:"&amp;LEN(A241)))),1))," ",REPT(" ",LEN(A241))),LEN(A241))))))))+1, 1) * 10^ROW(INDIRECT("1:"&amp;LEN((--TRIM(RIGHT(SUBSTITUTE(LEFT(A241,_xlfn.AGGREGATE(16,6,FIND({0,1,2,3,4,5,6,7,8,9},A241,ROW(INDIRECT("1:"&amp;LEN(A241)))),1))," ",REPT(" ",LEN(A241))),LEN(A241)))))))/10))*100+1</f>
        <v>3601</v>
      </c>
    </row>
    <row r="243" spans="1:16" s="71" customFormat="1" ht="15.75" customHeight="1" x14ac:dyDescent="0.25">
      <c r="A243" s="78">
        <v>2</v>
      </c>
      <c r="B243" s="79"/>
      <c r="C243" s="70" t="s">
        <v>196</v>
      </c>
      <c r="D243" s="70">
        <f>(33.55)*10.764</f>
        <v>361.13219999999995</v>
      </c>
      <c r="E243" s="70">
        <v>0</v>
      </c>
      <c r="F243" s="31">
        <v>600</v>
      </c>
      <c r="G243" s="85"/>
      <c r="H243" s="87"/>
      <c r="I243" s="28"/>
      <c r="N243" s="71" t="e">
        <f t="shared" ca="1" si="104"/>
        <v>#REF!</v>
      </c>
      <c r="O243" s="71" t="e">
        <f t="shared" ref="O243:P243" ca="1" si="105">O242+1</f>
        <v>#REF!</v>
      </c>
      <c r="P243" s="71">
        <f t="shared" ca="1" si="105"/>
        <v>3602</v>
      </c>
    </row>
    <row r="244" spans="1:16" s="71" customFormat="1" ht="15.75" customHeight="1" x14ac:dyDescent="0.25">
      <c r="A244" s="78">
        <v>3</v>
      </c>
      <c r="B244" s="79"/>
      <c r="C244" s="70" t="s">
        <v>196</v>
      </c>
      <c r="D244" s="70">
        <f>(33.47)*10.764</f>
        <v>360.27107999999998</v>
      </c>
      <c r="E244" s="70">
        <v>0</v>
      </c>
      <c r="F244" s="31">
        <v>600</v>
      </c>
      <c r="G244" s="85"/>
      <c r="H244" s="87"/>
      <c r="I244" s="28"/>
      <c r="N244" s="71" t="e">
        <f t="shared" ca="1" si="104"/>
        <v>#REF!</v>
      </c>
      <c r="O244" s="71" t="e">
        <f t="shared" ref="O244:P244" ca="1" si="106">O243+1</f>
        <v>#REF!</v>
      </c>
      <c r="P244" s="71">
        <f t="shared" ca="1" si="106"/>
        <v>3603</v>
      </c>
    </row>
    <row r="245" spans="1:16" s="71" customFormat="1" ht="15.75" customHeight="1" x14ac:dyDescent="0.25">
      <c r="A245" s="78">
        <v>4</v>
      </c>
      <c r="B245" s="79"/>
      <c r="C245" s="70" t="s">
        <v>196</v>
      </c>
      <c r="D245" s="70">
        <f>(33.46)*10.764</f>
        <v>360.16343999999998</v>
      </c>
      <c r="E245" s="70">
        <v>0</v>
      </c>
      <c r="F245" s="31">
        <v>600</v>
      </c>
      <c r="G245" s="85"/>
      <c r="H245" s="87"/>
      <c r="I245" s="28"/>
      <c r="N245" s="71" t="e">
        <f t="shared" ca="1" si="104"/>
        <v>#REF!</v>
      </c>
      <c r="O245" s="71" t="e">
        <f t="shared" ref="O245:P245" ca="1" si="107">O244+1</f>
        <v>#REF!</v>
      </c>
      <c r="P245" s="71">
        <f t="shared" ca="1" si="107"/>
        <v>3604</v>
      </c>
    </row>
    <row r="246" spans="1:16" s="71" customFormat="1" ht="15.75" customHeight="1" x14ac:dyDescent="0.25">
      <c r="A246" s="78">
        <v>5</v>
      </c>
      <c r="B246" s="79"/>
      <c r="C246" s="70" t="s">
        <v>196</v>
      </c>
      <c r="D246" s="70">
        <f>(33.46)*10.764</f>
        <v>360.16343999999998</v>
      </c>
      <c r="E246" s="70">
        <v>0</v>
      </c>
      <c r="F246" s="31">
        <v>600</v>
      </c>
      <c r="G246" s="85"/>
      <c r="H246" s="87"/>
      <c r="I246" s="28"/>
      <c r="N246" s="71" t="e">
        <f t="shared" ca="1" si="104"/>
        <v>#REF!</v>
      </c>
      <c r="O246" s="71" t="e">
        <f t="shared" ref="O246:P246" ca="1" si="108">O245+1</f>
        <v>#REF!</v>
      </c>
      <c r="P246" s="71">
        <f t="shared" ca="1" si="108"/>
        <v>3605</v>
      </c>
    </row>
    <row r="247" spans="1:16" s="71" customFormat="1" ht="15.75" customHeight="1" x14ac:dyDescent="0.25">
      <c r="A247" s="78">
        <v>6</v>
      </c>
      <c r="B247" s="79"/>
      <c r="C247" s="70" t="s">
        <v>196</v>
      </c>
      <c r="D247" s="70">
        <f>(33.46)*10.764</f>
        <v>360.16343999999998</v>
      </c>
      <c r="E247" s="70">
        <v>0</v>
      </c>
      <c r="F247" s="31">
        <v>600</v>
      </c>
      <c r="G247" s="85"/>
      <c r="H247" s="87"/>
      <c r="I247" s="28"/>
      <c r="N247" s="71" t="e">
        <f t="shared" ca="1" si="104"/>
        <v>#REF!</v>
      </c>
      <c r="O247" s="71" t="e">
        <f t="shared" ref="O247:P247" ca="1" si="109">O246+1</f>
        <v>#REF!</v>
      </c>
      <c r="P247" s="71">
        <f t="shared" ca="1" si="109"/>
        <v>3606</v>
      </c>
    </row>
    <row r="248" spans="1:16" s="71" customFormat="1" ht="15.75" customHeight="1" x14ac:dyDescent="0.25">
      <c r="A248" s="78">
        <v>7</v>
      </c>
      <c r="B248" s="79"/>
      <c r="C248" s="78" t="s">
        <v>200</v>
      </c>
      <c r="D248" s="185"/>
      <c r="E248" s="185"/>
      <c r="F248" s="79"/>
      <c r="G248" s="88"/>
      <c r="H248" s="90"/>
      <c r="I248" s="28"/>
      <c r="N248" s="71" t="e">
        <f t="shared" ca="1" si="104"/>
        <v>#REF!</v>
      </c>
      <c r="O248" s="71" t="e">
        <f t="shared" ref="O248:P248" ca="1" si="110">O247+1</f>
        <v>#REF!</v>
      </c>
      <c r="P248" s="71">
        <f t="shared" ca="1" si="110"/>
        <v>3607</v>
      </c>
    </row>
    <row r="249" spans="1:16" s="71" customFormat="1" ht="15.6" customHeight="1" x14ac:dyDescent="0.25">
      <c r="A249" s="91" t="s">
        <v>241</v>
      </c>
      <c r="B249" s="92"/>
      <c r="C249" s="92"/>
      <c r="D249" s="92"/>
      <c r="E249" s="92"/>
      <c r="F249" s="92"/>
      <c r="G249" s="92"/>
      <c r="H249" s="93"/>
      <c r="I249" s="28"/>
      <c r="P249" s="29"/>
    </row>
    <row r="250" spans="1:16" s="71" customFormat="1" ht="15.75" customHeight="1" x14ac:dyDescent="0.25">
      <c r="A250" s="78">
        <v>1</v>
      </c>
      <c r="B250" s="79"/>
      <c r="C250" s="82" t="s">
        <v>242</v>
      </c>
      <c r="D250" s="83"/>
      <c r="E250" s="83"/>
      <c r="F250" s="84"/>
      <c r="G250" s="82" t="str">
        <f>A249</f>
        <v>39th Floor for Fitness Center (Part Terrace Area)</v>
      </c>
      <c r="H250" s="84"/>
      <c r="I250" s="28"/>
      <c r="N250" s="71" t="e">
        <f t="shared" ref="N250:N256" ca="1" si="111">O250&amp;""&amp;" to "&amp;""&amp;P250</f>
        <v>#REF!</v>
      </c>
      <c r="O250" s="71" t="e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10^ROW(INDIRECT("1:"&amp;LEN((LEFT(A249,SUM(LEN(A249)-LEN(SUBSTITUTE(A249,{"0","1","2"},""))))))))/10))*100+1</f>
        <v>#REF!</v>
      </c>
      <c r="P250" s="71">
        <f ca="1">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",LEN(A249))),LEN(A249)))))))/10))*100+1</f>
        <v>3901</v>
      </c>
    </row>
    <row r="251" spans="1:16" s="71" customFormat="1" ht="15.75" customHeight="1" x14ac:dyDescent="0.25">
      <c r="A251" s="78">
        <v>2</v>
      </c>
      <c r="B251" s="79"/>
      <c r="C251" s="85"/>
      <c r="D251" s="86"/>
      <c r="E251" s="86"/>
      <c r="F251" s="87"/>
      <c r="G251" s="85"/>
      <c r="H251" s="87"/>
      <c r="I251" s="28"/>
      <c r="N251" s="71" t="e">
        <f t="shared" ca="1" si="111"/>
        <v>#REF!</v>
      </c>
      <c r="O251" s="71" t="e">
        <f t="shared" ref="O251:P251" ca="1" si="112">O250+1</f>
        <v>#REF!</v>
      </c>
      <c r="P251" s="71">
        <f t="shared" ca="1" si="112"/>
        <v>3902</v>
      </c>
    </row>
    <row r="252" spans="1:16" s="71" customFormat="1" ht="15.75" customHeight="1" x14ac:dyDescent="0.25">
      <c r="A252" s="78">
        <v>3</v>
      </c>
      <c r="B252" s="79"/>
      <c r="C252" s="88"/>
      <c r="D252" s="89"/>
      <c r="E252" s="89"/>
      <c r="F252" s="90"/>
      <c r="G252" s="85"/>
      <c r="H252" s="87"/>
      <c r="I252" s="28"/>
      <c r="N252" s="71" t="e">
        <f t="shared" ca="1" si="111"/>
        <v>#REF!</v>
      </c>
      <c r="O252" s="71" t="e">
        <f t="shared" ref="O252:P252" ca="1" si="113">O251+1</f>
        <v>#REF!</v>
      </c>
      <c r="P252" s="71">
        <f t="shared" ca="1" si="113"/>
        <v>3903</v>
      </c>
    </row>
    <row r="253" spans="1:16" s="71" customFormat="1" ht="15.75" customHeight="1" x14ac:dyDescent="0.25">
      <c r="A253" s="78">
        <v>4</v>
      </c>
      <c r="B253" s="79"/>
      <c r="C253" s="82" t="s">
        <v>240</v>
      </c>
      <c r="D253" s="83"/>
      <c r="E253" s="83"/>
      <c r="F253" s="84"/>
      <c r="G253" s="85"/>
      <c r="H253" s="87"/>
      <c r="I253" s="28"/>
      <c r="N253" s="71" t="e">
        <f t="shared" ca="1" si="111"/>
        <v>#REF!</v>
      </c>
      <c r="O253" s="71" t="e">
        <f t="shared" ref="O253:P253" ca="1" si="114">O252+1</f>
        <v>#REF!</v>
      </c>
      <c r="P253" s="71">
        <f t="shared" ca="1" si="114"/>
        <v>3904</v>
      </c>
    </row>
    <row r="254" spans="1:16" s="71" customFormat="1" ht="15.75" customHeight="1" x14ac:dyDescent="0.25">
      <c r="A254" s="78">
        <v>5</v>
      </c>
      <c r="B254" s="79"/>
      <c r="C254" s="85"/>
      <c r="D254" s="86"/>
      <c r="E254" s="86"/>
      <c r="F254" s="87"/>
      <c r="G254" s="85"/>
      <c r="H254" s="87"/>
      <c r="I254" s="28"/>
      <c r="N254" s="71" t="e">
        <f t="shared" ca="1" si="111"/>
        <v>#REF!</v>
      </c>
      <c r="O254" s="71" t="e">
        <f t="shared" ref="O254:P254" ca="1" si="115">O253+1</f>
        <v>#REF!</v>
      </c>
      <c r="P254" s="71">
        <f t="shared" ca="1" si="115"/>
        <v>3905</v>
      </c>
    </row>
    <row r="255" spans="1:16" s="71" customFormat="1" ht="15.75" customHeight="1" x14ac:dyDescent="0.25">
      <c r="A255" s="78">
        <v>6</v>
      </c>
      <c r="B255" s="79"/>
      <c r="C255" s="85"/>
      <c r="D255" s="86"/>
      <c r="E255" s="86"/>
      <c r="F255" s="87"/>
      <c r="G255" s="85"/>
      <c r="H255" s="87"/>
      <c r="I255" s="28"/>
      <c r="N255" s="71" t="e">
        <f t="shared" ca="1" si="111"/>
        <v>#REF!</v>
      </c>
      <c r="O255" s="71" t="e">
        <f t="shared" ref="O255:P255" ca="1" si="116">O254+1</f>
        <v>#REF!</v>
      </c>
      <c r="P255" s="71">
        <f t="shared" ca="1" si="116"/>
        <v>3906</v>
      </c>
    </row>
    <row r="256" spans="1:16" s="71" customFormat="1" ht="15.75" customHeight="1" x14ac:dyDescent="0.25">
      <c r="A256" s="78">
        <v>7</v>
      </c>
      <c r="B256" s="79"/>
      <c r="C256" s="88"/>
      <c r="D256" s="89"/>
      <c r="E256" s="89"/>
      <c r="F256" s="90"/>
      <c r="G256" s="88"/>
      <c r="H256" s="90"/>
      <c r="I256" s="28"/>
      <c r="N256" s="71" t="e">
        <f t="shared" ca="1" si="111"/>
        <v>#REF!</v>
      </c>
      <c r="O256" s="71" t="e">
        <f t="shared" ref="O256:P256" ca="1" si="117">O255+1</f>
        <v>#REF!</v>
      </c>
      <c r="P256" s="71">
        <f t="shared" ca="1" si="117"/>
        <v>3907</v>
      </c>
    </row>
    <row r="257" spans="1:8" s="1" customFormat="1" x14ac:dyDescent="0.25">
      <c r="A257" s="186" t="s">
        <v>76</v>
      </c>
      <c r="B257" s="186"/>
      <c r="C257" s="186"/>
      <c r="D257" s="186"/>
      <c r="E257" s="186"/>
      <c r="F257" s="186"/>
      <c r="G257" s="186"/>
      <c r="H257" s="186"/>
    </row>
    <row r="258" spans="1:8" s="1" customFormat="1" x14ac:dyDescent="0.25">
      <c r="A258" s="64">
        <v>1</v>
      </c>
      <c r="B258" s="108" t="s">
        <v>232</v>
      </c>
      <c r="C258" s="109"/>
      <c r="D258" s="109"/>
      <c r="E258" s="109"/>
      <c r="F258" s="109"/>
      <c r="G258" s="109"/>
      <c r="H258" s="110"/>
    </row>
    <row r="259" spans="1:8" s="1" customFormat="1" ht="31.5" customHeight="1" x14ac:dyDescent="0.25">
      <c r="A259" s="64">
        <f>A258+1</f>
        <v>2</v>
      </c>
      <c r="B259" s="108" t="s">
        <v>215</v>
      </c>
      <c r="C259" s="109"/>
      <c r="D259" s="109"/>
      <c r="E259" s="109"/>
      <c r="F259" s="109"/>
      <c r="G259" s="109"/>
      <c r="H259" s="110"/>
    </row>
    <row r="260" spans="1:8" s="1" customFormat="1" x14ac:dyDescent="0.25">
      <c r="A260" s="64">
        <f t="shared" ref="A260:A265" si="118">A259+1</f>
        <v>3</v>
      </c>
      <c r="B260" s="108" t="s">
        <v>153</v>
      </c>
      <c r="C260" s="109"/>
      <c r="D260" s="109"/>
      <c r="E260" s="109"/>
      <c r="F260" s="109"/>
      <c r="G260" s="109"/>
      <c r="H260" s="110"/>
    </row>
    <row r="261" spans="1:8" s="1" customFormat="1" x14ac:dyDescent="0.25">
      <c r="A261" s="64">
        <f t="shared" si="118"/>
        <v>4</v>
      </c>
      <c r="B261" s="108" t="s">
        <v>204</v>
      </c>
      <c r="C261" s="109"/>
      <c r="D261" s="109"/>
      <c r="E261" s="109"/>
      <c r="F261" s="109"/>
      <c r="G261" s="109"/>
      <c r="H261" s="110"/>
    </row>
    <row r="262" spans="1:8" s="1" customFormat="1" ht="32.25" customHeight="1" x14ac:dyDescent="0.25">
      <c r="A262" s="64">
        <f t="shared" si="118"/>
        <v>5</v>
      </c>
      <c r="B262" s="108" t="s">
        <v>217</v>
      </c>
      <c r="C262" s="109"/>
      <c r="D262" s="109"/>
      <c r="E262" s="109"/>
      <c r="F262" s="109"/>
      <c r="G262" s="109"/>
      <c r="H262" s="110"/>
    </row>
    <row r="263" spans="1:8" s="1" customFormat="1" x14ac:dyDescent="0.25">
      <c r="A263" s="64">
        <v>6</v>
      </c>
      <c r="B263" s="108" t="s">
        <v>154</v>
      </c>
      <c r="C263" s="109"/>
      <c r="D263" s="109"/>
      <c r="E263" s="109"/>
      <c r="F263" s="109"/>
      <c r="G263" s="109"/>
      <c r="H263" s="110"/>
    </row>
    <row r="264" spans="1:8" s="1" customFormat="1" x14ac:dyDescent="0.25">
      <c r="A264" s="64">
        <f t="shared" si="118"/>
        <v>7</v>
      </c>
      <c r="B264" s="108" t="s">
        <v>155</v>
      </c>
      <c r="C264" s="109"/>
      <c r="D264" s="109"/>
      <c r="E264" s="109"/>
      <c r="F264" s="109"/>
      <c r="G264" s="109"/>
      <c r="H264" s="110"/>
    </row>
    <row r="265" spans="1:8" s="1" customFormat="1" hidden="1" x14ac:dyDescent="0.25">
      <c r="A265" s="64">
        <f t="shared" si="118"/>
        <v>8</v>
      </c>
      <c r="B265" s="108" t="s">
        <v>218</v>
      </c>
      <c r="C265" s="109"/>
      <c r="D265" s="109"/>
      <c r="E265" s="109"/>
      <c r="F265" s="109"/>
      <c r="G265" s="109"/>
      <c r="H265" s="110"/>
    </row>
    <row r="266" spans="1:8" s="1" customFormat="1" x14ac:dyDescent="0.25">
      <c r="A266" s="64">
        <v>8</v>
      </c>
      <c r="B266" s="108" t="s">
        <v>226</v>
      </c>
      <c r="C266" s="109"/>
      <c r="D266" s="109"/>
      <c r="E266" s="109"/>
      <c r="F266" s="109"/>
      <c r="G266" s="109"/>
      <c r="H266" s="110"/>
    </row>
    <row r="267" spans="1:8" s="1" customFormat="1" x14ac:dyDescent="0.25">
      <c r="A267" s="64">
        <v>9</v>
      </c>
      <c r="B267" s="108" t="s">
        <v>246</v>
      </c>
      <c r="C267" s="109"/>
      <c r="D267" s="109"/>
      <c r="E267" s="109"/>
      <c r="F267" s="109"/>
      <c r="G267" s="109"/>
      <c r="H267" s="110"/>
    </row>
    <row r="268" spans="1:8" s="1" customFormat="1" x14ac:dyDescent="0.25">
      <c r="A268" s="64">
        <v>9</v>
      </c>
      <c r="B268" s="108" t="s">
        <v>251</v>
      </c>
      <c r="C268" s="109"/>
      <c r="D268" s="109"/>
      <c r="E268" s="109"/>
      <c r="F268" s="109"/>
      <c r="G268" s="109"/>
      <c r="H268" s="110"/>
    </row>
    <row r="269" spans="1:8" x14ac:dyDescent="0.25">
      <c r="A269" s="158" t="s">
        <v>69</v>
      </c>
      <c r="B269" s="158"/>
      <c r="C269" s="158"/>
      <c r="D269" s="158"/>
      <c r="E269" s="158"/>
      <c r="F269" s="158"/>
      <c r="G269" s="158"/>
      <c r="H269" s="158"/>
    </row>
    <row r="270" spans="1:8" x14ac:dyDescent="0.25">
      <c r="A270" s="147" t="s">
        <v>70</v>
      </c>
      <c r="B270" s="147"/>
      <c r="C270" s="147"/>
      <c r="D270" s="147"/>
      <c r="E270" s="147"/>
      <c r="F270" s="147"/>
      <c r="G270" s="147"/>
      <c r="H270" s="147"/>
    </row>
    <row r="271" spans="1:8" ht="15.75" customHeight="1" x14ac:dyDescent="0.25">
      <c r="A271" s="182" t="s">
        <v>71</v>
      </c>
      <c r="B271" s="182"/>
      <c r="C271" s="182"/>
      <c r="D271" s="182"/>
      <c r="E271" s="182"/>
      <c r="F271" s="182"/>
      <c r="G271" s="182"/>
      <c r="H271" s="182"/>
    </row>
    <row r="272" spans="1:8" x14ac:dyDescent="0.25">
      <c r="A272" s="147" t="s">
        <v>72</v>
      </c>
      <c r="B272" s="147"/>
      <c r="C272" s="147"/>
      <c r="D272" s="147"/>
      <c r="E272" s="147"/>
      <c r="F272" s="147"/>
      <c r="G272" s="147"/>
      <c r="H272" s="147"/>
    </row>
    <row r="273" spans="1:8" x14ac:dyDescent="0.25">
      <c r="A273" s="147" t="s">
        <v>73</v>
      </c>
      <c r="B273" s="147"/>
      <c r="C273" s="147"/>
      <c r="D273" s="147"/>
      <c r="E273" s="147"/>
      <c r="F273" s="147"/>
      <c r="G273" s="147"/>
      <c r="H273" s="147"/>
    </row>
    <row r="274" spans="1:8" x14ac:dyDescent="0.25">
      <c r="A274" s="147" t="s">
        <v>156</v>
      </c>
      <c r="B274" s="147"/>
      <c r="C274" s="147"/>
      <c r="D274" s="147"/>
      <c r="E274" s="147"/>
      <c r="F274" s="147"/>
      <c r="G274" s="147"/>
      <c r="H274" s="147"/>
    </row>
    <row r="275" spans="1:8" ht="35.25" customHeight="1" x14ac:dyDescent="0.25">
      <c r="A275" s="144" t="s">
        <v>157</v>
      </c>
      <c r="B275" s="144"/>
      <c r="C275" s="144"/>
      <c r="D275" s="144"/>
      <c r="E275" s="144"/>
      <c r="F275" s="144"/>
      <c r="G275" s="144"/>
      <c r="H275" s="144"/>
    </row>
    <row r="276" spans="1:8" x14ac:dyDescent="0.25">
      <c r="A276" s="153" t="s">
        <v>108</v>
      </c>
      <c r="B276" s="153"/>
      <c r="C276" s="153" t="s">
        <v>205</v>
      </c>
      <c r="D276" s="153"/>
      <c r="E276" s="153" t="s">
        <v>144</v>
      </c>
      <c r="F276" s="153"/>
      <c r="G276" s="153" t="s">
        <v>249</v>
      </c>
      <c r="H276" s="153"/>
    </row>
    <row r="277" spans="1:8" x14ac:dyDescent="0.25">
      <c r="A277" s="152" t="s">
        <v>110</v>
      </c>
      <c r="B277" s="152"/>
      <c r="C277" s="152"/>
      <c r="D277" s="152"/>
      <c r="E277" s="152"/>
      <c r="F277" s="152"/>
      <c r="G277" s="152"/>
      <c r="H277" s="152"/>
    </row>
    <row r="278" spans="1:8" x14ac:dyDescent="0.25">
      <c r="A278" s="152"/>
      <c r="B278" s="152"/>
      <c r="C278" s="152"/>
      <c r="D278" s="152"/>
      <c r="E278" s="152"/>
      <c r="F278" s="152"/>
      <c r="G278" s="152"/>
      <c r="H278" s="152"/>
    </row>
    <row r="279" spans="1:8" x14ac:dyDescent="0.25">
      <c r="A279" s="152"/>
      <c r="B279" s="152"/>
      <c r="C279" s="152"/>
      <c r="D279" s="152"/>
      <c r="E279" s="152"/>
      <c r="F279" s="152"/>
      <c r="G279" s="152"/>
      <c r="H279" s="152"/>
    </row>
    <row r="280" spans="1:8" x14ac:dyDescent="0.25">
      <c r="A280" s="152"/>
      <c r="B280" s="152"/>
      <c r="C280" s="152"/>
      <c r="D280" s="152"/>
      <c r="E280" s="152"/>
      <c r="F280" s="152"/>
      <c r="G280" s="152"/>
      <c r="H280" s="152"/>
    </row>
    <row r="281" spans="1:8" x14ac:dyDescent="0.25">
      <c r="A281" s="14" t="s">
        <v>74</v>
      </c>
      <c r="B281" s="15"/>
      <c r="C281" s="15"/>
      <c r="D281" s="14" t="str">
        <f>E8</f>
        <v>Shraddha Classic</v>
      </c>
      <c r="F281" s="15"/>
      <c r="G281" s="15"/>
      <c r="H281" s="15"/>
    </row>
    <row r="282" spans="1:8" x14ac:dyDescent="0.25">
      <c r="A282" s="15"/>
      <c r="B282" s="15"/>
      <c r="C282" s="15"/>
      <c r="D282" s="15"/>
      <c r="E282" s="15"/>
      <c r="F282" s="15"/>
      <c r="G282" s="15"/>
      <c r="H282" s="15"/>
    </row>
    <row r="283" spans="1:8" x14ac:dyDescent="0.25">
      <c r="A283" s="15"/>
      <c r="B283" s="15"/>
      <c r="C283" s="15"/>
      <c r="D283" s="15"/>
      <c r="E283" s="15"/>
      <c r="F283" s="15"/>
      <c r="G283" s="15"/>
      <c r="H283" s="15"/>
    </row>
    <row r="284" spans="1:8" ht="15" customHeight="1" x14ac:dyDescent="0.25"/>
    <row r="317" spans="8:8" x14ac:dyDescent="0.25">
      <c r="H317" s="16" t="s">
        <v>250</v>
      </c>
    </row>
    <row r="324" spans="1:1" x14ac:dyDescent="0.25">
      <c r="A324" s="17" t="s">
        <v>75</v>
      </c>
    </row>
  </sheetData>
  <mergeCells count="441">
    <mergeCell ref="B267:H267"/>
    <mergeCell ref="A254:B254"/>
    <mergeCell ref="A255:B255"/>
    <mergeCell ref="A256:B256"/>
    <mergeCell ref="C250:F252"/>
    <mergeCell ref="C253:F256"/>
    <mergeCell ref="A198:B198"/>
    <mergeCell ref="A199:B199"/>
    <mergeCell ref="C193:F193"/>
    <mergeCell ref="G193:H199"/>
    <mergeCell ref="G201:H207"/>
    <mergeCell ref="G209:H215"/>
    <mergeCell ref="A193:B193"/>
    <mergeCell ref="A194:B194"/>
    <mergeCell ref="C194:F197"/>
    <mergeCell ref="A195:B195"/>
    <mergeCell ref="A196:B196"/>
    <mergeCell ref="A197:B197"/>
    <mergeCell ref="A233:B233"/>
    <mergeCell ref="A211:B211"/>
    <mergeCell ref="A214:B214"/>
    <mergeCell ref="A215:B215"/>
    <mergeCell ref="A203:B203"/>
    <mergeCell ref="A204:B204"/>
    <mergeCell ref="A205:B205"/>
    <mergeCell ref="A37:B37"/>
    <mergeCell ref="C37:H37"/>
    <mergeCell ref="B266:H266"/>
    <mergeCell ref="A230:B230"/>
    <mergeCell ref="A231:B231"/>
    <mergeCell ref="A232:H232"/>
    <mergeCell ref="C230:F231"/>
    <mergeCell ref="G225:H231"/>
    <mergeCell ref="G233:H239"/>
    <mergeCell ref="A216:H216"/>
    <mergeCell ref="A227:B227"/>
    <mergeCell ref="A217:B217"/>
    <mergeCell ref="A218:B218"/>
    <mergeCell ref="A219:B219"/>
    <mergeCell ref="A220:B220"/>
    <mergeCell ref="A221:B221"/>
    <mergeCell ref="A222:B222"/>
    <mergeCell ref="A223:B223"/>
    <mergeCell ref="A241:H241"/>
    <mergeCell ref="A242:B242"/>
    <mergeCell ref="G242:H248"/>
    <mergeCell ref="A243:B243"/>
    <mergeCell ref="A244:B244"/>
    <mergeCell ref="A245:B245"/>
    <mergeCell ref="A226:B226"/>
    <mergeCell ref="A234:B234"/>
    <mergeCell ref="A235:B235"/>
    <mergeCell ref="A236:B236"/>
    <mergeCell ref="A228:B228"/>
    <mergeCell ref="A229:B229"/>
    <mergeCell ref="A184:B184"/>
    <mergeCell ref="A185:B185"/>
    <mergeCell ref="A186:B186"/>
    <mergeCell ref="A187:B187"/>
    <mergeCell ref="A188:B188"/>
    <mergeCell ref="A189:B189"/>
    <mergeCell ref="A192:H192"/>
    <mergeCell ref="A190:B190"/>
    <mergeCell ref="C184:F189"/>
    <mergeCell ref="A225:B225"/>
    <mergeCell ref="G217:H223"/>
    <mergeCell ref="A212:B212"/>
    <mergeCell ref="A213:B213"/>
    <mergeCell ref="B262:H262"/>
    <mergeCell ref="B268:H268"/>
    <mergeCell ref="A237:B237"/>
    <mergeCell ref="A238:B238"/>
    <mergeCell ref="A239:B239"/>
    <mergeCell ref="A240:H240"/>
    <mergeCell ref="B264:H264"/>
    <mergeCell ref="B265:H265"/>
    <mergeCell ref="B258:H258"/>
    <mergeCell ref="B259:H259"/>
    <mergeCell ref="B260:H260"/>
    <mergeCell ref="B261:H261"/>
    <mergeCell ref="C238:F239"/>
    <mergeCell ref="A257:H257"/>
    <mergeCell ref="A246:B246"/>
    <mergeCell ref="A247:B247"/>
    <mergeCell ref="A248:B248"/>
    <mergeCell ref="C248:F248"/>
    <mergeCell ref="A249:H249"/>
    <mergeCell ref="A250:B250"/>
    <mergeCell ref="G250:H256"/>
    <mergeCell ref="A251:B251"/>
    <mergeCell ref="A252:B252"/>
    <mergeCell ref="A253:B253"/>
    <mergeCell ref="A206:B206"/>
    <mergeCell ref="A207:B207"/>
    <mergeCell ref="A157:B157"/>
    <mergeCell ref="A165:B165"/>
    <mergeCell ref="C160:F161"/>
    <mergeCell ref="A166:H166"/>
    <mergeCell ref="A167:B167"/>
    <mergeCell ref="A152:B152"/>
    <mergeCell ref="A153:B153"/>
    <mergeCell ref="A154:B154"/>
    <mergeCell ref="A155:B155"/>
    <mergeCell ref="A156:B156"/>
    <mergeCell ref="A163:B163"/>
    <mergeCell ref="A164:B164"/>
    <mergeCell ref="A162:B162"/>
    <mergeCell ref="A161:B161"/>
    <mergeCell ref="G151:H157"/>
    <mergeCell ref="G159:H165"/>
    <mergeCell ref="G167:H173"/>
    <mergeCell ref="A175:H175"/>
    <mergeCell ref="G176:H182"/>
    <mergeCell ref="G184:H190"/>
    <mergeCell ref="C177:F177"/>
    <mergeCell ref="A183:H183"/>
    <mergeCell ref="A150:H150"/>
    <mergeCell ref="A151:B151"/>
    <mergeCell ref="A148:B148"/>
    <mergeCell ref="A143:B143"/>
    <mergeCell ref="A144:B144"/>
    <mergeCell ref="A145:B145"/>
    <mergeCell ref="A146:B146"/>
    <mergeCell ref="A147:B147"/>
    <mergeCell ref="A126:H126"/>
    <mergeCell ref="A134:H134"/>
    <mergeCell ref="G135:H141"/>
    <mergeCell ref="G143:H149"/>
    <mergeCell ref="L134:M134"/>
    <mergeCell ref="L127:M127"/>
    <mergeCell ref="A132:B132"/>
    <mergeCell ref="A129:B129"/>
    <mergeCell ref="A130:B130"/>
    <mergeCell ref="A131:B131"/>
    <mergeCell ref="L124:M124"/>
    <mergeCell ref="A124:H124"/>
    <mergeCell ref="G128:H133"/>
    <mergeCell ref="E40:H40"/>
    <mergeCell ref="A40:D40"/>
    <mergeCell ref="A274:H274"/>
    <mergeCell ref="A133:B133"/>
    <mergeCell ref="A271:H271"/>
    <mergeCell ref="A128:B128"/>
    <mergeCell ref="A95:B95"/>
    <mergeCell ref="G125:H125"/>
    <mergeCell ref="A69:B69"/>
    <mergeCell ref="F78:H78"/>
    <mergeCell ref="A75:H75"/>
    <mergeCell ref="A76:B76"/>
    <mergeCell ref="A77:H77"/>
    <mergeCell ref="G93:H93"/>
    <mergeCell ref="A46:B46"/>
    <mergeCell ref="C46:E46"/>
    <mergeCell ref="A122:B122"/>
    <mergeCell ref="A135:B135"/>
    <mergeCell ref="A136:B136"/>
    <mergeCell ref="A149:B149"/>
    <mergeCell ref="A119:B119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G48:H48"/>
    <mergeCell ref="D52:H52"/>
    <mergeCell ref="C48:E48"/>
    <mergeCell ref="A55:C55"/>
    <mergeCell ref="D55:H55"/>
    <mergeCell ref="A87:E87"/>
    <mergeCell ref="C93:D93"/>
    <mergeCell ref="E93:F93"/>
    <mergeCell ref="A58:C58"/>
    <mergeCell ref="D58:H58"/>
    <mergeCell ref="C62:H62"/>
    <mergeCell ref="A65:B65"/>
    <mergeCell ref="A67:B67"/>
    <mergeCell ref="E63:F63"/>
    <mergeCell ref="G63:H63"/>
    <mergeCell ref="A62:B62"/>
    <mergeCell ref="A60:B60"/>
    <mergeCell ref="C60:H60"/>
    <mergeCell ref="A68:B68"/>
    <mergeCell ref="A81:E81"/>
    <mergeCell ref="A83:E83"/>
    <mergeCell ref="F83:H83"/>
    <mergeCell ref="A84:E84"/>
    <mergeCell ref="A86:E86"/>
    <mergeCell ref="A269:H269"/>
    <mergeCell ref="A270:H270"/>
    <mergeCell ref="A74:E74"/>
    <mergeCell ref="F74:H74"/>
    <mergeCell ref="A100:H100"/>
    <mergeCell ref="A92:B92"/>
    <mergeCell ref="F85:H85"/>
    <mergeCell ref="C92:D92"/>
    <mergeCell ref="F81:H81"/>
    <mergeCell ref="C76:H76"/>
    <mergeCell ref="F82:H82"/>
    <mergeCell ref="A104:H104"/>
    <mergeCell ref="A105:H105"/>
    <mergeCell ref="A114:B114"/>
    <mergeCell ref="A118:B118"/>
    <mergeCell ref="C96:D96"/>
    <mergeCell ref="F79:H79"/>
    <mergeCell ref="A79:E79"/>
    <mergeCell ref="F84:H84"/>
    <mergeCell ref="A78:E78"/>
    <mergeCell ref="A80:E80"/>
    <mergeCell ref="B102:B103"/>
    <mergeCell ref="A102:A103"/>
    <mergeCell ref="E95:F95"/>
    <mergeCell ref="G46:H46"/>
    <mergeCell ref="A277:H280"/>
    <mergeCell ref="A276:B276"/>
    <mergeCell ref="E276:F276"/>
    <mergeCell ref="C276:D276"/>
    <mergeCell ref="G276:H276"/>
    <mergeCell ref="A91:H91"/>
    <mergeCell ref="A89:E89"/>
    <mergeCell ref="F89:H89"/>
    <mergeCell ref="A90:E90"/>
    <mergeCell ref="F90:H90"/>
    <mergeCell ref="A127:H127"/>
    <mergeCell ref="A96:B96"/>
    <mergeCell ref="A93:B93"/>
    <mergeCell ref="A272:H272"/>
    <mergeCell ref="A94:H94"/>
    <mergeCell ref="A275:H275"/>
    <mergeCell ref="A273:H273"/>
    <mergeCell ref="A70:B70"/>
    <mergeCell ref="A63:B63"/>
    <mergeCell ref="A66:B66"/>
    <mergeCell ref="A59:C59"/>
    <mergeCell ref="D59:H59"/>
    <mergeCell ref="A64:B6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38:H38"/>
    <mergeCell ref="C34:E34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C36:H36"/>
    <mergeCell ref="A39:D39"/>
    <mergeCell ref="E39:H39"/>
    <mergeCell ref="A56:C56"/>
    <mergeCell ref="A57:C57"/>
    <mergeCell ref="D56:H56"/>
    <mergeCell ref="E64:F73"/>
    <mergeCell ref="G64:H73"/>
    <mergeCell ref="A72:B72"/>
    <mergeCell ref="A73:B73"/>
    <mergeCell ref="D57:H57"/>
    <mergeCell ref="A41:D41"/>
    <mergeCell ref="E41:H41"/>
    <mergeCell ref="E42:H42"/>
    <mergeCell ref="E43:H43"/>
    <mergeCell ref="E44:H44"/>
    <mergeCell ref="A42:D42"/>
    <mergeCell ref="A43:D43"/>
    <mergeCell ref="A71:B71"/>
    <mergeCell ref="A44:D44"/>
    <mergeCell ref="A45:H45"/>
    <mergeCell ref="D54:H54"/>
    <mergeCell ref="A54:C54"/>
    <mergeCell ref="G47:H47"/>
    <mergeCell ref="A48:B49"/>
    <mergeCell ref="L114:M114"/>
    <mergeCell ref="A115:B115"/>
    <mergeCell ref="L115:M115"/>
    <mergeCell ref="A116:B116"/>
    <mergeCell ref="L116:M116"/>
    <mergeCell ref="A117:B117"/>
    <mergeCell ref="L117:M117"/>
    <mergeCell ref="G107:H123"/>
    <mergeCell ref="L113:M113"/>
    <mergeCell ref="L112:M112"/>
    <mergeCell ref="L111:M111"/>
    <mergeCell ref="L110:M110"/>
    <mergeCell ref="L109:M109"/>
    <mergeCell ref="L108:M108"/>
    <mergeCell ref="L107:M107"/>
    <mergeCell ref="L118:M118"/>
    <mergeCell ref="L119:M119"/>
    <mergeCell ref="A120:B120"/>
    <mergeCell ref="L120:M120"/>
    <mergeCell ref="A121:B121"/>
    <mergeCell ref="L121:M121"/>
    <mergeCell ref="L122:M122"/>
    <mergeCell ref="A123:B123"/>
    <mergeCell ref="L123:M123"/>
    <mergeCell ref="B263:H263"/>
    <mergeCell ref="A168:B168"/>
    <mergeCell ref="C168:F169"/>
    <mergeCell ref="A169:B169"/>
    <mergeCell ref="A170:B170"/>
    <mergeCell ref="A171:B171"/>
    <mergeCell ref="A172:B172"/>
    <mergeCell ref="A208:H208"/>
    <mergeCell ref="A209:B209"/>
    <mergeCell ref="A210:B210"/>
    <mergeCell ref="A173:B173"/>
    <mergeCell ref="A174:H174"/>
    <mergeCell ref="A191:H191"/>
    <mergeCell ref="A200:H200"/>
    <mergeCell ref="A201:B201"/>
    <mergeCell ref="A202:B202"/>
    <mergeCell ref="A176:B176"/>
    <mergeCell ref="A177:B177"/>
    <mergeCell ref="A178:B178"/>
    <mergeCell ref="A179:B179"/>
    <mergeCell ref="A180:B180"/>
    <mergeCell ref="A181:B181"/>
    <mergeCell ref="A182:B182"/>
    <mergeCell ref="A224:H224"/>
    <mergeCell ref="A113:B113"/>
    <mergeCell ref="A82:E82"/>
    <mergeCell ref="A107:B107"/>
    <mergeCell ref="E96:F96"/>
    <mergeCell ref="G96:H96"/>
    <mergeCell ref="A88:E88"/>
    <mergeCell ref="A106:H106"/>
    <mergeCell ref="E102:E103"/>
    <mergeCell ref="G102:H103"/>
    <mergeCell ref="F88:H88"/>
    <mergeCell ref="F86:H86"/>
    <mergeCell ref="A101:H101"/>
    <mergeCell ref="G92:H92"/>
    <mergeCell ref="E92:F92"/>
    <mergeCell ref="A97:B97"/>
    <mergeCell ref="C97:D97"/>
    <mergeCell ref="E97:F97"/>
    <mergeCell ref="A99:B99"/>
    <mergeCell ref="C99:D99"/>
    <mergeCell ref="E99:F99"/>
    <mergeCell ref="G97:H97"/>
    <mergeCell ref="A98:B98"/>
    <mergeCell ref="C98:D98"/>
    <mergeCell ref="E98:F98"/>
    <mergeCell ref="C102:C103"/>
    <mergeCell ref="F80:H80"/>
    <mergeCell ref="A85:E85"/>
    <mergeCell ref="A112:B112"/>
    <mergeCell ref="G98:H98"/>
    <mergeCell ref="C95:D95"/>
    <mergeCell ref="G95:H95"/>
    <mergeCell ref="G99:H99"/>
    <mergeCell ref="C202:F205"/>
    <mergeCell ref="A142:H142"/>
    <mergeCell ref="A158:H158"/>
    <mergeCell ref="A159:B159"/>
    <mergeCell ref="A160:B160"/>
    <mergeCell ref="F87:H87"/>
    <mergeCell ref="D102:D103"/>
    <mergeCell ref="A108:B108"/>
    <mergeCell ref="A109:B109"/>
    <mergeCell ref="A110:B110"/>
    <mergeCell ref="A111:B111"/>
    <mergeCell ref="A137:B137"/>
    <mergeCell ref="A138:B138"/>
    <mergeCell ref="A139:B139"/>
    <mergeCell ref="A140:B140"/>
    <mergeCell ref="A141:B141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&amp;P</oddFooter>
  </headerFooter>
  <rowBreaks count="2" manualBreakCount="2">
    <brk id="280" max="16383" man="1"/>
    <brk id="32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77</v>
      </c>
      <c r="C2" s="188"/>
      <c r="D2" s="188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78</v>
      </c>
      <c r="B4" s="5" t="s">
        <v>79</v>
      </c>
      <c r="C4" s="189" t="s">
        <v>80</v>
      </c>
      <c r="D4" s="189"/>
      <c r="E4" s="189"/>
      <c r="F4" s="6"/>
      <c r="G4" s="189" t="s">
        <v>81</v>
      </c>
      <c r="H4" s="189"/>
      <c r="I4" s="189"/>
      <c r="J4" s="189" t="s">
        <v>82</v>
      </c>
      <c r="K4" s="189"/>
      <c r="L4" s="189"/>
    </row>
    <row r="5" spans="1:12" x14ac:dyDescent="0.2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2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"/>
  <sheetViews>
    <sheetView zoomScale="85" zoomScaleNormal="85" workbookViewId="0">
      <selection activeCell="G10" sqref="G10"/>
    </sheetView>
  </sheetViews>
  <sheetFormatPr defaultColWidth="8.7109375" defaultRowHeight="15" x14ac:dyDescent="0.25"/>
  <cols>
    <col min="1" max="1" width="8.7109375" style="24"/>
    <col min="2" max="2" width="22.140625" style="24" customWidth="1"/>
    <col min="3" max="3" width="37" style="24" customWidth="1"/>
    <col min="4" max="5" width="11.42578125" style="24" customWidth="1"/>
    <col min="6" max="6" width="14" style="24" customWidth="1"/>
    <col min="7" max="7" width="20" style="24" customWidth="1"/>
    <col min="8" max="8" width="16.42578125" style="24" customWidth="1"/>
    <col min="9" max="16384" width="8.7109375" style="24"/>
  </cols>
  <sheetData>
    <row r="1" spans="1:8" ht="15" customHeight="1" x14ac:dyDescent="0.25">
      <c r="A1" s="23"/>
      <c r="B1" s="23"/>
      <c r="C1" s="23"/>
      <c r="D1" s="23"/>
      <c r="E1" s="23"/>
      <c r="F1" s="23"/>
      <c r="G1" s="23"/>
      <c r="H1" s="23"/>
    </row>
    <row r="2" spans="1:8" ht="15" customHeight="1" x14ac:dyDescent="0.25">
      <c r="B2" s="23"/>
      <c r="C2" s="23"/>
      <c r="D2" s="23"/>
      <c r="E2" s="23"/>
    </row>
    <row r="3" spans="1:8" ht="15" customHeight="1" x14ac:dyDescent="0.25">
      <c r="B3" s="23"/>
      <c r="C3" s="23"/>
      <c r="D3" s="23"/>
      <c r="E3" s="23"/>
    </row>
    <row r="4" spans="1:8" ht="15" customHeight="1" x14ac:dyDescent="0.25">
      <c r="B4" s="23"/>
      <c r="C4" s="23"/>
      <c r="D4" s="23"/>
      <c r="E4" s="23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2025-07-15T07:19:10Z</cp:lastPrinted>
  <dcterms:created xsi:type="dcterms:W3CDTF">2019-07-16T09:29:46Z</dcterms:created>
  <dcterms:modified xsi:type="dcterms:W3CDTF">2025-07-15T07:19:14Z</dcterms:modified>
</cp:coreProperties>
</file>