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2" i="1" l="1"/>
  <c r="D211" i="1"/>
  <c r="D210" i="1"/>
  <c r="D209" i="1"/>
  <c r="D207" i="1"/>
  <c r="D206" i="1"/>
  <c r="D205" i="1"/>
  <c r="D204" i="1"/>
  <c r="D202" i="1"/>
  <c r="D201" i="1"/>
  <c r="D200" i="1"/>
  <c r="D199" i="1"/>
  <c r="D195" i="1"/>
  <c r="D194" i="1"/>
  <c r="D192" i="1"/>
  <c r="D191" i="1"/>
  <c r="D189" i="1"/>
  <c r="D188" i="1"/>
  <c r="D184" i="1"/>
  <c r="D183" i="1"/>
  <c r="D182" i="1"/>
  <c r="D178" i="1"/>
  <c r="D177" i="1"/>
  <c r="D176" i="1"/>
  <c r="D174" i="1"/>
  <c r="D173" i="1"/>
  <c r="D172" i="1"/>
  <c r="D171" i="1"/>
  <c r="D170" i="1"/>
  <c r="D168" i="1"/>
  <c r="D166" i="1"/>
  <c r="D165" i="1"/>
  <c r="D157" i="1"/>
  <c r="F157" i="1" s="1"/>
  <c r="J157" i="1" s="1"/>
  <c r="D156" i="1"/>
  <c r="F156" i="1" s="1"/>
  <c r="D155" i="1"/>
  <c r="D154" i="1"/>
  <c r="D153" i="1"/>
  <c r="D152" i="1"/>
  <c r="F152" i="1" s="1"/>
  <c r="C139" i="1" l="1"/>
  <c r="C140" i="1" s="1"/>
  <c r="E131" i="1"/>
  <c r="E132" i="1" s="1"/>
  <c r="E143" i="1"/>
  <c r="E144" i="1" s="1"/>
  <c r="E135" i="1"/>
  <c r="E136" i="1" s="1"/>
  <c r="C131" i="1"/>
  <c r="C132" i="1" s="1"/>
  <c r="C143" i="1"/>
  <c r="C144" i="1" s="1"/>
  <c r="E139" i="1"/>
  <c r="E140" i="1" s="1"/>
  <c r="C135" i="1"/>
  <c r="C136" i="1" s="1"/>
  <c r="A215" i="1"/>
  <c r="A216" i="1" s="1"/>
  <c r="A217" i="1" s="1"/>
  <c r="G214" i="1"/>
  <c r="G215" i="1" s="1"/>
  <c r="G216" i="1" s="1"/>
  <c r="G217" i="1" s="1"/>
  <c r="F212" i="1"/>
  <c r="J212" i="1" s="1"/>
  <c r="F211" i="1"/>
  <c r="J211" i="1" s="1"/>
  <c r="F210" i="1"/>
  <c r="A210" i="1"/>
  <c r="A211" i="1" s="1"/>
  <c r="A212" i="1" s="1"/>
  <c r="G209" i="1"/>
  <c r="G210" i="1" s="1"/>
  <c r="G211" i="1" s="1"/>
  <c r="G212" i="1" s="1"/>
  <c r="F209" i="1"/>
  <c r="F207" i="1"/>
  <c r="F206" i="1"/>
  <c r="J206" i="1" s="1"/>
  <c r="F205" i="1"/>
  <c r="A205" i="1"/>
  <c r="A206" i="1" s="1"/>
  <c r="A207" i="1" s="1"/>
  <c r="G204" i="1"/>
  <c r="G205" i="1" s="1"/>
  <c r="G206" i="1" s="1"/>
  <c r="G207" i="1" s="1"/>
  <c r="F204" i="1"/>
  <c r="I202" i="1"/>
  <c r="F202" i="1"/>
  <c r="K202" i="1" s="1"/>
  <c r="F201" i="1"/>
  <c r="F200" i="1"/>
  <c r="K200" i="1" s="1"/>
  <c r="F199" i="1"/>
  <c r="K199" i="1" s="1"/>
  <c r="A200" i="1"/>
  <c r="A201" i="1" s="1"/>
  <c r="A202" i="1" s="1"/>
  <c r="G199" i="1"/>
  <c r="G200" i="1" s="1"/>
  <c r="G201" i="1" s="1"/>
  <c r="G202" i="1" s="1"/>
  <c r="F195" i="1"/>
  <c r="A195" i="1"/>
  <c r="G194" i="1"/>
  <c r="G195" i="1" s="1"/>
  <c r="F194" i="1"/>
  <c r="F192" i="1"/>
  <c r="A192" i="1"/>
  <c r="G191" i="1"/>
  <c r="G192" i="1" s="1"/>
  <c r="F191" i="1"/>
  <c r="F189" i="1"/>
  <c r="F188" i="1"/>
  <c r="A189" i="1"/>
  <c r="F222" i="1"/>
  <c r="F221" i="1"/>
  <c r="F220" i="1"/>
  <c r="A220" i="1"/>
  <c r="A221" i="1" s="1"/>
  <c r="A222" i="1" s="1"/>
  <c r="G219" i="1"/>
  <c r="G220" i="1" s="1"/>
  <c r="G221" i="1" s="1"/>
  <c r="G222" i="1" s="1"/>
  <c r="F219" i="1"/>
  <c r="F184" i="1"/>
  <c r="F183" i="1"/>
  <c r="A183" i="1"/>
  <c r="A184" i="1" s="1"/>
  <c r="G182" i="1"/>
  <c r="F182" i="1"/>
  <c r="F178" i="1"/>
  <c r="F177" i="1"/>
  <c r="A177" i="1"/>
  <c r="A178" i="1" s="1"/>
  <c r="A179" i="1" s="1"/>
  <c r="A180" i="1" s="1"/>
  <c r="G176" i="1"/>
  <c r="F176" i="1"/>
  <c r="F174" i="1"/>
  <c r="F173" i="1"/>
  <c r="F172" i="1"/>
  <c r="F171" i="1"/>
  <c r="F170" i="1"/>
  <c r="A171" i="1"/>
  <c r="A172" i="1" s="1"/>
  <c r="A173" i="1" s="1"/>
  <c r="A174" i="1" s="1"/>
  <c r="G170" i="1"/>
  <c r="I165" i="1"/>
  <c r="G188" i="1"/>
  <c r="G189" i="1" s="1"/>
  <c r="E145" i="1" l="1"/>
  <c r="J201" i="1"/>
  <c r="K201" i="1"/>
  <c r="J207" i="1"/>
  <c r="K207" i="1"/>
  <c r="C145" i="1"/>
  <c r="G139" i="1"/>
  <c r="G140" i="1" s="1"/>
  <c r="G143" i="1"/>
  <c r="G144" i="1" s="1"/>
  <c r="Z12" i="1"/>
  <c r="I14" i="1"/>
  <c r="J116" i="1" l="1"/>
  <c r="I116" i="1" s="1"/>
  <c r="F165" i="1"/>
  <c r="E43" i="1" l="1"/>
  <c r="E44" i="1" s="1"/>
  <c r="C15" i="1" l="1"/>
  <c r="E30" i="1" l="1"/>
  <c r="F166" i="1" l="1"/>
  <c r="F168" i="1"/>
  <c r="A166" i="1"/>
  <c r="A167" i="1" s="1"/>
  <c r="A168" i="1" s="1"/>
  <c r="G165" i="1"/>
  <c r="G135" i="1" l="1"/>
  <c r="G136" i="1" s="1"/>
  <c r="F128" i="1"/>
  <c r="F153" i="1" l="1"/>
  <c r="F154" i="1"/>
  <c r="F155" i="1"/>
  <c r="J155" i="1" s="1"/>
  <c r="J117" i="1" s="1"/>
  <c r="G131" i="1" l="1"/>
  <c r="G132" i="1" s="1"/>
  <c r="G145" i="1" s="1"/>
  <c r="B249" i="1"/>
  <c r="A230" i="1"/>
  <c r="A236" i="1"/>
  <c r="A242" i="1"/>
  <c r="F246" i="1" l="1"/>
  <c r="F245" i="1"/>
  <c r="F244" i="1"/>
  <c r="F243" i="1"/>
  <c r="F242" i="1"/>
  <c r="F240" i="1"/>
  <c r="F239" i="1"/>
  <c r="F238" i="1"/>
  <c r="F237" i="1"/>
  <c r="F236" i="1"/>
  <c r="F234" i="1"/>
  <c r="F233" i="1"/>
  <c r="F232" i="1"/>
  <c r="F231" i="1"/>
  <c r="F230" i="1"/>
  <c r="F228" i="1"/>
  <c r="F227" i="1"/>
  <c r="F225" i="1"/>
  <c r="F224" i="1"/>
  <c r="F226" i="1"/>
  <c r="A237" i="1"/>
  <c r="A243" i="1"/>
  <c r="A231" i="1"/>
  <c r="B250" i="1" l="1"/>
  <c r="A244" i="1"/>
  <c r="A238" i="1"/>
  <c r="A23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6" i="1"/>
  <c r="G242" i="1"/>
  <c r="G243" i="1" s="1"/>
  <c r="G244" i="1" s="1"/>
  <c r="G245" i="1" s="1"/>
  <c r="G246" i="1" s="1"/>
  <c r="G236" i="1"/>
  <c r="G237" i="1" s="1"/>
  <c r="G238" i="1" s="1"/>
  <c r="G239" i="1" s="1"/>
  <c r="G240" i="1" s="1"/>
  <c r="G230" i="1"/>
  <c r="G231" i="1" s="1"/>
  <c r="G232" i="1" s="1"/>
  <c r="G233" i="1" s="1"/>
  <c r="G234" i="1" s="1"/>
  <c r="G224" i="1"/>
  <c r="G225" i="1" s="1"/>
  <c r="G226" i="1" s="1"/>
  <c r="G227" i="1" s="1"/>
  <c r="G228" i="1" s="1"/>
  <c r="A224" i="1"/>
  <c r="A225" i="1" s="1"/>
  <c r="A226" i="1" s="1"/>
  <c r="A227" i="1" s="1"/>
  <c r="A228" i="1" s="1"/>
  <c r="A153" i="1"/>
  <c r="A154" i="1" s="1"/>
  <c r="A155" i="1" s="1"/>
  <c r="A156" i="1" s="1"/>
  <c r="A157" i="1" s="1"/>
  <c r="G152" i="1"/>
  <c r="C101" i="1"/>
  <c r="B102" i="1" s="1"/>
  <c r="C87" i="1"/>
  <c r="B88" i="1" s="1"/>
  <c r="C73" i="1"/>
  <c r="B74" i="1" s="1"/>
  <c r="D58" i="1"/>
  <c r="G50" i="1"/>
  <c r="C50" i="1"/>
  <c r="E27" i="1"/>
  <c r="E25" i="1"/>
  <c r="E7" i="1"/>
  <c r="E3" i="1"/>
  <c r="H102" i="1"/>
  <c r="A239" i="1"/>
  <c r="A245" i="1"/>
  <c r="A233" i="1"/>
  <c r="D67" i="1" l="1"/>
  <c r="C107" i="1"/>
  <c r="J101" i="1" s="1"/>
  <c r="J103" i="1" s="1"/>
  <c r="J105" i="1"/>
  <c r="D114" i="1"/>
  <c r="D112" i="1"/>
  <c r="D110" i="1"/>
  <c r="D108" i="1"/>
  <c r="J106" i="1"/>
  <c r="C105" i="1" s="1"/>
  <c r="J104" i="1"/>
  <c r="J107" i="1"/>
  <c r="J108" i="1" s="1"/>
  <c r="J113" i="1" s="1"/>
  <c r="D113" i="1"/>
  <c r="D111" i="1"/>
  <c r="D109" i="1"/>
  <c r="H74" i="1"/>
  <c r="A246" i="1"/>
  <c r="H88" i="1"/>
  <c r="A240" i="1"/>
  <c r="A234" i="1"/>
  <c r="J92" i="1" l="1"/>
  <c r="C91" i="1" s="1"/>
  <c r="D91" i="1" s="1"/>
  <c r="J90" i="1"/>
  <c r="J93" i="1"/>
  <c r="J94" i="1" s="1"/>
  <c r="J99" i="1" s="1"/>
  <c r="J87" i="1"/>
  <c r="J89" i="1" s="1"/>
  <c r="D95" i="1"/>
  <c r="D97" i="1"/>
  <c r="D100" i="1"/>
  <c r="D94" i="1"/>
  <c r="D98" i="1"/>
  <c r="D99" i="1"/>
  <c r="D96" i="1"/>
  <c r="J91" i="1"/>
  <c r="D86" i="1"/>
  <c r="D84" i="1"/>
  <c r="D83" i="1"/>
  <c r="D80" i="1"/>
  <c r="D82" i="1"/>
  <c r="J79" i="1"/>
  <c r="J80" i="1" s="1"/>
  <c r="J85" i="1" s="1"/>
  <c r="D85" i="1"/>
  <c r="J73" i="1"/>
  <c r="J75" i="1" s="1"/>
  <c r="D81" i="1"/>
  <c r="J77" i="1"/>
  <c r="J78" i="1"/>
  <c r="C77" i="1" s="1"/>
  <c r="D77" i="1" s="1"/>
  <c r="J76" i="1"/>
  <c r="J109" i="1"/>
  <c r="J110" i="1" s="1"/>
  <c r="J111" i="1" s="1"/>
  <c r="J112" i="1" s="1"/>
  <c r="J114" i="1" s="1"/>
  <c r="C106" i="1" s="1"/>
  <c r="J95" i="1"/>
  <c r="J96" i="1" s="1"/>
  <c r="J97" i="1" s="1"/>
  <c r="J98" i="1" s="1"/>
  <c r="J81" i="1"/>
  <c r="J82" i="1" s="1"/>
  <c r="J83" i="1" s="1"/>
  <c r="J84" i="1" s="1"/>
  <c r="D107" i="1"/>
  <c r="D105" i="1"/>
  <c r="D93" i="1"/>
  <c r="D79" i="1"/>
  <c r="J86" i="1" l="1"/>
  <c r="C78" i="1" s="1"/>
  <c r="G77" i="1" s="1"/>
  <c r="D71" i="1" s="1"/>
  <c r="D72" i="1" s="1"/>
  <c r="E105" i="1"/>
  <c r="G105" i="1"/>
  <c r="D106" i="1"/>
  <c r="I102" i="1" s="1"/>
  <c r="J100" i="1"/>
  <c r="J88" i="1" s="1"/>
  <c r="J102" i="1"/>
  <c r="J74" i="1" l="1"/>
  <c r="D78" i="1"/>
  <c r="I74" i="1" s="1"/>
  <c r="I75" i="1" s="1"/>
  <c r="E77" i="1"/>
  <c r="F72" i="1"/>
  <c r="E91" i="1"/>
  <c r="G91" i="1"/>
  <c r="D92" i="1"/>
  <c r="I88" i="1" s="1"/>
  <c r="I89" i="1" s="1"/>
  <c r="I103" i="1"/>
  <c r="I101" i="1" s="1"/>
  <c r="C103" i="1" s="1"/>
  <c r="I73" i="1" l="1"/>
  <c r="C75" i="1" s="1"/>
  <c r="I87" i="1"/>
  <c r="C89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<sst xmlns="http://schemas.openxmlformats.org/spreadsheetml/2006/main" count="600" uniqueCount="323">
  <si>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</si>
  <si>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</si>
  <si>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</si>
  <si>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</si>
  <si>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</si>
  <si>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</si>
  <si>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</si>
  <si>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</si>
  <si>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</si>
  <si>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</si>
  <si>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</si>
  <si>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</si>
  <si>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</si>
  <si>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</si>
  <si>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</si>
  <si>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</si>
  <si>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</si>
  <si>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</si>
  <si>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</si>
  <si>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</si>
  <si>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</si>
  <si>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</si>
  <si>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</si>
  <si>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</si>
  <si>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</si>
  <si>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</si>
  <si>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</si>
  <si>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</si>
  <si>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</si>
  <si>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</si>
  <si>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</si>
  <si>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</si>
  <si>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</si>
  <si>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</si>
  <si>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</si>
  <si>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</si>
  <si>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</si>
  <si>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</si>
  <si>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</si>
  <si>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</si>
  <si>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</si>
  <si>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</si>
  <si>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</si>
  <si>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</si>
  <si>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</si>
  <si>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</si>
  <si>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</si>
  <si>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</si>
  <si>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</si>
  <si>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</si>
  <si>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</si>
  <si>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</si>
  <si>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</si>
  <si>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</si>
  <si>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</si>
  <si>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</si>
  <si>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</si>
  <si>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</si>
  <si>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</si>
  <si>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</si>
  <si>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</si>
  <si>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</si>
  <si>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</si>
  <si>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</si>
  <si>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</si>
  <si>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</si>
  <si>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</si>
  <si>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</si>
  <si>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</si>
  <si>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</si>
  <si>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</si>
  <si>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</si>
  <si>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</si>
  <si>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</si>
  <si>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</si>
  <si>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</si>
  <si>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</si>
  <si>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</si>
  <si>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</si>
  <si>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</si>
  <si>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</si>
  <si>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</si>
  <si>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</si>
  <si>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</si>
  <si>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</si>
  <si>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</si>
  <si>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</si>
  <si>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</si>
  <si>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</si>
  <si>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</si>
  <si>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</si>
  <si>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</si>
  <si>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</si>
  <si>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</si>
  <si>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</si>
  <si>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</si>
  <si>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</si>
  <si>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</si>
  <si>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</si>
  <si>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</si>
  <si>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</si>
  <si>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</si>
  <si>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</si>
  <si>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</si>
  <si>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</si>
  <si>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</si>
  <si>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</si>
  <si>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</si>
  <si>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</si>
  <si>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</si>
  <si>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</si>
  <si>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</si>
  <si>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</si>
  <si>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</si>
  <si>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</si>
  <si>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</si>
  <si>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</si>
  <si>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</si>
  <si>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</si>
  <si>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</si>
  <si>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</si>
  <si>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</si>
  <si>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</si>
  <si>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</si>
  <si>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</si>
  <si>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</si>
  <si>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</si>
  <si>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</si>
  <si>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</si>
  <si>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</si>
  <si>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</si>
  <si>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</si>
  <si>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</si>
  <si>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</si>
  <si>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</si>
  <si>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</si>
  <si>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</si>
  <si>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</si>
  <si>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</si>
  <si>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</si>
  <si>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</si>
  <si>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</si>
  <si>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</si>
  <si>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</si>
  <si>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</si>
  <si>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</si>
  <si>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</si>
  <si>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</si>
  <si>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</si>
  <si>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</si>
  <si>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</si>
  <si>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</si>
  <si>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</si>
  <si>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</si>
  <si>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</si>
  <si>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</si>
  <si>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</si>
  <si>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</si>
  <si>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</si>
  <si>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</si>
  <si>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</si>
  <si>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</si>
  <si>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</si>
  <si>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</si>
  <si>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</si>
  <si>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</si>
  <si>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</si>
  <si>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</si>
  <si>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</si>
  <si>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</si>
  <si>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</si>
  <si>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</si>
  <si>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</si>
  <si>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</si>
  <si>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</si>
  <si>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</si>
  <si>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</si>
  <si>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</si>
  <si>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</si>
  <si>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</si>
  <si>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</si>
  <si>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</si>
  <si>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</si>
  <si>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</si>
  <si>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</si>
  <si>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</si>
  <si>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</si>
  <si>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</si>
  <si>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</si>
  <si>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</si>
  <si>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</si>
  <si>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</si>
  <si>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</si>
  <si>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</si>
  <si>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</si>
  <si>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</si>
  <si>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</si>
  <si>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</si>
  <si>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</si>
  <si>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</si>
  <si>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</si>
  <si>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</si>
  <si>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</si>
  <si>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</si>
  <si>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</si>
  <si>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</si>
  <si>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</si>
  <si>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</si>
  <si>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</si>
  <si>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</si>
  <si>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</si>
  <si>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</si>
  <si>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</si>
  <si>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</si>
  <si>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</si>
  <si>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</si>
  <si>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</si>
  <si>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</si>
  <si>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</si>
  <si>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</si>
  <si>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</si>
  <si>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</si>
  <si>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</si>
  <si>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</si>
  <si>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</si>
  <si>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</si>
  <si>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</si>
  <si>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</si>
  <si>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</si>
  <si>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</si>
  <si>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</si>
  <si>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</si>
  <si>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</si>
  <si>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</si>
  <si>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</si>
  <si>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</si>
  <si>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Adi Realtors</t>
  </si>
  <si>
    <t>Adi Darsshan</t>
  </si>
  <si>
    <t>P51900047289</t>
  </si>
  <si>
    <t>N.M.Joshi Marg</t>
  </si>
  <si>
    <t>Municipal Corporation of Greater Mumbai</t>
  </si>
  <si>
    <t xml:space="preserve">CHE/CTY/3953/G/S/337(NEW)/IOD/1/New
</t>
  </si>
  <si>
    <t>Wing A, B &amp; C</t>
  </si>
  <si>
    <t>03 Wings</t>
  </si>
  <si>
    <t>As per RERA - 31/12/2026</t>
  </si>
  <si>
    <t>Ground Floor for Society Office, Meter Room &amp; Water tank</t>
  </si>
  <si>
    <t>Wing A</t>
  </si>
  <si>
    <t>Wing B</t>
  </si>
  <si>
    <t>Ground Floor for Society Office, Meter Room &amp; Parking</t>
  </si>
  <si>
    <t>1st Floor for Residential &amp; Fitness Center</t>
  </si>
  <si>
    <t>Sale / Rehab</t>
  </si>
  <si>
    <t>-</t>
  </si>
  <si>
    <t>Fitness Center</t>
  </si>
  <si>
    <t>Rehab</t>
  </si>
  <si>
    <t>1BHK</t>
  </si>
  <si>
    <t>MP Room</t>
  </si>
  <si>
    <t>2nd to 6th Floor</t>
  </si>
  <si>
    <t>7th Floor (Part Terrace Area)</t>
  </si>
  <si>
    <t>Terrace Area</t>
  </si>
  <si>
    <t>8th Floor</t>
  </si>
  <si>
    <t>Basement floor for Pump Room</t>
  </si>
  <si>
    <t>1st Floor for Residential &amp; Parking</t>
  </si>
  <si>
    <t>Mhada</t>
  </si>
  <si>
    <t>2nd to 4th Floor</t>
  </si>
  <si>
    <t>5th to 16th Floor</t>
  </si>
  <si>
    <t>Wing C</t>
  </si>
  <si>
    <t>Sale</t>
  </si>
  <si>
    <t>Devi Dharamdasswami Chawl /Building No. 184A</t>
  </si>
  <si>
    <t>205 &amp; 1/205 &amp; Redevelopment of "Devi Dharamdasswami Chawl / Building No.184A"</t>
  </si>
  <si>
    <t>https://goo.gl/maps/ZdVZEk8ExHMR3rP5A</t>
  </si>
  <si>
    <t>18.9959503,72.8302953</t>
  </si>
  <si>
    <t>Lower Parel</t>
  </si>
  <si>
    <t>Dhuru Wadi</t>
  </si>
  <si>
    <t>Lower Parel (East)</t>
  </si>
  <si>
    <t>Lower Parel Railway Station</t>
  </si>
  <si>
    <t>Slum Area</t>
  </si>
  <si>
    <t>30.48M Wide N.M.Joshi Marg (Delisle road)</t>
  </si>
  <si>
    <t>Other Plot</t>
  </si>
  <si>
    <t>Ground Floor for Commercial</t>
  </si>
  <si>
    <t>R/NR</t>
  </si>
  <si>
    <t>R/NR
(Duplex with 1st Floor)</t>
  </si>
  <si>
    <t>Residential Area Details : (Rehab)</t>
  </si>
  <si>
    <t>Residential Area Details : (Mhada)</t>
  </si>
  <si>
    <t>Residential Area Details : (Sale)</t>
  </si>
  <si>
    <t>Commercial Area Details : (Rehab)</t>
  </si>
  <si>
    <t>We considered Gross carpet area = Net carpet.</t>
  </si>
  <si>
    <t>Wing C = Gr/Stilt + 1st to 18th Floor</t>
  </si>
  <si>
    <t>Wing A = 1B + Gr/Stilt + 1st to 8th Floor</t>
  </si>
  <si>
    <t>Wing B = Gr/Stilt + 1st to 18th Floor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</si>
  <si>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</si>
  <si>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Online</t>
  </si>
  <si>
    <t>MIS</t>
  </si>
  <si>
    <t>Visitor</t>
  </si>
  <si>
    <t>0.085 KM from Lower Parel Railway Station</t>
  </si>
  <si>
    <t>Railway NOC No.</t>
  </si>
  <si>
    <t>S.Karya. 115/163</t>
  </si>
  <si>
    <t>Approved Plans, CC, Railway Noc</t>
  </si>
  <si>
    <t>Mumbai City</t>
  </si>
  <si>
    <t>Sai-Dhaam Building</t>
  </si>
  <si>
    <t>24X7 Valet Service, Hi Tech Car Parking System, High Speed Elevators, 24X7 Security Systems &amp; CCTV Surveillance, Morden Fire Safety &amp; Fire Fighting Systems, Earth Quake Resistant Structure</t>
  </si>
  <si>
    <t>https://darsshan.com/portfolio/adi-darsshan/#</t>
  </si>
  <si>
    <t>Flats - 64, R/NR Units - 06</t>
  </si>
  <si>
    <t>1st Floor For Society Office Above R/NR Unit No. 4</t>
  </si>
  <si>
    <t>18th Floor For Fitness Center &amp; Part Terrace Area</t>
  </si>
  <si>
    <t>5th to 16th Floor 
(Part Refuge Area @ Alternate Floor Level 7th, 9th, 11th, 13th, 15th Floor Mid Landing)</t>
  </si>
  <si>
    <t>17th Floor 
(Part Refuge Area @ Alternate Floor Level 17th Floor Mid Landing) &amp; Fitness Center</t>
  </si>
  <si>
    <t>We have refer Railway NOC &amp; latest approved floor plans from MCGM site.</t>
  </si>
  <si>
    <t>As per the latest approved floor plans, Wing A is Rehab and Wing B is (Rehab + Mhada). So we have drafted APF only for Wing C.</t>
  </si>
  <si>
    <t>Karan Misal</t>
  </si>
  <si>
    <t>We have updated latest CC from MCGM site (On 08/01/2025).</t>
  </si>
  <si>
    <t>Mr. Mahesh 9653337930</t>
  </si>
  <si>
    <t>CHE/CTY/3953/G/S/337(NEW)/FCC/2/Amend</t>
  </si>
  <si>
    <t>Shruti Tathare</t>
  </si>
  <si>
    <t>CHE/CTY/3953/G/S/337(NEW)/FCC/1/ Amend</t>
  </si>
  <si>
    <t xml:space="preserve">20/09/2025
</t>
  </si>
  <si>
    <t xml:space="preserve">This C.C. is further extended for Wing ‘C’
upto 16th floors as per IOD plan dated
14/06/2022.
</t>
  </si>
  <si>
    <t>This C.C. is further extended upto 23rd floor including LMR and OHT for Wing C (i.e. Full C.C. ) as per amended approved plan dated 29/01/2025.</t>
  </si>
  <si>
    <t>Wing C = Gr/Stilt + 1st to 23rd Floor</t>
  </si>
  <si>
    <t>We have updated latest CC from MCGM site (On 08/04/2025).</t>
  </si>
  <si>
    <t xml:space="preserve">Construction stage is reduced due to revision in proposed structure of project.
</t>
  </si>
  <si>
    <t xml:space="preserve">Please provide revised approved plans dtd. 29/01/2025.
</t>
  </si>
  <si>
    <t>Construction work is in process at the time of Visit (labour found). Internal visit was not allowed. Construction details &amp; photographs are taken from Mr. Mahesh.</t>
  </si>
  <si>
    <t>Office No. 1031, Wing J, Akshar Business Park, Plot No. 03 Sector 25, Near APMC Market, Vashi, 
Navi Mumbai, Maharashtra 400703 TEL: 022-46090378/79/80
E mail : vsjcapf@gmail.com. Web site : www.vsjadon.com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</si>
</sst>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5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1" fontId="30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0" xfId="1" applyFont="1" applyProtection="1">
      <protection locked="0"/>
    </xf>
    <xf numFmtId="0" fontId="4" fillId="0" borderId="0" xfId="1" applyFont="1" applyAlignment="1" applyProtection="1">
      <alignment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7" fillId="0" borderId="0" xfId="10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/>
    </xf>
    <xf numFmtId="0" fontId="6" fillId="0" borderId="0" xfId="1" applyFont="1"/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25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5" fillId="0" borderId="25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5" fillId="0" borderId="26" xfId="1" applyFont="1" applyBorder="1" applyAlignment="1" applyProtection="1">
      <alignment horizontal="left" vertical="top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2" xfId="1" applyFont="1" applyBorder="1" applyAlignment="1" applyProtection="1">
      <alignment horizontal="left" vertical="top"/>
      <protection locked="0"/>
    </xf>
    <xf numFmtId="0" fontId="15" fillId="0" borderId="20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center" vertical="top" wrapText="1"/>
      <protection locked="0"/>
    </xf>
    <xf numFmtId="0" fontId="12" fillId="0" borderId="24" xfId="1" applyFont="1" applyBorder="1" applyAlignment="1" applyProtection="1">
      <alignment horizontal="center" vertical="top" wrapText="1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center" vertical="top" wrapText="1"/>
      <protection locked="0"/>
    </xf>
    <xf numFmtId="0" fontId="12" fillId="0" borderId="20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21" xfId="1" applyFont="1" applyBorder="1" applyAlignment="1" applyProtection="1">
      <alignment horizontal="center" vertical="top" wrapText="1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432954</xdr:colOff>
      <xdr:row>0</xdr:row>
      <xdr:rowOff>580159</xdr:rowOff>
    </xdr:from>
    <xdr:to>
      <xdr:col>13</xdr:col>
      <xdr:colOff>370945</xdr:colOff>
      <xdr:row>17</xdr:row>
      <xdr:rowOff>3230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06045" y="580159"/>
          <a:ext cx="4320000" cy="38091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165651</xdr:colOff>
      <xdr:row>17</xdr:row>
      <xdr:rowOff>132521</xdr:rowOff>
    </xdr:from>
    <xdr:to>
      <xdr:col>13</xdr:col>
      <xdr:colOff>778986</xdr:colOff>
      <xdr:row>35</xdr:row>
      <xdr:rowOff>130843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43260" y="4530586"/>
          <a:ext cx="4927600" cy="397933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720587</xdr:colOff>
      <xdr:row>26</xdr:row>
      <xdr:rowOff>165652</xdr:rowOff>
    </xdr:from>
    <xdr:to>
      <xdr:col>10</xdr:col>
      <xdr:colOff>265043</xdr:colOff>
      <xdr:row>26</xdr:row>
      <xdr:rowOff>190500</xdr:rowOff>
    </xdr:to>
    <xdr:cxnSp macro="">
      <xdr:nvCxnSpPr>
        <xdr:cNvPr id="6" name="Straight Connector 5"/>
        <xdr:cNvCxnSpPr/>
      </xdr:nvCxnSpPr>
      <xdr:spPr>
        <a:xfrm flipH="1">
          <a:off x="7098196" y="6576391"/>
          <a:ext cx="1466021" cy="2484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243510</xdr:colOff>
      <xdr:row>25</xdr:row>
      <xdr:rowOff>185530</xdr:rowOff>
    </xdr:from>
    <xdr:to>
      <xdr:col>13</xdr:col>
      <xdr:colOff>596348</xdr:colOff>
      <xdr:row>25</xdr:row>
      <xdr:rowOff>190499</xdr:rowOff>
    </xdr:to>
    <xdr:cxnSp macro="">
      <xdr:nvCxnSpPr>
        <xdr:cNvPr id="11" name="Straight Connector 10"/>
        <xdr:cNvCxnSpPr/>
      </xdr:nvCxnSpPr>
      <xdr:spPr>
        <a:xfrm flipH="1" flipV="1">
          <a:off x="10737575" y="6397487"/>
          <a:ext cx="352838" cy="4969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679179</xdr:colOff>
      <xdr:row>380</xdr:row>
      <xdr:rowOff>147982</xdr:rowOff>
    </xdr:from>
    <xdr:to>
      <xdr:col>7</xdr:col>
      <xdr:colOff>102525</xdr:colOff>
      <xdr:row>403</xdr:row>
      <xdr:rowOff>82550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9179" y="58510832"/>
          <a:ext cx="5379646" cy="44621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305646</xdr:colOff>
      <xdr:row>362</xdr:row>
      <xdr:rowOff>57980</xdr:rowOff>
    </xdr:from>
    <xdr:to>
      <xdr:col>6</xdr:col>
      <xdr:colOff>476059</xdr:colOff>
      <xdr:row>380</xdr:row>
      <xdr:rowOff>26381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7646" y="70551263"/>
          <a:ext cx="4320000" cy="35464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124239</xdr:colOff>
      <xdr:row>390</xdr:row>
      <xdr:rowOff>41413</xdr:rowOff>
    </xdr:from>
    <xdr:to>
      <xdr:col>5</xdr:col>
      <xdr:colOff>372717</xdr:colOff>
      <xdr:row>390</xdr:row>
      <xdr:rowOff>173934</xdr:rowOff>
    </xdr:to>
    <xdr:cxnSp macro="">
      <xdr:nvCxnSpPr>
        <xdr:cNvPr id="19" name="Straight Connector 18"/>
        <xdr:cNvCxnSpPr/>
      </xdr:nvCxnSpPr>
      <xdr:spPr>
        <a:xfrm>
          <a:off x="3642139" y="60372763"/>
          <a:ext cx="1067628" cy="132521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687457</xdr:colOff>
      <xdr:row>390</xdr:row>
      <xdr:rowOff>49696</xdr:rowOff>
    </xdr:from>
    <xdr:to>
      <xdr:col>4</xdr:col>
      <xdr:colOff>132521</xdr:colOff>
      <xdr:row>395</xdr:row>
      <xdr:rowOff>24849</xdr:rowOff>
    </xdr:to>
    <xdr:cxnSp macro="">
      <xdr:nvCxnSpPr>
        <xdr:cNvPr id="23" name="Straight Connector 22"/>
        <xdr:cNvCxnSpPr/>
      </xdr:nvCxnSpPr>
      <xdr:spPr>
        <a:xfrm flipV="1">
          <a:off x="3214757" y="60381046"/>
          <a:ext cx="435664" cy="959403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662609</xdr:colOff>
      <xdr:row>393</xdr:row>
      <xdr:rowOff>173935</xdr:rowOff>
    </xdr:from>
    <xdr:to>
      <xdr:col>3</xdr:col>
      <xdr:colOff>679174</xdr:colOff>
      <xdr:row>395</xdr:row>
      <xdr:rowOff>24848</xdr:rowOff>
    </xdr:to>
    <xdr:cxnSp macro="">
      <xdr:nvCxnSpPr>
        <xdr:cNvPr id="27" name="Straight Connector 26"/>
        <xdr:cNvCxnSpPr/>
      </xdr:nvCxnSpPr>
      <xdr:spPr>
        <a:xfrm>
          <a:off x="2300909" y="61095835"/>
          <a:ext cx="905565" cy="244613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393</xdr:row>
      <xdr:rowOff>157370</xdr:rowOff>
    </xdr:from>
    <xdr:to>
      <xdr:col>2</xdr:col>
      <xdr:colOff>695739</xdr:colOff>
      <xdr:row>399</xdr:row>
      <xdr:rowOff>165652</xdr:rowOff>
    </xdr:to>
    <xdr:cxnSp macro="">
      <xdr:nvCxnSpPr>
        <xdr:cNvPr id="29" name="Straight Connector 28"/>
        <xdr:cNvCxnSpPr/>
      </xdr:nvCxnSpPr>
      <xdr:spPr>
        <a:xfrm flipV="1">
          <a:off x="1828800" y="61079270"/>
          <a:ext cx="505239" cy="1189382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390</xdr:row>
      <xdr:rowOff>149088</xdr:rowOff>
    </xdr:from>
    <xdr:to>
      <xdr:col>5</xdr:col>
      <xdr:colOff>414130</xdr:colOff>
      <xdr:row>394</xdr:row>
      <xdr:rowOff>82827</xdr:rowOff>
    </xdr:to>
    <xdr:cxnSp macro="">
      <xdr:nvCxnSpPr>
        <xdr:cNvPr id="30" name="Straight Connector 29"/>
        <xdr:cNvCxnSpPr/>
      </xdr:nvCxnSpPr>
      <xdr:spPr>
        <a:xfrm flipH="1" flipV="1">
          <a:off x="4718050" y="60480438"/>
          <a:ext cx="33130" cy="721139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240196</xdr:colOff>
      <xdr:row>394</xdr:row>
      <xdr:rowOff>49696</xdr:rowOff>
    </xdr:from>
    <xdr:to>
      <xdr:col>5</xdr:col>
      <xdr:colOff>430695</xdr:colOff>
      <xdr:row>399</xdr:row>
      <xdr:rowOff>157370</xdr:rowOff>
    </xdr:to>
    <xdr:cxnSp macro="">
      <xdr:nvCxnSpPr>
        <xdr:cNvPr id="35" name="Straight Connector 34"/>
        <xdr:cNvCxnSpPr/>
      </xdr:nvCxnSpPr>
      <xdr:spPr>
        <a:xfrm flipV="1">
          <a:off x="1878496" y="61168446"/>
          <a:ext cx="2889249" cy="1091924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698500</xdr:colOff>
      <xdr:row>380</xdr:row>
      <xdr:rowOff>157369</xdr:rowOff>
    </xdr:from>
    <xdr:to>
      <xdr:col>3</xdr:col>
      <xdr:colOff>248478</xdr:colOff>
      <xdr:row>403</xdr:row>
      <xdr:rowOff>12700</xdr:rowOff>
    </xdr:to>
    <xdr:cxnSp macro="">
      <xdr:nvCxnSpPr>
        <xdr:cNvPr id="40" name="Straight Connector 39"/>
        <xdr:cNvCxnSpPr/>
      </xdr:nvCxnSpPr>
      <xdr:spPr>
        <a:xfrm flipV="1">
          <a:off x="698500" y="58520219"/>
          <a:ext cx="2077278" cy="438288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539750</xdr:colOff>
      <xdr:row>380</xdr:row>
      <xdr:rowOff>147982</xdr:rowOff>
    </xdr:from>
    <xdr:to>
      <xdr:col>3</xdr:col>
      <xdr:colOff>841702</xdr:colOff>
      <xdr:row>403</xdr:row>
      <xdr:rowOff>69850</xdr:rowOff>
    </xdr:to>
    <xdr:cxnSp macro="">
      <xdr:nvCxnSpPr>
        <xdr:cNvPr id="43" name="Straight Connector 42"/>
        <xdr:cNvCxnSpPr>
          <a:endCxn id="14" idx="0"/>
        </xdr:cNvCxnSpPr>
      </xdr:nvCxnSpPr>
      <xdr:spPr>
        <a:xfrm flipV="1">
          <a:off x="1339850" y="58510832"/>
          <a:ext cx="2029152" cy="444941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802381</xdr:colOff>
      <xdr:row>392</xdr:row>
      <xdr:rowOff>47048</xdr:rowOff>
    </xdr:from>
    <xdr:ext cx="311496" cy="1213153"/>
    <xdr:sp macro="" textlink="">
      <xdr:nvSpPr>
        <xdr:cNvPr id="47" name="TextBox 46"/>
        <xdr:cNvSpPr txBox="1"/>
      </xdr:nvSpPr>
      <xdr:spPr>
        <a:xfrm rot="17704860">
          <a:off x="1113552" y="76954638"/>
          <a:ext cx="1213153" cy="31149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Railway Track</a:t>
          </a:r>
        </a:p>
      </xdr:txBody>
    </xdr:sp>
    <xdr:clientData/>
  </xdr:oneCellAnchor>
  <xdr:twoCellAnchor editAs="oneCell">
    <xdr:from>
      <xdr:col>2</xdr:col>
      <xdr:colOff>124241</xdr:colOff>
      <xdr:row>341</xdr:row>
      <xdr:rowOff>53195</xdr:rowOff>
    </xdr:from>
    <xdr:to>
      <xdr:col>5</xdr:col>
      <xdr:colOff>655432</xdr:colOff>
      <xdr:row>359</xdr:row>
      <xdr:rowOff>183508</xdr:rowOff>
    </xdr:to>
    <xdr:pic>
      <xdr:nvPicPr>
        <xdr:cNvPr id="48" name="Picture 47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9654" y="66173260"/>
          <a:ext cx="3098800" cy="3708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606841</xdr:colOff>
      <xdr:row>319</xdr:row>
      <xdr:rowOff>74546</xdr:rowOff>
    </xdr:from>
    <xdr:to>
      <xdr:col>5</xdr:col>
      <xdr:colOff>172832</xdr:colOff>
      <xdr:row>340</xdr:row>
      <xdr:rowOff>31845</xdr:rowOff>
    </xdr:to>
    <xdr:pic>
      <xdr:nvPicPr>
        <xdr:cNvPr id="49" name="Picture 48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2254" y="61821394"/>
          <a:ext cx="2133600" cy="41317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4</xdr:col>
      <xdr:colOff>296817</xdr:colOff>
      <xdr:row>334</xdr:row>
      <xdr:rowOff>61549</xdr:rowOff>
    </xdr:from>
    <xdr:ext cx="590162" cy="264560"/>
    <xdr:sp macro="" textlink="">
      <xdr:nvSpPr>
        <xdr:cNvPr id="50" name="TextBox 49"/>
        <xdr:cNvSpPr txBox="1"/>
      </xdr:nvSpPr>
      <xdr:spPr>
        <a:xfrm>
          <a:off x="3651274" y="64790136"/>
          <a:ext cx="590162" cy="26456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C</a:t>
          </a:r>
        </a:p>
      </xdr:txBody>
    </xdr:sp>
    <xdr:clientData/>
  </xdr:oneCellAnchor>
  <xdr:twoCellAnchor>
    <xdr:from>
      <xdr:col>3</xdr:col>
      <xdr:colOff>753718</xdr:colOff>
      <xdr:row>333</xdr:row>
      <xdr:rowOff>173936</xdr:rowOff>
    </xdr:from>
    <xdr:to>
      <xdr:col>4</xdr:col>
      <xdr:colOff>296817</xdr:colOff>
      <xdr:row>334</xdr:row>
      <xdr:rowOff>193829</xdr:rowOff>
    </xdr:to>
    <xdr:cxnSp macro="">
      <xdr:nvCxnSpPr>
        <xdr:cNvPr id="51" name="Straight Arrow Connector 50"/>
        <xdr:cNvCxnSpPr>
          <a:stCxn id="50" idx="1"/>
        </xdr:cNvCxnSpPr>
      </xdr:nvCxnSpPr>
      <xdr:spPr>
        <a:xfrm flipH="1" flipV="1">
          <a:off x="3163957" y="64703740"/>
          <a:ext cx="487317" cy="21867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242152</xdr:colOff>
      <xdr:row>328</xdr:row>
      <xdr:rowOff>147688</xdr:rowOff>
    </xdr:from>
    <xdr:ext cx="590162" cy="264560"/>
    <xdr:sp macro="" textlink="">
      <xdr:nvSpPr>
        <xdr:cNvPr id="54" name="TextBox 53"/>
        <xdr:cNvSpPr txBox="1"/>
      </xdr:nvSpPr>
      <xdr:spPr>
        <a:xfrm>
          <a:off x="3596609" y="63683579"/>
          <a:ext cx="590162" cy="26456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oneCellAnchor>
  <xdr:twoCellAnchor>
    <xdr:from>
      <xdr:col>3</xdr:col>
      <xdr:colOff>762000</xdr:colOff>
      <xdr:row>329</xdr:row>
      <xdr:rowOff>81185</xdr:rowOff>
    </xdr:from>
    <xdr:to>
      <xdr:col>4</xdr:col>
      <xdr:colOff>242152</xdr:colOff>
      <xdr:row>331</xdr:row>
      <xdr:rowOff>16565</xdr:rowOff>
    </xdr:to>
    <xdr:cxnSp macro="">
      <xdr:nvCxnSpPr>
        <xdr:cNvPr id="55" name="Straight Arrow Connector 54"/>
        <xdr:cNvCxnSpPr>
          <a:stCxn id="54" idx="1"/>
        </xdr:cNvCxnSpPr>
      </xdr:nvCxnSpPr>
      <xdr:spPr>
        <a:xfrm flipH="1">
          <a:off x="3172239" y="63815859"/>
          <a:ext cx="424370" cy="33294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2</xdr:col>
      <xdr:colOff>220617</xdr:colOff>
      <xdr:row>323</xdr:row>
      <xdr:rowOff>59892</xdr:rowOff>
    </xdr:from>
    <xdr:ext cx="690469" cy="264560"/>
    <xdr:sp macro="" textlink="">
      <xdr:nvSpPr>
        <xdr:cNvPr id="57" name="TextBox 56"/>
        <xdr:cNvSpPr txBox="1"/>
      </xdr:nvSpPr>
      <xdr:spPr>
        <a:xfrm>
          <a:off x="1786030" y="62601870"/>
          <a:ext cx="690469" cy="26456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oneCellAnchor>
  <xdr:twoCellAnchor>
    <xdr:from>
      <xdr:col>2</xdr:col>
      <xdr:colOff>565852</xdr:colOff>
      <xdr:row>324</xdr:row>
      <xdr:rowOff>125669</xdr:rowOff>
    </xdr:from>
    <xdr:to>
      <xdr:col>3</xdr:col>
      <xdr:colOff>190500</xdr:colOff>
      <xdr:row>326</xdr:row>
      <xdr:rowOff>182217</xdr:rowOff>
    </xdr:to>
    <xdr:cxnSp macro="">
      <xdr:nvCxnSpPr>
        <xdr:cNvPr id="58" name="Straight Arrow Connector 57"/>
        <xdr:cNvCxnSpPr>
          <a:stCxn id="57" idx="2"/>
        </xdr:cNvCxnSpPr>
      </xdr:nvCxnSpPr>
      <xdr:spPr>
        <a:xfrm>
          <a:off x="2131265" y="62866430"/>
          <a:ext cx="469474" cy="45411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3</xdr:col>
      <xdr:colOff>604073</xdr:colOff>
      <xdr:row>322</xdr:row>
      <xdr:rowOff>39907</xdr:rowOff>
    </xdr:from>
    <xdr:ext cx="1022858" cy="264560"/>
    <xdr:sp macro="" textlink="">
      <xdr:nvSpPr>
        <xdr:cNvPr id="63" name="TextBox 62"/>
        <xdr:cNvSpPr txBox="1"/>
      </xdr:nvSpPr>
      <xdr:spPr>
        <a:xfrm rot="2364729">
          <a:off x="3014312" y="62383103"/>
          <a:ext cx="1022858" cy="26456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Railway Track</a:t>
          </a:r>
        </a:p>
      </xdr:txBody>
    </xdr:sp>
    <xdr:clientData/>
  </xdr:oneCellAnchor>
  <xdr:twoCellAnchor>
    <xdr:from>
      <xdr:col>8</xdr:col>
      <xdr:colOff>333375</xdr:colOff>
      <xdr:row>276</xdr:row>
      <xdr:rowOff>142875</xdr:rowOff>
    </xdr:from>
    <xdr:to>
      <xdr:col>15</xdr:col>
      <xdr:colOff>650365</xdr:colOff>
      <xdr:row>314</xdr:row>
      <xdr:rowOff>169275</xdr:rowOff>
    </xdr:to>
    <xdr:grpSp>
      <xdr:nvGrpSpPr>
        <xdr:cNvPr id="5" name="Group 4"/>
        <xdr:cNvGrpSpPr/>
      </xdr:nvGrpSpPr>
      <xdr:grpSpPr>
        <a:xfrm>
          <a:off x="6858000" y="40043100"/>
          <a:ext cx="6184390" cy="7617825"/>
          <a:chOff x="190500" y="38566725"/>
          <a:chExt cx="6184390" cy="7617825"/>
        </a:xfrm>
      </xdr:grpSpPr>
      <xdr:pic>
        <xdr:nvPicPr>
          <xdr:cNvPr id="38" name="Picture 37" descr="https://vsjcllp.vsjadon.com/upload/insp-22601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00425" y="440245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26017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0500" y="38566725"/>
            <a:ext cx="2012440" cy="2686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26017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42925" y="41352787"/>
            <a:ext cx="3451201" cy="259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26017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86225" y="41348025"/>
            <a:ext cx="1941077" cy="259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26017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62450" y="38566725"/>
            <a:ext cx="2012440" cy="2686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26017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04975" y="440245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" name="Picture 61" descr="https://vsjcllp.vsjadon.com/upload/insp-226017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76475" y="38566725"/>
            <a:ext cx="2012440" cy="2686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447675</xdr:colOff>
      <xdr:row>276</xdr:row>
      <xdr:rowOff>57150</xdr:rowOff>
    </xdr:from>
    <xdr:to>
      <xdr:col>7</xdr:col>
      <xdr:colOff>420961</xdr:colOff>
      <xdr:row>317</xdr:row>
      <xdr:rowOff>64500</xdr:rowOff>
    </xdr:to>
    <xdr:grpSp>
      <xdr:nvGrpSpPr>
        <xdr:cNvPr id="3" name="Group 2"/>
        <xdr:cNvGrpSpPr/>
      </xdr:nvGrpSpPr>
      <xdr:grpSpPr>
        <a:xfrm>
          <a:off x="447675" y="39957375"/>
          <a:ext cx="5650186" cy="8198850"/>
          <a:chOff x="447675" y="40166925"/>
          <a:chExt cx="5650186" cy="8198850"/>
        </a:xfrm>
      </xdr:grpSpPr>
      <xdr:pic>
        <xdr:nvPicPr>
          <xdr:cNvPr id="34" name="Picture 33" descr="https://vsjcllp.vsjadon.com/upload/insp-24015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52900" y="462057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0150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14700" y="40166925"/>
            <a:ext cx="2783161" cy="37147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0150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62425" y="439674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40150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7675" y="40166925"/>
            <a:ext cx="2783161" cy="37147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40150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62000" y="439674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https://vsjcllp.vsjadon.com/upload/insp-240150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52475" y="461962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https://vsjcllp.vsjadon.com/upload/insp-240150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66975" y="439674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40150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57450" y="462057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801441</xdr:colOff>
      <xdr:row>35</xdr:row>
      <xdr:rowOff>47523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6</xdr:col>
      <xdr:colOff>801441</xdr:colOff>
      <xdr:row>57</xdr:row>
      <xdr:rowOff>47524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869207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1035175</xdr:colOff>
      <xdr:row>36</xdr:row>
      <xdr:rowOff>0</xdr:rowOff>
    </xdr:from>
    <xdr:to>
      <xdr:col>17</xdr:col>
      <xdr:colOff>559146</xdr:colOff>
      <xdr:row>57</xdr:row>
      <xdr:rowOff>47523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6440" y="6869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darsshan.com/portfolio/adi-darsshan/" TargetMode="External"/><Relationship Id="rId1" Type="http://schemas.openxmlformats.org/officeDocument/2006/relationships/hyperlink" Target="https://goo.gl/maps/ZdVZEk8ExHMR3rP5A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362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5" width="11.7109375" style="71" customWidth="1"/>
    <col min="6" max="6" width="11.7109375" style="41" customWidth="1"/>
    <col min="7" max="7" width="11.42578125" style="41" customWidth="1"/>
    <col min="8" max="8" width="12.7109375" style="41" customWidth="1"/>
    <col min="9" max="9" width="17.42578125" style="22" customWidth="1"/>
    <col min="10" max="10" width="11.42578125" style="22" customWidth="1"/>
    <col min="11" max="11" width="14.285156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26" ht="46.5" customHeight="1" x14ac:dyDescent="0.25">
      <c r="A1" s="217" t="s">
        <v>322</v>
      </c>
      <c r="B1" s="217"/>
      <c r="C1" s="217"/>
      <c r="D1" s="217"/>
      <c r="E1" s="217"/>
      <c r="F1" s="217"/>
      <c r="G1" s="217"/>
      <c r="H1" s="217"/>
    </row>
    <row r="2" spans="1:26" ht="16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26" x14ac:dyDescent="0.25">
      <c r="A3" s="142" t="s">
        <v>1</v>
      </c>
      <c r="B3" s="142"/>
      <c r="C3" s="142"/>
      <c r="D3" s="142"/>
      <c r="E3" s="142" t="str">
        <f ca="1">TEXT(TODAY(),"DD/MM/YYYY")</f>
        <v>09/07/2025</v>
      </c>
      <c r="F3" s="142"/>
      <c r="G3" s="142"/>
      <c r="H3" s="142"/>
    </row>
    <row r="4" spans="1:26" ht="15" customHeight="1" x14ac:dyDescent="0.25">
      <c r="A4" s="142" t="s">
        <v>2</v>
      </c>
      <c r="B4" s="142"/>
      <c r="C4" s="142"/>
      <c r="D4" s="142"/>
      <c r="E4" s="142" t="s">
        <v>175</v>
      </c>
      <c r="F4" s="142"/>
      <c r="G4" s="142"/>
      <c r="H4" s="142"/>
    </row>
    <row r="5" spans="1:26" x14ac:dyDescent="0.25">
      <c r="A5" s="142" t="s">
        <v>3</v>
      </c>
      <c r="B5" s="142"/>
      <c r="C5" s="142"/>
      <c r="D5" s="142"/>
      <c r="E5" s="219">
        <v>45846</v>
      </c>
      <c r="F5" s="142"/>
      <c r="G5" s="142"/>
      <c r="H5" s="142"/>
    </row>
    <row r="6" spans="1:26" ht="16.5" customHeight="1" x14ac:dyDescent="0.25">
      <c r="A6" s="142" t="s">
        <v>4</v>
      </c>
      <c r="B6" s="142"/>
      <c r="C6" s="142"/>
      <c r="D6" s="142"/>
      <c r="E6" s="142" t="s">
        <v>236</v>
      </c>
      <c r="F6" s="142"/>
      <c r="G6" s="142"/>
      <c r="H6" s="142"/>
    </row>
    <row r="7" spans="1:26" ht="15" customHeight="1" x14ac:dyDescent="0.25">
      <c r="A7" s="142" t="s">
        <v>5</v>
      </c>
      <c r="B7" s="142"/>
      <c r="C7" s="142"/>
      <c r="D7" s="142"/>
      <c r="E7" s="142" t="str">
        <f>E6</f>
        <v>Adi Realtors</v>
      </c>
      <c r="F7" s="142"/>
      <c r="G7" s="142"/>
      <c r="H7" s="142"/>
    </row>
    <row r="8" spans="1:26" x14ac:dyDescent="0.25">
      <c r="A8" s="142" t="s">
        <v>6</v>
      </c>
      <c r="B8" s="142"/>
      <c r="C8" s="142"/>
      <c r="D8" s="142"/>
      <c r="E8" s="218" t="s">
        <v>237</v>
      </c>
      <c r="F8" s="218"/>
      <c r="G8" s="218"/>
      <c r="H8" s="218"/>
    </row>
    <row r="9" spans="1:26" x14ac:dyDescent="0.25">
      <c r="A9" s="142" t="s">
        <v>172</v>
      </c>
      <c r="B9" s="142"/>
      <c r="C9" s="142"/>
      <c r="D9" s="142"/>
      <c r="E9" s="142">
        <v>9821523356</v>
      </c>
      <c r="F9" s="142"/>
      <c r="G9" s="142"/>
      <c r="H9" s="142"/>
    </row>
    <row r="10" spans="1:26" x14ac:dyDescent="0.25">
      <c r="A10" s="142" t="s">
        <v>173</v>
      </c>
      <c r="B10" s="142"/>
      <c r="C10" s="142"/>
      <c r="D10" s="142"/>
      <c r="E10" s="142" t="s">
        <v>310</v>
      </c>
      <c r="F10" s="142"/>
      <c r="G10" s="142"/>
      <c r="H10" s="142"/>
    </row>
    <row r="11" spans="1:26" x14ac:dyDescent="0.25">
      <c r="A11" s="142" t="s">
        <v>7</v>
      </c>
      <c r="B11" s="142"/>
      <c r="C11" s="142"/>
      <c r="D11" s="142"/>
      <c r="E11" s="142" t="s">
        <v>242</v>
      </c>
      <c r="F11" s="142"/>
      <c r="G11" s="142"/>
      <c r="H11" s="142"/>
    </row>
    <row r="12" spans="1:26" x14ac:dyDescent="0.25">
      <c r="A12" s="142" t="s">
        <v>176</v>
      </c>
      <c r="B12" s="142"/>
      <c r="C12" s="142"/>
      <c r="D12" s="142"/>
      <c r="E12" s="141" t="s">
        <v>267</v>
      </c>
      <c r="F12" s="141"/>
      <c r="G12" s="141"/>
      <c r="H12" s="141"/>
      <c r="S12" s="61" t="s">
        <v>183</v>
      </c>
      <c r="T12" s="61" t="s">
        <v>193</v>
      </c>
      <c r="U12" s="61" t="s">
        <v>177</v>
      </c>
      <c r="V12" s="61" t="s">
        <v>198</v>
      </c>
      <c r="W12" s="61" t="s">
        <v>216</v>
      </c>
      <c r="X12"/>
      <c r="Y12" t="s">
        <v>198</v>
      </c>
      <c r="Z12" t="e">
        <f ca="1">OFFSET($S$12,1,MATCH($G19,$S$12:$W$12,0)-1,15,1)</f>
        <v>#VALUE!</v>
      </c>
    </row>
    <row r="13" spans="1:26" x14ac:dyDescent="0.25">
      <c r="A13" s="118" t="s">
        <v>8</v>
      </c>
      <c r="B13" s="118"/>
      <c r="C13" s="118"/>
      <c r="D13" s="118"/>
      <c r="E13" s="141" t="s">
        <v>296</v>
      </c>
      <c r="F13" s="141"/>
      <c r="G13" s="141"/>
      <c r="H13" s="141"/>
      <c r="S13" s="61" t="s">
        <v>184</v>
      </c>
      <c r="T13" s="61" t="s">
        <v>191</v>
      </c>
      <c r="U13" s="61" t="s">
        <v>213</v>
      </c>
      <c r="V13" s="61" t="s">
        <v>199</v>
      </c>
      <c r="W13" s="61" t="s">
        <v>217</v>
      </c>
      <c r="X13"/>
      <c r="Y13"/>
      <c r="Z13"/>
    </row>
    <row r="14" spans="1:26" x14ac:dyDescent="0.25">
      <c r="A14" s="118" t="s">
        <v>9</v>
      </c>
      <c r="B14" s="118"/>
      <c r="C14" s="118"/>
      <c r="D14" s="118"/>
      <c r="E14" s="141" t="s">
        <v>238</v>
      </c>
      <c r="F14" s="142"/>
      <c r="G14" s="142"/>
      <c r="H14" s="142"/>
      <c r="I14" s="114" t="e">
        <f ca="1">OFFSET($D$4,1,MATCH($J12,$D$4:$H$4,0)-1,15,1)</f>
        <v>#N/A</v>
      </c>
      <c r="J14" s="115"/>
      <c r="K14" s="115"/>
      <c r="L14" s="115"/>
      <c r="M14" s="115"/>
      <c r="N14" s="115"/>
      <c r="O14" s="115"/>
      <c r="P14" s="115"/>
      <c r="S14" s="61" t="s">
        <v>185</v>
      </c>
      <c r="T14" s="61" t="s">
        <v>192</v>
      </c>
      <c r="U14" s="61" t="s">
        <v>214</v>
      </c>
      <c r="V14" s="61" t="s">
        <v>200</v>
      </c>
      <c r="W14" s="61" t="s">
        <v>230</v>
      </c>
      <c r="X14"/>
      <c r="Y14"/>
      <c r="Z14"/>
    </row>
    <row r="15" spans="1:26" ht="48" customHeight="1" x14ac:dyDescent="0.25">
      <c r="A15" s="141" t="s">
        <v>10</v>
      </c>
      <c r="B15" s="141"/>
      <c r="C15" s="14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Adi Darsshan, CTS No.205 &amp; 1/205 &amp; Redevelopment of "Devi Dharamdasswami Chawl / Building No.184A", near Sai-Dhaam Building, N.M.Joshi Marg, Dhuru Wadi, Lower Parel, Lower Parel (East), Mumbai City, Mumbai - 400013.</v>
      </c>
      <c r="D15" s="141"/>
      <c r="E15" s="141"/>
      <c r="F15" s="141"/>
      <c r="G15" s="141"/>
      <c r="H15" s="141"/>
      <c r="S15" s="61" t="s">
        <v>186</v>
      </c>
      <c r="T15" s="61" t="s">
        <v>194</v>
      </c>
      <c r="U15" s="61" t="s">
        <v>215</v>
      </c>
      <c r="V15" s="61" t="s">
        <v>201</v>
      </c>
      <c r="W15" s="61" t="s">
        <v>218</v>
      </c>
      <c r="X15"/>
      <c r="Y15"/>
      <c r="Z15"/>
    </row>
    <row r="16" spans="1:26" ht="31.5" customHeight="1" x14ac:dyDescent="0.25">
      <c r="A16" s="141" t="s">
        <v>181</v>
      </c>
      <c r="B16" s="141"/>
      <c r="C16" s="141" t="s">
        <v>268</v>
      </c>
      <c r="D16" s="141"/>
      <c r="E16" s="141"/>
      <c r="F16" s="141"/>
      <c r="G16" s="141"/>
      <c r="H16" s="141"/>
      <c r="S16" s="61" t="s">
        <v>187</v>
      </c>
      <c r="T16" s="61" t="s">
        <v>195</v>
      </c>
      <c r="U16" s="61"/>
      <c r="V16" s="61" t="s">
        <v>202</v>
      </c>
      <c r="W16" s="61" t="s">
        <v>219</v>
      </c>
      <c r="X16"/>
      <c r="Y16"/>
      <c r="Z16"/>
    </row>
    <row r="17" spans="1:26" ht="15.75" customHeight="1" x14ac:dyDescent="0.25">
      <c r="A17" s="141" t="s">
        <v>168</v>
      </c>
      <c r="B17" s="141"/>
      <c r="C17" s="141" t="s">
        <v>272</v>
      </c>
      <c r="D17" s="141"/>
      <c r="E17" s="141"/>
      <c r="F17" s="141"/>
      <c r="G17" s="141"/>
      <c r="H17" s="141"/>
      <c r="S17" s="61" t="s">
        <v>188</v>
      </c>
      <c r="T17" s="61" t="s">
        <v>193</v>
      </c>
      <c r="U17" s="61"/>
      <c r="V17" s="61" t="s">
        <v>203</v>
      </c>
      <c r="W17" s="61" t="s">
        <v>220</v>
      </c>
      <c r="X17"/>
      <c r="Y17"/>
      <c r="Z17"/>
    </row>
    <row r="18" spans="1:26" ht="15.75" customHeight="1" x14ac:dyDescent="0.25">
      <c r="A18" s="122" t="s">
        <v>11</v>
      </c>
      <c r="B18" s="122"/>
      <c r="C18" s="142" t="s">
        <v>239</v>
      </c>
      <c r="D18" s="142"/>
      <c r="E18" s="122" t="s">
        <v>72</v>
      </c>
      <c r="F18" s="122"/>
      <c r="G18" s="141" t="s">
        <v>271</v>
      </c>
      <c r="H18" s="141"/>
      <c r="S18" s="61" t="s">
        <v>189</v>
      </c>
      <c r="T18" s="61" t="s">
        <v>196</v>
      </c>
      <c r="U18" s="61"/>
      <c r="V18" s="61" t="s">
        <v>204</v>
      </c>
      <c r="W18" s="61" t="s">
        <v>221</v>
      </c>
      <c r="X18"/>
      <c r="Y18"/>
      <c r="Z18"/>
    </row>
    <row r="19" spans="1:26" x14ac:dyDescent="0.25">
      <c r="A19" s="118" t="s">
        <v>13</v>
      </c>
      <c r="B19" s="118"/>
      <c r="C19" s="141" t="s">
        <v>273</v>
      </c>
      <c r="D19" s="141"/>
      <c r="E19" s="122" t="s">
        <v>12</v>
      </c>
      <c r="F19" s="122"/>
      <c r="G19" s="223" t="s">
        <v>177</v>
      </c>
      <c r="H19" s="223"/>
      <c r="S19" s="61" t="s">
        <v>190</v>
      </c>
      <c r="T19" s="61" t="s">
        <v>197</v>
      </c>
      <c r="U19" s="61"/>
      <c r="V19" s="61" t="s">
        <v>205</v>
      </c>
      <c r="W19" s="61" t="s">
        <v>222</v>
      </c>
      <c r="X19"/>
      <c r="Y19"/>
      <c r="Z19"/>
    </row>
    <row r="20" spans="1:26" x14ac:dyDescent="0.25">
      <c r="A20" s="118" t="s">
        <v>73</v>
      </c>
      <c r="B20" s="118"/>
      <c r="C20" s="141" t="s">
        <v>297</v>
      </c>
      <c r="D20" s="141"/>
      <c r="E20" s="122" t="s">
        <v>14</v>
      </c>
      <c r="F20" s="122"/>
      <c r="G20" s="141">
        <v>400013</v>
      </c>
      <c r="H20" s="141"/>
      <c r="S20" s="61"/>
      <c r="T20" s="61"/>
      <c r="U20" s="61"/>
      <c r="V20" s="61" t="s">
        <v>206</v>
      </c>
      <c r="W20" s="61" t="s">
        <v>223</v>
      </c>
      <c r="X20"/>
      <c r="Y20"/>
      <c r="Z20"/>
    </row>
    <row r="21" spans="1:26" ht="32.25" customHeight="1" x14ac:dyDescent="0.25">
      <c r="A21" s="118" t="s">
        <v>123</v>
      </c>
      <c r="B21" s="118"/>
      <c r="C21" s="224" t="s">
        <v>298</v>
      </c>
      <c r="D21" s="224"/>
      <c r="E21" s="122" t="s">
        <v>15</v>
      </c>
      <c r="F21" s="122"/>
      <c r="G21" s="141" t="s">
        <v>293</v>
      </c>
      <c r="H21" s="141"/>
      <c r="S21" s="61"/>
      <c r="T21" s="61"/>
      <c r="U21" s="61"/>
      <c r="V21" s="61" t="s">
        <v>207</v>
      </c>
      <c r="W21" s="61" t="s">
        <v>224</v>
      </c>
      <c r="X21"/>
      <c r="Y21"/>
      <c r="Z21"/>
    </row>
    <row r="22" spans="1:26" ht="15" customHeight="1" x14ac:dyDescent="0.25">
      <c r="A22" s="122" t="s">
        <v>74</v>
      </c>
      <c r="B22" s="122"/>
      <c r="C22" s="122"/>
      <c r="D22" s="122"/>
      <c r="E22" s="142" t="s">
        <v>16</v>
      </c>
      <c r="F22" s="142"/>
      <c r="G22" s="142"/>
      <c r="H22" s="142"/>
      <c r="S22" s="61"/>
      <c r="T22" s="61"/>
      <c r="U22" s="61"/>
      <c r="V22" s="61" t="s">
        <v>208</v>
      </c>
      <c r="W22" s="61" t="s">
        <v>225</v>
      </c>
      <c r="X22"/>
      <c r="Y22"/>
      <c r="Z22"/>
    </row>
    <row r="23" spans="1:26" ht="18.75" customHeight="1" x14ac:dyDescent="0.25">
      <c r="A23" s="122"/>
      <c r="B23" s="122"/>
      <c r="C23" s="122"/>
      <c r="D23" s="122"/>
      <c r="E23" s="142"/>
      <c r="F23" s="142"/>
      <c r="G23" s="142"/>
      <c r="H23" s="142"/>
      <c r="S23" s="61"/>
      <c r="T23" s="61"/>
      <c r="U23" s="61"/>
      <c r="V23" s="61" t="s">
        <v>209</v>
      </c>
      <c r="W23" s="61" t="s">
        <v>226</v>
      </c>
      <c r="X23"/>
      <c r="Y23"/>
      <c r="Z23"/>
    </row>
    <row r="24" spans="1:26" ht="15" customHeight="1" x14ac:dyDescent="0.25">
      <c r="A24" s="122" t="s">
        <v>17</v>
      </c>
      <c r="B24" s="122"/>
      <c r="C24" s="122"/>
      <c r="D24" s="122"/>
      <c r="E24" s="141" t="s">
        <v>18</v>
      </c>
      <c r="F24" s="141"/>
      <c r="G24" s="141"/>
      <c r="H24" s="141"/>
      <c r="S24" s="61"/>
      <c r="T24" s="61"/>
      <c r="U24" s="61"/>
      <c r="V24" s="61" t="s">
        <v>210</v>
      </c>
      <c r="W24" s="61" t="s">
        <v>227</v>
      </c>
      <c r="X24"/>
      <c r="Y24"/>
      <c r="Z24"/>
    </row>
    <row r="25" spans="1:26" ht="15" customHeight="1" x14ac:dyDescent="0.25">
      <c r="A25" s="118" t="s">
        <v>19</v>
      </c>
      <c r="B25" s="118"/>
      <c r="C25" s="118"/>
      <c r="D25" s="118"/>
      <c r="E25" s="141" t="str">
        <f>IF(AND(G19="Mumbai"),"Upper Class","Middle Class")</f>
        <v>Upper Class</v>
      </c>
      <c r="F25" s="141"/>
      <c r="G25" s="141"/>
      <c r="H25" s="141"/>
      <c r="S25" s="61"/>
      <c r="T25" s="61"/>
      <c r="U25" s="61"/>
      <c r="V25" s="61" t="s">
        <v>211</v>
      </c>
      <c r="W25" s="61" t="s">
        <v>228</v>
      </c>
      <c r="X25"/>
      <c r="Y25"/>
      <c r="Z25"/>
    </row>
    <row r="26" spans="1:26" x14ac:dyDescent="0.25">
      <c r="A26" s="118" t="s">
        <v>20</v>
      </c>
      <c r="B26" s="118"/>
      <c r="C26" s="118"/>
      <c r="D26" s="118"/>
      <c r="E26" s="141" t="s">
        <v>21</v>
      </c>
      <c r="F26" s="141"/>
      <c r="G26" s="141"/>
      <c r="H26" s="141"/>
      <c r="S26" s="61"/>
      <c r="T26" s="61"/>
      <c r="U26" s="61"/>
      <c r="V26" s="61" t="s">
        <v>212</v>
      </c>
      <c r="W26" s="61" t="s">
        <v>229</v>
      </c>
      <c r="X26"/>
      <c r="Y26"/>
      <c r="Z26"/>
    </row>
    <row r="27" spans="1:26" ht="15.75" customHeight="1" x14ac:dyDescent="0.25">
      <c r="A27" s="118" t="s">
        <v>22</v>
      </c>
      <c r="B27" s="118"/>
      <c r="C27" s="118"/>
      <c r="D27" s="118"/>
      <c r="E27" s="141" t="str">
        <f>IF(AND(G19="Mumbai"),"Developed","Developing")</f>
        <v>Developed</v>
      </c>
      <c r="F27" s="141"/>
      <c r="G27" s="141"/>
      <c r="H27" s="141"/>
    </row>
    <row r="28" spans="1:26" x14ac:dyDescent="0.25">
      <c r="A28" s="118" t="s">
        <v>23</v>
      </c>
      <c r="B28" s="118"/>
      <c r="C28" s="118"/>
      <c r="D28" s="118"/>
      <c r="E28" s="141" t="s">
        <v>24</v>
      </c>
      <c r="F28" s="141"/>
      <c r="G28" s="141"/>
      <c r="H28" s="141"/>
    </row>
    <row r="29" spans="1:26" ht="15.75" customHeight="1" x14ac:dyDescent="0.25">
      <c r="A29" s="118" t="s">
        <v>79</v>
      </c>
      <c r="B29" s="118"/>
      <c r="C29" s="118"/>
      <c r="D29" s="118"/>
      <c r="E29" s="141" t="s">
        <v>80</v>
      </c>
      <c r="F29" s="141"/>
      <c r="G29" s="141"/>
      <c r="H29" s="141"/>
    </row>
    <row r="30" spans="1:26" ht="15" customHeight="1" x14ac:dyDescent="0.25">
      <c r="A30" s="118" t="s">
        <v>32</v>
      </c>
      <c r="B30" s="118"/>
      <c r="C30" s="118"/>
      <c r="D30" s="118"/>
      <c r="E30" s="141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</v>
      </c>
      <c r="F30" s="141"/>
      <c r="G30" s="141"/>
      <c r="H30" s="141"/>
    </row>
    <row r="31" spans="1:26" ht="15.75" customHeight="1" x14ac:dyDescent="0.25">
      <c r="A31" s="118" t="s">
        <v>91</v>
      </c>
      <c r="B31" s="118"/>
      <c r="C31" s="118"/>
      <c r="D31" s="118"/>
      <c r="E31" s="141" t="s">
        <v>33</v>
      </c>
      <c r="F31" s="141"/>
      <c r="G31" s="141"/>
      <c r="H31" s="141"/>
    </row>
    <row r="32" spans="1:26" s="23" customFormat="1" x14ac:dyDescent="0.25">
      <c r="A32" s="229" t="s">
        <v>92</v>
      </c>
      <c r="B32" s="229"/>
      <c r="C32" s="226" t="s">
        <v>178</v>
      </c>
      <c r="D32" s="227"/>
      <c r="E32" s="228"/>
      <c r="F32" s="226" t="s">
        <v>30</v>
      </c>
      <c r="G32" s="227"/>
      <c r="H32" s="228"/>
    </row>
    <row r="33" spans="1:8" s="23" customFormat="1" ht="30.75" customHeight="1" x14ac:dyDescent="0.25">
      <c r="A33" s="225" t="s">
        <v>25</v>
      </c>
      <c r="B33" s="225" t="s">
        <v>29</v>
      </c>
      <c r="C33" s="230" t="s">
        <v>276</v>
      </c>
      <c r="D33" s="231"/>
      <c r="E33" s="232"/>
      <c r="F33" s="220" t="s">
        <v>239</v>
      </c>
      <c r="G33" s="221"/>
      <c r="H33" s="222"/>
    </row>
    <row r="34" spans="1:8" x14ac:dyDescent="0.25">
      <c r="A34" s="225" t="s">
        <v>26</v>
      </c>
      <c r="B34" s="225" t="s">
        <v>29</v>
      </c>
      <c r="C34" s="220" t="s">
        <v>274</v>
      </c>
      <c r="D34" s="221"/>
      <c r="E34" s="222"/>
      <c r="F34" s="220" t="s">
        <v>274</v>
      </c>
      <c r="G34" s="221"/>
      <c r="H34" s="222"/>
    </row>
    <row r="35" spans="1:8" s="23" customFormat="1" x14ac:dyDescent="0.25">
      <c r="A35" s="225" t="s">
        <v>28</v>
      </c>
      <c r="B35" s="225" t="s">
        <v>29</v>
      </c>
      <c r="C35" s="220" t="s">
        <v>277</v>
      </c>
      <c r="D35" s="221"/>
      <c r="E35" s="222"/>
      <c r="F35" s="220" t="s">
        <v>298</v>
      </c>
      <c r="G35" s="221"/>
      <c r="H35" s="222"/>
    </row>
    <row r="36" spans="1:8" x14ac:dyDescent="0.25">
      <c r="A36" s="225" t="s">
        <v>27</v>
      </c>
      <c r="B36" s="225" t="s">
        <v>29</v>
      </c>
      <c r="C36" s="220" t="s">
        <v>277</v>
      </c>
      <c r="D36" s="221"/>
      <c r="E36" s="222"/>
      <c r="F36" s="220" t="s">
        <v>275</v>
      </c>
      <c r="G36" s="221"/>
      <c r="H36" s="222"/>
    </row>
    <row r="37" spans="1:8" x14ac:dyDescent="0.25">
      <c r="A37" s="118" t="s">
        <v>31</v>
      </c>
      <c r="B37" s="118"/>
      <c r="C37" s="118"/>
      <c r="D37" s="118"/>
      <c r="E37" s="118"/>
      <c r="F37" s="118"/>
      <c r="G37" s="118"/>
      <c r="H37" s="118"/>
    </row>
    <row r="38" spans="1:8" ht="15.75" customHeight="1" x14ac:dyDescent="0.25">
      <c r="A38" s="118" t="s">
        <v>170</v>
      </c>
      <c r="B38" s="118"/>
      <c r="C38" s="215" t="s">
        <v>270</v>
      </c>
      <c r="D38" s="215"/>
      <c r="E38" s="215"/>
      <c r="F38" s="215"/>
      <c r="G38" s="215"/>
      <c r="H38" s="215"/>
    </row>
    <row r="39" spans="1:8" x14ac:dyDescent="0.25">
      <c r="A39" s="118" t="s">
        <v>167</v>
      </c>
      <c r="B39" s="118"/>
      <c r="C39" s="249" t="s">
        <v>269</v>
      </c>
      <c r="D39" s="141"/>
      <c r="E39" s="141"/>
      <c r="F39" s="141"/>
      <c r="G39" s="141"/>
      <c r="H39" s="141"/>
    </row>
    <row r="40" spans="1:8" x14ac:dyDescent="0.25">
      <c r="A40" s="215" t="s">
        <v>34</v>
      </c>
      <c r="B40" s="215"/>
      <c r="C40" s="215"/>
      <c r="D40" s="215"/>
      <c r="E40" s="215"/>
      <c r="F40" s="215"/>
      <c r="G40" s="215"/>
      <c r="H40" s="215"/>
    </row>
    <row r="41" spans="1:8" x14ac:dyDescent="0.25">
      <c r="A41" s="118" t="s">
        <v>35</v>
      </c>
      <c r="B41" s="118"/>
      <c r="C41" s="118"/>
      <c r="D41" s="118"/>
      <c r="E41" s="236">
        <v>1612.04</v>
      </c>
      <c r="F41" s="236"/>
      <c r="G41" s="236"/>
      <c r="H41" s="236"/>
    </row>
    <row r="42" spans="1:8" x14ac:dyDescent="0.25">
      <c r="A42" s="118" t="s">
        <v>36</v>
      </c>
      <c r="B42" s="118"/>
      <c r="C42" s="118"/>
      <c r="D42" s="118"/>
      <c r="E42" s="127">
        <v>3</v>
      </c>
      <c r="F42" s="127"/>
      <c r="G42" s="127"/>
      <c r="H42" s="127"/>
    </row>
    <row r="43" spans="1:8" x14ac:dyDescent="0.25">
      <c r="A43" s="118" t="s">
        <v>37</v>
      </c>
      <c r="B43" s="118"/>
      <c r="C43" s="118"/>
      <c r="D43" s="118"/>
      <c r="E43" s="127">
        <f>E45/E41-E42</f>
        <v>0.5197823875338079</v>
      </c>
      <c r="F43" s="127"/>
      <c r="G43" s="127"/>
      <c r="H43" s="127"/>
    </row>
    <row r="44" spans="1:8" x14ac:dyDescent="0.25">
      <c r="A44" s="118" t="s">
        <v>38</v>
      </c>
      <c r="B44" s="118"/>
      <c r="C44" s="118"/>
      <c r="D44" s="118"/>
      <c r="E44" s="127">
        <f>E42+E43</f>
        <v>3.5197823875338079</v>
      </c>
      <c r="F44" s="127"/>
      <c r="G44" s="127"/>
      <c r="H44" s="127"/>
    </row>
    <row r="45" spans="1:8" x14ac:dyDescent="0.25">
      <c r="A45" s="118" t="s">
        <v>90</v>
      </c>
      <c r="B45" s="118"/>
      <c r="C45" s="118"/>
      <c r="D45" s="118"/>
      <c r="E45" s="239">
        <v>5674.03</v>
      </c>
      <c r="F45" s="239"/>
      <c r="G45" s="239"/>
      <c r="H45" s="239"/>
    </row>
    <row r="46" spans="1:8" x14ac:dyDescent="0.25">
      <c r="A46" s="142" t="s">
        <v>39</v>
      </c>
      <c r="B46" s="142"/>
      <c r="C46" s="142"/>
      <c r="D46" s="142"/>
      <c r="E46" s="142" t="s">
        <v>243</v>
      </c>
      <c r="F46" s="142"/>
      <c r="G46" s="142"/>
      <c r="H46" s="142"/>
    </row>
    <row r="47" spans="1:8" x14ac:dyDescent="0.25">
      <c r="A47" s="215" t="s">
        <v>40</v>
      </c>
      <c r="B47" s="215"/>
      <c r="C47" s="215"/>
      <c r="D47" s="215"/>
      <c r="E47" s="215"/>
      <c r="F47" s="215"/>
      <c r="G47" s="215"/>
      <c r="H47" s="215"/>
    </row>
    <row r="48" spans="1:8" ht="33.75" customHeight="1" x14ac:dyDescent="0.25">
      <c r="A48" s="135" t="s">
        <v>155</v>
      </c>
      <c r="B48" s="136"/>
      <c r="C48" s="245" t="s">
        <v>240</v>
      </c>
      <c r="D48" s="246"/>
      <c r="E48" s="246"/>
      <c r="F48" s="246"/>
      <c r="G48" s="246"/>
      <c r="H48" s="247"/>
    </row>
    <row r="49" spans="1:9" ht="31.5" customHeight="1" x14ac:dyDescent="0.25">
      <c r="A49" s="135" t="s">
        <v>41</v>
      </c>
      <c r="B49" s="136"/>
      <c r="C49" s="135" t="s">
        <v>241</v>
      </c>
      <c r="D49" s="137"/>
      <c r="E49" s="136"/>
      <c r="F49" s="19" t="s">
        <v>42</v>
      </c>
      <c r="G49" s="138">
        <v>44726</v>
      </c>
      <c r="H49" s="139"/>
    </row>
    <row r="50" spans="1:9" ht="31.5" customHeight="1" x14ac:dyDescent="0.25">
      <c r="A50" s="135" t="s">
        <v>43</v>
      </c>
      <c r="B50" s="136"/>
      <c r="C50" s="135" t="str">
        <f>C49</f>
        <v xml:space="preserve">CHE/CTY/3953/G/S/337(NEW)/IOD/1/New
</v>
      </c>
      <c r="D50" s="137"/>
      <c r="E50" s="136"/>
      <c r="F50" s="19" t="s">
        <v>42</v>
      </c>
      <c r="G50" s="138">
        <f>G49</f>
        <v>44726</v>
      </c>
      <c r="H50" s="139"/>
    </row>
    <row r="51" spans="1:9" s="24" customFormat="1" ht="31.5" customHeight="1" x14ac:dyDescent="0.25">
      <c r="A51" s="146" t="s">
        <v>159</v>
      </c>
      <c r="B51" s="147"/>
      <c r="C51" s="135" t="s">
        <v>313</v>
      </c>
      <c r="D51" s="137"/>
      <c r="E51" s="136"/>
      <c r="F51" s="19" t="s">
        <v>42</v>
      </c>
      <c r="G51" s="138">
        <v>45643</v>
      </c>
      <c r="H51" s="139"/>
    </row>
    <row r="52" spans="1:9" s="24" customFormat="1" ht="48" customHeight="1" x14ac:dyDescent="0.25">
      <c r="A52" s="148"/>
      <c r="B52" s="149"/>
      <c r="C52" s="135" t="s">
        <v>315</v>
      </c>
      <c r="D52" s="137"/>
      <c r="E52" s="136"/>
      <c r="F52" s="19" t="s">
        <v>122</v>
      </c>
      <c r="G52" s="138" t="s">
        <v>314</v>
      </c>
      <c r="H52" s="139"/>
    </row>
    <row r="53" spans="1:9" s="24" customFormat="1" ht="31.5" customHeight="1" x14ac:dyDescent="0.25">
      <c r="A53" s="148"/>
      <c r="B53" s="149"/>
      <c r="C53" s="135" t="s">
        <v>311</v>
      </c>
      <c r="D53" s="137"/>
      <c r="E53" s="136"/>
      <c r="F53" s="19" t="s">
        <v>42</v>
      </c>
      <c r="G53" s="138">
        <v>45744</v>
      </c>
      <c r="H53" s="139"/>
    </row>
    <row r="54" spans="1:9" s="24" customFormat="1" ht="65.25" customHeight="1" x14ac:dyDescent="0.25">
      <c r="A54" s="150"/>
      <c r="B54" s="151"/>
      <c r="C54" s="135" t="s">
        <v>316</v>
      </c>
      <c r="D54" s="137"/>
      <c r="E54" s="136"/>
      <c r="F54" s="19" t="s">
        <v>122</v>
      </c>
      <c r="G54" s="138">
        <v>45920</v>
      </c>
      <c r="H54" s="139"/>
    </row>
    <row r="55" spans="1:9" ht="18" customHeight="1" x14ac:dyDescent="0.25">
      <c r="A55" s="135" t="s">
        <v>294</v>
      </c>
      <c r="B55" s="136"/>
      <c r="C55" s="135" t="s">
        <v>295</v>
      </c>
      <c r="D55" s="137"/>
      <c r="E55" s="136"/>
      <c r="F55" s="19" t="s">
        <v>42</v>
      </c>
      <c r="G55" s="138">
        <v>43474</v>
      </c>
      <c r="H55" s="139"/>
    </row>
    <row r="56" spans="1:9" x14ac:dyDescent="0.25">
      <c r="A56" s="119" t="s">
        <v>44</v>
      </c>
      <c r="B56" s="120"/>
      <c r="C56" s="119" t="s">
        <v>104</v>
      </c>
      <c r="D56" s="121"/>
      <c r="E56" s="120"/>
      <c r="F56" s="47" t="s">
        <v>42</v>
      </c>
      <c r="G56" s="144" t="s">
        <v>29</v>
      </c>
      <c r="H56" s="145"/>
    </row>
    <row r="57" spans="1:9" x14ac:dyDescent="0.25">
      <c r="A57" s="140" t="s">
        <v>46</v>
      </c>
      <c r="B57" s="140"/>
      <c r="C57" s="140"/>
      <c r="D57" s="140"/>
      <c r="E57" s="140"/>
      <c r="F57" s="140"/>
      <c r="G57" s="140"/>
      <c r="H57" s="140"/>
    </row>
    <row r="58" spans="1:9" x14ac:dyDescent="0.25">
      <c r="A58" s="122" t="s">
        <v>89</v>
      </c>
      <c r="B58" s="122"/>
      <c r="C58" s="122"/>
      <c r="D58" s="118">
        <f>E45</f>
        <v>5674.03</v>
      </c>
      <c r="E58" s="118"/>
      <c r="F58" s="118"/>
      <c r="G58" s="118"/>
      <c r="H58" s="118"/>
    </row>
    <row r="59" spans="1:9" x14ac:dyDescent="0.25">
      <c r="A59" s="141" t="s">
        <v>47</v>
      </c>
      <c r="B59" s="142"/>
      <c r="C59" s="142"/>
      <c r="D59" s="143" t="s">
        <v>301</v>
      </c>
      <c r="E59" s="143"/>
      <c r="F59" s="143"/>
      <c r="G59" s="143"/>
      <c r="H59" s="143"/>
      <c r="I59" s="25"/>
    </row>
    <row r="60" spans="1:9" x14ac:dyDescent="0.25">
      <c r="A60" s="152" t="s">
        <v>48</v>
      </c>
      <c r="B60" s="153"/>
      <c r="C60" s="242"/>
      <c r="D60" s="168" t="s">
        <v>286</v>
      </c>
      <c r="E60" s="241"/>
      <c r="F60" s="241"/>
      <c r="G60" s="241"/>
      <c r="H60" s="241"/>
    </row>
    <row r="61" spans="1:9" ht="15.75" hidden="1" customHeight="1" x14ac:dyDescent="0.25">
      <c r="A61" s="173"/>
      <c r="B61" s="174"/>
      <c r="C61" s="175"/>
      <c r="D61" s="158" t="s">
        <v>287</v>
      </c>
      <c r="E61" s="159"/>
      <c r="F61" s="159"/>
      <c r="G61" s="159"/>
      <c r="H61" s="160"/>
    </row>
    <row r="62" spans="1:9" ht="15.75" hidden="1" customHeight="1" x14ac:dyDescent="0.25">
      <c r="A62" s="176"/>
      <c r="B62" s="177"/>
      <c r="C62" s="178"/>
      <c r="D62" s="170" t="s">
        <v>288</v>
      </c>
      <c r="E62" s="171"/>
      <c r="F62" s="171"/>
      <c r="G62" s="171"/>
      <c r="H62" s="172"/>
    </row>
    <row r="63" spans="1:9" ht="15.75" customHeight="1" x14ac:dyDescent="0.25">
      <c r="A63" s="152" t="s">
        <v>87</v>
      </c>
      <c r="B63" s="153"/>
      <c r="C63" s="153"/>
      <c r="D63" s="141" t="s">
        <v>317</v>
      </c>
      <c r="E63" s="142"/>
      <c r="F63" s="142"/>
      <c r="G63" s="142"/>
      <c r="H63" s="142"/>
      <c r="I63" s="85" t="s">
        <v>311</v>
      </c>
    </row>
    <row r="64" spans="1:9" ht="15.75" hidden="1" customHeight="1" x14ac:dyDescent="0.25">
      <c r="A64" s="154"/>
      <c r="B64" s="155"/>
      <c r="C64" s="155"/>
      <c r="D64" s="158" t="s">
        <v>287</v>
      </c>
      <c r="E64" s="159"/>
      <c r="F64" s="159"/>
      <c r="G64" s="159"/>
      <c r="H64" s="160"/>
    </row>
    <row r="65" spans="1:14" ht="15.75" hidden="1" customHeight="1" x14ac:dyDescent="0.25">
      <c r="A65" s="156"/>
      <c r="B65" s="157"/>
      <c r="C65" s="157"/>
      <c r="D65" s="170" t="s">
        <v>288</v>
      </c>
      <c r="E65" s="171"/>
      <c r="F65" s="171"/>
      <c r="G65" s="171"/>
      <c r="H65" s="172"/>
    </row>
    <row r="66" spans="1:14" ht="15.75" customHeight="1" x14ac:dyDescent="0.25">
      <c r="A66" s="118" t="s">
        <v>45</v>
      </c>
      <c r="B66" s="118"/>
      <c r="C66" s="118"/>
      <c r="D66" s="237" t="s">
        <v>244</v>
      </c>
      <c r="E66" s="237"/>
      <c r="F66" s="237"/>
      <c r="G66" s="237"/>
      <c r="H66" s="237"/>
      <c r="J66" s="26"/>
      <c r="K66" s="25"/>
      <c r="N66" s="25"/>
    </row>
    <row r="67" spans="1:14" ht="15.75" customHeight="1" x14ac:dyDescent="0.25">
      <c r="A67" s="118" t="s">
        <v>85</v>
      </c>
      <c r="B67" s="118"/>
      <c r="C67" s="118"/>
      <c r="D67" s="238" t="str">
        <f>(IF(G56="NA","60 Years After Completion",IF(G56&lt;&gt;"NA",""&amp;60-ROUNDDOWN((E3-G56)/360,0)&amp;" Years"," ")))</f>
        <v>60 Years After Completion</v>
      </c>
      <c r="E67" s="238"/>
      <c r="F67" s="238"/>
      <c r="G67" s="238"/>
      <c r="H67" s="238"/>
      <c r="N67" s="25"/>
    </row>
    <row r="68" spans="1:14" ht="15.75" customHeight="1" x14ac:dyDescent="0.25">
      <c r="A68" s="118" t="s">
        <v>86</v>
      </c>
      <c r="B68" s="118"/>
      <c r="C68" s="118"/>
      <c r="D68" s="122" t="s">
        <v>24</v>
      </c>
      <c r="E68" s="122"/>
      <c r="F68" s="122"/>
      <c r="G68" s="122"/>
      <c r="H68" s="122"/>
      <c r="J68" s="27"/>
      <c r="K68" s="27"/>
    </row>
    <row r="69" spans="1:14" ht="51.6" customHeight="1" x14ac:dyDescent="0.25">
      <c r="A69" s="142" t="s">
        <v>289</v>
      </c>
      <c r="B69" s="142"/>
      <c r="C69" s="142"/>
      <c r="D69" s="141" t="s">
        <v>299</v>
      </c>
      <c r="E69" s="122"/>
      <c r="F69" s="122"/>
      <c r="G69" s="122"/>
      <c r="H69" s="122"/>
      <c r="I69" s="80" t="s">
        <v>300</v>
      </c>
    </row>
    <row r="70" spans="1:14" x14ac:dyDescent="0.25">
      <c r="A70" s="122" t="s">
        <v>151</v>
      </c>
      <c r="B70" s="122"/>
      <c r="C70" s="122"/>
      <c r="D70" s="122" t="s">
        <v>29</v>
      </c>
      <c r="E70" s="122"/>
      <c r="F70" s="122"/>
      <c r="G70" s="122"/>
      <c r="H70" s="122"/>
      <c r="I70" s="28"/>
      <c r="J70" s="28"/>
      <c r="K70" s="28"/>
      <c r="L70" s="28"/>
      <c r="M70" s="28"/>
      <c r="N70" s="28"/>
    </row>
    <row r="71" spans="1:14" ht="15.75" customHeight="1" x14ac:dyDescent="0.25">
      <c r="A71" s="123" t="s">
        <v>84</v>
      </c>
      <c r="B71" s="123"/>
      <c r="C71" s="123"/>
      <c r="D71" s="168" t="str">
        <f ca="1">(IF(G77&gt;95%,"Nothing",IF(G77&gt;0%,"Cement, Aggregate, Steel, etc",IF(G77=0%,"Work not yet Started"))))</f>
        <v>Cement, Aggregate, Steel, etc</v>
      </c>
      <c r="E71" s="168"/>
      <c r="F71" s="168"/>
      <c r="G71" s="168"/>
      <c r="H71" s="168"/>
      <c r="J71" s="27"/>
    </row>
    <row r="72" spans="1:14" ht="33.75" customHeight="1" thickBot="1" x14ac:dyDescent="0.3">
      <c r="A72" s="167" t="s">
        <v>117</v>
      </c>
      <c r="B72" s="167"/>
      <c r="C72" s="167"/>
      <c r="D72" s="168" t="str">
        <f ca="1">(IF(D71="Nothing","Yes",IF(D71="Cement, Aggregate, Steel, etc","Under Construction",IF(D71="Work not yet Started","Work not yet Started"))))</f>
        <v>Under Construction</v>
      </c>
      <c r="E72" s="168"/>
      <c r="F72" s="168" t="str">
        <f ca="1">(IF(D71="Nothing","Yes",IF(D71="Cement, Aggregate, Steel, etc","Under Construction",IF(D71="Work not yet Started","Work not yet Started"))))</f>
        <v>Under Construction</v>
      </c>
      <c r="G72" s="168"/>
      <c r="H72" s="168"/>
    </row>
    <row r="73" spans="1:14" ht="15.75" customHeight="1" x14ac:dyDescent="0.25">
      <c r="A73" s="128" t="s">
        <v>141</v>
      </c>
      <c r="B73" s="129"/>
      <c r="C73" s="161" t="str">
        <f>D63</f>
        <v>Wing C = Gr/Stilt + 1st to 23rd Floor</v>
      </c>
      <c r="D73" s="162"/>
      <c r="E73" s="162"/>
      <c r="F73" s="162"/>
      <c r="G73" s="162"/>
      <c r="H73" s="163"/>
      <c r="I73" s="51" t="str">
        <f ca="1">IF(D86=100%,"All work Completed. Possession granted to the Building.",IF(D85=100%,"All work Completed, Waiting for OC",I74&amp;""&amp;I75&amp;""&amp;J74&amp;""&amp;J73&amp;" "&amp;J75))</f>
        <v>Excavation, Plinth Completed, RCC upto 18 Slab, Brickwork upto 13 Floor, Internal Plaster upto 9 Floor Completed</v>
      </c>
      <c r="J73" s="52" t="str">
        <f ca="1">(IF(C79=(D74+F74+H74),"",IF(C79&gt;0,", RCC upto "&amp;C79&amp;" Slab","")))&amp;(IF(C80=H74,"",IF(C80&gt;0,", Brickwork upto "&amp;C80&amp;" Floor","")))&amp;(IF(C81=H74,"",IF(C81&gt;0,", Internal Plaster upto "&amp;C81&amp;" Floor","")))&amp;(IF(C82=H74,"",IF(C82&gt;0,", External Plaster upto "&amp;C82&amp;" Floor","")))&amp;(IF(C83=H74,"",IF(C83&gt;0,", Flooring upto "&amp;C83&amp;" Floor","")))&amp;(IF(C84=H74,"",IF(C84&gt;0,", Painting upto "&amp;C84&amp;" Floor","")))&amp;(IF(C85=H74,"",IF(C85&gt;0,", Finishing upto "&amp;C85&amp;" Floor","")))&amp;(IF(C86=H74,"",IF(C86&gt;0,", Possession upto "&amp;C86&amp;" Floor","")))</f>
        <v>, RCC upto 18 Slab, Brickwork upto 13 Floor, Internal Plaster upto 9 Floor</v>
      </c>
    </row>
    <row r="74" spans="1:14" x14ac:dyDescent="0.25">
      <c r="A74" s="17" t="s">
        <v>143</v>
      </c>
      <c r="B74" s="55">
        <f>IF(AND(ISNUMBER(SEARCH("1B",C73))),1,IF(AND(ISNUMBER(SEARCH("2B",C73))),2,IF(AND(ISNUMBER(SEARCH("3B",C73))),3,IF(AND(ISNUMBER(SEARCH("4B",C73))),4,IF(ISNUMBER(SEARCH("5B",C73)),5,0)))))</f>
        <v>0</v>
      </c>
      <c r="C74" s="56" t="s">
        <v>71</v>
      </c>
      <c r="D74" s="56">
        <v>1</v>
      </c>
      <c r="E74" s="69" t="s">
        <v>70</v>
      </c>
      <c r="F74" s="56">
        <v>0</v>
      </c>
      <c r="G74" s="56" t="s">
        <v>78</v>
      </c>
      <c r="H74" s="18">
        <f ca="1">--TRIM(RIGHT(SUBSTITUTE(LEFT(C73,_xlfn.AGGREGATE(16,6,FIND({0,1,2,3,4,5,6,7,8,9},C73,ROW(INDIRECT("1:"&amp;LEN(C73)))),1))," ",REPT(" ",LEN(C73))),LEN(C73)))</f>
        <v>23</v>
      </c>
      <c r="I74" s="53" t="str">
        <f ca="1">IF(D77=100%,"Excavation","")&amp;IF(D78=100%,", Plinth","")&amp;IF(D79=100%,", RCC Slab","")&amp;IF(D80=100%,", Brickwork","")&amp;IF(D81=100%,", Internal Plaster","")&amp;IF(D82=100%,", External Plaster","")&amp;IF(D83=100%,", Flooring","")&amp;IF(D84=100%,", Painting","")&amp;IF(D85=100%,", Building common Amenities","")</f>
        <v>Excavation, Plinth</v>
      </c>
      <c r="J74" s="54" t="str">
        <f ca="1">(IF(C77=0,"Work not yet Started.",IF(D77=25%,"Piling work in process",IF(D77=50%,"Excavation work in process",IF(D77=100%,"","0")))))&amp;(IF(C78=0%,"",IF(C78=J79,", Footing work is process",IF(C78=J80,", Footing work Completed",IF(C78=J81,", 1st Basement Completed",IF(C78=J82,", 1st &amp; 2nd Basement Completed",IF(C78=J83,", 1st to 3rd Basement Completed",IF(C78=J84,", 1st to 4th Basement Completed",IF(C78=J85,", Plinth work is process",IF(C78=J86,"","0"))))))))))</f>
        <v/>
      </c>
    </row>
    <row r="75" spans="1:14" ht="32.1" customHeight="1" x14ac:dyDescent="0.25">
      <c r="A75" s="240" t="s">
        <v>88</v>
      </c>
      <c r="B75" s="218"/>
      <c r="C75" s="164" t="str">
        <f ca="1">I73</f>
        <v>Excavation, Plinth Completed, RCC upto 18 Slab, Brickwork upto 13 Floor, Internal Plaster upto 9 Floor Completed</v>
      </c>
      <c r="D75" s="164"/>
      <c r="E75" s="164"/>
      <c r="F75" s="164"/>
      <c r="G75" s="164"/>
      <c r="H75" s="165"/>
      <c r="I75" s="53" t="str">
        <f ca="1">IF(I74&lt;&gt;""," Completed","")</f>
        <v xml:space="preserve"> Completed</v>
      </c>
      <c r="J75" s="54" t="str">
        <f ca="1">IF(J73&lt;&gt;"","Completed","")</f>
        <v>Completed</v>
      </c>
    </row>
    <row r="76" spans="1:14" ht="15.75" customHeight="1" x14ac:dyDescent="0.25">
      <c r="A76" s="133" t="s">
        <v>49</v>
      </c>
      <c r="B76" s="134"/>
      <c r="C76" s="77" t="s">
        <v>140</v>
      </c>
      <c r="D76" s="77" t="s">
        <v>81</v>
      </c>
      <c r="E76" s="166" t="s">
        <v>83</v>
      </c>
      <c r="F76" s="166"/>
      <c r="G76" s="166" t="s">
        <v>82</v>
      </c>
      <c r="H76" s="169"/>
      <c r="I76" s="14" t="s">
        <v>142</v>
      </c>
      <c r="J76" s="29">
        <f ca="1">H74*25%</f>
        <v>5.75</v>
      </c>
    </row>
    <row r="77" spans="1:14" x14ac:dyDescent="0.25">
      <c r="A77" s="133" t="s">
        <v>129</v>
      </c>
      <c r="B77" s="134"/>
      <c r="C77" s="45">
        <f ca="1">J78</f>
        <v>23</v>
      </c>
      <c r="D77" s="20">
        <f ca="1">((100/H74)*C77)/100</f>
        <v>1</v>
      </c>
      <c r="E77" s="201">
        <f ca="1">(((C78/H74*10)+(40/(D74+F74+H74)*C79)+(7.5/(H74)*C80)+(7.5/(H74)*C81)+(10/H74*C82)+(10/H74*C83)+(5/H74*C84)+(5/H74*C85)+(5/H74*C86))/100)</f>
        <v>0.47173913043478266</v>
      </c>
      <c r="F77" s="202"/>
      <c r="G77" s="201">
        <f ca="1">((((C77/H74)*20)+((C78/H74)*25)+(30/(H74+F74+D74)*C79)+(5/H74*C80)+(5/H74*C81)+(5/H74*C82)+(5/H74*C83)+(0/H74*C84)+(0/H74*C85)+(5/H74*C86))/100)</f>
        <v>0.72282608695652173</v>
      </c>
      <c r="H77" s="233"/>
      <c r="I77" s="14" t="s">
        <v>99</v>
      </c>
      <c r="J77" s="30">
        <f ca="1">H74*50%</f>
        <v>11.5</v>
      </c>
    </row>
    <row r="78" spans="1:14" x14ac:dyDescent="0.25">
      <c r="A78" s="133" t="s">
        <v>50</v>
      </c>
      <c r="B78" s="134"/>
      <c r="C78" s="45">
        <f ca="1">J86</f>
        <v>23</v>
      </c>
      <c r="D78" s="20">
        <f ca="1">((100/H74)*C78)/100</f>
        <v>1</v>
      </c>
      <c r="E78" s="203"/>
      <c r="F78" s="204"/>
      <c r="G78" s="203"/>
      <c r="H78" s="234"/>
      <c r="I78" s="14" t="s">
        <v>100</v>
      </c>
      <c r="J78" s="30">
        <f ca="1">H74</f>
        <v>23</v>
      </c>
    </row>
    <row r="79" spans="1:14" ht="15.75" customHeight="1" x14ac:dyDescent="0.25">
      <c r="A79" s="133" t="s">
        <v>130</v>
      </c>
      <c r="B79" s="134"/>
      <c r="C79" s="45">
        <v>18</v>
      </c>
      <c r="D79" s="20">
        <f ca="1">((100/(D74+F74+H74))*C79)/100</f>
        <v>0.75</v>
      </c>
      <c r="E79" s="203"/>
      <c r="F79" s="204"/>
      <c r="G79" s="203"/>
      <c r="H79" s="234"/>
      <c r="I79" s="14" t="s">
        <v>101</v>
      </c>
      <c r="J79" s="31">
        <f ca="1">(IF(B74&gt;1,(H74/(B74+2)),H74/4))</f>
        <v>5.75</v>
      </c>
    </row>
    <row r="80" spans="1:14" ht="15.75" customHeight="1" x14ac:dyDescent="0.25">
      <c r="A80" s="133" t="s">
        <v>137</v>
      </c>
      <c r="B80" s="134" t="s">
        <v>131</v>
      </c>
      <c r="C80" s="45">
        <v>13</v>
      </c>
      <c r="D80" s="20">
        <f ca="1">((100/H74)*C80)/100</f>
        <v>0.56521739130434778</v>
      </c>
      <c r="E80" s="203"/>
      <c r="F80" s="204"/>
      <c r="G80" s="203"/>
      <c r="H80" s="234"/>
      <c r="I80" s="14" t="s">
        <v>102</v>
      </c>
      <c r="J80" s="31">
        <f ca="1">(IF(B74&gt;1,(H74/(B74+2)+J79),H74/4+J79))</f>
        <v>11.5</v>
      </c>
    </row>
    <row r="81" spans="1:10" ht="15.75" customHeight="1" x14ac:dyDescent="0.25">
      <c r="A81" s="133" t="s">
        <v>138</v>
      </c>
      <c r="B81" s="134" t="s">
        <v>131</v>
      </c>
      <c r="C81" s="45">
        <v>9</v>
      </c>
      <c r="D81" s="20">
        <f ca="1">((100/H74)*C81)/100</f>
        <v>0.39130434782608697</v>
      </c>
      <c r="E81" s="203"/>
      <c r="F81" s="204"/>
      <c r="G81" s="203"/>
      <c r="H81" s="234"/>
      <c r="I81" s="14" t="s">
        <v>149</v>
      </c>
      <c r="J81" s="31">
        <f>(IF(B74&gt;1,(H74/(B74+2)+J80),0))</f>
        <v>0</v>
      </c>
    </row>
    <row r="82" spans="1:10" ht="15" customHeight="1" x14ac:dyDescent="0.25">
      <c r="A82" s="133" t="s">
        <v>136</v>
      </c>
      <c r="B82" s="134" t="s">
        <v>133</v>
      </c>
      <c r="C82" s="45">
        <v>0</v>
      </c>
      <c r="D82" s="20">
        <f ca="1">((100/(H74))*C82)/100</f>
        <v>0</v>
      </c>
      <c r="E82" s="203"/>
      <c r="F82" s="204"/>
      <c r="G82" s="203"/>
      <c r="H82" s="234"/>
      <c r="I82" s="14" t="s">
        <v>144</v>
      </c>
      <c r="J82" s="31">
        <f>(IF(B74&gt;2,(H74/(B74+2)+J81),0))</f>
        <v>0</v>
      </c>
    </row>
    <row r="83" spans="1:10" ht="15.75" customHeight="1" x14ac:dyDescent="0.25">
      <c r="A83" s="133" t="s">
        <v>132</v>
      </c>
      <c r="B83" s="134" t="s">
        <v>132</v>
      </c>
      <c r="C83" s="45">
        <v>0</v>
      </c>
      <c r="D83" s="20">
        <f ca="1">((100/H74)*C83)/100</f>
        <v>0</v>
      </c>
      <c r="E83" s="203"/>
      <c r="F83" s="204"/>
      <c r="G83" s="203"/>
      <c r="H83" s="234"/>
      <c r="I83" s="14" t="s">
        <v>145</v>
      </c>
      <c r="J83" s="32">
        <f>(IF(B74&gt;3,(H74/(B74+2)+J82),0))</f>
        <v>0</v>
      </c>
    </row>
    <row r="84" spans="1:10" ht="15.75" customHeight="1" x14ac:dyDescent="0.25">
      <c r="A84" s="133" t="s">
        <v>139</v>
      </c>
      <c r="B84" s="134"/>
      <c r="C84" s="45">
        <v>0</v>
      </c>
      <c r="D84" s="20">
        <f ca="1">((100/H74)*C84)/100</f>
        <v>0</v>
      </c>
      <c r="E84" s="203"/>
      <c r="F84" s="204"/>
      <c r="G84" s="203"/>
      <c r="H84" s="234"/>
      <c r="I84" s="14" t="s">
        <v>146</v>
      </c>
      <c r="J84" s="31">
        <f>(IF(B74&gt;4,(H74/(B74+2)+J83),0))</f>
        <v>0</v>
      </c>
    </row>
    <row r="85" spans="1:10" ht="15.75" customHeight="1" x14ac:dyDescent="0.25">
      <c r="A85" s="133" t="s">
        <v>134</v>
      </c>
      <c r="B85" s="134" t="s">
        <v>134</v>
      </c>
      <c r="C85" s="45">
        <v>0</v>
      </c>
      <c r="D85" s="20">
        <f ca="1">((100/(H74))*C85)/100</f>
        <v>0</v>
      </c>
      <c r="E85" s="203"/>
      <c r="F85" s="204"/>
      <c r="G85" s="203"/>
      <c r="H85" s="234"/>
      <c r="I85" s="14" t="s">
        <v>150</v>
      </c>
      <c r="J85" s="31">
        <f ca="1">(IF(B74=1,(H74/(B74+3)+J80),IF(B74=0,(H74/4+J80),IF(B74&gt;1,0))))</f>
        <v>17.25</v>
      </c>
    </row>
    <row r="86" spans="1:10" ht="16.5" thickBot="1" x14ac:dyDescent="0.3">
      <c r="A86" s="211" t="s">
        <v>135</v>
      </c>
      <c r="B86" s="212"/>
      <c r="C86" s="46">
        <v>0</v>
      </c>
      <c r="D86" s="21">
        <f ca="1">((100/(H74))*C86)/100</f>
        <v>0</v>
      </c>
      <c r="E86" s="205"/>
      <c r="F86" s="206"/>
      <c r="G86" s="205"/>
      <c r="H86" s="235"/>
      <c r="I86" s="16" t="s">
        <v>103</v>
      </c>
      <c r="J86" s="33">
        <f ca="1">(IF(B74&gt;1.5,(H74/(B74+2)+J80+MAX(0,J81-J80)+MAX(0,J82-J81)+MAX(0,J83-J82)+MAX(0,J84-J83)+MAX(0,J85-J84)),IF(B74=1,(H74/(B74+3)+J85),IF(B74=0,H74/4+J85))))</f>
        <v>23</v>
      </c>
    </row>
    <row r="87" spans="1:10" ht="15.75" hidden="1" customHeight="1" x14ac:dyDescent="0.25">
      <c r="A87" s="128" t="s">
        <v>141</v>
      </c>
      <c r="B87" s="129"/>
      <c r="C87" s="130" t="str">
        <f>D64</f>
        <v>Wing A = 1B + Gr/Stilt + 1st to 8th Floor</v>
      </c>
      <c r="D87" s="131"/>
      <c r="E87" s="131"/>
      <c r="F87" s="131"/>
      <c r="G87" s="131"/>
      <c r="H87" s="132"/>
      <c r="I87" s="51" t="str">
        <f ca="1">IF(D100=100%,"All work Completed. Possession granted to the Building.",IF(D99=100%,"All work Completed, Waiting for OC",I88&amp;""&amp;I89&amp;""&amp;J88&amp;""&amp;J87&amp;" "&amp;J89))</f>
        <v xml:space="preserve">Excavation Completed0 </v>
      </c>
      <c r="J87" s="52" t="str">
        <f ca="1">(IF(C93=(D88+F88+H88),"",IF(C93&gt;0,", RCC upto "&amp;C93&amp;" Slab","")))&amp;(IF(C94=H88,"",IF(C94&gt;0,", Brickwork upto "&amp;C94&amp;" Floor","")))&amp;(IF(C95=H88,"",IF(C95&gt;0,", Internal Plaster upto "&amp;C95&amp;" Floor","")))&amp;(IF(C96=H88,"",IF(C96&gt;0,", External Plaster upto "&amp;C96&amp;" Floor","")))&amp;(IF(C97=H88,"",IF(C97&gt;0,", Flooring upto "&amp;C97&amp;" Floor","")))&amp;(IF(C98=H88,"",IF(C98&gt;0,", Painting upto "&amp;C98&amp;" Floor","")))&amp;(IF(C99=H88,"",IF(C99&gt;0,", Finishing upto "&amp;C99&amp;" Floor","")))&amp;(IF(C100=H88,"",IF(C100&gt;0,", Possession upto "&amp;C100&amp;" Floor","")))</f>
        <v/>
      </c>
    </row>
    <row r="88" spans="1:10" hidden="1" x14ac:dyDescent="0.25">
      <c r="A88" s="17" t="s">
        <v>143</v>
      </c>
      <c r="B88" s="56">
        <f>IF(AND(ISNUMBER(SEARCH("1B",C87))),1,IF(AND(ISNUMBER(SEARCH("2B",C87))),2,IF(AND(ISNUMBER(SEARCH("3B",C87))),3,IF(AND(ISNUMBER(SEARCH("4B",C87))),4,IF(ISNUMBER(SEARCH("5B",C87)),5,0)))))</f>
        <v>1</v>
      </c>
      <c r="C88" s="49" t="s">
        <v>71</v>
      </c>
      <c r="D88" s="49">
        <v>1</v>
      </c>
      <c r="E88" s="69" t="s">
        <v>70</v>
      </c>
      <c r="F88" s="15">
        <v>0</v>
      </c>
      <c r="G88" s="50" t="s">
        <v>78</v>
      </c>
      <c r="H88" s="18">
        <f ca="1">--TRIM(RIGHT(SUBSTITUTE(LEFT(C87,_xlfn.AGGREGATE(16,6,FIND({0,1,2,3,4,5,6,7,8,9},C87,ROW(INDIRECT("1:"&amp;LEN(C87)))),1))," ",REPT(" ",LEN(C87))),LEN(C87)))</f>
        <v>8</v>
      </c>
      <c r="I88" s="53" t="str">
        <f ca="1"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>Excavation</v>
      </c>
      <c r="J88" s="54" t="str">
        <f ca="1">(IF(C91=0,"Work not yet Started.",IF(D91=25%,"Piling work in process",IF(D91=50%,"Excavation work in process",IF(D91=100%,"","0")))))&amp;(IF(C92=0%,"",IF(C92=J93,", Footing work is process",IF(C92=J94,", Footing work Completed",IF(C92=J95,", 1st Basement Completed",IF(C92=J96,", 1st &amp; 2nd Basement Completed",IF(C92=J97,", 1st to 3rd Basement Completed",IF(C92=J98,", 1st to 4th Basement Completed",IF(C92=J99,", Plinth work is process",IF(C92=J100,"","0"))))))))))</f>
        <v>0</v>
      </c>
    </row>
    <row r="89" spans="1:10" ht="33.75" hidden="1" customHeight="1" x14ac:dyDescent="0.25">
      <c r="A89" s="240" t="s">
        <v>88</v>
      </c>
      <c r="B89" s="218"/>
      <c r="C89" s="164" t="str">
        <f ca="1">(IF($G$56="NA",I87,"All work Completed. OC Received."))</f>
        <v xml:space="preserve">Excavation Completed0 </v>
      </c>
      <c r="D89" s="164"/>
      <c r="E89" s="164"/>
      <c r="F89" s="164"/>
      <c r="G89" s="164"/>
      <c r="H89" s="165"/>
      <c r="I89" s="53" t="str">
        <f ca="1">IF(I88&lt;&gt;""," Completed","")</f>
        <v xml:space="preserve"> Completed</v>
      </c>
      <c r="J89" s="54" t="str">
        <f ca="1">IF(J87&lt;&gt;"","Completed","")</f>
        <v/>
      </c>
    </row>
    <row r="90" spans="1:10" ht="15.75" hidden="1" customHeight="1" x14ac:dyDescent="0.25">
      <c r="A90" s="133" t="s">
        <v>49</v>
      </c>
      <c r="B90" s="134"/>
      <c r="C90" s="45" t="s">
        <v>140</v>
      </c>
      <c r="D90" s="45" t="s">
        <v>81</v>
      </c>
      <c r="E90" s="134" t="s">
        <v>83</v>
      </c>
      <c r="F90" s="134"/>
      <c r="G90" s="134" t="s">
        <v>82</v>
      </c>
      <c r="H90" s="200"/>
      <c r="I90" s="14" t="s">
        <v>142</v>
      </c>
      <c r="J90" s="29">
        <f ca="1">H88*25%</f>
        <v>2</v>
      </c>
    </row>
    <row r="91" spans="1:10" hidden="1" x14ac:dyDescent="0.25">
      <c r="A91" s="133" t="s">
        <v>129</v>
      </c>
      <c r="B91" s="134"/>
      <c r="C91" s="45">
        <f ca="1">J92</f>
        <v>8</v>
      </c>
      <c r="D91" s="20">
        <f ca="1">((100/H88)*C91)/100</f>
        <v>1</v>
      </c>
      <c r="E91" s="201">
        <f ca="1">(((C92/H88*10)+(40/(D88+F88+H88)*C93)+(7.5/(H88)*C94)+(7.5/(H88)*C95)+(10/H88*C96)+(10/H88*C97)+(5/H88*C98)+(5/H88*C99)+(5/H88*C100))/100)</f>
        <v>0.25</v>
      </c>
      <c r="F91" s="202"/>
      <c r="G91" s="201">
        <f ca="1">((((C91/H88)*20)+((C92/H88)*25)+(30/(H88+F88+D88)*C93)+(5/H88*C94)+(5/H88*C95)+(5/H88*C96)+(5/H88*C97)+(0/H88*C98)+(0/H88*C99)+(5/H88*C100))/100)</f>
        <v>0.82499999999999996</v>
      </c>
      <c r="H91" s="233"/>
      <c r="I91" s="14" t="s">
        <v>99</v>
      </c>
      <c r="J91" s="30">
        <f ca="1">H88*50%</f>
        <v>4</v>
      </c>
    </row>
    <row r="92" spans="1:10" hidden="1" x14ac:dyDescent="0.25">
      <c r="A92" s="133" t="s">
        <v>50</v>
      </c>
      <c r="B92" s="134"/>
      <c r="C92" s="57">
        <v>20</v>
      </c>
      <c r="D92" s="20">
        <f ca="1">((100/H88)*C92)/100</f>
        <v>2.5</v>
      </c>
      <c r="E92" s="203"/>
      <c r="F92" s="204"/>
      <c r="G92" s="203"/>
      <c r="H92" s="234"/>
      <c r="I92" s="14" t="s">
        <v>100</v>
      </c>
      <c r="J92" s="30">
        <f ca="1">H88</f>
        <v>8</v>
      </c>
    </row>
    <row r="93" spans="1:10" ht="15.75" hidden="1" customHeight="1" x14ac:dyDescent="0.25">
      <c r="A93" s="133" t="s">
        <v>130</v>
      </c>
      <c r="B93" s="134"/>
      <c r="C93" s="45">
        <v>0</v>
      </c>
      <c r="D93" s="20">
        <f ca="1">((100/(D88+F88+H88))*C93)/100</f>
        <v>0</v>
      </c>
      <c r="E93" s="203"/>
      <c r="F93" s="204"/>
      <c r="G93" s="203"/>
      <c r="H93" s="234"/>
      <c r="I93" s="14" t="s">
        <v>101</v>
      </c>
      <c r="J93" s="31">
        <f ca="1">(IF(B88&gt;1,(H88/(B88+2)),H88/4))</f>
        <v>2</v>
      </c>
    </row>
    <row r="94" spans="1:10" ht="15.75" hidden="1" customHeight="1" x14ac:dyDescent="0.25">
      <c r="A94" s="133" t="s">
        <v>137</v>
      </c>
      <c r="B94" s="134" t="s">
        <v>131</v>
      </c>
      <c r="C94" s="45">
        <v>0</v>
      </c>
      <c r="D94" s="20">
        <f ca="1">((100/H88)*C94)/100</f>
        <v>0</v>
      </c>
      <c r="E94" s="203"/>
      <c r="F94" s="204"/>
      <c r="G94" s="203"/>
      <c r="H94" s="234"/>
      <c r="I94" s="14" t="s">
        <v>102</v>
      </c>
      <c r="J94" s="31">
        <f ca="1">(IF(B88&gt;1,(H88/(B88+2)+J93),H88/4+J93))</f>
        <v>4</v>
      </c>
    </row>
    <row r="95" spans="1:10" ht="15.75" hidden="1" customHeight="1" x14ac:dyDescent="0.25">
      <c r="A95" s="133" t="s">
        <v>138</v>
      </c>
      <c r="B95" s="134" t="s">
        <v>131</v>
      </c>
      <c r="C95" s="45">
        <v>0</v>
      </c>
      <c r="D95" s="20">
        <f ca="1">((100/H88)*C95)/100</f>
        <v>0</v>
      </c>
      <c r="E95" s="203"/>
      <c r="F95" s="204"/>
      <c r="G95" s="203"/>
      <c r="H95" s="234"/>
      <c r="I95" s="14" t="s">
        <v>149</v>
      </c>
      <c r="J95" s="31">
        <f>(IF(B88&gt;1,(H88/(B88+2)+J94),0))</f>
        <v>0</v>
      </c>
    </row>
    <row r="96" spans="1:10" ht="15" hidden="1" customHeight="1" x14ac:dyDescent="0.25">
      <c r="A96" s="133" t="s">
        <v>136</v>
      </c>
      <c r="B96" s="134" t="s">
        <v>133</v>
      </c>
      <c r="C96" s="45">
        <v>0</v>
      </c>
      <c r="D96" s="20">
        <f ca="1">((100/(H88))*C96)/100</f>
        <v>0</v>
      </c>
      <c r="E96" s="203"/>
      <c r="F96" s="204"/>
      <c r="G96" s="203"/>
      <c r="H96" s="234"/>
      <c r="I96" s="14" t="s">
        <v>144</v>
      </c>
      <c r="J96" s="31">
        <f>(IF(B88&gt;2,(H88/(B88+2)+J95),0))</f>
        <v>0</v>
      </c>
    </row>
    <row r="97" spans="1:10" ht="15.75" hidden="1" customHeight="1" x14ac:dyDescent="0.25">
      <c r="A97" s="133" t="s">
        <v>132</v>
      </c>
      <c r="B97" s="134" t="s">
        <v>132</v>
      </c>
      <c r="C97" s="45">
        <v>0</v>
      </c>
      <c r="D97" s="20">
        <f ca="1">((100/H88)*C97)/100</f>
        <v>0</v>
      </c>
      <c r="E97" s="203"/>
      <c r="F97" s="204"/>
      <c r="G97" s="203"/>
      <c r="H97" s="234"/>
      <c r="I97" s="14" t="s">
        <v>145</v>
      </c>
      <c r="J97" s="32">
        <f>(IF(B88&gt;3,(H88/(B88+2)+J96),0))</f>
        <v>0</v>
      </c>
    </row>
    <row r="98" spans="1:10" ht="15.75" hidden="1" customHeight="1" x14ac:dyDescent="0.25">
      <c r="A98" s="133" t="s">
        <v>139</v>
      </c>
      <c r="B98" s="134"/>
      <c r="C98" s="45">
        <v>0</v>
      </c>
      <c r="D98" s="20">
        <f ca="1">((100/H88)*C98)/100</f>
        <v>0</v>
      </c>
      <c r="E98" s="203"/>
      <c r="F98" s="204"/>
      <c r="G98" s="203"/>
      <c r="H98" s="234"/>
      <c r="I98" s="14" t="s">
        <v>146</v>
      </c>
      <c r="J98" s="31">
        <f>(IF(B88&gt;4,(H88/(B88+2)+J97),0))</f>
        <v>0</v>
      </c>
    </row>
    <row r="99" spans="1:10" ht="15.75" hidden="1" customHeight="1" x14ac:dyDescent="0.25">
      <c r="A99" s="133" t="s">
        <v>134</v>
      </c>
      <c r="B99" s="134" t="s">
        <v>134</v>
      </c>
      <c r="C99" s="45">
        <v>0</v>
      </c>
      <c r="D99" s="20">
        <f ca="1">((100/(H88))*C99)/100</f>
        <v>0</v>
      </c>
      <c r="E99" s="203"/>
      <c r="F99" s="204"/>
      <c r="G99" s="203"/>
      <c r="H99" s="234"/>
      <c r="I99" s="14" t="s">
        <v>150</v>
      </c>
      <c r="J99" s="31">
        <f ca="1">(IF(B88=1,(H88/(B88+3)+J94),IF(B88=0,(H88/4+J94),IF(B88&gt;1,0))))</f>
        <v>6</v>
      </c>
    </row>
    <row r="100" spans="1:10" ht="16.5" hidden="1" thickBot="1" x14ac:dyDescent="0.3">
      <c r="A100" s="211" t="s">
        <v>135</v>
      </c>
      <c r="B100" s="212"/>
      <c r="C100" s="46">
        <v>0</v>
      </c>
      <c r="D100" s="21">
        <f ca="1">((100/(H88))*C100)/100</f>
        <v>0</v>
      </c>
      <c r="E100" s="205"/>
      <c r="F100" s="206"/>
      <c r="G100" s="205"/>
      <c r="H100" s="235"/>
      <c r="I100" s="16" t="s">
        <v>103</v>
      </c>
      <c r="J100" s="33">
        <f ca="1">(IF(B88&gt;1.5,(H88/(B88+2)+J94+MAX(0,J95-J94)+MAX(0,J96-J95)+MAX(0,J97-J96)+MAX(0,J98-J97)+MAX(0,J99-J98)),IF(B88=1,(H88/(B88+3)+J99),IF(B88=0,H88/4+J99))))</f>
        <v>8</v>
      </c>
    </row>
    <row r="101" spans="1:10" ht="15.75" hidden="1" customHeight="1" x14ac:dyDescent="0.25">
      <c r="A101" s="128" t="s">
        <v>141</v>
      </c>
      <c r="B101" s="129"/>
      <c r="C101" s="130" t="str">
        <f>D65</f>
        <v>Wing B = Gr/Stilt + 1st to 18th Floor</v>
      </c>
      <c r="D101" s="131"/>
      <c r="E101" s="131"/>
      <c r="F101" s="131"/>
      <c r="G101" s="131"/>
      <c r="H101" s="132"/>
      <c r="I101" s="51" t="str">
        <f ca="1">IF(D114=100%,"All work Completed. Possession granted to the Building.",IF(D113=100%,"All work Completed, Waiting for OC",I102&amp;""&amp;I103&amp;""&amp;J102&amp;""&amp;J101&amp;" "&amp;J103))</f>
        <v xml:space="preserve">Excavation, Plinth, RCC Slab Completed </v>
      </c>
      <c r="J101" s="52" t="str">
        <f ca="1">(IF(C107=(D102+F102+H102),"",IF(C107&gt;0,", RCC upto "&amp;C107&amp;" Slab","")))&amp;(IF(C108=H102,"",IF(C108&gt;0,", Brickwork upto "&amp;C108&amp;" Floor","")))&amp;(IF(C109=H102,"",IF(C109&gt;0,", Internal Plaster upto "&amp;C109&amp;" Floor","")))&amp;(IF(C110=H102,"",IF(C110&gt;0,", External Plaster upto "&amp;C110&amp;" Floor","")))&amp;(IF(C111=H102,"",IF(C111&gt;0,", Flooring upto "&amp;C111&amp;" Floor","")))&amp;(IF(C112=H102,"",IF(C112&gt;0,", Painting upto "&amp;C112&amp;" Floor","")))&amp;(IF(C113=H102,"",IF(C113&gt;0,", Finishing upto "&amp;C113&amp;" Floor","")))&amp;(IF(C114=H102,"",IF(C114&gt;0,", Possession upto "&amp;C114&amp;" Floor","")))</f>
        <v/>
      </c>
    </row>
    <row r="102" spans="1:10" hidden="1" x14ac:dyDescent="0.25">
      <c r="A102" s="17" t="s">
        <v>143</v>
      </c>
      <c r="B102" s="56">
        <f>IF(AND(ISNUMBER(SEARCH("1B",C101))),1,IF(AND(ISNUMBER(SEARCH("2B",C101))),2,IF(AND(ISNUMBER(SEARCH("3B",C101))),3,IF(AND(ISNUMBER(SEARCH("4B",C101))),4,IF(ISNUMBER(SEARCH("5B",C101)),5,0)))))</f>
        <v>0</v>
      </c>
      <c r="C102" s="49" t="s">
        <v>71</v>
      </c>
      <c r="D102" s="49">
        <v>1</v>
      </c>
      <c r="E102" s="69" t="s">
        <v>70</v>
      </c>
      <c r="F102" s="15">
        <v>0</v>
      </c>
      <c r="G102" s="50" t="s">
        <v>78</v>
      </c>
      <c r="H102" s="18">
        <f ca="1">--TRIM(RIGHT(SUBSTITUTE(LEFT(C101,_xlfn.AGGREGATE(16,6,FIND({0,1,2,3,4,5,6,7,8,9},C101,ROW(INDIRECT("1:"&amp;LEN(C101)))),1))," ",REPT(" ",LEN(C101))),LEN(C101)))</f>
        <v>18</v>
      </c>
      <c r="I102" s="53" t="str">
        <f ca="1">IF(D105=100%,"Excavation","")&amp;IF(D106=100%,", Plinth","")&amp;IF(D107=100%,", RCC Slab","")&amp;IF(D108=100%,", Brickwork","")&amp;IF(D109=100%,", Internal Plaster","")&amp;IF(D110=100%,", External Plaster","")&amp;IF(D111=100%,", Flooring","")&amp;IF(D112=100%,", Painting","")&amp;IF(D113=100%,", Building common Amenities","")</f>
        <v>Excavation, Plinth, RCC Slab</v>
      </c>
      <c r="J102" s="54" t="str">
        <f ca="1">(IF(C105=0,"Work not yet Started.",IF(D105=25%,"Piling work in process",IF(D105=50%,"Excavation work in process",IF(D105=100%,"","0")))))&amp;(IF(C106=0%,"",IF(C106=J107,", Footing work is process",IF(C106=J108,", Footing work Completed",IF(C106=J109,", 1st Basement Completed",IF(C106=J110,", 1st &amp; 2nd Basement Completed",IF(C106=J111,", 1st to 3rd Basement Completed",IF(C106=J112,", 1st to 4th Basement Completed",IF(C106=J113,", Plinth work is process",IF(C106=J114,"","0"))))))))))</f>
        <v/>
      </c>
    </row>
    <row r="103" spans="1:10" ht="33" hidden="1" customHeight="1" x14ac:dyDescent="0.25">
      <c r="A103" s="240" t="s">
        <v>88</v>
      </c>
      <c r="B103" s="218"/>
      <c r="C103" s="164" t="str">
        <f ca="1">(IF($G$56="NA",I101,"All work Completed. OC Received."))</f>
        <v xml:space="preserve">Excavation, Plinth, RCC Slab Completed </v>
      </c>
      <c r="D103" s="164"/>
      <c r="E103" s="164"/>
      <c r="F103" s="164"/>
      <c r="G103" s="164"/>
      <c r="H103" s="165"/>
      <c r="I103" s="53" t="str">
        <f ca="1">IF(I102&lt;&gt;""," Completed","")</f>
        <v xml:space="preserve"> Completed</v>
      </c>
      <c r="J103" s="54" t="str">
        <f ca="1">IF(J101&lt;&gt;"","Completed","")</f>
        <v/>
      </c>
    </row>
    <row r="104" spans="1:10" ht="15.75" hidden="1" customHeight="1" x14ac:dyDescent="0.25">
      <c r="A104" s="133" t="s">
        <v>49</v>
      </c>
      <c r="B104" s="134"/>
      <c r="C104" s="45" t="s">
        <v>140</v>
      </c>
      <c r="D104" s="45" t="s">
        <v>81</v>
      </c>
      <c r="E104" s="134" t="s">
        <v>83</v>
      </c>
      <c r="F104" s="134"/>
      <c r="G104" s="134" t="s">
        <v>82</v>
      </c>
      <c r="H104" s="200"/>
      <c r="I104" s="14" t="s">
        <v>142</v>
      </c>
      <c r="J104" s="29">
        <f ca="1">H102*25%</f>
        <v>4.5</v>
      </c>
    </row>
    <row r="105" spans="1:10" hidden="1" x14ac:dyDescent="0.25">
      <c r="A105" s="133" t="s">
        <v>129</v>
      </c>
      <c r="B105" s="134"/>
      <c r="C105" s="45">
        <f ca="1">J106</f>
        <v>18</v>
      </c>
      <c r="D105" s="20">
        <f ca="1">((100/H102)*C105)/100</f>
        <v>1</v>
      </c>
      <c r="E105" s="201">
        <f ca="1">(((C106/H102*10)+(40/(D102+F102+H102)*C107)+(7.5/(H102)*C108)+(7.5/(H102)*C109)+(10/H102*C110)+(10/H102*C111)+(5/H102*C112)+(5/H102*C113)+(5/H102*C114))/100)</f>
        <v>0.5</v>
      </c>
      <c r="F105" s="202"/>
      <c r="G105" s="201">
        <f ca="1">((((C105/H102)*20)+((C106/H102)*25)+(30/(H102+F102+D102)*C107)+(5/H102*C108)+(5/H102*C109)+(5/H102*C110)+(5/H102*C111)+(0/H102*C112)+(0/H102*C113)+(5/H102*C114))/100)</f>
        <v>0.75</v>
      </c>
      <c r="H105" s="233"/>
      <c r="I105" s="14" t="s">
        <v>99</v>
      </c>
      <c r="J105" s="30">
        <f ca="1">H102*50%</f>
        <v>9</v>
      </c>
    </row>
    <row r="106" spans="1:10" hidden="1" x14ac:dyDescent="0.25">
      <c r="A106" s="133" t="s">
        <v>50</v>
      </c>
      <c r="B106" s="134"/>
      <c r="C106" s="45">
        <f ca="1">J114</f>
        <v>18</v>
      </c>
      <c r="D106" s="20">
        <f ca="1">((100/H102)*C106)/100</f>
        <v>1</v>
      </c>
      <c r="E106" s="203"/>
      <c r="F106" s="204"/>
      <c r="G106" s="203"/>
      <c r="H106" s="234"/>
      <c r="I106" s="14" t="s">
        <v>100</v>
      </c>
      <c r="J106" s="30">
        <f ca="1">H102</f>
        <v>18</v>
      </c>
    </row>
    <row r="107" spans="1:10" ht="15.75" hidden="1" customHeight="1" x14ac:dyDescent="0.25">
      <c r="A107" s="133" t="s">
        <v>130</v>
      </c>
      <c r="B107" s="134"/>
      <c r="C107" s="45">
        <f ca="1">D102+H102</f>
        <v>19</v>
      </c>
      <c r="D107" s="20">
        <f ca="1">((100/(D102+F102+H102))*C107)/100</f>
        <v>1</v>
      </c>
      <c r="E107" s="203"/>
      <c r="F107" s="204"/>
      <c r="G107" s="203"/>
      <c r="H107" s="234"/>
      <c r="I107" s="14" t="s">
        <v>101</v>
      </c>
      <c r="J107" s="31">
        <f ca="1">(IF(B102&gt;1,(H102/(B102+2)),H102/4))</f>
        <v>4.5</v>
      </c>
    </row>
    <row r="108" spans="1:10" ht="15.75" hidden="1" customHeight="1" x14ac:dyDescent="0.25">
      <c r="A108" s="133" t="s">
        <v>137</v>
      </c>
      <c r="B108" s="134" t="s">
        <v>131</v>
      </c>
      <c r="C108" s="45">
        <v>0</v>
      </c>
      <c r="D108" s="20">
        <f ca="1">((100/H102)*C108)/100</f>
        <v>0</v>
      </c>
      <c r="E108" s="203"/>
      <c r="F108" s="204"/>
      <c r="G108" s="203"/>
      <c r="H108" s="234"/>
      <c r="I108" s="14" t="s">
        <v>102</v>
      </c>
      <c r="J108" s="31">
        <f ca="1">(IF(B102&gt;1,(H102/(B102+2)+J107),H102/4+J107))</f>
        <v>9</v>
      </c>
    </row>
    <row r="109" spans="1:10" ht="15.75" hidden="1" customHeight="1" x14ac:dyDescent="0.25">
      <c r="A109" s="133" t="s">
        <v>138</v>
      </c>
      <c r="B109" s="134" t="s">
        <v>131</v>
      </c>
      <c r="C109" s="45">
        <v>0</v>
      </c>
      <c r="D109" s="20">
        <f ca="1">((100/H102)*C109)/100</f>
        <v>0</v>
      </c>
      <c r="E109" s="203"/>
      <c r="F109" s="204"/>
      <c r="G109" s="203"/>
      <c r="H109" s="234"/>
      <c r="I109" s="14" t="s">
        <v>149</v>
      </c>
      <c r="J109" s="31">
        <f>(IF(B102&gt;1,(H102/(B102+2)+J108),0))</f>
        <v>0</v>
      </c>
    </row>
    <row r="110" spans="1:10" ht="15" hidden="1" customHeight="1" x14ac:dyDescent="0.25">
      <c r="A110" s="133" t="s">
        <v>136</v>
      </c>
      <c r="B110" s="134" t="s">
        <v>133</v>
      </c>
      <c r="C110" s="45">
        <v>0</v>
      </c>
      <c r="D110" s="20">
        <f ca="1">((100/(H102))*C110)/100</f>
        <v>0</v>
      </c>
      <c r="E110" s="203"/>
      <c r="F110" s="204"/>
      <c r="G110" s="203"/>
      <c r="H110" s="234"/>
      <c r="I110" s="14" t="s">
        <v>144</v>
      </c>
      <c r="J110" s="31">
        <f>(IF(B102&gt;2,(H102/(B102+2)+J109),0))</f>
        <v>0</v>
      </c>
    </row>
    <row r="111" spans="1:10" ht="15.75" hidden="1" customHeight="1" x14ac:dyDescent="0.25">
      <c r="A111" s="133" t="s">
        <v>132</v>
      </c>
      <c r="B111" s="134" t="s">
        <v>132</v>
      </c>
      <c r="C111" s="45">
        <v>0</v>
      </c>
      <c r="D111" s="20">
        <f ca="1">((100/H102)*C111)/100</f>
        <v>0</v>
      </c>
      <c r="E111" s="203"/>
      <c r="F111" s="204"/>
      <c r="G111" s="203"/>
      <c r="H111" s="234"/>
      <c r="I111" s="14" t="s">
        <v>145</v>
      </c>
      <c r="J111" s="32">
        <f>(IF(B102&gt;3,(H102/(B102+2)+J110),0))</f>
        <v>0</v>
      </c>
    </row>
    <row r="112" spans="1:10" ht="15.75" hidden="1" customHeight="1" x14ac:dyDescent="0.25">
      <c r="A112" s="133" t="s">
        <v>139</v>
      </c>
      <c r="B112" s="134"/>
      <c r="C112" s="45">
        <v>0</v>
      </c>
      <c r="D112" s="20">
        <f ca="1">((100/H102)*C112)/100</f>
        <v>0</v>
      </c>
      <c r="E112" s="203"/>
      <c r="F112" s="204"/>
      <c r="G112" s="203"/>
      <c r="H112" s="234"/>
      <c r="I112" s="14" t="s">
        <v>146</v>
      </c>
      <c r="J112" s="31">
        <f>(IF(B102&gt;4,(H102/(B102+2)+J111),0))</f>
        <v>0</v>
      </c>
    </row>
    <row r="113" spans="1:13" ht="15.75" hidden="1" customHeight="1" x14ac:dyDescent="0.25">
      <c r="A113" s="133" t="s">
        <v>134</v>
      </c>
      <c r="B113" s="134" t="s">
        <v>134</v>
      </c>
      <c r="C113" s="45">
        <v>0</v>
      </c>
      <c r="D113" s="20">
        <f ca="1">((100/(H102))*C113)/100</f>
        <v>0</v>
      </c>
      <c r="E113" s="203"/>
      <c r="F113" s="204"/>
      <c r="G113" s="203"/>
      <c r="H113" s="234"/>
      <c r="I113" s="14" t="s">
        <v>150</v>
      </c>
      <c r="J113" s="31">
        <f ca="1">(IF(B102=1,(H102/(B102+3)+J108),IF(B102=0,(H102/4+J108),IF(B102&gt;1,0))))</f>
        <v>13.5</v>
      </c>
    </row>
    <row r="114" spans="1:13" ht="16.5" hidden="1" thickBot="1" x14ac:dyDescent="0.3">
      <c r="A114" s="211" t="s">
        <v>135</v>
      </c>
      <c r="B114" s="212"/>
      <c r="C114" s="46">
        <v>0</v>
      </c>
      <c r="D114" s="21">
        <f ca="1">((100/(H102))*C114)/100</f>
        <v>0</v>
      </c>
      <c r="E114" s="205"/>
      <c r="F114" s="206"/>
      <c r="G114" s="205"/>
      <c r="H114" s="235"/>
      <c r="I114" s="16" t="s">
        <v>103</v>
      </c>
      <c r="J114" s="33">
        <f ca="1">(IF(B102&gt;1.5,(H102/(B102+2)+J108+MAX(0,J109-J108)+MAX(0,J110-J109)+MAX(0,J111-J110)+MAX(0,J112-J111)+MAX(0,J113-J112)),IF(B102=1,(H102/(B102+3)+J113),IF(B102=0,H102/4+J113))))</f>
        <v>18</v>
      </c>
    </row>
    <row r="115" spans="1:13" x14ac:dyDescent="0.25">
      <c r="A115" s="248" t="s">
        <v>161</v>
      </c>
      <c r="B115" s="248"/>
      <c r="C115" s="248"/>
      <c r="D115" s="248"/>
      <c r="E115" s="248"/>
      <c r="F115" s="179" t="s">
        <v>165</v>
      </c>
      <c r="G115" s="179"/>
      <c r="H115" s="179"/>
      <c r="I115" s="75"/>
      <c r="J115" s="75" t="s">
        <v>290</v>
      </c>
      <c r="K115" s="75" t="s">
        <v>291</v>
      </c>
      <c r="L115" s="75" t="s">
        <v>292</v>
      </c>
      <c r="M115" s="75"/>
    </row>
    <row r="116" spans="1:13" x14ac:dyDescent="0.25">
      <c r="A116" s="118" t="s">
        <v>163</v>
      </c>
      <c r="B116" s="118"/>
      <c r="C116" s="118"/>
      <c r="D116" s="118"/>
      <c r="E116" s="118"/>
      <c r="F116" s="116">
        <v>26000</v>
      </c>
      <c r="G116" s="116"/>
      <c r="H116" s="116"/>
      <c r="I116" s="78">
        <f>AVERAGE(J116:L116)</f>
        <v>20701.382347506336</v>
      </c>
      <c r="J116" s="78">
        <f>AVERAGE(J201,J206:J207,J211:J212)</f>
        <v>19902.764695012673</v>
      </c>
      <c r="K116" s="75">
        <v>21500</v>
      </c>
      <c r="L116" s="75"/>
      <c r="M116" s="75"/>
    </row>
    <row r="117" spans="1:13" hidden="1" x14ac:dyDescent="0.25">
      <c r="A117" s="118" t="s">
        <v>162</v>
      </c>
      <c r="B117" s="118"/>
      <c r="C117" s="118"/>
      <c r="D117" s="118"/>
      <c r="E117" s="118"/>
      <c r="F117" s="116">
        <v>40000</v>
      </c>
      <c r="G117" s="116"/>
      <c r="H117" s="116"/>
      <c r="I117" s="75"/>
      <c r="J117" s="78">
        <f>AVERAGE(J155,J157)</f>
        <v>40952.344182391491</v>
      </c>
      <c r="K117" s="75"/>
      <c r="L117" s="75"/>
      <c r="M117" s="75"/>
    </row>
    <row r="118" spans="1:13" hidden="1" x14ac:dyDescent="0.25">
      <c r="A118" s="118" t="s">
        <v>164</v>
      </c>
      <c r="B118" s="118"/>
      <c r="C118" s="118"/>
      <c r="D118" s="118"/>
      <c r="E118" s="118"/>
      <c r="F118" s="116"/>
      <c r="G118" s="116"/>
      <c r="H118" s="116"/>
      <c r="I118" s="75"/>
      <c r="J118" s="75"/>
      <c r="K118" s="75"/>
      <c r="L118" s="75"/>
      <c r="M118" s="75"/>
    </row>
    <row r="119" spans="1:13" s="34" customFormat="1" hidden="1" x14ac:dyDescent="0.25">
      <c r="A119" s="118" t="s">
        <v>180</v>
      </c>
      <c r="B119" s="118"/>
      <c r="C119" s="118"/>
      <c r="D119" s="118"/>
      <c r="E119" s="118"/>
      <c r="F119" s="116"/>
      <c r="G119" s="116"/>
      <c r="H119" s="116"/>
      <c r="I119" s="76"/>
      <c r="J119" s="76"/>
      <c r="K119" s="76"/>
      <c r="L119" s="76"/>
      <c r="M119" s="76"/>
    </row>
    <row r="120" spans="1:13" s="34" customFormat="1" hidden="1" x14ac:dyDescent="0.25">
      <c r="A120" s="118" t="s">
        <v>93</v>
      </c>
      <c r="B120" s="118"/>
      <c r="C120" s="118"/>
      <c r="D120" s="118"/>
      <c r="E120" s="118"/>
      <c r="F120" s="116"/>
      <c r="G120" s="116"/>
      <c r="H120" s="116"/>
      <c r="I120" s="76"/>
      <c r="J120" s="76"/>
      <c r="K120" s="76"/>
      <c r="L120" s="76"/>
      <c r="M120" s="76"/>
    </row>
    <row r="121" spans="1:13" s="34" customFormat="1" hidden="1" x14ac:dyDescent="0.25">
      <c r="A121" s="118" t="s">
        <v>94</v>
      </c>
      <c r="B121" s="118"/>
      <c r="C121" s="118"/>
      <c r="D121" s="118"/>
      <c r="E121" s="118"/>
      <c r="F121" s="116"/>
      <c r="G121" s="116"/>
      <c r="H121" s="116"/>
      <c r="I121" s="76"/>
      <c r="J121" s="76"/>
      <c r="K121" s="76"/>
      <c r="L121" s="76"/>
      <c r="M121" s="76"/>
    </row>
    <row r="122" spans="1:13" s="34" customFormat="1" hidden="1" x14ac:dyDescent="0.25">
      <c r="A122" s="118" t="s">
        <v>166</v>
      </c>
      <c r="B122" s="118"/>
      <c r="C122" s="118"/>
      <c r="D122" s="118"/>
      <c r="E122" s="118"/>
      <c r="F122" s="116"/>
      <c r="G122" s="116"/>
      <c r="H122" s="116"/>
      <c r="I122" s="76"/>
      <c r="J122" s="76"/>
      <c r="K122" s="76"/>
      <c r="L122" s="76"/>
      <c r="M122" s="76"/>
    </row>
    <row r="123" spans="1:13" s="34" customFormat="1" hidden="1" x14ac:dyDescent="0.25">
      <c r="A123" s="118" t="s">
        <v>95</v>
      </c>
      <c r="B123" s="118"/>
      <c r="C123" s="118"/>
      <c r="D123" s="118"/>
      <c r="E123" s="118"/>
      <c r="F123" s="116"/>
      <c r="G123" s="116"/>
      <c r="H123" s="116"/>
      <c r="I123" s="76"/>
      <c r="J123" s="76"/>
      <c r="K123" s="76"/>
      <c r="L123" s="76"/>
      <c r="M123" s="76"/>
    </row>
    <row r="124" spans="1:13" s="34" customFormat="1" hidden="1" x14ac:dyDescent="0.25">
      <c r="A124" s="118" t="s">
        <v>96</v>
      </c>
      <c r="B124" s="118"/>
      <c r="C124" s="118"/>
      <c r="D124" s="118"/>
      <c r="E124" s="118"/>
      <c r="F124" s="116"/>
      <c r="G124" s="116"/>
      <c r="H124" s="116"/>
      <c r="I124" s="76"/>
      <c r="J124" s="76"/>
      <c r="K124" s="76"/>
      <c r="L124" s="76"/>
      <c r="M124" s="76"/>
    </row>
    <row r="125" spans="1:13" s="34" customFormat="1" hidden="1" x14ac:dyDescent="0.25">
      <c r="A125" s="118" t="s">
        <v>97</v>
      </c>
      <c r="B125" s="118"/>
      <c r="C125" s="118"/>
      <c r="D125" s="118"/>
      <c r="E125" s="118"/>
      <c r="F125" s="116"/>
      <c r="G125" s="116"/>
      <c r="H125" s="116"/>
      <c r="I125" s="76"/>
      <c r="J125" s="76"/>
      <c r="K125" s="76"/>
      <c r="L125" s="76"/>
      <c r="M125" s="76"/>
    </row>
    <row r="126" spans="1:13" s="34" customFormat="1" hidden="1" x14ac:dyDescent="0.25">
      <c r="A126" s="118" t="s">
        <v>98</v>
      </c>
      <c r="B126" s="118"/>
      <c r="C126" s="118"/>
      <c r="D126" s="118"/>
      <c r="E126" s="118"/>
      <c r="F126" s="116"/>
      <c r="G126" s="116"/>
      <c r="H126" s="116"/>
      <c r="I126" s="76"/>
      <c r="J126" s="76"/>
      <c r="K126" s="76"/>
      <c r="L126" s="76"/>
      <c r="M126" s="76"/>
    </row>
    <row r="127" spans="1:13" x14ac:dyDescent="0.25">
      <c r="A127" s="118" t="s">
        <v>51</v>
      </c>
      <c r="B127" s="118"/>
      <c r="C127" s="118"/>
      <c r="D127" s="118"/>
      <c r="E127" s="118"/>
      <c r="F127" s="116">
        <v>1000000</v>
      </c>
      <c r="G127" s="116"/>
      <c r="H127" s="116"/>
      <c r="I127" s="75"/>
      <c r="J127" s="75"/>
      <c r="K127" s="75"/>
      <c r="L127" s="75"/>
      <c r="M127" s="75"/>
    </row>
    <row r="128" spans="1:13" s="35" customFormat="1" x14ac:dyDescent="0.25">
      <c r="A128" s="215" t="s">
        <v>52</v>
      </c>
      <c r="B128" s="215"/>
      <c r="C128" s="215"/>
      <c r="D128" s="215"/>
      <c r="E128" s="215"/>
      <c r="F128" s="116">
        <f>F116*0.8</f>
        <v>20800</v>
      </c>
      <c r="G128" s="116"/>
      <c r="H128" s="116"/>
      <c r="I128" s="74"/>
      <c r="J128" s="74"/>
      <c r="K128" s="74"/>
      <c r="L128" s="74"/>
      <c r="M128" s="74"/>
    </row>
    <row r="129" spans="1:8" s="36" customFormat="1" ht="15.75" customHeight="1" x14ac:dyDescent="0.25">
      <c r="A129" s="107" t="s">
        <v>284</v>
      </c>
      <c r="B129" s="107"/>
      <c r="C129" s="107"/>
      <c r="D129" s="107"/>
      <c r="E129" s="107"/>
      <c r="F129" s="107"/>
      <c r="G129" s="107"/>
      <c r="H129" s="107"/>
    </row>
    <row r="130" spans="1:8" s="36" customFormat="1" ht="15.75" customHeight="1" x14ac:dyDescent="0.25">
      <c r="A130" s="86" t="s">
        <v>53</v>
      </c>
      <c r="B130" s="86"/>
      <c r="C130" s="87" t="s">
        <v>76</v>
      </c>
      <c r="D130" s="87"/>
      <c r="E130" s="88" t="s">
        <v>54</v>
      </c>
      <c r="F130" s="88"/>
      <c r="G130" s="86" t="s">
        <v>55</v>
      </c>
      <c r="H130" s="86"/>
    </row>
    <row r="131" spans="1:8" s="36" customFormat="1" x14ac:dyDescent="0.25">
      <c r="A131" s="65" t="s">
        <v>265</v>
      </c>
      <c r="B131" s="65" t="s">
        <v>279</v>
      </c>
      <c r="C131" s="90">
        <f>COUNT(D152:D157)</f>
        <v>6</v>
      </c>
      <c r="D131" s="184"/>
      <c r="E131" s="90">
        <f>SUM(D152:D157)</f>
        <v>2125.4594399999996</v>
      </c>
      <c r="F131" s="184"/>
      <c r="G131" s="90">
        <f>SUM(F152:F157)</f>
        <v>3400.7351040000003</v>
      </c>
      <c r="H131" s="184"/>
    </row>
    <row r="132" spans="1:8" s="36" customFormat="1" x14ac:dyDescent="0.25">
      <c r="A132" s="107" t="s">
        <v>154</v>
      </c>
      <c r="B132" s="107"/>
      <c r="C132" s="182">
        <f>SUM(C131)</f>
        <v>6</v>
      </c>
      <c r="D132" s="87"/>
      <c r="E132" s="183">
        <f>SUM(E131)</f>
        <v>2125.4594399999996</v>
      </c>
      <c r="F132" s="88"/>
      <c r="G132" s="86">
        <f>SUM(G131)</f>
        <v>3400.7351040000003</v>
      </c>
      <c r="H132" s="86"/>
    </row>
    <row r="133" spans="1:8" s="36" customFormat="1" hidden="1" x14ac:dyDescent="0.25">
      <c r="A133" s="107" t="s">
        <v>281</v>
      </c>
      <c r="B133" s="107"/>
      <c r="C133" s="107"/>
      <c r="D133" s="107"/>
      <c r="E133" s="107"/>
      <c r="F133" s="107"/>
      <c r="G133" s="107"/>
      <c r="H133" s="107"/>
    </row>
    <row r="134" spans="1:8" s="36" customFormat="1" ht="15.75" hidden="1" customHeight="1" x14ac:dyDescent="0.25">
      <c r="A134" s="86" t="s">
        <v>53</v>
      </c>
      <c r="B134" s="86"/>
      <c r="C134" s="87" t="s">
        <v>76</v>
      </c>
      <c r="D134" s="87"/>
      <c r="E134" s="88" t="s">
        <v>54</v>
      </c>
      <c r="F134" s="88"/>
      <c r="G134" s="86" t="s">
        <v>55</v>
      </c>
      <c r="H134" s="86"/>
    </row>
    <row r="135" spans="1:8" s="36" customFormat="1" hidden="1" x14ac:dyDescent="0.25">
      <c r="A135" s="89" t="s">
        <v>246</v>
      </c>
      <c r="B135" s="89"/>
      <c r="C135" s="90">
        <f>COUNT(D165:D166,D168)+COUNT(D170:D174)*5+COUNT(D176:D178)+COUNT(D182:D184)</f>
        <v>34</v>
      </c>
      <c r="D135" s="90"/>
      <c r="E135" s="90">
        <f>SUM(D165:D166,D168)+SUM(D170:D174)*5+SUM(D176:D178)+SUM(D182:D184)</f>
        <v>13181.48676</v>
      </c>
      <c r="F135" s="90"/>
      <c r="G135" s="90">
        <f>SUM(F165:F166,F168)+SUM(F170:F174)*5+SUM(F176:F178)+SUM(F182:F184)</f>
        <v>20431.304477999998</v>
      </c>
      <c r="H135" s="90"/>
    </row>
    <row r="136" spans="1:8" s="36" customFormat="1" hidden="1" x14ac:dyDescent="0.25">
      <c r="A136" s="108" t="s">
        <v>154</v>
      </c>
      <c r="B136" s="108"/>
      <c r="C136" s="109">
        <f>SUM(C135)</f>
        <v>34</v>
      </c>
      <c r="D136" s="110"/>
      <c r="E136" s="111">
        <f>SUM(E135)</f>
        <v>13181.48676</v>
      </c>
      <c r="F136" s="112"/>
      <c r="G136" s="113">
        <f>SUM(G135)</f>
        <v>20431.304477999998</v>
      </c>
      <c r="H136" s="113"/>
    </row>
    <row r="137" spans="1:8" s="36" customFormat="1" hidden="1" x14ac:dyDescent="0.25">
      <c r="A137" s="107" t="s">
        <v>282</v>
      </c>
      <c r="B137" s="107"/>
      <c r="C137" s="107"/>
      <c r="D137" s="107"/>
      <c r="E137" s="107"/>
      <c r="F137" s="107"/>
      <c r="G137" s="107"/>
      <c r="H137" s="107"/>
    </row>
    <row r="138" spans="1:8" s="36" customFormat="1" ht="15.75" hidden="1" customHeight="1" x14ac:dyDescent="0.25">
      <c r="A138" s="86" t="s">
        <v>53</v>
      </c>
      <c r="B138" s="86"/>
      <c r="C138" s="87" t="s">
        <v>76</v>
      </c>
      <c r="D138" s="87"/>
      <c r="E138" s="88" t="s">
        <v>54</v>
      </c>
      <c r="F138" s="88"/>
      <c r="G138" s="86" t="s">
        <v>55</v>
      </c>
      <c r="H138" s="86"/>
    </row>
    <row r="139" spans="1:8" s="36" customFormat="1" hidden="1" x14ac:dyDescent="0.25">
      <c r="A139" s="89" t="s">
        <v>247</v>
      </c>
      <c r="B139" s="89"/>
      <c r="C139" s="90">
        <f>COUNT(D188:D189)+COUNT(D191:D192)*3+COUNT(D194:D195)*12</f>
        <v>32</v>
      </c>
      <c r="D139" s="90"/>
      <c r="E139" s="90">
        <f>SUM(D188:D189)+SUM(D191:D192)*3+SUM(D194:D195)*12</f>
        <v>11935.123199999998</v>
      </c>
      <c r="F139" s="90"/>
      <c r="G139" s="90">
        <f>SUM(F188:F189)+SUM(F191:F192)*3+SUM(F194:F195)*12</f>
        <v>18499.44096</v>
      </c>
      <c r="H139" s="90"/>
    </row>
    <row r="140" spans="1:8" s="36" customFormat="1" hidden="1" x14ac:dyDescent="0.25">
      <c r="A140" s="108" t="s">
        <v>154</v>
      </c>
      <c r="B140" s="108"/>
      <c r="C140" s="109">
        <f>SUM(C139)</f>
        <v>32</v>
      </c>
      <c r="D140" s="110"/>
      <c r="E140" s="111">
        <f>SUM(E139)</f>
        <v>11935.123199999998</v>
      </c>
      <c r="F140" s="112"/>
      <c r="G140" s="113">
        <f>SUM(G139)</f>
        <v>18499.44096</v>
      </c>
      <c r="H140" s="113"/>
    </row>
    <row r="141" spans="1:8" s="36" customFormat="1" x14ac:dyDescent="0.25">
      <c r="A141" s="107" t="s">
        <v>283</v>
      </c>
      <c r="B141" s="107"/>
      <c r="C141" s="107"/>
      <c r="D141" s="107"/>
      <c r="E141" s="107"/>
      <c r="F141" s="107"/>
      <c r="G141" s="107"/>
      <c r="H141" s="107"/>
    </row>
    <row r="142" spans="1:8" s="36" customFormat="1" ht="15.75" customHeight="1" x14ac:dyDescent="0.25">
      <c r="A142" s="86" t="s">
        <v>53</v>
      </c>
      <c r="B142" s="86"/>
      <c r="C142" s="87" t="s">
        <v>76</v>
      </c>
      <c r="D142" s="87"/>
      <c r="E142" s="88" t="s">
        <v>54</v>
      </c>
      <c r="F142" s="88"/>
      <c r="G142" s="86" t="s">
        <v>55</v>
      </c>
      <c r="H142" s="86"/>
    </row>
    <row r="143" spans="1:8" s="36" customFormat="1" x14ac:dyDescent="0.25">
      <c r="A143" s="89" t="s">
        <v>265</v>
      </c>
      <c r="B143" s="89"/>
      <c r="C143" s="90">
        <f>COUNT(D199:D202)*3+COUNT(D204:D207)*12+COUNT(D209:D212)</f>
        <v>64</v>
      </c>
      <c r="D143" s="90"/>
      <c r="E143" s="90">
        <f>SUM(D199:D202)*3+SUM(D204:D207)*12+SUM(D209:D212)</f>
        <v>25060.744799999997</v>
      </c>
      <c r="F143" s="90"/>
      <c r="G143" s="90">
        <f>SUM(F199:F202)*3+SUM(F204:F207)*12+SUM(F209:F212)</f>
        <v>38844.154439999998</v>
      </c>
      <c r="H143" s="90"/>
    </row>
    <row r="144" spans="1:8" s="36" customFormat="1" ht="16.5" thickBot="1" x14ac:dyDescent="0.3">
      <c r="A144" s="108" t="s">
        <v>154</v>
      </c>
      <c r="B144" s="108"/>
      <c r="C144" s="109">
        <f>SUM(C143)</f>
        <v>64</v>
      </c>
      <c r="D144" s="110"/>
      <c r="E144" s="111">
        <f>SUM(E143)</f>
        <v>25060.744799999997</v>
      </c>
      <c r="F144" s="112"/>
      <c r="G144" s="113">
        <f>SUM(G143)</f>
        <v>38844.154439999998</v>
      </c>
      <c r="H144" s="113"/>
    </row>
    <row r="145" spans="1:14" s="36" customFormat="1" ht="16.5" thickBot="1" x14ac:dyDescent="0.3">
      <c r="A145" s="207" t="s">
        <v>171</v>
      </c>
      <c r="B145" s="208"/>
      <c r="C145" s="209">
        <f>C132+C144</f>
        <v>70</v>
      </c>
      <c r="D145" s="210"/>
      <c r="E145" s="209">
        <f>E132+E144</f>
        <v>27186.204239999995</v>
      </c>
      <c r="F145" s="210"/>
      <c r="G145" s="209">
        <f>G132+G144</f>
        <v>42244.889543999998</v>
      </c>
      <c r="H145" s="210"/>
    </row>
    <row r="146" spans="1:14" s="35" customFormat="1" x14ac:dyDescent="0.25">
      <c r="A146" s="179" t="s">
        <v>56</v>
      </c>
      <c r="B146" s="179"/>
      <c r="C146" s="179"/>
      <c r="D146" s="179"/>
      <c r="E146" s="179"/>
      <c r="F146" s="179"/>
      <c r="G146" s="179"/>
      <c r="H146" s="179"/>
    </row>
    <row r="147" spans="1:14" x14ac:dyDescent="0.25">
      <c r="A147" s="117" t="s">
        <v>179</v>
      </c>
      <c r="B147" s="117"/>
      <c r="C147" s="117"/>
      <c r="D147" s="117"/>
      <c r="E147" s="117"/>
      <c r="F147" s="117"/>
      <c r="G147" s="117"/>
      <c r="H147" s="117"/>
    </row>
    <row r="148" spans="1:14" ht="47.25" customHeight="1" x14ac:dyDescent="0.25">
      <c r="A148" s="186" t="s">
        <v>120</v>
      </c>
      <c r="B148" s="186" t="s">
        <v>250</v>
      </c>
      <c r="C148" s="186" t="s">
        <v>57</v>
      </c>
      <c r="D148" s="186" t="s">
        <v>58</v>
      </c>
      <c r="E148" s="188" t="s">
        <v>160</v>
      </c>
      <c r="F148" s="44" t="s">
        <v>152</v>
      </c>
      <c r="G148" s="190" t="s">
        <v>60</v>
      </c>
      <c r="H148" s="191"/>
    </row>
    <row r="149" spans="1:14" s="38" customFormat="1" x14ac:dyDescent="0.25">
      <c r="A149" s="187"/>
      <c r="B149" s="187"/>
      <c r="C149" s="187"/>
      <c r="D149" s="187"/>
      <c r="E149" s="189"/>
      <c r="F149" s="13">
        <v>0.6</v>
      </c>
      <c r="G149" s="192"/>
      <c r="H149" s="193"/>
    </row>
    <row r="150" spans="1:14" s="64" customFormat="1" x14ac:dyDescent="0.25">
      <c r="A150" s="124" t="s">
        <v>265</v>
      </c>
      <c r="B150" s="125"/>
      <c r="C150" s="125"/>
      <c r="D150" s="125"/>
      <c r="E150" s="125"/>
      <c r="F150" s="125"/>
      <c r="G150" s="125"/>
      <c r="H150" s="126"/>
      <c r="J150" s="73">
        <v>10.763999999999999</v>
      </c>
    </row>
    <row r="151" spans="1:14" s="38" customFormat="1" x14ac:dyDescent="0.25">
      <c r="A151" s="91" t="s">
        <v>278</v>
      </c>
      <c r="B151" s="92"/>
      <c r="C151" s="92"/>
      <c r="D151" s="92"/>
      <c r="E151" s="92"/>
      <c r="F151" s="92"/>
      <c r="G151" s="92"/>
      <c r="H151" s="93"/>
      <c r="J151" s="37"/>
    </row>
    <row r="152" spans="1:14" s="38" customFormat="1" ht="47.25" customHeight="1" x14ac:dyDescent="0.25">
      <c r="A152" s="66">
        <v>1</v>
      </c>
      <c r="B152" s="66" t="s">
        <v>253</v>
      </c>
      <c r="C152" s="43" t="s">
        <v>280</v>
      </c>
      <c r="D152" s="73">
        <f>(40.19)*10.764</f>
        <v>432.60515999999996</v>
      </c>
      <c r="E152" s="70">
        <v>0</v>
      </c>
      <c r="F152" s="43">
        <f>(D152+E152)*(($F$149)+1)</f>
        <v>692.16825599999993</v>
      </c>
      <c r="G152" s="101" t="str">
        <f>A151</f>
        <v>Ground Floor for Commercial</v>
      </c>
      <c r="H152" s="102"/>
      <c r="I152" s="37"/>
      <c r="L152" s="95"/>
      <c r="M152" s="95"/>
      <c r="N152" s="37"/>
    </row>
    <row r="153" spans="1:14" s="38" customFormat="1" ht="47.25" customHeight="1" x14ac:dyDescent="0.25">
      <c r="A153" s="66">
        <f t="shared" ref="A153:A157" si="0">A152+1</f>
        <v>2</v>
      </c>
      <c r="B153" s="66" t="s">
        <v>253</v>
      </c>
      <c r="C153" s="66" t="s">
        <v>280</v>
      </c>
      <c r="D153" s="73">
        <f>(37.89)*10.764</f>
        <v>407.84796</v>
      </c>
      <c r="E153" s="70">
        <v>0</v>
      </c>
      <c r="F153" s="43">
        <f t="shared" ref="F153:F155" si="1">(D153+E153)*(($F$149)+1)</f>
        <v>652.556736</v>
      </c>
      <c r="G153" s="103"/>
      <c r="H153" s="104"/>
      <c r="I153" s="37"/>
      <c r="L153" s="95"/>
      <c r="M153" s="95"/>
      <c r="N153" s="37"/>
    </row>
    <row r="154" spans="1:14" s="38" customFormat="1" ht="48" customHeight="1" x14ac:dyDescent="0.25">
      <c r="A154" s="66">
        <f t="shared" si="0"/>
        <v>3</v>
      </c>
      <c r="B154" s="66" t="s">
        <v>253</v>
      </c>
      <c r="C154" s="66" t="s">
        <v>280</v>
      </c>
      <c r="D154" s="73">
        <f>(31.15)*10.764</f>
        <v>335.29859999999996</v>
      </c>
      <c r="E154" s="70">
        <v>0</v>
      </c>
      <c r="F154" s="43">
        <f t="shared" si="1"/>
        <v>536.47775999999999</v>
      </c>
      <c r="G154" s="103"/>
      <c r="H154" s="104"/>
      <c r="I154" s="37"/>
      <c r="L154" s="95"/>
      <c r="M154" s="95"/>
      <c r="N154" s="37"/>
    </row>
    <row r="155" spans="1:14" s="38" customFormat="1" ht="15.75" customHeight="1" x14ac:dyDescent="0.25">
      <c r="A155" s="66">
        <f t="shared" si="0"/>
        <v>4</v>
      </c>
      <c r="B155" s="66" t="s">
        <v>253</v>
      </c>
      <c r="C155" s="66" t="s">
        <v>279</v>
      </c>
      <c r="D155" s="73">
        <f>(19.89)*10.764</f>
        <v>214.09595999999999</v>
      </c>
      <c r="E155" s="70">
        <v>0</v>
      </c>
      <c r="F155" s="43">
        <f t="shared" si="1"/>
        <v>342.55353600000001</v>
      </c>
      <c r="G155" s="103"/>
      <c r="H155" s="104"/>
      <c r="I155" s="37"/>
      <c r="J155" s="37">
        <f>12500000/F155</f>
        <v>36490.646530649152</v>
      </c>
      <c r="L155" s="95"/>
      <c r="M155" s="95"/>
      <c r="N155" s="37"/>
    </row>
    <row r="156" spans="1:14" s="67" customFormat="1" ht="47.25" customHeight="1" x14ac:dyDescent="0.25">
      <c r="A156" s="66">
        <f t="shared" si="0"/>
        <v>5</v>
      </c>
      <c r="B156" s="66" t="s">
        <v>253</v>
      </c>
      <c r="C156" s="66" t="s">
        <v>280</v>
      </c>
      <c r="D156" s="73">
        <f>(33.18)*10.764</f>
        <v>357.14952</v>
      </c>
      <c r="E156" s="70">
        <v>0</v>
      </c>
      <c r="F156" s="66">
        <f t="shared" ref="F156:F157" si="2">(D156+E156)*(($F$149)+1)</f>
        <v>571.43923200000006</v>
      </c>
      <c r="G156" s="103"/>
      <c r="H156" s="104"/>
      <c r="I156" s="37"/>
      <c r="L156" s="95"/>
      <c r="M156" s="95"/>
      <c r="N156" s="37"/>
    </row>
    <row r="157" spans="1:14" s="67" customFormat="1" ht="48" customHeight="1" x14ac:dyDescent="0.25">
      <c r="A157" s="66">
        <f t="shared" si="0"/>
        <v>6</v>
      </c>
      <c r="B157" s="66" t="s">
        <v>253</v>
      </c>
      <c r="C157" s="66" t="s">
        <v>280</v>
      </c>
      <c r="D157" s="73">
        <f>(35.16)*10.764</f>
        <v>378.46223999999995</v>
      </c>
      <c r="E157" s="70">
        <v>0</v>
      </c>
      <c r="F157" s="66">
        <f t="shared" si="2"/>
        <v>605.53958399999999</v>
      </c>
      <c r="G157" s="105"/>
      <c r="H157" s="106"/>
      <c r="I157" s="37"/>
      <c r="J157" s="37">
        <f>27500000/F157</f>
        <v>45414.041834133837</v>
      </c>
      <c r="L157" s="95"/>
      <c r="M157" s="95"/>
      <c r="N157" s="37"/>
    </row>
    <row r="158" spans="1:14" s="38" customFormat="1" x14ac:dyDescent="0.25">
      <c r="A158" s="96"/>
      <c r="B158" s="243"/>
      <c r="C158" s="243"/>
      <c r="D158" s="243"/>
      <c r="E158" s="243"/>
      <c r="F158" s="243"/>
      <c r="G158" s="243"/>
      <c r="H158" s="97"/>
      <c r="I158" s="37"/>
      <c r="N158" s="37"/>
    </row>
    <row r="159" spans="1:14" ht="47.25" customHeight="1" x14ac:dyDescent="0.25">
      <c r="A159" s="190" t="s">
        <v>121</v>
      </c>
      <c r="B159" s="186" t="s">
        <v>250</v>
      </c>
      <c r="C159" s="186" t="s">
        <v>57</v>
      </c>
      <c r="D159" s="186" t="s">
        <v>58</v>
      </c>
      <c r="E159" s="188" t="s">
        <v>59</v>
      </c>
      <c r="F159" s="58" t="s">
        <v>152</v>
      </c>
      <c r="G159" s="190" t="s">
        <v>60</v>
      </c>
      <c r="H159" s="191"/>
      <c r="I159" s="37"/>
    </row>
    <row r="160" spans="1:14" s="38" customFormat="1" x14ac:dyDescent="0.25">
      <c r="A160" s="192"/>
      <c r="B160" s="187"/>
      <c r="C160" s="187"/>
      <c r="D160" s="187"/>
      <c r="E160" s="189"/>
      <c r="F160" s="13">
        <v>0.55000000000000004</v>
      </c>
      <c r="G160" s="192"/>
      <c r="H160" s="193"/>
      <c r="I160" s="37"/>
    </row>
    <row r="161" spans="1:14" s="63" customFormat="1" hidden="1" x14ac:dyDescent="0.25">
      <c r="A161" s="250" t="s">
        <v>246</v>
      </c>
      <c r="B161" s="251"/>
      <c r="C161" s="251"/>
      <c r="D161" s="251"/>
      <c r="E161" s="251"/>
      <c r="F161" s="251"/>
      <c r="G161" s="251"/>
      <c r="H161" s="252"/>
      <c r="J161" s="37"/>
    </row>
    <row r="162" spans="1:14" s="63" customFormat="1" hidden="1" x14ac:dyDescent="0.25">
      <c r="A162" s="91" t="s">
        <v>260</v>
      </c>
      <c r="B162" s="92"/>
      <c r="C162" s="92"/>
      <c r="D162" s="92"/>
      <c r="E162" s="92"/>
      <c r="F162" s="92"/>
      <c r="G162" s="92"/>
      <c r="H162" s="93"/>
      <c r="J162" s="37"/>
    </row>
    <row r="163" spans="1:14" s="63" customFormat="1" hidden="1" x14ac:dyDescent="0.25">
      <c r="A163" s="91" t="s">
        <v>245</v>
      </c>
      <c r="B163" s="92"/>
      <c r="C163" s="92"/>
      <c r="D163" s="92"/>
      <c r="E163" s="92"/>
      <c r="F163" s="92"/>
      <c r="G163" s="92"/>
      <c r="H163" s="93"/>
      <c r="J163" s="37"/>
    </row>
    <row r="164" spans="1:14" s="38" customFormat="1" hidden="1" x14ac:dyDescent="0.25">
      <c r="A164" s="91" t="s">
        <v>249</v>
      </c>
      <c r="B164" s="92"/>
      <c r="C164" s="92"/>
      <c r="D164" s="92"/>
      <c r="E164" s="92"/>
      <c r="F164" s="92"/>
      <c r="G164" s="92"/>
      <c r="H164" s="93"/>
      <c r="J164" s="37"/>
    </row>
    <row r="165" spans="1:14" s="38" customFormat="1" ht="15.75" hidden="1" customHeight="1" x14ac:dyDescent="0.25">
      <c r="A165" s="62">
        <v>1</v>
      </c>
      <c r="B165" s="62" t="s">
        <v>253</v>
      </c>
      <c r="C165" s="43" t="s">
        <v>254</v>
      </c>
      <c r="D165" s="73">
        <f>(35.06)*10.764</f>
        <v>377.38583999999997</v>
      </c>
      <c r="E165" s="70">
        <v>0</v>
      </c>
      <c r="F165" s="43">
        <f>D165*(($F$160)+1)+(IF(E165&lt;101,E165,IF(E165&lt;201,E165/2,IF(E165&lt;=301,E165/3,E165/4))))</f>
        <v>584.94805199999996</v>
      </c>
      <c r="G165" s="101" t="str">
        <f>A164</f>
        <v>1st Floor for Residential &amp; Fitness Center</v>
      </c>
      <c r="H165" s="102"/>
      <c r="I165" s="37">
        <f>3.9*2.75+3*1.85+0.9*2+2.55*0.9+3.9*2.75+1.8*1.5</f>
        <v>33.795000000000002</v>
      </c>
      <c r="L165" s="95"/>
      <c r="M165" s="95"/>
      <c r="N165" s="37"/>
    </row>
    <row r="166" spans="1:14" s="38" customFormat="1" hidden="1" x14ac:dyDescent="0.25">
      <c r="A166" s="62">
        <f t="shared" ref="A166:A168" si="3">A165+1</f>
        <v>2</v>
      </c>
      <c r="B166" s="62" t="s">
        <v>253</v>
      </c>
      <c r="C166" s="62" t="s">
        <v>254</v>
      </c>
      <c r="D166" s="73">
        <f>(35.06)*10.764</f>
        <v>377.38583999999997</v>
      </c>
      <c r="E166" s="70">
        <v>0</v>
      </c>
      <c r="F166" s="43">
        <f>D166*(($F$160)+1)+(IF(E166&lt;101,E166,IF(E166&lt;201,E166/2,IF(E166&lt;=301,E166/3,E166/4))))</f>
        <v>584.94805199999996</v>
      </c>
      <c r="G166" s="103"/>
      <c r="H166" s="104"/>
      <c r="I166" s="37"/>
      <c r="L166" s="95"/>
      <c r="M166" s="95"/>
      <c r="N166" s="37"/>
    </row>
    <row r="167" spans="1:14" s="38" customFormat="1" hidden="1" x14ac:dyDescent="0.25">
      <c r="A167" s="62">
        <f t="shared" si="3"/>
        <v>3</v>
      </c>
      <c r="B167" s="62" t="s">
        <v>251</v>
      </c>
      <c r="C167" s="96" t="s">
        <v>252</v>
      </c>
      <c r="D167" s="243"/>
      <c r="E167" s="243"/>
      <c r="F167" s="97"/>
      <c r="G167" s="103"/>
      <c r="H167" s="104"/>
      <c r="I167" s="37"/>
      <c r="L167" s="95"/>
      <c r="M167" s="95"/>
      <c r="N167" s="37"/>
    </row>
    <row r="168" spans="1:14" s="38" customFormat="1" hidden="1" x14ac:dyDescent="0.25">
      <c r="A168" s="62">
        <f t="shared" si="3"/>
        <v>4</v>
      </c>
      <c r="B168" s="62" t="s">
        <v>253</v>
      </c>
      <c r="C168" s="43" t="s">
        <v>255</v>
      </c>
      <c r="D168" s="73">
        <f>(70.22)*10.764</f>
        <v>755.84807999999998</v>
      </c>
      <c r="E168" s="70">
        <v>0</v>
      </c>
      <c r="F168" s="43">
        <f>D168*(($F$160)+1)+(IF(E168&lt;101,E168,IF(E168&lt;201,E168/2,IF(E168&lt;=301,E168/3,E168/4))))</f>
        <v>1171.5645239999999</v>
      </c>
      <c r="G168" s="105"/>
      <c r="H168" s="106"/>
      <c r="I168" s="37"/>
      <c r="L168" s="95"/>
      <c r="M168" s="95"/>
      <c r="N168" s="37"/>
    </row>
    <row r="169" spans="1:14" s="63" customFormat="1" hidden="1" x14ac:dyDescent="0.25">
      <c r="A169" s="91" t="s">
        <v>256</v>
      </c>
      <c r="B169" s="92"/>
      <c r="C169" s="92"/>
      <c r="D169" s="92"/>
      <c r="E169" s="92"/>
      <c r="F169" s="92"/>
      <c r="G169" s="92"/>
      <c r="H169" s="93"/>
      <c r="J169" s="37"/>
    </row>
    <row r="170" spans="1:14" s="63" customFormat="1" ht="15.75" hidden="1" customHeight="1" x14ac:dyDescent="0.25">
      <c r="A170" s="62">
        <v>1</v>
      </c>
      <c r="B170" s="62" t="s">
        <v>253</v>
      </c>
      <c r="C170" s="62" t="s">
        <v>254</v>
      </c>
      <c r="D170" s="73">
        <f>(35.06)*10.764</f>
        <v>377.38583999999997</v>
      </c>
      <c r="E170" s="70">
        <v>0</v>
      </c>
      <c r="F170" s="62">
        <f>D170*(($F$160)+1)+(IF(E170&lt;101,E170,IF(E170&lt;201,E170/2,IF(E170&lt;=301,E170/3,E170/4))))</f>
        <v>584.94805199999996</v>
      </c>
      <c r="G170" s="101" t="str">
        <f>A169</f>
        <v>2nd to 6th Floor</v>
      </c>
      <c r="H170" s="102"/>
      <c r="I170" s="37"/>
      <c r="L170" s="95"/>
      <c r="M170" s="95"/>
      <c r="N170" s="37"/>
    </row>
    <row r="171" spans="1:14" s="63" customFormat="1" ht="15.75" hidden="1" customHeight="1" x14ac:dyDescent="0.25">
      <c r="A171" s="62">
        <f t="shared" ref="A171:A174" si="4">A170+1</f>
        <v>2</v>
      </c>
      <c r="B171" s="62" t="s">
        <v>253</v>
      </c>
      <c r="C171" s="62" t="s">
        <v>254</v>
      </c>
      <c r="D171" s="73">
        <f>(35.06)*10.764</f>
        <v>377.38583999999997</v>
      </c>
      <c r="E171" s="70">
        <v>0</v>
      </c>
      <c r="F171" s="62">
        <f>D171*(($F$160)+1)+(IF(E171&lt;101,E171,IF(E171&lt;201,E171/2,IF(E171&lt;=301,E171/3,E171/4))))</f>
        <v>584.94805199999996</v>
      </c>
      <c r="G171" s="103"/>
      <c r="H171" s="104"/>
      <c r="I171" s="37"/>
      <c r="L171" s="95"/>
      <c r="M171" s="95"/>
      <c r="N171" s="37"/>
    </row>
    <row r="172" spans="1:14" s="63" customFormat="1" ht="15.75" hidden="1" customHeight="1" x14ac:dyDescent="0.25">
      <c r="A172" s="62">
        <f t="shared" si="4"/>
        <v>3</v>
      </c>
      <c r="B172" s="62" t="s">
        <v>253</v>
      </c>
      <c r="C172" s="62" t="s">
        <v>254</v>
      </c>
      <c r="D172" s="73">
        <f>(35.03)*10.764</f>
        <v>377.06291999999996</v>
      </c>
      <c r="E172" s="70">
        <v>0</v>
      </c>
      <c r="F172" s="62">
        <f>D172*(($F$160)+1)+(IF(E172&lt;101,E172,IF(E172&lt;201,E172/2,IF(E172&lt;=301,E172/3,E172/4))))</f>
        <v>584.44752599999993</v>
      </c>
      <c r="G172" s="103"/>
      <c r="H172" s="104"/>
      <c r="I172" s="37"/>
      <c r="L172" s="95"/>
      <c r="M172" s="95"/>
      <c r="N172" s="37"/>
    </row>
    <row r="173" spans="1:14" s="63" customFormat="1" ht="15.75" hidden="1" customHeight="1" x14ac:dyDescent="0.25">
      <c r="A173" s="62">
        <f t="shared" si="4"/>
        <v>4</v>
      </c>
      <c r="B173" s="62" t="s">
        <v>253</v>
      </c>
      <c r="C173" s="62" t="s">
        <v>254</v>
      </c>
      <c r="D173" s="73">
        <f>(34.82)*10.764</f>
        <v>374.80248</v>
      </c>
      <c r="E173" s="70">
        <v>0</v>
      </c>
      <c r="F173" s="62">
        <f>D173*(($F$160)+1)+(IF(E173&lt;101,E173,IF(E173&lt;201,E173/2,IF(E173&lt;=301,E173/3,E173/4))))</f>
        <v>580.94384400000001</v>
      </c>
      <c r="G173" s="103"/>
      <c r="H173" s="104"/>
      <c r="I173" s="37"/>
      <c r="L173" s="95"/>
      <c r="M173" s="95"/>
      <c r="N173" s="37"/>
    </row>
    <row r="174" spans="1:14" s="63" customFormat="1" ht="15.75" hidden="1" customHeight="1" x14ac:dyDescent="0.25">
      <c r="A174" s="62">
        <f t="shared" si="4"/>
        <v>5</v>
      </c>
      <c r="B174" s="62" t="s">
        <v>253</v>
      </c>
      <c r="C174" s="62" t="s">
        <v>254</v>
      </c>
      <c r="D174" s="73">
        <f>(34.82)*10.764</f>
        <v>374.80248</v>
      </c>
      <c r="E174" s="70">
        <v>0</v>
      </c>
      <c r="F174" s="62">
        <f>D174*(($F$160)+1)+(IF(E174&lt;101,E174,IF(E174&lt;201,E174/2,IF(E174&lt;=301,E174/3,E174/4))))</f>
        <v>580.94384400000001</v>
      </c>
      <c r="G174" s="105"/>
      <c r="H174" s="106"/>
      <c r="I174" s="37"/>
      <c r="L174" s="95"/>
      <c r="M174" s="95"/>
      <c r="N174" s="37"/>
    </row>
    <row r="175" spans="1:14" s="63" customFormat="1" hidden="1" x14ac:dyDescent="0.25">
      <c r="A175" s="91" t="s">
        <v>257</v>
      </c>
      <c r="B175" s="92"/>
      <c r="C175" s="92"/>
      <c r="D175" s="92"/>
      <c r="E175" s="92"/>
      <c r="F175" s="92"/>
      <c r="G175" s="92"/>
      <c r="H175" s="93"/>
      <c r="J175" s="37"/>
    </row>
    <row r="176" spans="1:14" s="63" customFormat="1" ht="15.75" hidden="1" customHeight="1" x14ac:dyDescent="0.25">
      <c r="A176" s="62">
        <v>1</v>
      </c>
      <c r="B176" s="62" t="s">
        <v>253</v>
      </c>
      <c r="C176" s="62" t="s">
        <v>254</v>
      </c>
      <c r="D176" s="73">
        <f>(35.06)*10.764</f>
        <v>377.38583999999997</v>
      </c>
      <c r="E176" s="70">
        <v>0</v>
      </c>
      <c r="F176" s="62">
        <f>D176*(($F$160)+1)+(IF(E176&lt;101,E176,IF(E176&lt;201,E176/2,IF(E176&lt;=301,E176/3,E176/4))))</f>
        <v>584.94805199999996</v>
      </c>
      <c r="G176" s="101" t="str">
        <f>A175</f>
        <v>7th Floor (Part Terrace Area)</v>
      </c>
      <c r="H176" s="102"/>
      <c r="I176" s="37"/>
      <c r="L176" s="95"/>
      <c r="M176" s="95"/>
      <c r="N176" s="37"/>
    </row>
    <row r="177" spans="1:14" s="63" customFormat="1" ht="15.75" hidden="1" customHeight="1" x14ac:dyDescent="0.25">
      <c r="A177" s="62">
        <f t="shared" ref="A177:A180" si="5">A176+1</f>
        <v>2</v>
      </c>
      <c r="B177" s="62" t="s">
        <v>253</v>
      </c>
      <c r="C177" s="62" t="s">
        <v>254</v>
      </c>
      <c r="D177" s="73">
        <f>(35.06)*10.764</f>
        <v>377.38583999999997</v>
      </c>
      <c r="E177" s="70">
        <v>0</v>
      </c>
      <c r="F177" s="62">
        <f>D177*(($F$160)+1)+(IF(E177&lt;101,E177,IF(E177&lt;201,E177/2,IF(E177&lt;=301,E177/3,E177/4))))</f>
        <v>584.94805199999996</v>
      </c>
      <c r="G177" s="103"/>
      <c r="H177" s="104"/>
      <c r="I177" s="37"/>
      <c r="L177" s="95"/>
      <c r="M177" s="95"/>
      <c r="N177" s="37"/>
    </row>
    <row r="178" spans="1:14" s="63" customFormat="1" ht="15.75" hidden="1" customHeight="1" x14ac:dyDescent="0.25">
      <c r="A178" s="62">
        <f t="shared" si="5"/>
        <v>3</v>
      </c>
      <c r="B178" s="62" t="s">
        <v>253</v>
      </c>
      <c r="C178" s="62" t="s">
        <v>254</v>
      </c>
      <c r="D178" s="73">
        <f>(35.03)*10.764</f>
        <v>377.06291999999996</v>
      </c>
      <c r="E178" s="70">
        <v>0</v>
      </c>
      <c r="F178" s="62">
        <f>D178*(($F$160)+1)+(IF(E178&lt;101,E178,IF(E178&lt;201,E178/2,IF(E178&lt;=301,E178/3,E178/4))))</f>
        <v>584.44752599999993</v>
      </c>
      <c r="G178" s="103"/>
      <c r="H178" s="104"/>
      <c r="I178" s="37"/>
      <c r="L178" s="95"/>
      <c r="M178" s="95"/>
      <c r="N178" s="37"/>
    </row>
    <row r="179" spans="1:14" s="63" customFormat="1" ht="15.75" hidden="1" customHeight="1" x14ac:dyDescent="0.25">
      <c r="A179" s="62">
        <f t="shared" si="5"/>
        <v>4</v>
      </c>
      <c r="B179" s="62" t="s">
        <v>251</v>
      </c>
      <c r="C179" s="101" t="s">
        <v>258</v>
      </c>
      <c r="D179" s="180"/>
      <c r="E179" s="180"/>
      <c r="F179" s="102"/>
      <c r="G179" s="103"/>
      <c r="H179" s="104"/>
      <c r="I179" s="37"/>
      <c r="L179" s="95"/>
      <c r="M179" s="95"/>
      <c r="N179" s="37"/>
    </row>
    <row r="180" spans="1:14" s="63" customFormat="1" ht="15.75" hidden="1" customHeight="1" x14ac:dyDescent="0.25">
      <c r="A180" s="62">
        <f t="shared" si="5"/>
        <v>5</v>
      </c>
      <c r="B180" s="62" t="s">
        <v>251</v>
      </c>
      <c r="C180" s="105"/>
      <c r="D180" s="181"/>
      <c r="E180" s="181"/>
      <c r="F180" s="106"/>
      <c r="G180" s="105"/>
      <c r="H180" s="106"/>
      <c r="I180" s="37"/>
      <c r="L180" s="95"/>
      <c r="M180" s="95"/>
      <c r="N180" s="37"/>
    </row>
    <row r="181" spans="1:14" s="63" customFormat="1" hidden="1" x14ac:dyDescent="0.25">
      <c r="A181" s="91" t="s">
        <v>259</v>
      </c>
      <c r="B181" s="92"/>
      <c r="C181" s="92"/>
      <c r="D181" s="92"/>
      <c r="E181" s="92"/>
      <c r="F181" s="92"/>
      <c r="G181" s="92"/>
      <c r="H181" s="93"/>
      <c r="J181" s="37"/>
    </row>
    <row r="182" spans="1:14" s="63" customFormat="1" ht="15.75" hidden="1" customHeight="1" x14ac:dyDescent="0.25">
      <c r="A182" s="62">
        <v>1</v>
      </c>
      <c r="B182" s="62" t="s">
        <v>253</v>
      </c>
      <c r="C182" s="62" t="s">
        <v>254</v>
      </c>
      <c r="D182" s="73">
        <f>(35.06)*10.764</f>
        <v>377.38583999999997</v>
      </c>
      <c r="E182" s="70">
        <v>0</v>
      </c>
      <c r="F182" s="62">
        <f>D182*(($F$160)+1)+(IF(E182&lt;101,E182,IF(E182&lt;201,E182/2,IF(E182&lt;=301,E182/3,E182/4))))</f>
        <v>584.94805199999996</v>
      </c>
      <c r="G182" s="101" t="str">
        <f>A181</f>
        <v>8th Floor</v>
      </c>
      <c r="H182" s="102"/>
      <c r="I182" s="37"/>
      <c r="L182" s="95"/>
      <c r="M182" s="95"/>
      <c r="N182" s="37"/>
    </row>
    <row r="183" spans="1:14" s="63" customFormat="1" ht="15.75" hidden="1" customHeight="1" x14ac:dyDescent="0.25">
      <c r="A183" s="62">
        <f t="shared" ref="A183:A184" si="6">A182+1</f>
        <v>2</v>
      </c>
      <c r="B183" s="62" t="s">
        <v>253</v>
      </c>
      <c r="C183" s="62" t="s">
        <v>254</v>
      </c>
      <c r="D183" s="73">
        <f>(35.06)*10.764</f>
        <v>377.38583999999997</v>
      </c>
      <c r="E183" s="70">
        <v>0</v>
      </c>
      <c r="F183" s="62">
        <f>D183*(($F$160)+1)+(IF(E183&lt;101,E183,IF(E183&lt;201,E183/2,IF(E183&lt;=301,E183/3,E183/4))))</f>
        <v>584.94805199999996</v>
      </c>
      <c r="G183" s="103"/>
      <c r="H183" s="104"/>
      <c r="I183" s="37"/>
      <c r="L183" s="95"/>
      <c r="M183" s="95"/>
      <c r="N183" s="37"/>
    </row>
    <row r="184" spans="1:14" s="63" customFormat="1" ht="15.75" hidden="1" customHeight="1" x14ac:dyDescent="0.25">
      <c r="A184" s="62">
        <f t="shared" si="6"/>
        <v>3</v>
      </c>
      <c r="B184" s="62" t="s">
        <v>253</v>
      </c>
      <c r="C184" s="62" t="s">
        <v>254</v>
      </c>
      <c r="D184" s="73">
        <f>(35.03)*10.764</f>
        <v>377.06291999999996</v>
      </c>
      <c r="E184" s="70">
        <v>0</v>
      </c>
      <c r="F184" s="62">
        <f>D184*(($F$160)+1)+(IF(E184&lt;101,E184,IF(E184&lt;201,E184/2,IF(E184&lt;=301,E184/3,E184/4))))</f>
        <v>584.44752599999993</v>
      </c>
      <c r="G184" s="103"/>
      <c r="H184" s="104"/>
      <c r="I184" s="37"/>
      <c r="L184" s="95"/>
      <c r="M184" s="95"/>
      <c r="N184" s="37"/>
    </row>
    <row r="185" spans="1:14" s="63" customFormat="1" hidden="1" x14ac:dyDescent="0.25">
      <c r="A185" s="250" t="s">
        <v>247</v>
      </c>
      <c r="B185" s="251"/>
      <c r="C185" s="251"/>
      <c r="D185" s="251"/>
      <c r="E185" s="251"/>
      <c r="F185" s="251"/>
      <c r="G185" s="251"/>
      <c r="H185" s="252"/>
      <c r="J185" s="37"/>
    </row>
    <row r="186" spans="1:14" s="63" customFormat="1" hidden="1" x14ac:dyDescent="0.25">
      <c r="A186" s="91" t="s">
        <v>248</v>
      </c>
      <c r="B186" s="92"/>
      <c r="C186" s="92"/>
      <c r="D186" s="92"/>
      <c r="E186" s="92"/>
      <c r="F186" s="92"/>
      <c r="G186" s="92"/>
      <c r="H186" s="93"/>
      <c r="J186" s="37"/>
    </row>
    <row r="187" spans="1:14" s="63" customFormat="1" hidden="1" x14ac:dyDescent="0.25">
      <c r="A187" s="91" t="s">
        <v>261</v>
      </c>
      <c r="B187" s="92"/>
      <c r="C187" s="92"/>
      <c r="D187" s="92"/>
      <c r="E187" s="92"/>
      <c r="F187" s="92"/>
      <c r="G187" s="92"/>
      <c r="H187" s="93"/>
      <c r="J187" s="37"/>
    </row>
    <row r="188" spans="1:14" s="63" customFormat="1" ht="15.75" hidden="1" customHeight="1" x14ac:dyDescent="0.25">
      <c r="A188" s="62">
        <v>1</v>
      </c>
      <c r="B188" s="62" t="s">
        <v>262</v>
      </c>
      <c r="C188" s="62" t="s">
        <v>254</v>
      </c>
      <c r="D188" s="73">
        <f>(34.57)*10.764</f>
        <v>372.11147999999997</v>
      </c>
      <c r="E188" s="70">
        <v>0</v>
      </c>
      <c r="F188" s="62">
        <f>D188*(($F$160)+1)+(IF(E188&lt;101,E188,IF(E188&lt;201,E188/2,IF(E188&lt;=301,E188/3,E188/4))))</f>
        <v>576.77279399999998</v>
      </c>
      <c r="G188" s="101" t="str">
        <f>A187</f>
        <v>1st Floor for Residential &amp; Parking</v>
      </c>
      <c r="H188" s="102"/>
      <c r="I188" s="37"/>
      <c r="L188" s="95"/>
      <c r="M188" s="95"/>
      <c r="N188" s="37"/>
    </row>
    <row r="189" spans="1:14" s="63" customFormat="1" ht="15.75" hidden="1" customHeight="1" x14ac:dyDescent="0.25">
      <c r="A189" s="62">
        <f t="shared" ref="A189" si="7">A188+1</f>
        <v>2</v>
      </c>
      <c r="B189" s="62" t="s">
        <v>262</v>
      </c>
      <c r="C189" s="62" t="s">
        <v>254</v>
      </c>
      <c r="D189" s="73">
        <f>(34.73)*10.764</f>
        <v>373.83371999999997</v>
      </c>
      <c r="E189" s="70">
        <v>0</v>
      </c>
      <c r="F189" s="62">
        <f>D189*(($F$160)+1)+(IF(E189&lt;101,E189,IF(E189&lt;201,E189/2,IF(E189&lt;=301,E189/3,E189/4))))</f>
        <v>579.44226600000002</v>
      </c>
      <c r="G189" s="103" t="str">
        <f t="shared" ref="G189" si="8">G188</f>
        <v>1st Floor for Residential &amp; Parking</v>
      </c>
      <c r="H189" s="104"/>
      <c r="I189" s="37"/>
      <c r="L189" s="95"/>
      <c r="M189" s="95"/>
      <c r="N189" s="37"/>
    </row>
    <row r="190" spans="1:14" s="63" customFormat="1" hidden="1" x14ac:dyDescent="0.25">
      <c r="A190" s="91" t="s">
        <v>263</v>
      </c>
      <c r="B190" s="92"/>
      <c r="C190" s="92"/>
      <c r="D190" s="92"/>
      <c r="E190" s="92"/>
      <c r="F190" s="92"/>
      <c r="G190" s="92"/>
      <c r="H190" s="93"/>
      <c r="J190" s="37"/>
    </row>
    <row r="191" spans="1:14" s="63" customFormat="1" ht="15.75" hidden="1" customHeight="1" x14ac:dyDescent="0.25">
      <c r="A191" s="62">
        <v>1</v>
      </c>
      <c r="B191" s="62" t="s">
        <v>262</v>
      </c>
      <c r="C191" s="62" t="s">
        <v>254</v>
      </c>
      <c r="D191" s="73">
        <f>(34.57)*10.764</f>
        <v>372.11147999999997</v>
      </c>
      <c r="E191" s="70">
        <v>0</v>
      </c>
      <c r="F191" s="62">
        <f>D191*(($F$160)+1)+(IF(E191&lt;101,E191,IF(E191&lt;201,E191/2,IF(E191&lt;=301,E191/3,E191/4))))</f>
        <v>576.77279399999998</v>
      </c>
      <c r="G191" s="101" t="str">
        <f>A190</f>
        <v>2nd to 4th Floor</v>
      </c>
      <c r="H191" s="102"/>
      <c r="I191" s="37"/>
      <c r="L191" s="95"/>
      <c r="M191" s="95"/>
      <c r="N191" s="37"/>
    </row>
    <row r="192" spans="1:14" s="63" customFormat="1" ht="15.75" hidden="1" customHeight="1" x14ac:dyDescent="0.25">
      <c r="A192" s="62">
        <f t="shared" ref="A192" si="9">A191+1</f>
        <v>2</v>
      </c>
      <c r="B192" s="62" t="s">
        <v>262</v>
      </c>
      <c r="C192" s="62" t="s">
        <v>254</v>
      </c>
      <c r="D192" s="73">
        <f>(34.73)*10.764</f>
        <v>373.83371999999997</v>
      </c>
      <c r="E192" s="70">
        <v>0</v>
      </c>
      <c r="F192" s="62">
        <f>D192*(($F$160)+1)+(IF(E192&lt;101,E192,IF(E192&lt;201,E192/2,IF(E192&lt;=301,E192/3,E192/4))))</f>
        <v>579.44226600000002</v>
      </c>
      <c r="G192" s="103" t="str">
        <f t="shared" ref="G192" si="10">G191</f>
        <v>2nd to 4th Floor</v>
      </c>
      <c r="H192" s="104"/>
      <c r="I192" s="37"/>
      <c r="L192" s="95"/>
      <c r="M192" s="95"/>
      <c r="N192" s="37"/>
    </row>
    <row r="193" spans="1:14" s="63" customFormat="1" hidden="1" x14ac:dyDescent="0.25">
      <c r="A193" s="91" t="s">
        <v>264</v>
      </c>
      <c r="B193" s="92"/>
      <c r="C193" s="92"/>
      <c r="D193" s="92"/>
      <c r="E193" s="92"/>
      <c r="F193" s="92"/>
      <c r="G193" s="92"/>
      <c r="H193" s="93"/>
      <c r="J193" s="37"/>
    </row>
    <row r="194" spans="1:14" s="63" customFormat="1" ht="15.75" hidden="1" customHeight="1" x14ac:dyDescent="0.25">
      <c r="A194" s="62">
        <v>1</v>
      </c>
      <c r="B194" s="62" t="s">
        <v>262</v>
      </c>
      <c r="C194" s="62" t="s">
        <v>254</v>
      </c>
      <c r="D194" s="73">
        <f>(34.57)*10.764</f>
        <v>372.11147999999997</v>
      </c>
      <c r="E194" s="70">
        <v>0</v>
      </c>
      <c r="F194" s="62">
        <f>D194*(($F$160)+1)+(IF(E194&lt;101,E194,IF(E194&lt;201,E194/2,IF(E194&lt;=301,E194/3,E194/4))))</f>
        <v>576.77279399999998</v>
      </c>
      <c r="G194" s="101" t="str">
        <f>A193</f>
        <v>5th to 16th Floor</v>
      </c>
      <c r="H194" s="102"/>
      <c r="I194" s="37"/>
      <c r="L194" s="95"/>
      <c r="M194" s="95"/>
      <c r="N194" s="37"/>
    </row>
    <row r="195" spans="1:14" s="63" customFormat="1" ht="15.75" hidden="1" customHeight="1" x14ac:dyDescent="0.25">
      <c r="A195" s="62">
        <f t="shared" ref="A195" si="11">A194+1</f>
        <v>2</v>
      </c>
      <c r="B195" s="62" t="s">
        <v>262</v>
      </c>
      <c r="C195" s="62" t="s">
        <v>254</v>
      </c>
      <c r="D195" s="73">
        <f>(34.73)*10.764</f>
        <v>373.83371999999997</v>
      </c>
      <c r="E195" s="70">
        <v>0</v>
      </c>
      <c r="F195" s="62">
        <f>D195*(($F$160)+1)+(IF(E195&lt;101,E195,IF(E195&lt;201,E195/2,IF(E195&lt;=301,E195/3,E195/4))))</f>
        <v>579.44226600000002</v>
      </c>
      <c r="G195" s="103" t="str">
        <f t="shared" ref="G195" si="12">G194</f>
        <v>5th to 16th Floor</v>
      </c>
      <c r="H195" s="104"/>
      <c r="I195" s="37"/>
      <c r="L195" s="95"/>
      <c r="M195" s="95"/>
      <c r="N195" s="37"/>
    </row>
    <row r="196" spans="1:14" s="63" customFormat="1" x14ac:dyDescent="0.25">
      <c r="A196" s="124" t="s">
        <v>265</v>
      </c>
      <c r="B196" s="125"/>
      <c r="C196" s="125"/>
      <c r="D196" s="125"/>
      <c r="E196" s="125"/>
      <c r="F196" s="125"/>
      <c r="G196" s="125"/>
      <c r="H196" s="126"/>
      <c r="J196" s="37"/>
    </row>
    <row r="197" spans="1:14" s="79" customFormat="1" x14ac:dyDescent="0.25">
      <c r="A197" s="91" t="s">
        <v>302</v>
      </c>
      <c r="B197" s="92"/>
      <c r="C197" s="92"/>
      <c r="D197" s="92"/>
      <c r="E197" s="92"/>
      <c r="F197" s="92"/>
      <c r="G197" s="92"/>
      <c r="H197" s="93"/>
      <c r="J197" s="37"/>
    </row>
    <row r="198" spans="1:14" s="63" customFormat="1" x14ac:dyDescent="0.25">
      <c r="A198" s="91" t="s">
        <v>263</v>
      </c>
      <c r="B198" s="92"/>
      <c r="C198" s="92"/>
      <c r="D198" s="92"/>
      <c r="E198" s="92"/>
      <c r="F198" s="92"/>
      <c r="G198" s="92"/>
      <c r="H198" s="93"/>
      <c r="J198" s="37"/>
      <c r="K198" s="63">
        <v>20000000</v>
      </c>
    </row>
    <row r="199" spans="1:14" s="63" customFormat="1" ht="15.75" customHeight="1" x14ac:dyDescent="0.25">
      <c r="A199" s="62">
        <v>1</v>
      </c>
      <c r="B199" s="62" t="s">
        <v>266</v>
      </c>
      <c r="C199" s="62" t="s">
        <v>254</v>
      </c>
      <c r="D199" s="73">
        <f>(36.31)*10.764</f>
        <v>390.84084000000001</v>
      </c>
      <c r="E199" s="70">
        <v>0</v>
      </c>
      <c r="F199" s="62">
        <f>D199*(($F$160)+1)+(IF(E199&lt;101,E199,IF(E199&lt;201,E199/2,IF(E199&lt;=301,E199/3,E199/4))))</f>
        <v>605.80330200000003</v>
      </c>
      <c r="G199" s="101" t="str">
        <f>A198</f>
        <v>2nd to 4th Floor</v>
      </c>
      <c r="H199" s="102"/>
      <c r="I199" s="37"/>
      <c r="K199" s="63">
        <f>K$198*F199</f>
        <v>12116066040</v>
      </c>
      <c r="L199" s="95"/>
      <c r="M199" s="95"/>
      <c r="N199" s="37"/>
    </row>
    <row r="200" spans="1:14" s="63" customFormat="1" ht="15.75" customHeight="1" x14ac:dyDescent="0.25">
      <c r="A200" s="62">
        <f t="shared" ref="A200:A202" si="13">A199+1</f>
        <v>2</v>
      </c>
      <c r="B200" s="62" t="s">
        <v>266</v>
      </c>
      <c r="C200" s="62" t="s">
        <v>254</v>
      </c>
      <c r="D200" s="73">
        <f>(36.29)*10.764</f>
        <v>390.62555999999995</v>
      </c>
      <c r="E200" s="70">
        <v>0</v>
      </c>
      <c r="F200" s="62">
        <f>D200*(($F$160)+1)+(IF(E200&lt;101,E200,IF(E200&lt;201,E200/2,IF(E200&lt;=301,E200/3,E200/4))))</f>
        <v>605.46961799999997</v>
      </c>
      <c r="G200" s="103" t="str">
        <f t="shared" ref="G200:G202" si="14">G199</f>
        <v>2nd to 4th Floor</v>
      </c>
      <c r="H200" s="104"/>
      <c r="I200" s="37"/>
      <c r="K200" s="79">
        <f t="shared" ref="K200:K202" si="15">K$198*F200</f>
        <v>12109392360</v>
      </c>
      <c r="L200" s="95"/>
      <c r="M200" s="95"/>
      <c r="N200" s="37"/>
    </row>
    <row r="201" spans="1:14" s="63" customFormat="1" ht="15.75" customHeight="1" x14ac:dyDescent="0.25">
      <c r="A201" s="62">
        <f t="shared" si="13"/>
        <v>3</v>
      </c>
      <c r="B201" s="62" t="s">
        <v>266</v>
      </c>
      <c r="C201" s="62" t="s">
        <v>254</v>
      </c>
      <c r="D201" s="73">
        <f>(37.7)*10.764</f>
        <v>405.80279999999999</v>
      </c>
      <c r="E201" s="70">
        <v>0</v>
      </c>
      <c r="F201" s="62">
        <f>D201*(($F$160)+1)+(IF(E201&lt;101,E201,IF(E201&lt;201,E201/2,IF(E201&lt;=301,E201/3,E201/4))))</f>
        <v>628.99433999999997</v>
      </c>
      <c r="G201" s="103" t="str">
        <f t="shared" si="14"/>
        <v>2nd to 4th Floor</v>
      </c>
      <c r="H201" s="104"/>
      <c r="I201" s="37"/>
      <c r="J201" s="37">
        <f>12500000/F201</f>
        <v>19872.992815801808</v>
      </c>
      <c r="K201" s="79">
        <f t="shared" si="15"/>
        <v>12579886800</v>
      </c>
      <c r="L201" s="95"/>
      <c r="M201" s="95"/>
      <c r="N201" s="37"/>
    </row>
    <row r="202" spans="1:14" s="63" customFormat="1" ht="15.75" customHeight="1" x14ac:dyDescent="0.25">
      <c r="A202" s="62">
        <f t="shared" si="13"/>
        <v>4</v>
      </c>
      <c r="B202" s="62" t="s">
        <v>266</v>
      </c>
      <c r="C202" s="62" t="s">
        <v>254</v>
      </c>
      <c r="D202" s="73">
        <f>(35.98)*10.764</f>
        <v>387.28871999999996</v>
      </c>
      <c r="E202" s="70">
        <v>0</v>
      </c>
      <c r="F202" s="62">
        <f>D202*(($F$160)+1)+(IF(E202&lt;101,E202,IF(E202&lt;201,E202/2,IF(E202&lt;=301,E202/3,E202/4))))</f>
        <v>600.29751599999997</v>
      </c>
      <c r="G202" s="105" t="str">
        <f t="shared" si="14"/>
        <v>2nd to 4th Floor</v>
      </c>
      <c r="H202" s="106"/>
      <c r="I202" s="37">
        <f>4.45*3+3.1*2.45+3.15*2.9+1.2*1.9+1.2*1.45</f>
        <v>34.1</v>
      </c>
      <c r="J202" s="37"/>
      <c r="K202" s="79">
        <f t="shared" si="15"/>
        <v>12005950320</v>
      </c>
      <c r="L202" s="95"/>
      <c r="M202" s="95"/>
      <c r="N202" s="37"/>
    </row>
    <row r="203" spans="1:14" s="63" customFormat="1" ht="31.5" customHeight="1" x14ac:dyDescent="0.25">
      <c r="A203" s="91" t="s">
        <v>304</v>
      </c>
      <c r="B203" s="92"/>
      <c r="C203" s="92"/>
      <c r="D203" s="92"/>
      <c r="E203" s="92"/>
      <c r="F203" s="92"/>
      <c r="G203" s="92"/>
      <c r="H203" s="93"/>
      <c r="J203" s="37"/>
    </row>
    <row r="204" spans="1:14" s="63" customFormat="1" ht="15.75" customHeight="1" x14ac:dyDescent="0.25">
      <c r="A204" s="62">
        <v>1</v>
      </c>
      <c r="B204" s="62" t="s">
        <v>266</v>
      </c>
      <c r="C204" s="62" t="s">
        <v>254</v>
      </c>
      <c r="D204" s="73">
        <f>(36.31)*10.764</f>
        <v>390.84084000000001</v>
      </c>
      <c r="E204" s="70">
        <v>0</v>
      </c>
      <c r="F204" s="62">
        <f>D204*(($F$160)+1)+(IF(E204&lt;101,E204,IF(E204&lt;201,E204/2,IF(E204&lt;=301,E204/3,E204/4))))</f>
        <v>605.80330200000003</v>
      </c>
      <c r="G204" s="101" t="str">
        <f>A203</f>
        <v>5th to 16th Floor 
(Part Refuge Area @ Alternate Floor Level 7th, 9th, 11th, 13th, 15th Floor Mid Landing)</v>
      </c>
      <c r="H204" s="102"/>
      <c r="I204" s="37"/>
      <c r="L204" s="95"/>
      <c r="M204" s="95"/>
      <c r="N204" s="37"/>
    </row>
    <row r="205" spans="1:14" s="63" customFormat="1" ht="15.75" customHeight="1" x14ac:dyDescent="0.25">
      <c r="A205" s="62">
        <f t="shared" ref="A205:A207" si="16">A204+1</f>
        <v>2</v>
      </c>
      <c r="B205" s="62" t="s">
        <v>266</v>
      </c>
      <c r="C205" s="62" t="s">
        <v>254</v>
      </c>
      <c r="D205" s="73">
        <f>(36.29)*10.764</f>
        <v>390.62555999999995</v>
      </c>
      <c r="E205" s="70">
        <v>0</v>
      </c>
      <c r="F205" s="62">
        <f>D205*(($F$160)+1)+(IF(E205&lt;101,E205,IF(E205&lt;201,E205/2,IF(E205&lt;=301,E205/3,E205/4))))</f>
        <v>605.46961799999997</v>
      </c>
      <c r="G205" s="103" t="str">
        <f t="shared" ref="G205:G207" si="17">G204</f>
        <v>5th to 16th Floor 
(Part Refuge Area @ Alternate Floor Level 7th, 9th, 11th, 13th, 15th Floor Mid Landing)</v>
      </c>
      <c r="H205" s="104"/>
      <c r="I205" s="37"/>
      <c r="L205" s="95"/>
      <c r="M205" s="95"/>
      <c r="N205" s="37"/>
    </row>
    <row r="206" spans="1:14" s="63" customFormat="1" ht="15.75" customHeight="1" x14ac:dyDescent="0.25">
      <c r="A206" s="62">
        <f t="shared" si="16"/>
        <v>3</v>
      </c>
      <c r="B206" s="62" t="s">
        <v>266</v>
      </c>
      <c r="C206" s="62" t="s">
        <v>254</v>
      </c>
      <c r="D206" s="73">
        <f>(37.7)*10.764</f>
        <v>405.80279999999999</v>
      </c>
      <c r="E206" s="70">
        <v>0</v>
      </c>
      <c r="F206" s="62">
        <f>D206*(($F$160)+1)+(IF(E206&lt;101,E206,IF(E206&lt;201,E206/2,IF(E206&lt;=301,E206/3,E206/4))))</f>
        <v>628.99433999999997</v>
      </c>
      <c r="G206" s="103" t="str">
        <f t="shared" si="17"/>
        <v>5th to 16th Floor 
(Part Refuge Area @ Alternate Floor Level 7th, 9th, 11th, 13th, 15th Floor Mid Landing)</v>
      </c>
      <c r="H206" s="104"/>
      <c r="I206" s="37"/>
      <c r="J206" s="37">
        <f>12700000/F206</f>
        <v>20190.960700854637</v>
      </c>
      <c r="L206" s="95"/>
      <c r="M206" s="95"/>
      <c r="N206" s="37"/>
    </row>
    <row r="207" spans="1:14" s="63" customFormat="1" ht="15.75" customHeight="1" x14ac:dyDescent="0.25">
      <c r="A207" s="62">
        <f t="shared" si="16"/>
        <v>4</v>
      </c>
      <c r="B207" s="62" t="s">
        <v>266</v>
      </c>
      <c r="C207" s="62" t="s">
        <v>254</v>
      </c>
      <c r="D207" s="73">
        <f>(35.98)*10.764</f>
        <v>387.28871999999996</v>
      </c>
      <c r="E207" s="70">
        <v>0</v>
      </c>
      <c r="F207" s="62">
        <f>D207*(($F$160)+1)+(IF(E207&lt;101,E207,IF(E207&lt;201,E207/2,IF(E207&lt;=301,E207/3,E207/4))))</f>
        <v>600.29751599999997</v>
      </c>
      <c r="G207" s="105" t="str">
        <f t="shared" si="17"/>
        <v>5th to 16th Floor 
(Part Refuge Area @ Alternate Floor Level 7th, 9th, 11th, 13th, 15th Floor Mid Landing)</v>
      </c>
      <c r="H207" s="106"/>
      <c r="I207" s="37"/>
      <c r="J207" s="37">
        <f>11500000/F207</f>
        <v>19157.167393642856</v>
      </c>
      <c r="K207" s="63">
        <f>15700000/F207</f>
        <v>26153.698093929812</v>
      </c>
      <c r="L207" s="95"/>
      <c r="M207" s="95"/>
      <c r="N207" s="37"/>
    </row>
    <row r="208" spans="1:14" s="63" customFormat="1" ht="31.5" customHeight="1" x14ac:dyDescent="0.25">
      <c r="A208" s="91" t="s">
        <v>305</v>
      </c>
      <c r="B208" s="92"/>
      <c r="C208" s="92"/>
      <c r="D208" s="92"/>
      <c r="E208" s="92"/>
      <c r="F208" s="92"/>
      <c r="G208" s="92"/>
      <c r="H208" s="93"/>
      <c r="J208" s="37"/>
    </row>
    <row r="209" spans="1:14" s="63" customFormat="1" ht="15.75" customHeight="1" x14ac:dyDescent="0.25">
      <c r="A209" s="62">
        <v>1</v>
      </c>
      <c r="B209" s="62" t="s">
        <v>266</v>
      </c>
      <c r="C209" s="62" t="s">
        <v>254</v>
      </c>
      <c r="D209" s="73">
        <f>(36.31)*10.764</f>
        <v>390.84084000000001</v>
      </c>
      <c r="E209" s="70">
        <v>0</v>
      </c>
      <c r="F209" s="62">
        <f>D209*(($F$160)+1)+(IF(E209&lt;101,E209,IF(E209&lt;201,E209/2,IF(E209&lt;=301,E209/3,E209/4))))</f>
        <v>605.80330200000003</v>
      </c>
      <c r="G209" s="101" t="str">
        <f>A208</f>
        <v>17th Floor 
(Part Refuge Area @ Alternate Floor Level 17th Floor Mid Landing) &amp; Fitness Center</v>
      </c>
      <c r="H209" s="102"/>
      <c r="I209" s="37"/>
      <c r="L209" s="95"/>
      <c r="M209" s="95"/>
      <c r="N209" s="37"/>
    </row>
    <row r="210" spans="1:14" s="63" customFormat="1" ht="15.75" customHeight="1" x14ac:dyDescent="0.25">
      <c r="A210" s="62">
        <f t="shared" ref="A210:A212" si="18">A209+1</f>
        <v>2</v>
      </c>
      <c r="B210" s="62" t="s">
        <v>266</v>
      </c>
      <c r="C210" s="62" t="s">
        <v>254</v>
      </c>
      <c r="D210" s="73">
        <f>(36.29)*10.764</f>
        <v>390.62555999999995</v>
      </c>
      <c r="E210" s="70">
        <v>0</v>
      </c>
      <c r="F210" s="62">
        <f>D210*(($F$160)+1)+(IF(E210&lt;101,E210,IF(E210&lt;201,E210/2,IF(E210&lt;=301,E210/3,E210/4))))</f>
        <v>605.46961799999997</v>
      </c>
      <c r="G210" s="103" t="str">
        <f t="shared" ref="G210:G212" si="19">G209</f>
        <v>17th Floor 
(Part Refuge Area @ Alternate Floor Level 17th Floor Mid Landing) &amp; Fitness Center</v>
      </c>
      <c r="H210" s="104"/>
      <c r="I210" s="37"/>
      <c r="L210" s="95"/>
      <c r="M210" s="95"/>
      <c r="N210" s="37"/>
    </row>
    <row r="211" spans="1:14" s="63" customFormat="1" ht="15.75" customHeight="1" x14ac:dyDescent="0.25">
      <c r="A211" s="62">
        <f t="shared" si="18"/>
        <v>3</v>
      </c>
      <c r="B211" s="62" t="s">
        <v>266</v>
      </c>
      <c r="C211" s="62" t="s">
        <v>254</v>
      </c>
      <c r="D211" s="73">
        <f>(37.7)*10.764</f>
        <v>405.80279999999999</v>
      </c>
      <c r="E211" s="70">
        <v>0</v>
      </c>
      <c r="F211" s="62">
        <f>D211*(($F$160)+1)+(IF(E211&lt;101,E211,IF(E211&lt;201,E211/2,IF(E211&lt;=301,E211/3,E211/4))))</f>
        <v>628.99433999999997</v>
      </c>
      <c r="G211" s="103" t="str">
        <f t="shared" si="19"/>
        <v>17th Floor 
(Part Refuge Area @ Alternate Floor Level 17th Floor Mid Landing) &amp; Fitness Center</v>
      </c>
      <c r="H211" s="104"/>
      <c r="I211" s="37"/>
      <c r="J211" s="37">
        <f>12300000/F211</f>
        <v>19555.024930748979</v>
      </c>
      <c r="L211" s="95"/>
      <c r="M211" s="95"/>
      <c r="N211" s="37"/>
    </row>
    <row r="212" spans="1:14" s="63" customFormat="1" ht="15.75" customHeight="1" x14ac:dyDescent="0.25">
      <c r="A212" s="62">
        <f t="shared" si="18"/>
        <v>4</v>
      </c>
      <c r="B212" s="62" t="s">
        <v>266</v>
      </c>
      <c r="C212" s="62" t="s">
        <v>255</v>
      </c>
      <c r="D212" s="73">
        <f>(23.7)*10.764</f>
        <v>255.10679999999996</v>
      </c>
      <c r="E212" s="70">
        <v>0</v>
      </c>
      <c r="F212" s="62">
        <f>D212*(($F$160)+1)+(IF(E212&lt;101,E212,IF(E212&lt;201,E212/2,IF(E212&lt;=301,E212/3,E212/4))))</f>
        <v>395.41553999999996</v>
      </c>
      <c r="G212" s="105" t="str">
        <f t="shared" si="19"/>
        <v>17th Floor 
(Part Refuge Area @ Alternate Floor Level 17th Floor Mid Landing) &amp; Fitness Center</v>
      </c>
      <c r="H212" s="106"/>
      <c r="I212" s="37"/>
      <c r="J212" s="37">
        <f>8200000/F212</f>
        <v>20737.677634015094</v>
      </c>
      <c r="L212" s="95"/>
      <c r="M212" s="95"/>
      <c r="N212" s="37"/>
    </row>
    <row r="213" spans="1:14" s="63" customFormat="1" x14ac:dyDescent="0.25">
      <c r="A213" s="91" t="s">
        <v>303</v>
      </c>
      <c r="B213" s="92"/>
      <c r="C213" s="92"/>
      <c r="D213" s="92"/>
      <c r="E213" s="92"/>
      <c r="F213" s="92"/>
      <c r="G213" s="92"/>
      <c r="H213" s="93"/>
      <c r="J213" s="37"/>
    </row>
    <row r="214" spans="1:14" s="63" customFormat="1" ht="15.75" hidden="1" customHeight="1" x14ac:dyDescent="0.25">
      <c r="A214" s="62">
        <v>1</v>
      </c>
      <c r="B214" s="62" t="s">
        <v>251</v>
      </c>
      <c r="C214" s="96" t="s">
        <v>252</v>
      </c>
      <c r="D214" s="243"/>
      <c r="E214" s="243"/>
      <c r="F214" s="97"/>
      <c r="G214" s="101" t="str">
        <f>A213</f>
        <v>18th Floor For Fitness Center &amp; Part Terrace Area</v>
      </c>
      <c r="H214" s="102"/>
      <c r="I214" s="37"/>
      <c r="L214" s="95"/>
      <c r="M214" s="95"/>
      <c r="N214" s="37"/>
    </row>
    <row r="215" spans="1:14" s="63" customFormat="1" ht="15.75" hidden="1" customHeight="1" x14ac:dyDescent="0.25">
      <c r="A215" s="62">
        <f t="shared" ref="A215:A217" si="20">A214+1</f>
        <v>2</v>
      </c>
      <c r="B215" s="62" t="s">
        <v>251</v>
      </c>
      <c r="C215" s="101" t="s">
        <v>258</v>
      </c>
      <c r="D215" s="180"/>
      <c r="E215" s="180"/>
      <c r="F215" s="102"/>
      <c r="G215" s="103" t="str">
        <f t="shared" ref="G215:G217" si="21">G214</f>
        <v>18th Floor For Fitness Center &amp; Part Terrace Area</v>
      </c>
      <c r="H215" s="104"/>
      <c r="I215" s="37"/>
      <c r="L215" s="95"/>
      <c r="M215" s="95"/>
      <c r="N215" s="37"/>
    </row>
    <row r="216" spans="1:14" s="63" customFormat="1" ht="15.75" hidden="1" customHeight="1" x14ac:dyDescent="0.25">
      <c r="A216" s="62">
        <f t="shared" si="20"/>
        <v>3</v>
      </c>
      <c r="B216" s="62" t="s">
        <v>251</v>
      </c>
      <c r="C216" s="103"/>
      <c r="D216" s="253"/>
      <c r="E216" s="253"/>
      <c r="F216" s="104"/>
      <c r="G216" s="103" t="str">
        <f t="shared" si="21"/>
        <v>18th Floor For Fitness Center &amp; Part Terrace Area</v>
      </c>
      <c r="H216" s="104"/>
      <c r="I216" s="37"/>
      <c r="L216" s="95"/>
      <c r="M216" s="95"/>
      <c r="N216" s="37"/>
    </row>
    <row r="217" spans="1:14" s="63" customFormat="1" ht="15.75" hidden="1" customHeight="1" x14ac:dyDescent="0.25">
      <c r="A217" s="62">
        <f t="shared" si="20"/>
        <v>4</v>
      </c>
      <c r="B217" s="62" t="s">
        <v>251</v>
      </c>
      <c r="C217" s="105"/>
      <c r="D217" s="181"/>
      <c r="E217" s="181"/>
      <c r="F217" s="106"/>
      <c r="G217" s="105" t="str">
        <f t="shared" si="21"/>
        <v>18th Floor For Fitness Center &amp; Part Terrace Area</v>
      </c>
      <c r="H217" s="106"/>
      <c r="I217" s="37"/>
      <c r="L217" s="95"/>
      <c r="M217" s="95"/>
      <c r="N217" s="37"/>
    </row>
    <row r="218" spans="1:14" s="63" customFormat="1" hidden="1" x14ac:dyDescent="0.25">
      <c r="A218" s="91" t="s">
        <v>118</v>
      </c>
      <c r="B218" s="92"/>
      <c r="C218" s="92"/>
      <c r="D218" s="92"/>
      <c r="E218" s="92"/>
      <c r="F218" s="92"/>
      <c r="G218" s="92"/>
      <c r="H218" s="93"/>
      <c r="J218" s="37"/>
    </row>
    <row r="219" spans="1:14" s="63" customFormat="1" ht="15.75" hidden="1" customHeight="1" x14ac:dyDescent="0.25">
      <c r="A219" s="96">
        <v>1</v>
      </c>
      <c r="B219" s="97"/>
      <c r="C219" s="62"/>
      <c r="D219" s="62"/>
      <c r="E219" s="70">
        <v>0</v>
      </c>
      <c r="F219" s="62">
        <f>D219*(($F$160)+1)+(IF(E219&lt;101,E219,IF(E219&lt;201,E219/2,IF(E219&lt;=301,E219/3,E219/4))))</f>
        <v>0</v>
      </c>
      <c r="G219" s="101" t="str">
        <f>A218</f>
        <v>Ground Floor</v>
      </c>
      <c r="H219" s="102"/>
      <c r="I219" s="37"/>
      <c r="L219" s="95"/>
      <c r="M219" s="95"/>
      <c r="N219" s="37"/>
    </row>
    <row r="220" spans="1:14" s="63" customFormat="1" ht="15.75" hidden="1" customHeight="1" x14ac:dyDescent="0.25">
      <c r="A220" s="96">
        <f>A219+1</f>
        <v>2</v>
      </c>
      <c r="B220" s="97"/>
      <c r="C220" s="62"/>
      <c r="D220" s="62"/>
      <c r="E220" s="70">
        <v>0</v>
      </c>
      <c r="F220" s="62">
        <f>D220*(($F$160)+1)+(IF(E220&lt;101,E220,IF(E220&lt;201,E220/2,IF(E220&lt;=301,E220/3,E220/4))))</f>
        <v>0</v>
      </c>
      <c r="G220" s="103" t="str">
        <f>G219</f>
        <v>Ground Floor</v>
      </c>
      <c r="H220" s="104"/>
      <c r="I220" s="37"/>
      <c r="L220" s="95"/>
      <c r="M220" s="95"/>
      <c r="N220" s="37"/>
    </row>
    <row r="221" spans="1:14" s="63" customFormat="1" ht="15.75" hidden="1" customHeight="1" x14ac:dyDescent="0.25">
      <c r="A221" s="96">
        <f>A220+1</f>
        <v>3</v>
      </c>
      <c r="B221" s="97"/>
      <c r="C221" s="62"/>
      <c r="D221" s="62"/>
      <c r="E221" s="70">
        <v>0</v>
      </c>
      <c r="F221" s="62">
        <f>D221*(($F$160)+1)+(IF(E221&lt;101,E221,IF(E221&lt;201,E221/2,IF(E221&lt;=301,E221/3,E221/4))))</f>
        <v>0</v>
      </c>
      <c r="G221" s="103" t="str">
        <f>G220</f>
        <v>Ground Floor</v>
      </c>
      <c r="H221" s="104"/>
      <c r="I221" s="37"/>
      <c r="L221" s="95"/>
      <c r="M221" s="95"/>
      <c r="N221" s="37"/>
    </row>
    <row r="222" spans="1:14" s="63" customFormat="1" ht="15.75" hidden="1" customHeight="1" x14ac:dyDescent="0.25">
      <c r="A222" s="96">
        <f>A221+1</f>
        <v>4</v>
      </c>
      <c r="B222" s="97"/>
      <c r="C222" s="62"/>
      <c r="D222" s="62"/>
      <c r="E222" s="70">
        <v>0</v>
      </c>
      <c r="F222" s="62">
        <f>D222*(($F$160)+1)+(IF(E222&lt;101,E222,IF(E222&lt;201,E222/2,IF(E222&lt;=301,E222/3,E222/4))))</f>
        <v>0</v>
      </c>
      <c r="G222" s="105" t="str">
        <f>G221</f>
        <v>Ground Floor</v>
      </c>
      <c r="H222" s="106"/>
      <c r="I222" s="37"/>
      <c r="L222" s="95"/>
      <c r="M222" s="95"/>
      <c r="N222" s="37"/>
    </row>
    <row r="223" spans="1:14" s="38" customFormat="1" hidden="1" x14ac:dyDescent="0.25">
      <c r="A223" s="216" t="s">
        <v>119</v>
      </c>
      <c r="B223" s="216"/>
      <c r="C223" s="216"/>
      <c r="D223" s="216"/>
      <c r="E223" s="216"/>
      <c r="F223" s="216"/>
      <c r="G223" s="216"/>
      <c r="H223" s="216"/>
      <c r="I223" s="37"/>
      <c r="L223" s="95"/>
      <c r="M223" s="95"/>
    </row>
    <row r="224" spans="1:14" s="38" customFormat="1" hidden="1" x14ac:dyDescent="0.25">
      <c r="A224" s="94">
        <f>LEFT(A223,SUM(LEN(A223)-LEN(SUBSTITUTE(A223,{"0","1","2","3","4","5","6","7","8","9"},""))))*100+1</f>
        <v>201</v>
      </c>
      <c r="B224" s="94"/>
      <c r="C224" s="43"/>
      <c r="D224" s="43"/>
      <c r="E224" s="70">
        <v>0</v>
      </c>
      <c r="F224" s="43">
        <f t="shared" ref="F224:F225" si="22">D224*(($F$160)+1)+(IF(E224&lt;101,E224,IF(E224&lt;201,E224/2,IF(E224&lt;=301,E224/3,E224/4))))</f>
        <v>0</v>
      </c>
      <c r="G224" s="94" t="str">
        <f>A223</f>
        <v>2nd Floor</v>
      </c>
      <c r="H224" s="94"/>
      <c r="I224" s="37"/>
      <c r="N224" s="37"/>
    </row>
    <row r="225" spans="1:14" s="38" customFormat="1" hidden="1" x14ac:dyDescent="0.25">
      <c r="A225" s="94">
        <f>A224+1</f>
        <v>202</v>
      </c>
      <c r="B225" s="94"/>
      <c r="C225" s="43"/>
      <c r="D225" s="43"/>
      <c r="E225" s="70">
        <v>0</v>
      </c>
      <c r="F225" s="43">
        <f t="shared" si="22"/>
        <v>0</v>
      </c>
      <c r="G225" s="94" t="str">
        <f>G224</f>
        <v>2nd Floor</v>
      </c>
      <c r="H225" s="94"/>
      <c r="I225" s="37"/>
      <c r="N225" s="37"/>
    </row>
    <row r="226" spans="1:14" s="38" customFormat="1" hidden="1" x14ac:dyDescent="0.25">
      <c r="A226" s="94">
        <f>A225+1</f>
        <v>203</v>
      </c>
      <c r="B226" s="94"/>
      <c r="C226" s="43"/>
      <c r="D226" s="43"/>
      <c r="E226" s="70">
        <v>0</v>
      </c>
      <c r="F226" s="43">
        <f>D226*(($F$160)+1)+(IF(E226&lt;101,E226,IF(E226&lt;201,E226/2,IF(E226&lt;=301,E226/3,E226/4))))</f>
        <v>0</v>
      </c>
      <c r="G226" s="94" t="str">
        <f>G225</f>
        <v>2nd Floor</v>
      </c>
      <c r="H226" s="94"/>
      <c r="I226" s="37"/>
      <c r="N226" s="37"/>
    </row>
    <row r="227" spans="1:14" s="38" customFormat="1" hidden="1" x14ac:dyDescent="0.25">
      <c r="A227" s="94">
        <f>A226+1</f>
        <v>204</v>
      </c>
      <c r="B227" s="94"/>
      <c r="C227" s="43"/>
      <c r="D227" s="43"/>
      <c r="E227" s="70">
        <v>0</v>
      </c>
      <c r="F227" s="43">
        <f>D227*(($F$160)+1)+(IF(E227&lt;101,E227,IF(E227&lt;201,E227/2,IF(E227&lt;=301,E227/3,E227/4))))</f>
        <v>0</v>
      </c>
      <c r="G227" s="94" t="str">
        <f>G226</f>
        <v>2nd Floor</v>
      </c>
      <c r="H227" s="94"/>
      <c r="I227" s="37"/>
      <c r="N227" s="37"/>
    </row>
    <row r="228" spans="1:14" s="38" customFormat="1" hidden="1" x14ac:dyDescent="0.25">
      <c r="A228" s="94">
        <f>A227+1</f>
        <v>205</v>
      </c>
      <c r="B228" s="94"/>
      <c r="C228" s="43"/>
      <c r="D228" s="43"/>
      <c r="E228" s="70">
        <v>0</v>
      </c>
      <c r="F228" s="43">
        <f>D228*(($F$160)+1)+(IF(E228&lt;101,E228,IF(E228&lt;201,E228/2,IF(E228&lt;=301,E228/3,E228/4))))</f>
        <v>0</v>
      </c>
      <c r="G228" s="94" t="str">
        <f>G227</f>
        <v>2nd Floor</v>
      </c>
      <c r="H228" s="94"/>
      <c r="I228" s="37"/>
      <c r="N228" s="37"/>
    </row>
    <row r="229" spans="1:14" s="38" customFormat="1" ht="15.75" hidden="1" customHeight="1" x14ac:dyDescent="0.25">
      <c r="A229" s="91" t="s">
        <v>153</v>
      </c>
      <c r="B229" s="92"/>
      <c r="C229" s="92"/>
      <c r="D229" s="92"/>
      <c r="E229" s="92"/>
      <c r="F229" s="92"/>
      <c r="G229" s="92"/>
      <c r="H229" s="93"/>
      <c r="I229" s="37"/>
    </row>
    <row r="230" spans="1:14" s="38" customFormat="1" hidden="1" x14ac:dyDescent="0.25">
      <c r="A230" s="96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10^ROW(INDIRECT("1:"&amp;LEN((LEFT(A229,SUM(LEN(A229)-LEN(SUBSTITUTE(A229,{"0","1","2"},""))))))))/10))*100+1&amp;""&amp;" ,..,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",LEN(A229))),LEN(A229)))))))/10))*100+1</f>
        <v>301 ,.., 1501</v>
      </c>
      <c r="B230" s="97"/>
      <c r="C230" s="43"/>
      <c r="D230" s="43"/>
      <c r="E230" s="70">
        <v>0</v>
      </c>
      <c r="F230" s="43">
        <f>D230*(($F$160)+1)+(IF(E230&lt;101,E230,IF(E230&lt;201,E230/2,IF(E230&lt;=301,E230/3,E230/4))))</f>
        <v>0</v>
      </c>
      <c r="G230" s="96" t="str">
        <f>A229</f>
        <v>3rd, 5th, 7th, 9th, 11th, 13th, 15th Floor</v>
      </c>
      <c r="H230" s="97"/>
      <c r="I230" s="37"/>
    </row>
    <row r="231" spans="1:14" s="38" customFormat="1" hidden="1" x14ac:dyDescent="0.25">
      <c r="A231" s="96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,..,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302 ,.., 1502</v>
      </c>
      <c r="B231" s="97"/>
      <c r="C231" s="43"/>
      <c r="D231" s="43"/>
      <c r="E231" s="70">
        <v>0</v>
      </c>
      <c r="F231" s="43">
        <f>D231*(($F$160)+1)+(IF(E231&lt;101,E231,IF(E231&lt;201,E231/2,IF(E231&lt;=301,E231/3,E231/4))))</f>
        <v>0</v>
      </c>
      <c r="G231" s="96" t="str">
        <f>G230</f>
        <v>3rd, 5th, 7th, 9th, 11th, 13th, 15th Floor</v>
      </c>
      <c r="H231" s="97"/>
      <c r="I231" s="37"/>
    </row>
    <row r="232" spans="1:14" s="38" customFormat="1" ht="15.75" hidden="1" customHeight="1" x14ac:dyDescent="0.25">
      <c r="A232" s="96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,..,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303 ,.., 1503</v>
      </c>
      <c r="B232" s="97"/>
      <c r="C232" s="43"/>
      <c r="D232" s="43"/>
      <c r="E232" s="70">
        <v>0</v>
      </c>
      <c r="F232" s="43">
        <f>D232*(($F$160)+1)+(IF(E232&lt;101,E232,IF(E232&lt;201,E232/2,IF(E232&lt;=301,E232/3,E232/4))))</f>
        <v>0</v>
      </c>
      <c r="G232" s="96" t="str">
        <f>G231</f>
        <v>3rd, 5th, 7th, 9th, 11th, 13th, 15th Floor</v>
      </c>
      <c r="H232" s="97"/>
      <c r="I232" s="37"/>
    </row>
    <row r="233" spans="1:14" s="38" customFormat="1" ht="15.75" hidden="1" customHeight="1" x14ac:dyDescent="0.25">
      <c r="A233" s="96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,..,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304 ,.., 1504</v>
      </c>
      <c r="B233" s="97"/>
      <c r="C233" s="43"/>
      <c r="D233" s="43"/>
      <c r="E233" s="70">
        <v>0</v>
      </c>
      <c r="F233" s="43">
        <f>D233*(($F$160)+1)+(IF(E233&lt;101,E233,IF(E233&lt;201,E233/2,IF(E233&lt;=301,E233/3,E233/4))))</f>
        <v>0</v>
      </c>
      <c r="G233" s="96" t="str">
        <f>G232</f>
        <v>3rd, 5th, 7th, 9th, 11th, 13th, 15th Floor</v>
      </c>
      <c r="H233" s="97"/>
      <c r="I233" s="37"/>
    </row>
    <row r="234" spans="1:14" s="38" customFormat="1" ht="15.75" hidden="1" customHeight="1" x14ac:dyDescent="0.25">
      <c r="A234" s="96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,..,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305 ,.., 1505</v>
      </c>
      <c r="B234" s="97"/>
      <c r="C234" s="43"/>
      <c r="D234" s="43"/>
      <c r="E234" s="70">
        <v>0</v>
      </c>
      <c r="F234" s="43">
        <f>D234*(($F$160)+1)+(IF(E234&lt;101,E234,IF(E234&lt;201,E234/2,IF(E234&lt;=301,E234/3,E234/4))))</f>
        <v>0</v>
      </c>
      <c r="G234" s="96" t="str">
        <f>G233</f>
        <v>3rd, 5th, 7th, 9th, 11th, 13th, 15th Floor</v>
      </c>
      <c r="H234" s="97"/>
      <c r="I234" s="37"/>
    </row>
    <row r="235" spans="1:14" s="38" customFormat="1" hidden="1" x14ac:dyDescent="0.25">
      <c r="A235" s="91" t="s">
        <v>147</v>
      </c>
      <c r="B235" s="92"/>
      <c r="C235" s="92"/>
      <c r="D235" s="92"/>
      <c r="E235" s="92"/>
      <c r="F235" s="92"/>
      <c r="G235" s="92"/>
      <c r="H235" s="93"/>
      <c r="I235" s="37"/>
    </row>
    <row r="236" spans="1:14" s="38" customFormat="1" hidden="1" x14ac:dyDescent="0.25">
      <c r="A236" s="96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10^ROW(INDIRECT("1:"&amp;LEN((LEFT(A235,SUM(LEN(A235)-LEN(SUBSTITUTE(A235,{"0","1","2"},""))))))))/10))*100+1&amp;""&amp;" to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",LEN(A235))),LEN(A235)))))))/10))*100+1</f>
        <v>201 to 501</v>
      </c>
      <c r="B236" s="97"/>
      <c r="C236" s="43"/>
      <c r="D236" s="43"/>
      <c r="E236" s="70">
        <v>0</v>
      </c>
      <c r="F236" s="43">
        <f>D236*(($F$160)+1)+(IF(E236&lt;101,E236,IF(E236&lt;201,E236/2,IF(E236&lt;=301,E236/3,E236/4))))</f>
        <v>0</v>
      </c>
      <c r="G236" s="96" t="str">
        <f>A235</f>
        <v>2nd to 5th Floor</v>
      </c>
      <c r="H236" s="97"/>
      <c r="I236" s="37"/>
    </row>
    <row r="237" spans="1:14" s="38" customFormat="1" hidden="1" x14ac:dyDescent="0.25">
      <c r="A237" s="96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to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202 to 502</v>
      </c>
      <c r="B237" s="97"/>
      <c r="C237" s="43"/>
      <c r="D237" s="43"/>
      <c r="E237" s="70">
        <v>0</v>
      </c>
      <c r="F237" s="43">
        <f>D237*(($F$160)+1)+(IF(E237&lt;101,E237,IF(E237&lt;201,E237/2,IF(E237&lt;=301,E237/3,E237/4))))</f>
        <v>0</v>
      </c>
      <c r="G237" s="96" t="str">
        <f>G236</f>
        <v>2nd to 5th Floor</v>
      </c>
      <c r="H237" s="97"/>
      <c r="I237" s="37"/>
    </row>
    <row r="238" spans="1:14" s="38" customFormat="1" hidden="1" x14ac:dyDescent="0.25">
      <c r="A238" s="96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to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203 to 503</v>
      </c>
      <c r="B238" s="97"/>
      <c r="C238" s="43"/>
      <c r="D238" s="43"/>
      <c r="E238" s="70">
        <v>0</v>
      </c>
      <c r="F238" s="43">
        <f>D238*(($F$160)+1)+(IF(E238&lt;101,E238,IF(E238&lt;201,E238/2,IF(E238&lt;=301,E238/3,E238/4))))</f>
        <v>0</v>
      </c>
      <c r="G238" s="96" t="str">
        <f>G237</f>
        <v>2nd to 5th Floor</v>
      </c>
      <c r="H238" s="97"/>
      <c r="I238" s="37"/>
    </row>
    <row r="239" spans="1:14" s="38" customFormat="1" hidden="1" x14ac:dyDescent="0.25">
      <c r="A239" s="96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to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204 to 504</v>
      </c>
      <c r="B239" s="97"/>
      <c r="C239" s="43"/>
      <c r="D239" s="43"/>
      <c r="E239" s="70">
        <v>0</v>
      </c>
      <c r="F239" s="43">
        <f>D239*(($F$160)+1)+(IF(E239&lt;101,E239,IF(E239&lt;201,E239/2,IF(E239&lt;=301,E239/3,E239/4))))</f>
        <v>0</v>
      </c>
      <c r="G239" s="96" t="str">
        <f>G238</f>
        <v>2nd to 5th Floor</v>
      </c>
      <c r="H239" s="97"/>
      <c r="I239" s="37"/>
    </row>
    <row r="240" spans="1:14" s="38" customFormat="1" hidden="1" x14ac:dyDescent="0.25">
      <c r="A240" s="96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to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205 to 505</v>
      </c>
      <c r="B240" s="97"/>
      <c r="C240" s="43"/>
      <c r="D240" s="43"/>
      <c r="E240" s="70">
        <v>0</v>
      </c>
      <c r="F240" s="43">
        <f>D240*(($F$160)+1)+(IF(E240&lt;101,E240,IF(E240&lt;201,E240/2,IF(E240&lt;=301,E240/3,E240/4))))</f>
        <v>0</v>
      </c>
      <c r="G240" s="96" t="str">
        <f>G239</f>
        <v>2nd to 5th Floor</v>
      </c>
      <c r="H240" s="97"/>
      <c r="I240" s="37"/>
    </row>
    <row r="241" spans="1:9" s="38" customFormat="1" hidden="1" x14ac:dyDescent="0.25">
      <c r="A241" s="91" t="s">
        <v>148</v>
      </c>
      <c r="B241" s="92"/>
      <c r="C241" s="92"/>
      <c r="D241" s="92"/>
      <c r="E241" s="92"/>
      <c r="F241" s="92"/>
      <c r="G241" s="92"/>
      <c r="H241" s="93"/>
      <c r="I241" s="37"/>
    </row>
    <row r="242" spans="1:9" s="38" customFormat="1" hidden="1" x14ac:dyDescent="0.25">
      <c r="A242" s="96" t="str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10^ROW(INDIRECT("1:"&amp;LEN((LEFT(A241,SUM(LEN(A241)-LEN(SUBSTITUTE(A241,{"0","1","2"},""))))))))/10))*100+1&amp;""&amp;" &amp; "&amp;""&amp;(SUMPRODUCT(MID(0&amp;(--TRIM(RIGHT(SUBSTITUTE(LEFT(A241,_xlfn.AGGREGATE(16,6,FIND({0,1,2,3,4,5,6,7,8,9},A241,ROW(INDIRECT("1:"&amp;LEN(A241)))),1)),"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",LEN(A241))),LEN(A241)))))))/10))*100+1</f>
        <v>201 &amp; 501</v>
      </c>
      <c r="B242" s="97"/>
      <c r="C242" s="43"/>
      <c r="D242" s="43"/>
      <c r="E242" s="70">
        <v>0</v>
      </c>
      <c r="F242" s="43">
        <f>D242*(($F$160)+1)+(IF(E242&lt;101,E242,IF(E242&lt;201,E242/2,IF(E242&lt;=301,E242/3,E242/4))))</f>
        <v>0</v>
      </c>
      <c r="G242" s="96" t="str">
        <f>A241</f>
        <v>2nd &amp; 5th Floor</v>
      </c>
      <c r="H242" s="97"/>
      <c r="I242" s="37"/>
    </row>
    <row r="243" spans="1:9" s="38" customFormat="1" hidden="1" x14ac:dyDescent="0.25">
      <c r="A243" s="96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10^ROW(INDIRECT("1:"&amp;LEN((LEFT(A242,SUM(LEN(A242)-LEN(SUBSTITUTE(A242,{"0","1","2"},""))))))))/10))*1+1&amp;""&amp;" &amp;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",LEN(A242))),LEN(A242)))))))/10))*1+1</f>
        <v>202 &amp; 502</v>
      </c>
      <c r="B243" s="97"/>
      <c r="C243" s="43"/>
      <c r="D243" s="43"/>
      <c r="E243" s="70">
        <v>0</v>
      </c>
      <c r="F243" s="43">
        <f>D243*(($F$160)+1)+(IF(E243&lt;101,E243,IF(E243&lt;201,E243/2,IF(E243&lt;=301,E243/3,E243/4))))</f>
        <v>0</v>
      </c>
      <c r="G243" s="96" t="str">
        <f t="shared" ref="G243:G246" si="23">G242</f>
        <v>2nd &amp; 5th Floor</v>
      </c>
      <c r="H243" s="97"/>
      <c r="I243" s="37"/>
    </row>
    <row r="244" spans="1:9" s="38" customFormat="1" hidden="1" x14ac:dyDescent="0.25">
      <c r="A244" s="96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&amp;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203 &amp; 503</v>
      </c>
      <c r="B244" s="97"/>
      <c r="C244" s="43"/>
      <c r="D244" s="43"/>
      <c r="E244" s="70">
        <v>0</v>
      </c>
      <c r="F244" s="43">
        <f>D244*(($F$160)+1)+(IF(E244&lt;101,E244,IF(E244&lt;201,E244/2,IF(E244&lt;=301,E244/3,E244/4))))</f>
        <v>0</v>
      </c>
      <c r="G244" s="96" t="str">
        <f t="shared" si="23"/>
        <v>2nd &amp; 5th Floor</v>
      </c>
      <c r="H244" s="97"/>
      <c r="I244" s="37"/>
    </row>
    <row r="245" spans="1:9" s="38" customFormat="1" hidden="1" x14ac:dyDescent="0.25">
      <c r="A245" s="96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&amp;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204 &amp; 504</v>
      </c>
      <c r="B245" s="97"/>
      <c r="C245" s="43"/>
      <c r="D245" s="43"/>
      <c r="E245" s="70">
        <v>0</v>
      </c>
      <c r="F245" s="43">
        <f>D245*(($F$160)+1)+(IF(E245&lt;101,E245,IF(E245&lt;201,E245/2,IF(E245&lt;=301,E245/3,E245/4))))</f>
        <v>0</v>
      </c>
      <c r="G245" s="96" t="str">
        <f t="shared" si="23"/>
        <v>2nd &amp; 5th Floor</v>
      </c>
      <c r="H245" s="97"/>
      <c r="I245" s="37"/>
    </row>
    <row r="246" spans="1:9" s="38" customFormat="1" hidden="1" x14ac:dyDescent="0.25">
      <c r="A246" s="96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&amp;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205 &amp; 505</v>
      </c>
      <c r="B246" s="97"/>
      <c r="C246" s="43"/>
      <c r="D246" s="43"/>
      <c r="E246" s="70">
        <v>0</v>
      </c>
      <c r="F246" s="43">
        <f>D246*(($F$160)+1)+(IF(E246&lt;101,E246,IF(E246&lt;201,E246/2,IF(E246&lt;=301,E246/3,E246/4))))</f>
        <v>0</v>
      </c>
      <c r="G246" s="96" t="str">
        <f t="shared" si="23"/>
        <v>2nd &amp; 5th Floor</v>
      </c>
      <c r="H246" s="97"/>
      <c r="I246" s="37"/>
    </row>
    <row r="247" spans="1:9" s="36" customFormat="1" x14ac:dyDescent="0.25">
      <c r="A247" s="244" t="s">
        <v>68</v>
      </c>
      <c r="B247" s="244"/>
      <c r="C247" s="244"/>
      <c r="D247" s="244"/>
      <c r="E247" s="244"/>
      <c r="F247" s="244"/>
      <c r="G247" s="244"/>
      <c r="H247" s="244"/>
    </row>
    <row r="248" spans="1:9" s="36" customFormat="1" ht="33" customHeight="1" x14ac:dyDescent="0.25">
      <c r="A248" s="48" t="s">
        <v>157</v>
      </c>
      <c r="B248" s="98" t="s">
        <v>321</v>
      </c>
      <c r="C248" s="99"/>
      <c r="D248" s="99"/>
      <c r="E248" s="99"/>
      <c r="F248" s="99"/>
      <c r="G248" s="99"/>
      <c r="H248" s="100"/>
    </row>
    <row r="249" spans="1:9" s="36" customFormat="1" x14ac:dyDescent="0.25">
      <c r="A249" s="48" t="s">
        <v>157</v>
      </c>
      <c r="B249" s="98" t="str">
        <f>(IF(F159="Saleable area Loading :","We have considered Saleable area of Flats as per our Calculation.","We considered Saleable area of Flat as per Builder area Sheet."))</f>
        <v>We have considered Saleable area of Flats as per our Calculation.</v>
      </c>
      <c r="C249" s="99"/>
      <c r="D249" s="99"/>
      <c r="E249" s="99"/>
      <c r="F249" s="99"/>
      <c r="G249" s="99"/>
      <c r="H249" s="100"/>
    </row>
    <row r="250" spans="1:9" s="36" customFormat="1" x14ac:dyDescent="0.25">
      <c r="A250" s="48" t="s">
        <v>157</v>
      </c>
      <c r="B250" s="98" t="str">
        <f>(IF(F148="Saleable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0" s="99"/>
      <c r="D250" s="99"/>
      <c r="E250" s="99"/>
      <c r="F250" s="99"/>
      <c r="G250" s="99"/>
      <c r="H250" s="100"/>
    </row>
    <row r="251" spans="1:9" s="36" customFormat="1" x14ac:dyDescent="0.25">
      <c r="A251" s="48" t="s">
        <v>157</v>
      </c>
      <c r="B251" s="197" t="s">
        <v>124</v>
      </c>
      <c r="C251" s="198"/>
      <c r="D251" s="198"/>
      <c r="E251" s="198"/>
      <c r="F251" s="198"/>
      <c r="G251" s="198"/>
      <c r="H251" s="199"/>
    </row>
    <row r="252" spans="1:9" s="36" customFormat="1" x14ac:dyDescent="0.25">
      <c r="A252" s="48" t="s">
        <v>157</v>
      </c>
      <c r="B252" s="197" t="s">
        <v>285</v>
      </c>
      <c r="C252" s="198"/>
      <c r="D252" s="198"/>
      <c r="E252" s="198"/>
      <c r="F252" s="198"/>
      <c r="G252" s="198"/>
      <c r="H252" s="199"/>
    </row>
    <row r="253" spans="1:9" s="36" customFormat="1" x14ac:dyDescent="0.25">
      <c r="A253" s="48" t="s">
        <v>157</v>
      </c>
      <c r="B253" s="197" t="s">
        <v>156</v>
      </c>
      <c r="C253" s="198"/>
      <c r="D253" s="198"/>
      <c r="E253" s="198"/>
      <c r="F253" s="198"/>
      <c r="G253" s="198"/>
      <c r="H253" s="199"/>
    </row>
    <row r="254" spans="1:9" s="36" customFormat="1" x14ac:dyDescent="0.25">
      <c r="A254" s="48" t="s">
        <v>157</v>
      </c>
      <c r="B254" s="197" t="s">
        <v>125</v>
      </c>
      <c r="C254" s="198"/>
      <c r="D254" s="198"/>
      <c r="E254" s="198"/>
      <c r="F254" s="198"/>
      <c r="G254" s="198"/>
      <c r="H254" s="199"/>
    </row>
    <row r="255" spans="1:9" s="36" customFormat="1" ht="34.5" customHeight="1" x14ac:dyDescent="0.25">
      <c r="A255" s="48" t="s">
        <v>157</v>
      </c>
      <c r="B255" s="197" t="s">
        <v>158</v>
      </c>
      <c r="C255" s="198"/>
      <c r="D255" s="198"/>
      <c r="E255" s="198"/>
      <c r="F255" s="198"/>
      <c r="G255" s="198"/>
      <c r="H255" s="199"/>
    </row>
    <row r="256" spans="1:9" s="36" customFormat="1" x14ac:dyDescent="0.25">
      <c r="A256" s="48" t="s">
        <v>157</v>
      </c>
      <c r="B256" s="197" t="s">
        <v>126</v>
      </c>
      <c r="C256" s="198"/>
      <c r="D256" s="198"/>
      <c r="E256" s="198"/>
      <c r="F256" s="198"/>
      <c r="G256" s="198"/>
      <c r="H256" s="199"/>
    </row>
    <row r="257" spans="1:11" s="36" customFormat="1" ht="32.25" hidden="1" customHeight="1" x14ac:dyDescent="0.25">
      <c r="A257" s="59" t="s">
        <v>157</v>
      </c>
      <c r="B257" s="194" t="s">
        <v>182</v>
      </c>
      <c r="C257" s="195"/>
      <c r="D257" s="195"/>
      <c r="E257" s="195"/>
      <c r="F257" s="195"/>
      <c r="G257" s="195"/>
      <c r="H257" s="196"/>
    </row>
    <row r="258" spans="1:11" s="36" customFormat="1" x14ac:dyDescent="0.25">
      <c r="A258" s="68" t="s">
        <v>157</v>
      </c>
      <c r="B258" s="197" t="s">
        <v>306</v>
      </c>
      <c r="C258" s="198"/>
      <c r="D258" s="198"/>
      <c r="E258" s="198"/>
      <c r="F258" s="198"/>
      <c r="G258" s="198"/>
      <c r="H258" s="199"/>
    </row>
    <row r="259" spans="1:11" s="36" customFormat="1" ht="31.5" customHeight="1" x14ac:dyDescent="0.25">
      <c r="A259" s="68" t="s">
        <v>157</v>
      </c>
      <c r="B259" s="197" t="s">
        <v>307</v>
      </c>
      <c r="C259" s="198"/>
      <c r="D259" s="198"/>
      <c r="E259" s="198"/>
      <c r="F259" s="198"/>
      <c r="G259" s="198"/>
      <c r="H259" s="199"/>
      <c r="K259" s="84"/>
    </row>
    <row r="260" spans="1:11" s="36" customFormat="1" x14ac:dyDescent="0.25">
      <c r="A260" s="82" t="s">
        <v>157</v>
      </c>
      <c r="B260" s="98" t="s">
        <v>309</v>
      </c>
      <c r="C260" s="99"/>
      <c r="D260" s="99"/>
      <c r="E260" s="99"/>
      <c r="F260" s="99"/>
      <c r="G260" s="99"/>
      <c r="H260" s="100"/>
    </row>
    <row r="261" spans="1:11" s="36" customFormat="1" x14ac:dyDescent="0.25">
      <c r="A261" s="81" t="s">
        <v>157</v>
      </c>
      <c r="B261" s="98" t="s">
        <v>318</v>
      </c>
      <c r="C261" s="99"/>
      <c r="D261" s="99"/>
      <c r="E261" s="99"/>
      <c r="F261" s="99"/>
      <c r="G261" s="99"/>
      <c r="H261" s="100"/>
    </row>
    <row r="262" spans="1:11" s="36" customFormat="1" x14ac:dyDescent="0.25">
      <c r="A262" s="83" t="s">
        <v>157</v>
      </c>
      <c r="B262" s="98" t="s">
        <v>319</v>
      </c>
      <c r="C262" s="99"/>
      <c r="D262" s="99"/>
      <c r="E262" s="99"/>
      <c r="F262" s="99"/>
      <c r="G262" s="99"/>
      <c r="H262" s="100"/>
    </row>
    <row r="263" spans="1:11" s="36" customFormat="1" x14ac:dyDescent="0.25">
      <c r="A263" s="83" t="s">
        <v>157</v>
      </c>
      <c r="B263" s="98" t="s">
        <v>320</v>
      </c>
      <c r="C263" s="99"/>
      <c r="D263" s="99"/>
      <c r="E263" s="99"/>
      <c r="F263" s="99"/>
      <c r="G263" s="99"/>
      <c r="H263" s="100"/>
    </row>
    <row r="264" spans="1:11" x14ac:dyDescent="0.25">
      <c r="A264" s="140" t="s">
        <v>61</v>
      </c>
      <c r="B264" s="140"/>
      <c r="C264" s="140"/>
      <c r="D264" s="140"/>
      <c r="E264" s="140"/>
      <c r="F264" s="140"/>
      <c r="G264" s="140"/>
      <c r="H264" s="140"/>
    </row>
    <row r="265" spans="1:11" x14ac:dyDescent="0.25">
      <c r="A265" s="118" t="s">
        <v>62</v>
      </c>
      <c r="B265" s="118"/>
      <c r="C265" s="118"/>
      <c r="D265" s="118"/>
      <c r="E265" s="118"/>
      <c r="F265" s="118"/>
      <c r="G265" s="118"/>
      <c r="H265" s="118"/>
    </row>
    <row r="266" spans="1:11" ht="15.75" customHeight="1" x14ac:dyDescent="0.25">
      <c r="A266" s="185" t="s">
        <v>63</v>
      </c>
      <c r="B266" s="185"/>
      <c r="C266" s="185"/>
      <c r="D266" s="185"/>
      <c r="E266" s="185"/>
      <c r="F266" s="185"/>
      <c r="G266" s="185"/>
      <c r="H266" s="185"/>
    </row>
    <row r="267" spans="1:11" x14ac:dyDescent="0.25">
      <c r="A267" s="118" t="s">
        <v>64</v>
      </c>
      <c r="B267" s="118"/>
      <c r="C267" s="118"/>
      <c r="D267" s="118"/>
      <c r="E267" s="118"/>
      <c r="F267" s="118"/>
      <c r="G267" s="118"/>
      <c r="H267" s="118"/>
    </row>
    <row r="268" spans="1:11" x14ac:dyDescent="0.25">
      <c r="A268" s="118" t="s">
        <v>65</v>
      </c>
      <c r="B268" s="118"/>
      <c r="C268" s="118"/>
      <c r="D268" s="118"/>
      <c r="E268" s="118"/>
      <c r="F268" s="118"/>
      <c r="G268" s="118"/>
      <c r="H268" s="118"/>
    </row>
    <row r="269" spans="1:11" x14ac:dyDescent="0.25">
      <c r="A269" s="118" t="s">
        <v>127</v>
      </c>
      <c r="B269" s="118"/>
      <c r="C269" s="118"/>
      <c r="D269" s="118"/>
      <c r="E269" s="118"/>
      <c r="F269" s="118"/>
      <c r="G269" s="118"/>
      <c r="H269" s="118"/>
    </row>
    <row r="270" spans="1:11" ht="33.950000000000003" customHeight="1" x14ac:dyDescent="0.25">
      <c r="A270" s="122" t="s">
        <v>128</v>
      </c>
      <c r="B270" s="122"/>
      <c r="C270" s="122"/>
      <c r="D270" s="122"/>
      <c r="E270" s="122"/>
      <c r="F270" s="122"/>
      <c r="G270" s="122"/>
      <c r="H270" s="122"/>
    </row>
    <row r="271" spans="1:11" x14ac:dyDescent="0.25">
      <c r="A271" s="214" t="s">
        <v>75</v>
      </c>
      <c r="B271" s="214"/>
      <c r="C271" s="214" t="s">
        <v>308</v>
      </c>
      <c r="D271" s="214"/>
      <c r="E271" s="214" t="s">
        <v>105</v>
      </c>
      <c r="F271" s="214"/>
      <c r="G271" s="214" t="s">
        <v>312</v>
      </c>
      <c r="H271" s="214"/>
    </row>
    <row r="272" spans="1:11" x14ac:dyDescent="0.25">
      <c r="A272" s="213" t="s">
        <v>77</v>
      </c>
      <c r="B272" s="213"/>
      <c r="C272" s="213"/>
      <c r="D272" s="213"/>
      <c r="E272" s="213"/>
      <c r="F272" s="213"/>
      <c r="G272" s="213"/>
      <c r="H272" s="213"/>
    </row>
    <row r="273" spans="1:8" x14ac:dyDescent="0.25">
      <c r="A273" s="213"/>
      <c r="B273" s="213"/>
      <c r="C273" s="213"/>
      <c r="D273" s="213"/>
      <c r="E273" s="213"/>
      <c r="F273" s="213"/>
      <c r="G273" s="213"/>
      <c r="H273" s="213"/>
    </row>
    <row r="274" spans="1:8" x14ac:dyDescent="0.25">
      <c r="A274" s="213"/>
      <c r="B274" s="213"/>
      <c r="C274" s="213"/>
      <c r="D274" s="213"/>
      <c r="E274" s="213"/>
      <c r="F274" s="213"/>
      <c r="G274" s="213"/>
      <c r="H274" s="213"/>
    </row>
    <row r="275" spans="1:8" x14ac:dyDescent="0.25">
      <c r="A275" s="213"/>
      <c r="B275" s="213"/>
      <c r="C275" s="213"/>
      <c r="D275" s="213"/>
      <c r="E275" s="213"/>
      <c r="F275" s="213"/>
      <c r="G275" s="213"/>
      <c r="H275" s="213"/>
    </row>
    <row r="276" spans="1:8" x14ac:dyDescent="0.25">
      <c r="A276" s="39" t="s">
        <v>66</v>
      </c>
      <c r="B276" s="40"/>
      <c r="C276" s="40"/>
      <c r="D276" s="39" t="str">
        <f>E8</f>
        <v>Adi Darsshan</v>
      </c>
      <c r="F276" s="40"/>
      <c r="G276" s="40"/>
      <c r="H276" s="40"/>
    </row>
    <row r="277" spans="1:8" x14ac:dyDescent="0.25">
      <c r="A277" s="40"/>
      <c r="B277" s="40"/>
      <c r="C277" s="40"/>
      <c r="D277" s="40"/>
      <c r="E277" s="72"/>
      <c r="F277" s="40"/>
      <c r="G277" s="40"/>
      <c r="H277" s="40"/>
    </row>
    <row r="278" spans="1:8" x14ac:dyDescent="0.25">
      <c r="A278" s="40"/>
      <c r="B278" s="40"/>
      <c r="C278" s="40"/>
      <c r="D278" s="40"/>
      <c r="E278" s="72"/>
      <c r="F278" s="40"/>
      <c r="G278" s="40"/>
      <c r="H278" s="40"/>
    </row>
    <row r="279" spans="1:8" ht="15" customHeight="1" x14ac:dyDescent="0.25"/>
    <row r="319" spans="1:1" x14ac:dyDescent="0.25">
      <c r="A319" s="42" t="s">
        <v>169</v>
      </c>
    </row>
    <row r="362" spans="1:1" x14ac:dyDescent="0.25">
      <c r="A362" s="42" t="s">
        <v>67</v>
      </c>
    </row>
  </sheetData>
  <mergeCells count="472">
    <mergeCell ref="B261:H261"/>
    <mergeCell ref="B258:H258"/>
    <mergeCell ref="B259:H259"/>
    <mergeCell ref="A222:B222"/>
    <mergeCell ref="L222:M222"/>
    <mergeCell ref="A190:H190"/>
    <mergeCell ref="G191:H192"/>
    <mergeCell ref="L192:M192"/>
    <mergeCell ref="A193:H193"/>
    <mergeCell ref="G194:H195"/>
    <mergeCell ref="L194:M194"/>
    <mergeCell ref="L195:M195"/>
    <mergeCell ref="A196:H196"/>
    <mergeCell ref="A198:H198"/>
    <mergeCell ref="G199:H202"/>
    <mergeCell ref="L199:M199"/>
    <mergeCell ref="L200:M200"/>
    <mergeCell ref="L201:M201"/>
    <mergeCell ref="L202:M202"/>
    <mergeCell ref="A203:H203"/>
    <mergeCell ref="G204:H207"/>
    <mergeCell ref="L204:M204"/>
    <mergeCell ref="L214:M214"/>
    <mergeCell ref="L215:M215"/>
    <mergeCell ref="L179:M179"/>
    <mergeCell ref="L188:M188"/>
    <mergeCell ref="L219:M219"/>
    <mergeCell ref="A220:B220"/>
    <mergeCell ref="L220:M220"/>
    <mergeCell ref="L170:M170"/>
    <mergeCell ref="L171:M171"/>
    <mergeCell ref="L172:M172"/>
    <mergeCell ref="L173:M173"/>
    <mergeCell ref="L174:M174"/>
    <mergeCell ref="G170:H174"/>
    <mergeCell ref="A175:H175"/>
    <mergeCell ref="G176:H180"/>
    <mergeCell ref="L176:M176"/>
    <mergeCell ref="L177:M177"/>
    <mergeCell ref="G182:H184"/>
    <mergeCell ref="A197:H197"/>
    <mergeCell ref="L221:M221"/>
    <mergeCell ref="C215:F217"/>
    <mergeCell ref="L205:M205"/>
    <mergeCell ref="L206:M206"/>
    <mergeCell ref="L207:M207"/>
    <mergeCell ref="A208:H208"/>
    <mergeCell ref="G209:H212"/>
    <mergeCell ref="L209:M209"/>
    <mergeCell ref="L210:M210"/>
    <mergeCell ref="L211:M211"/>
    <mergeCell ref="L212:M212"/>
    <mergeCell ref="L217:M217"/>
    <mergeCell ref="C214:F214"/>
    <mergeCell ref="L216:M216"/>
    <mergeCell ref="A39:B39"/>
    <mergeCell ref="C39:H39"/>
    <mergeCell ref="A103:B103"/>
    <mergeCell ref="C103:H103"/>
    <mergeCell ref="A104:B104"/>
    <mergeCell ref="L166:M166"/>
    <mergeCell ref="L167:M167"/>
    <mergeCell ref="A186:H186"/>
    <mergeCell ref="L168:M168"/>
    <mergeCell ref="L165:M165"/>
    <mergeCell ref="A83:B83"/>
    <mergeCell ref="A76:B76"/>
    <mergeCell ref="A79:B79"/>
    <mergeCell ref="A75:B75"/>
    <mergeCell ref="A73:B73"/>
    <mergeCell ref="L180:M180"/>
    <mergeCell ref="A78:B78"/>
    <mergeCell ref="L182:M182"/>
    <mergeCell ref="L183:M183"/>
    <mergeCell ref="L184:M184"/>
    <mergeCell ref="A161:H161"/>
    <mergeCell ref="A185:H185"/>
    <mergeCell ref="G165:H168"/>
    <mergeCell ref="L178:M178"/>
    <mergeCell ref="A106:B106"/>
    <mergeCell ref="A107:B107"/>
    <mergeCell ref="G91:H100"/>
    <mergeCell ref="A92:B92"/>
    <mergeCell ref="A93:B93"/>
    <mergeCell ref="A94:B94"/>
    <mergeCell ref="F117:H117"/>
    <mergeCell ref="A117:E117"/>
    <mergeCell ref="G231:H231"/>
    <mergeCell ref="G227:H227"/>
    <mergeCell ref="G224:H224"/>
    <mergeCell ref="D148:D149"/>
    <mergeCell ref="A119:E119"/>
    <mergeCell ref="A110:B110"/>
    <mergeCell ref="A112:B112"/>
    <mergeCell ref="A113:B113"/>
    <mergeCell ref="A118:E118"/>
    <mergeCell ref="A115:E115"/>
    <mergeCell ref="F119:H119"/>
    <mergeCell ref="G104:H104"/>
    <mergeCell ref="A243:B243"/>
    <mergeCell ref="A246:B246"/>
    <mergeCell ref="G246:H246"/>
    <mergeCell ref="A245:B245"/>
    <mergeCell ref="A236:B236"/>
    <mergeCell ref="G236:H236"/>
    <mergeCell ref="A242:B242"/>
    <mergeCell ref="G245:H245"/>
    <mergeCell ref="B255:H255"/>
    <mergeCell ref="B253:H253"/>
    <mergeCell ref="G131:H131"/>
    <mergeCell ref="A146:H146"/>
    <mergeCell ref="E145:F145"/>
    <mergeCell ref="G145:H145"/>
    <mergeCell ref="A159:A160"/>
    <mergeCell ref="A158:H158"/>
    <mergeCell ref="A136:B136"/>
    <mergeCell ref="C136:D136"/>
    <mergeCell ref="E136:F136"/>
    <mergeCell ref="G136:H136"/>
    <mergeCell ref="A133:H133"/>
    <mergeCell ref="A90:B90"/>
    <mergeCell ref="E46:H46"/>
    <mergeCell ref="A89:B89"/>
    <mergeCell ref="C89:H89"/>
    <mergeCell ref="A44:D44"/>
    <mergeCell ref="A38:B38"/>
    <mergeCell ref="C38:H38"/>
    <mergeCell ref="A45:D45"/>
    <mergeCell ref="L155:M155"/>
    <mergeCell ref="L154:M154"/>
    <mergeCell ref="L153:M153"/>
    <mergeCell ref="L152:M152"/>
    <mergeCell ref="A84:B84"/>
    <mergeCell ref="C143:D143"/>
    <mergeCell ref="E143:F143"/>
    <mergeCell ref="G143:H143"/>
    <mergeCell ref="F122:H122"/>
    <mergeCell ref="A116:E116"/>
    <mergeCell ref="A101:B101"/>
    <mergeCell ref="C101:H101"/>
    <mergeCell ref="A151:H151"/>
    <mergeCell ref="E148:E149"/>
    <mergeCell ref="G148:H149"/>
    <mergeCell ref="A91:B91"/>
    <mergeCell ref="A41:D41"/>
    <mergeCell ref="E41:H41"/>
    <mergeCell ref="A40:H40"/>
    <mergeCell ref="A66:C66"/>
    <mergeCell ref="A67:C67"/>
    <mergeCell ref="D66:H66"/>
    <mergeCell ref="E77:F86"/>
    <mergeCell ref="G77:H86"/>
    <mergeCell ref="A85:B85"/>
    <mergeCell ref="A86:B86"/>
    <mergeCell ref="D67:H67"/>
    <mergeCell ref="A43:D43"/>
    <mergeCell ref="E43:H43"/>
    <mergeCell ref="E44:H44"/>
    <mergeCell ref="E45:H45"/>
    <mergeCell ref="A46:D46"/>
    <mergeCell ref="A47:H47"/>
    <mergeCell ref="D60:H60"/>
    <mergeCell ref="A60:C60"/>
    <mergeCell ref="G50:H50"/>
    <mergeCell ref="A48:B48"/>
    <mergeCell ref="C48:H48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A21:B21"/>
    <mergeCell ref="C21:D21"/>
    <mergeCell ref="E21:F21"/>
    <mergeCell ref="G21:H21"/>
    <mergeCell ref="F33:H33"/>
    <mergeCell ref="F34:H3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13:H13"/>
    <mergeCell ref="A14:D14"/>
    <mergeCell ref="A10:D10"/>
    <mergeCell ref="A111:B111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72:H275"/>
    <mergeCell ref="A271:B271"/>
    <mergeCell ref="E271:F271"/>
    <mergeCell ref="C271:D271"/>
    <mergeCell ref="G271:H271"/>
    <mergeCell ref="A129:H129"/>
    <mergeCell ref="A127:E127"/>
    <mergeCell ref="F127:H127"/>
    <mergeCell ref="A128:E128"/>
    <mergeCell ref="F128:H128"/>
    <mergeCell ref="A223:H223"/>
    <mergeCell ref="A143:B143"/>
    <mergeCell ref="A232:B232"/>
    <mergeCell ref="A267:H267"/>
    <mergeCell ref="A141:H141"/>
    <mergeCell ref="A270:H270"/>
    <mergeCell ref="A268:H268"/>
    <mergeCell ref="A264:H264"/>
    <mergeCell ref="A241:H241"/>
    <mergeCell ref="A234:B234"/>
    <mergeCell ref="C148:C149"/>
    <mergeCell ref="B159:B160"/>
    <mergeCell ref="B251:H251"/>
    <mergeCell ref="E131:F131"/>
    <mergeCell ref="E90:F90"/>
    <mergeCell ref="G90:H90"/>
    <mergeCell ref="A121:E121"/>
    <mergeCell ref="F121:H121"/>
    <mergeCell ref="A122:E122"/>
    <mergeCell ref="A124:E124"/>
    <mergeCell ref="F118:H118"/>
    <mergeCell ref="A123:E123"/>
    <mergeCell ref="A108:B108"/>
    <mergeCell ref="A109:B109"/>
    <mergeCell ref="E91:F100"/>
    <mergeCell ref="A98:B98"/>
    <mergeCell ref="A99:B99"/>
    <mergeCell ref="E104:F104"/>
    <mergeCell ref="E105:F114"/>
    <mergeCell ref="A95:B95"/>
    <mergeCell ref="A96:B96"/>
    <mergeCell ref="A97:B97"/>
    <mergeCell ref="F116:H116"/>
    <mergeCell ref="A120:E120"/>
    <mergeCell ref="A100:B100"/>
    <mergeCell ref="A105:B105"/>
    <mergeCell ref="A114:B114"/>
    <mergeCell ref="G105:H114"/>
    <mergeCell ref="A269:H269"/>
    <mergeCell ref="A266:H266"/>
    <mergeCell ref="G239:H239"/>
    <mergeCell ref="A224:B224"/>
    <mergeCell ref="D159:D160"/>
    <mergeCell ref="E159:E160"/>
    <mergeCell ref="G159:H160"/>
    <mergeCell ref="B257:H257"/>
    <mergeCell ref="A265:H265"/>
    <mergeCell ref="B256:H256"/>
    <mergeCell ref="B254:H254"/>
    <mergeCell ref="B250:H250"/>
    <mergeCell ref="A244:B244"/>
    <mergeCell ref="G244:H244"/>
    <mergeCell ref="G243:H243"/>
    <mergeCell ref="B252:H252"/>
    <mergeCell ref="B248:H248"/>
    <mergeCell ref="B249:H249"/>
    <mergeCell ref="A230:B230"/>
    <mergeCell ref="G226:H226"/>
    <mergeCell ref="G225:H225"/>
    <mergeCell ref="C159:C160"/>
    <mergeCell ref="A163:H163"/>
    <mergeCell ref="G188:H189"/>
    <mergeCell ref="F115:H115"/>
    <mergeCell ref="F120:H120"/>
    <mergeCell ref="A218:H218"/>
    <mergeCell ref="A219:B219"/>
    <mergeCell ref="G219:H222"/>
    <mergeCell ref="A213:H213"/>
    <mergeCell ref="G214:H217"/>
    <mergeCell ref="A187:H187"/>
    <mergeCell ref="C179:F180"/>
    <mergeCell ref="A181:H181"/>
    <mergeCell ref="F123:H123"/>
    <mergeCell ref="C130:D130"/>
    <mergeCell ref="C144:D144"/>
    <mergeCell ref="A164:H164"/>
    <mergeCell ref="A142:B142"/>
    <mergeCell ref="E142:F142"/>
    <mergeCell ref="G142:H142"/>
    <mergeCell ref="A126:E126"/>
    <mergeCell ref="G144:H144"/>
    <mergeCell ref="A132:B132"/>
    <mergeCell ref="C132:D132"/>
    <mergeCell ref="E132:F132"/>
    <mergeCell ref="G132:H132"/>
    <mergeCell ref="C131:D131"/>
    <mergeCell ref="A63:C65"/>
    <mergeCell ref="D63:H63"/>
    <mergeCell ref="D64:H64"/>
    <mergeCell ref="C50:E50"/>
    <mergeCell ref="C73:H73"/>
    <mergeCell ref="A81:B81"/>
    <mergeCell ref="A68:C68"/>
    <mergeCell ref="D68:H68"/>
    <mergeCell ref="C75:H75"/>
    <mergeCell ref="A80:B80"/>
    <mergeCell ref="E76:F76"/>
    <mergeCell ref="A69:C69"/>
    <mergeCell ref="D69:H69"/>
    <mergeCell ref="A72:C72"/>
    <mergeCell ref="D72:H72"/>
    <mergeCell ref="A70:C70"/>
    <mergeCell ref="D71:H71"/>
    <mergeCell ref="A77:B77"/>
    <mergeCell ref="G76:H76"/>
    <mergeCell ref="D61:H61"/>
    <mergeCell ref="D62:H62"/>
    <mergeCell ref="A61:C62"/>
    <mergeCell ref="D65:H65"/>
    <mergeCell ref="C49:E49"/>
    <mergeCell ref="C52:E52"/>
    <mergeCell ref="G52:H52"/>
    <mergeCell ref="G49:H49"/>
    <mergeCell ref="G51:H51"/>
    <mergeCell ref="A50:B50"/>
    <mergeCell ref="A57:H57"/>
    <mergeCell ref="A58:C58"/>
    <mergeCell ref="A59:C59"/>
    <mergeCell ref="D59:H59"/>
    <mergeCell ref="G56:H56"/>
    <mergeCell ref="C51:E51"/>
    <mergeCell ref="A55:B55"/>
    <mergeCell ref="C55:E55"/>
    <mergeCell ref="G55:H55"/>
    <mergeCell ref="C53:E53"/>
    <mergeCell ref="G53:H53"/>
    <mergeCell ref="C54:E54"/>
    <mergeCell ref="G54:H54"/>
    <mergeCell ref="A51:B54"/>
    <mergeCell ref="I14:P14"/>
    <mergeCell ref="G237:H237"/>
    <mergeCell ref="F126:H126"/>
    <mergeCell ref="F124:H124"/>
    <mergeCell ref="A231:B231"/>
    <mergeCell ref="A147:H147"/>
    <mergeCell ref="G130:H130"/>
    <mergeCell ref="A125:E125"/>
    <mergeCell ref="A56:B56"/>
    <mergeCell ref="C56:E56"/>
    <mergeCell ref="D58:H58"/>
    <mergeCell ref="F125:H125"/>
    <mergeCell ref="E130:F130"/>
    <mergeCell ref="A130:B130"/>
    <mergeCell ref="C142:D142"/>
    <mergeCell ref="D70:H70"/>
    <mergeCell ref="A71:C71"/>
    <mergeCell ref="A150:H150"/>
    <mergeCell ref="E42:H42"/>
    <mergeCell ref="A42:D42"/>
    <mergeCell ref="A87:B87"/>
    <mergeCell ref="C87:H87"/>
    <mergeCell ref="A82:B82"/>
    <mergeCell ref="A49:B49"/>
    <mergeCell ref="L156:M156"/>
    <mergeCell ref="L157:M157"/>
    <mergeCell ref="G152:H157"/>
    <mergeCell ref="A137:H137"/>
    <mergeCell ref="A138:B138"/>
    <mergeCell ref="C138:D138"/>
    <mergeCell ref="E138:F138"/>
    <mergeCell ref="G138:H138"/>
    <mergeCell ref="A139:B139"/>
    <mergeCell ref="C139:D139"/>
    <mergeCell ref="E139:F139"/>
    <mergeCell ref="G139:H139"/>
    <mergeCell ref="A140:B140"/>
    <mergeCell ref="C140:D140"/>
    <mergeCell ref="E140:F140"/>
    <mergeCell ref="G140:H140"/>
    <mergeCell ref="A145:B145"/>
    <mergeCell ref="C145:D145"/>
    <mergeCell ref="B148:B149"/>
    <mergeCell ref="A148:A149"/>
    <mergeCell ref="A144:B144"/>
    <mergeCell ref="E144:F144"/>
    <mergeCell ref="L223:M223"/>
    <mergeCell ref="A228:B228"/>
    <mergeCell ref="A225:B225"/>
    <mergeCell ref="A226:B226"/>
    <mergeCell ref="L189:M189"/>
    <mergeCell ref="L191:M191"/>
    <mergeCell ref="A233:B233"/>
    <mergeCell ref="B262:H262"/>
    <mergeCell ref="B263:H263"/>
    <mergeCell ref="B260:H260"/>
    <mergeCell ref="G232:H232"/>
    <mergeCell ref="G230:H230"/>
    <mergeCell ref="A237:B237"/>
    <mergeCell ref="A238:B238"/>
    <mergeCell ref="G234:H234"/>
    <mergeCell ref="G233:H233"/>
    <mergeCell ref="A221:B221"/>
    <mergeCell ref="G242:H242"/>
    <mergeCell ref="G240:H240"/>
    <mergeCell ref="A247:H247"/>
    <mergeCell ref="A239:B239"/>
    <mergeCell ref="A240:B240"/>
    <mergeCell ref="G238:H238"/>
    <mergeCell ref="A235:H235"/>
    <mergeCell ref="A134:B134"/>
    <mergeCell ref="C134:D134"/>
    <mergeCell ref="E134:F134"/>
    <mergeCell ref="G134:H134"/>
    <mergeCell ref="A135:B135"/>
    <mergeCell ref="C135:D135"/>
    <mergeCell ref="E135:F135"/>
    <mergeCell ref="G135:H135"/>
    <mergeCell ref="A229:H229"/>
    <mergeCell ref="A227:B227"/>
    <mergeCell ref="G228:H228"/>
    <mergeCell ref="C167:F167"/>
    <mergeCell ref="A169:H169"/>
    <mergeCell ref="A162:H162"/>
  </mergeCells>
  <dataValidations disablePrompts="1" count="12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48:E149">
      <formula1>"Attached Loft area,Attached Terrace area,Attached Mezzanine area"</formula1>
    </dataValidation>
    <dataValidation type="list" allowBlank="1" showInputMessage="1" showErrorMessage="1" sqref="F160 F149">
      <formula1>"45%,50%,55%,60%"</formula1>
    </dataValidation>
    <dataValidation type="list" allowBlank="1" showInputMessage="1" showErrorMessage="1" sqref="G271:H271">
      <formula1>"Kunal Kadam,Shruti Tathare,Pranita Mhatre,Shruti Fule,Pooja Kawale,Mansee Mohite,Anjali Kamble, Hitakshi Mhatre, Sachin Sawant"</formula1>
    </dataValidation>
    <dataValidation type="list" allowBlank="1" showInputMessage="1" showErrorMessage="1" sqref="F115:H115">
      <formula1>"On Saleable Area,On Builtup Area,On Carpet Area,On Plot Area"</formula1>
    </dataValidation>
    <dataValidation type="list" allowBlank="1" showInputMessage="1" showErrorMessage="1" sqref="F127:H127">
      <formula1>"100000,150000,200000,250000,300000,350000,400000,500000,600000,700000,800000,900000,1000000,1200000,1400000,1500000"</formula1>
    </dataValidation>
    <dataValidation type="list" allowBlank="1" showInputMessage="1" showErrorMessage="1" sqref="F148 F159">
      <formula1>"Saleable area Loading :,Builder Saleable area"</formula1>
    </dataValidation>
    <dataValidation type="list" allowBlank="1" showInputMessage="1" showErrorMessage="1" sqref="B148:B149">
      <formula1>"Shop No. (Sale Plan),Sale / Rehab,Sale / Mhada"</formula1>
    </dataValidation>
    <dataValidation type="list" allowBlank="1" showInputMessage="1" showErrorMessage="1" sqref="B159:B160">
      <formula1>"Flat No. (Sale Plan),Sale / Rehab,Sale / Mhada"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69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3"/>
  <headerFooter>
    <oddHeader>&amp;C&amp;G</oddHeader>
    <oddFooter>&amp;L&amp;"Times New Roman,Bold"&amp;12Ref No: &amp;F&amp;C&amp;G&amp;R&amp;"Times New Roman,Bold"&amp;12&amp;P</oddFooter>
  </headerFooter>
  <rowBreaks count="3" manualBreakCount="3">
    <brk id="275" max="16383" man="1"/>
    <brk id="318" max="16383" man="1"/>
    <brk id="361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8" zoomScale="85" zoomScaleNormal="85" workbookViewId="0">
      <selection activeCell="I33" sqref="I33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54" t="s">
        <v>106</v>
      </c>
      <c r="C3" s="254"/>
      <c r="D3" s="254"/>
      <c r="E3" s="254"/>
      <c r="F3" s="254"/>
      <c r="G3" s="254"/>
      <c r="H3" s="254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60"/>
      <c r="C4" s="60" t="s">
        <v>12</v>
      </c>
      <c r="D4" s="61" t="s">
        <v>183</v>
      </c>
      <c r="E4" s="61" t="s">
        <v>193</v>
      </c>
      <c r="F4" s="61" t="s">
        <v>177</v>
      </c>
      <c r="G4" s="61" t="s">
        <v>198</v>
      </c>
      <c r="H4" s="61" t="s">
        <v>216</v>
      </c>
      <c r="J4" t="s">
        <v>198</v>
      </c>
      <c r="K4" t="s">
        <v>214</v>
      </c>
    </row>
    <row r="5" spans="2:11" x14ac:dyDescent="0.25">
      <c r="B5" s="60"/>
      <c r="C5" s="60"/>
      <c r="D5" s="61" t="s">
        <v>184</v>
      </c>
      <c r="E5" s="61" t="s">
        <v>191</v>
      </c>
      <c r="F5" s="61" t="s">
        <v>213</v>
      </c>
      <c r="G5" s="61" t="s">
        <v>199</v>
      </c>
      <c r="H5" s="61" t="s">
        <v>217</v>
      </c>
    </row>
    <row r="6" spans="2:11" x14ac:dyDescent="0.25">
      <c r="B6" s="60"/>
      <c r="C6" s="60"/>
      <c r="D6" s="61" t="s">
        <v>185</v>
      </c>
      <c r="E6" s="61" t="s">
        <v>192</v>
      </c>
      <c r="F6" s="61" t="s">
        <v>214</v>
      </c>
      <c r="G6" s="61" t="s">
        <v>200</v>
      </c>
      <c r="H6" s="61" t="s">
        <v>230</v>
      </c>
    </row>
    <row r="7" spans="2:11" x14ac:dyDescent="0.25">
      <c r="B7" s="60"/>
      <c r="C7" s="60"/>
      <c r="D7" s="61" t="s">
        <v>186</v>
      </c>
      <c r="E7" s="61" t="s">
        <v>194</v>
      </c>
      <c r="F7" s="61" t="s">
        <v>215</v>
      </c>
      <c r="G7" s="61" t="s">
        <v>201</v>
      </c>
      <c r="H7" s="61" t="s">
        <v>218</v>
      </c>
    </row>
    <row r="8" spans="2:11" x14ac:dyDescent="0.25">
      <c r="B8" s="60"/>
      <c r="C8" s="60"/>
      <c r="D8" s="61" t="s">
        <v>187</v>
      </c>
      <c r="E8" s="61" t="s">
        <v>195</v>
      </c>
      <c r="F8" s="61"/>
      <c r="G8" s="61" t="s">
        <v>202</v>
      </c>
      <c r="H8" s="61" t="s">
        <v>219</v>
      </c>
    </row>
    <row r="9" spans="2:11" x14ac:dyDescent="0.25">
      <c r="B9" s="60"/>
      <c r="C9" s="60"/>
      <c r="D9" s="61" t="s">
        <v>188</v>
      </c>
      <c r="E9" s="61" t="s">
        <v>193</v>
      </c>
      <c r="F9" s="61"/>
      <c r="G9" s="61" t="s">
        <v>203</v>
      </c>
      <c r="H9" s="61" t="s">
        <v>220</v>
      </c>
    </row>
    <row r="10" spans="2:11" x14ac:dyDescent="0.25">
      <c r="B10" s="60"/>
      <c r="C10" s="60"/>
      <c r="D10" s="61" t="s">
        <v>189</v>
      </c>
      <c r="E10" s="61" t="s">
        <v>196</v>
      </c>
      <c r="F10" s="61"/>
      <c r="G10" s="61" t="s">
        <v>204</v>
      </c>
      <c r="H10" s="61" t="s">
        <v>221</v>
      </c>
    </row>
    <row r="11" spans="2:11" x14ac:dyDescent="0.25">
      <c r="B11" s="60"/>
      <c r="C11" s="60"/>
      <c r="D11" s="61" t="s">
        <v>190</v>
      </c>
      <c r="E11" s="61" t="s">
        <v>197</v>
      </c>
      <c r="F11" s="61"/>
      <c r="G11" s="61" t="s">
        <v>205</v>
      </c>
      <c r="H11" s="61" t="s">
        <v>222</v>
      </c>
    </row>
    <row r="12" spans="2:11" x14ac:dyDescent="0.25">
      <c r="B12" s="60"/>
      <c r="C12" s="60"/>
      <c r="D12" s="61"/>
      <c r="E12" s="61"/>
      <c r="F12" s="61"/>
      <c r="G12" s="61" t="s">
        <v>206</v>
      </c>
      <c r="H12" s="61" t="s">
        <v>223</v>
      </c>
    </row>
    <row r="13" spans="2:11" x14ac:dyDescent="0.25">
      <c r="B13" s="60"/>
      <c r="C13" s="60"/>
      <c r="D13" s="61"/>
      <c r="E13" s="61"/>
      <c r="F13" s="61"/>
      <c r="G13" s="61" t="s">
        <v>207</v>
      </c>
      <c r="H13" s="61" t="s">
        <v>224</v>
      </c>
    </row>
    <row r="14" spans="2:11" x14ac:dyDescent="0.25">
      <c r="B14" s="60"/>
      <c r="C14" s="60"/>
      <c r="D14" s="61"/>
      <c r="E14" s="61"/>
      <c r="F14" s="61"/>
      <c r="G14" s="61" t="s">
        <v>208</v>
      </c>
      <c r="H14" s="61" t="s">
        <v>225</v>
      </c>
    </row>
    <row r="15" spans="2:11" x14ac:dyDescent="0.25">
      <c r="B15" s="60"/>
      <c r="C15" s="60"/>
      <c r="D15" s="61"/>
      <c r="E15" s="61"/>
      <c r="F15" s="61"/>
      <c r="G15" s="61" t="s">
        <v>209</v>
      </c>
      <c r="H15" s="61" t="s">
        <v>226</v>
      </c>
    </row>
    <row r="16" spans="2:11" x14ac:dyDescent="0.25">
      <c r="B16" s="60"/>
      <c r="C16" s="60"/>
      <c r="D16" s="61"/>
      <c r="E16" s="61"/>
      <c r="F16" s="61"/>
      <c r="G16" s="61" t="s">
        <v>210</v>
      </c>
      <c r="H16" s="61" t="s">
        <v>227</v>
      </c>
    </row>
    <row r="17" spans="2:8" x14ac:dyDescent="0.25">
      <c r="B17" s="60"/>
      <c r="C17" s="60"/>
      <c r="D17" s="61"/>
      <c r="E17" s="61"/>
      <c r="F17" s="61"/>
      <c r="G17" s="61" t="s">
        <v>211</v>
      </c>
      <c r="H17" s="61" t="s">
        <v>228</v>
      </c>
    </row>
    <row r="18" spans="2:8" x14ac:dyDescent="0.25">
      <c r="B18" s="60"/>
      <c r="C18" s="60"/>
      <c r="D18" s="61"/>
      <c r="E18" s="61"/>
      <c r="F18" s="61"/>
      <c r="G18" s="61" t="s">
        <v>212</v>
      </c>
      <c r="H18" s="61" t="s">
        <v>229</v>
      </c>
    </row>
    <row r="24" spans="2:8" x14ac:dyDescent="0.25">
      <c r="C24" t="s">
        <v>174</v>
      </c>
    </row>
    <row r="25" spans="2:8" x14ac:dyDescent="0.25">
      <c r="C25" t="s">
        <v>231</v>
      </c>
    </row>
    <row r="26" spans="2:8" x14ac:dyDescent="0.25">
      <c r="C26" t="s">
        <v>232</v>
      </c>
    </row>
    <row r="27" spans="2:8" x14ac:dyDescent="0.25">
      <c r="C27" t="s">
        <v>233</v>
      </c>
    </row>
    <row r="28" spans="2:8" x14ac:dyDescent="0.25">
      <c r="C28" t="s">
        <v>234</v>
      </c>
    </row>
    <row r="29" spans="2:8" x14ac:dyDescent="0.25">
      <c r="C29" t="s">
        <v>235</v>
      </c>
    </row>
    <row r="30" spans="2:8" x14ac:dyDescent="0.25">
      <c r="C30" t="s">
        <v>174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2025-07-09T07:32:48Z</cp:lastPrinted>
  <dcterms:created xsi:type="dcterms:W3CDTF">2019-07-16T09:29:46Z</dcterms:created>
  <dcterms:modified xsi:type="dcterms:W3CDTF">2025-07-09T10:36:46Z</dcterms:modified>
</cp:coreProperties>
</file>