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1" l="1"/>
  <c r="K96" i="1"/>
  <c r="D223" i="1" l="1"/>
  <c r="F223" i="1" s="1"/>
  <c r="D225" i="1"/>
  <c r="F225" i="1" s="1"/>
  <c r="D224" i="1"/>
  <c r="F224" i="1" s="1"/>
  <c r="A223" i="1"/>
  <c r="A224" i="1" s="1"/>
  <c r="A225" i="1" s="1"/>
  <c r="G222" i="1"/>
  <c r="D218" i="1"/>
  <c r="F218" i="1" s="1"/>
  <c r="D220" i="1"/>
  <c r="F220" i="1" s="1"/>
  <c r="D219" i="1"/>
  <c r="F219" i="1" s="1"/>
  <c r="A218" i="1"/>
  <c r="A219" i="1" s="1"/>
  <c r="A220" i="1" s="1"/>
  <c r="G217" i="1"/>
  <c r="D213" i="1"/>
  <c r="F213" i="1" s="1"/>
  <c r="D212" i="1"/>
  <c r="D215" i="1"/>
  <c r="F215" i="1" s="1"/>
  <c r="D214" i="1"/>
  <c r="F214" i="1" s="1"/>
  <c r="A213" i="1"/>
  <c r="A214" i="1" s="1"/>
  <c r="A215" i="1" s="1"/>
  <c r="G212" i="1"/>
  <c r="F212" i="1"/>
  <c r="D186" i="1"/>
  <c r="F186" i="1" s="1"/>
  <c r="D185" i="1"/>
  <c r="F185" i="1" s="1"/>
  <c r="K184" i="1"/>
  <c r="K185" i="1" s="1"/>
  <c r="D184" i="1"/>
  <c r="F184" i="1" s="1"/>
  <c r="J184" i="1" s="1"/>
  <c r="D183" i="1"/>
  <c r="F183" i="1" s="1"/>
  <c r="A183" i="1"/>
  <c r="A184" i="1" s="1"/>
  <c r="A185" i="1" s="1"/>
  <c r="A186" i="1" s="1"/>
  <c r="G182" i="1"/>
  <c r="D182" i="1"/>
  <c r="F182" i="1" s="1"/>
  <c r="D207" i="1"/>
  <c r="D210" i="1"/>
  <c r="D209" i="1"/>
  <c r="D208" i="1"/>
  <c r="D205" i="1"/>
  <c r="D204" i="1"/>
  <c r="D203" i="1"/>
  <c r="D200" i="1"/>
  <c r="D199" i="1"/>
  <c r="D198" i="1"/>
  <c r="D197" i="1"/>
  <c r="D195" i="1"/>
  <c r="D194" i="1"/>
  <c r="D176" i="1"/>
  <c r="D170" i="1"/>
  <c r="D172" i="1"/>
  <c r="D171" i="1"/>
  <c r="D178" i="1"/>
  <c r="D177" i="1"/>
  <c r="D166" i="1"/>
  <c r="D165" i="1"/>
  <c r="D160" i="1"/>
  <c r="D159" i="1"/>
  <c r="D173" i="1"/>
  <c r="D180" i="1"/>
  <c r="D179" i="1"/>
  <c r="D168" i="1"/>
  <c r="D167" i="1"/>
  <c r="D162" i="1"/>
  <c r="D161" i="1"/>
  <c r="D164" i="1"/>
  <c r="D158" i="1"/>
  <c r="D155" i="1"/>
  <c r="D154" i="1"/>
  <c r="D153" i="1"/>
  <c r="D152" i="1"/>
  <c r="D150" i="1"/>
  <c r="D149" i="1"/>
  <c r="D148" i="1"/>
  <c r="D147" i="1"/>
  <c r="D146" i="1"/>
  <c r="D144" i="1"/>
  <c r="D143" i="1"/>
  <c r="D140" i="1"/>
  <c r="D132" i="1"/>
  <c r="F132" i="1" s="1"/>
  <c r="D131" i="1"/>
  <c r="F131" i="1" s="1"/>
  <c r="D130" i="1"/>
  <c r="F130" i="1" s="1"/>
  <c r="D128" i="1"/>
  <c r="F128" i="1" s="1"/>
  <c r="D127" i="1"/>
  <c r="F127" i="1" s="1"/>
  <c r="D126" i="1"/>
  <c r="K126" i="1"/>
  <c r="A131" i="1"/>
  <c r="A132" i="1" s="1"/>
  <c r="G130" i="1"/>
  <c r="G126" i="1"/>
  <c r="A127" i="1"/>
  <c r="A128" i="1" s="1"/>
  <c r="E111" i="1" l="1"/>
  <c r="C111" i="1"/>
  <c r="L183" i="1"/>
  <c r="K183" i="1"/>
  <c r="J183" i="1"/>
  <c r="I183" i="1"/>
  <c r="K186" i="1"/>
  <c r="J170" i="1"/>
  <c r="K178" i="1"/>
  <c r="K179" i="1" s="1"/>
  <c r="F209" i="1" l="1"/>
  <c r="F207" i="1"/>
  <c r="F204" i="1"/>
  <c r="F200" i="1"/>
  <c r="F198" i="1"/>
  <c r="F197" i="1"/>
  <c r="F195" i="1"/>
  <c r="F194" i="1"/>
  <c r="D193" i="1"/>
  <c r="F193" i="1" s="1"/>
  <c r="D192" i="1"/>
  <c r="F173" i="1"/>
  <c r="F172" i="1"/>
  <c r="F171" i="1"/>
  <c r="F170" i="1"/>
  <c r="F180" i="1"/>
  <c r="F179" i="1"/>
  <c r="F178" i="1"/>
  <c r="J178" i="1" s="1"/>
  <c r="F177" i="1"/>
  <c r="F176" i="1"/>
  <c r="F167" i="1"/>
  <c r="F166" i="1"/>
  <c r="F165" i="1"/>
  <c r="F162" i="1"/>
  <c r="F160" i="1"/>
  <c r="F159" i="1"/>
  <c r="F158" i="1"/>
  <c r="F150" i="1"/>
  <c r="F149" i="1"/>
  <c r="F148" i="1"/>
  <c r="F147" i="1"/>
  <c r="F146" i="1"/>
  <c r="F144" i="1"/>
  <c r="D142" i="1"/>
  <c r="D141" i="1"/>
  <c r="C112" i="1"/>
  <c r="I148" i="1"/>
  <c r="I155" i="1"/>
  <c r="I161" i="1"/>
  <c r="I210" i="1"/>
  <c r="I195" i="1"/>
  <c r="I194" i="1"/>
  <c r="I159" i="1"/>
  <c r="I153" i="1"/>
  <c r="I173" i="1"/>
  <c r="A171" i="1"/>
  <c r="A172" i="1" s="1"/>
  <c r="A173" i="1" s="1"/>
  <c r="A174" i="1" s="1"/>
  <c r="G170" i="1"/>
  <c r="A177" i="1"/>
  <c r="A178" i="1" s="1"/>
  <c r="A179" i="1" s="1"/>
  <c r="A180" i="1" s="1"/>
  <c r="G176" i="1"/>
  <c r="F168" i="1"/>
  <c r="A165" i="1"/>
  <c r="A166" i="1" s="1"/>
  <c r="A167" i="1" s="1"/>
  <c r="A168" i="1" s="1"/>
  <c r="G164" i="1"/>
  <c r="F164" i="1"/>
  <c r="F161" i="1"/>
  <c r="A159" i="1"/>
  <c r="A160" i="1" s="1"/>
  <c r="A161" i="1" s="1"/>
  <c r="A162" i="1" s="1"/>
  <c r="G158" i="1"/>
  <c r="F210" i="1"/>
  <c r="F208" i="1"/>
  <c r="A208" i="1"/>
  <c r="A209" i="1" s="1"/>
  <c r="A210" i="1" s="1"/>
  <c r="G207" i="1"/>
  <c r="F205" i="1"/>
  <c r="F203" i="1"/>
  <c r="A203" i="1"/>
  <c r="A204" i="1" s="1"/>
  <c r="A205" i="1" s="1"/>
  <c r="G202" i="1"/>
  <c r="F199" i="1"/>
  <c r="A198" i="1"/>
  <c r="A199" i="1" s="1"/>
  <c r="A200" i="1" s="1"/>
  <c r="G197" i="1"/>
  <c r="A147" i="1"/>
  <c r="A148" i="1" s="1"/>
  <c r="A149" i="1" s="1"/>
  <c r="A150" i="1" s="1"/>
  <c r="G146" i="1"/>
  <c r="A193" i="1"/>
  <c r="A194" i="1" s="1"/>
  <c r="A195" i="1" s="1"/>
  <c r="G192" i="1"/>
  <c r="J126" i="1"/>
  <c r="I126" i="1"/>
  <c r="F192" i="1" l="1"/>
  <c r="G116" i="1" s="1"/>
  <c r="E116" i="1"/>
  <c r="C116" i="1"/>
  <c r="C115" i="1"/>
  <c r="E115" i="1"/>
  <c r="J177" i="1"/>
  <c r="I177" i="1"/>
  <c r="E112" i="1"/>
  <c r="K177" i="1"/>
  <c r="L177" i="1"/>
  <c r="K180" i="1"/>
  <c r="D65" i="1"/>
  <c r="E30" i="1"/>
  <c r="B228" i="1"/>
  <c r="C71" i="1"/>
  <c r="B72" i="1" s="1"/>
  <c r="E25" i="1"/>
  <c r="E117" i="1" l="1"/>
  <c r="C117" i="1"/>
  <c r="E27" i="1"/>
  <c r="C15" i="1"/>
  <c r="E118" i="1" l="1"/>
  <c r="C118" i="1"/>
  <c r="E43" i="1" l="1"/>
  <c r="E44" i="1" s="1"/>
  <c r="F141" i="1" l="1"/>
  <c r="F142" i="1"/>
  <c r="F143" i="1"/>
  <c r="F140" i="1"/>
  <c r="A141" i="1"/>
  <c r="A142" i="1" s="1"/>
  <c r="A143" i="1" s="1"/>
  <c r="A144" i="1" s="1"/>
  <c r="G140" i="1"/>
  <c r="F108" i="1" l="1"/>
  <c r="F126" i="1" l="1"/>
  <c r="G111" i="1" l="1"/>
  <c r="G112" i="1" s="1"/>
  <c r="F155" i="1"/>
  <c r="F153" i="1"/>
  <c r="F152" i="1"/>
  <c r="F154" i="1"/>
  <c r="G115" i="1" l="1"/>
  <c r="G117" i="1" s="1"/>
  <c r="G118" i="1" s="1"/>
  <c r="B22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1" i="1"/>
  <c r="G152" i="1"/>
  <c r="A153" i="1"/>
  <c r="A154" i="1" s="1"/>
  <c r="A155" i="1" s="1"/>
  <c r="A156" i="1" s="1"/>
  <c r="C85" i="1"/>
  <c r="B86" i="1" s="1"/>
  <c r="D59" i="1"/>
  <c r="C50" i="1"/>
  <c r="E7" i="1"/>
  <c r="E3" i="1"/>
  <c r="H72" i="1"/>
  <c r="H86" i="1"/>
  <c r="J91" i="1" l="1"/>
  <c r="J92" i="1" s="1"/>
  <c r="J85" i="1"/>
  <c r="J87" i="1" s="1"/>
  <c r="D96" i="1"/>
  <c r="D97" i="1"/>
  <c r="D98" i="1"/>
  <c r="D92" i="1"/>
  <c r="D93" i="1"/>
  <c r="D94" i="1"/>
  <c r="D95" i="1"/>
  <c r="D84" i="1"/>
  <c r="D82" i="1"/>
  <c r="D81" i="1"/>
  <c r="D80" i="1"/>
  <c r="D78" i="1"/>
  <c r="J71" i="1"/>
  <c r="D83" i="1"/>
  <c r="D79" i="1"/>
  <c r="J75" i="1"/>
  <c r="J76" i="1"/>
  <c r="C75" i="1" s="1"/>
  <c r="J74" i="1"/>
  <c r="J77" i="1"/>
  <c r="J78" i="1" s="1"/>
  <c r="J83" i="1" s="1"/>
  <c r="J89" i="1"/>
  <c r="J90" i="1"/>
  <c r="C89" i="1" s="1"/>
  <c r="J88" i="1"/>
  <c r="J97" i="1" l="1"/>
  <c r="J93" i="1"/>
  <c r="J94" i="1" s="1"/>
  <c r="J95" i="1" s="1"/>
  <c r="J96" i="1" s="1"/>
  <c r="J79" i="1"/>
  <c r="J80" i="1" s="1"/>
  <c r="J81" i="1" s="1"/>
  <c r="J82" i="1" s="1"/>
  <c r="D91" i="1"/>
  <c r="D77" i="1"/>
  <c r="J73" i="1"/>
  <c r="D75" i="1"/>
  <c r="D89" i="1"/>
  <c r="J84" i="1" l="1"/>
  <c r="C76" i="1" s="1"/>
  <c r="G75" i="1" s="1"/>
  <c r="J98" i="1"/>
  <c r="C90" i="1" l="1"/>
  <c r="J86" i="1" s="1"/>
  <c r="D69" i="1"/>
  <c r="D70" i="1" s="1"/>
  <c r="J72" i="1"/>
  <c r="D76" i="1"/>
  <c r="I72" i="1" s="1"/>
  <c r="E75" i="1"/>
  <c r="G89" i="1" l="1"/>
  <c r="D90" i="1"/>
  <c r="I86" i="1" s="1"/>
  <c r="I87" i="1" s="1"/>
  <c r="E89" i="1"/>
  <c r="F70" i="1"/>
  <c r="I73" i="1"/>
  <c r="I71" i="1" s="1"/>
  <c r="C73" i="1" s="1"/>
  <c r="I85" i="1" l="1"/>
  <c r="C87" i="1" s="1"/>
</calcChain>
</file>

<file path=xl/sharedStrings.xml><?xml version="1.0" encoding="utf-8"?>
<sst xmlns="http://schemas.openxmlformats.org/spreadsheetml/2006/main" count="413" uniqueCount="250">
  <si>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</si>
  <si>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</si>
  <si>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</si>
  <si>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</si>
  <si>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</si>
  <si>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</si>
  <si>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</si>
  <si>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</si>
  <si>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</si>
  <si>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</si>
  <si>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</si>
  <si>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</si>
  <si>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</si>
  <si>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</si>
  <si>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</si>
  <si>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</si>
  <si>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</si>
  <si>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</si>
  <si>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</si>
  <si>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</si>
  <si>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</si>
  <si>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</si>
  <si>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</si>
  <si>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</si>
  <si>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</si>
  <si>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</si>
  <si>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</si>
  <si>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</si>
  <si>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</si>
  <si>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</si>
  <si>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</si>
  <si>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</si>
  <si>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</si>
  <si>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</si>
  <si>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</si>
  <si>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</si>
  <si>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</si>
  <si>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</si>
  <si>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</si>
  <si>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</si>
  <si>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</si>
  <si>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</si>
  <si>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</si>
  <si>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</si>
  <si>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</si>
  <si>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</si>
  <si>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</si>
  <si>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</si>
  <si>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</si>
  <si>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</si>
  <si>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</si>
  <si>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</si>
  <si>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</si>
  <si>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</si>
  <si>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</si>
  <si>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</si>
  <si>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</si>
  <si>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</si>
  <si>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</si>
  <si>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</si>
  <si>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</si>
  <si>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</si>
  <si>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</si>
  <si>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</si>
  <si>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</si>
  <si>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</si>
  <si>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</si>
  <si>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</si>
  <si>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</si>
  <si>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</si>
  <si>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</si>
  <si>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</si>
  <si>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</si>
  <si>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</si>
  <si>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</si>
  <si>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</si>
  <si>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</si>
  <si>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</si>
  <si>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</si>
  <si>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</si>
  <si>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</si>
  <si>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</si>
  <si>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</si>
  <si>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</si>
  <si>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</si>
  <si>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</si>
  <si>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</si>
  <si>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</si>
  <si>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</si>
  <si>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</si>
  <si>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</si>
  <si>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</si>
  <si>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</si>
  <si>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</si>
  <si>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</si>
  <si>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</si>
  <si>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</si>
  <si>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</si>
  <si>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</si>
  <si>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</si>
  <si>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</si>
  <si>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</si>
  <si>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</si>
  <si>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</si>
  <si>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</si>
  <si>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</si>
  <si>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</si>
  <si>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</si>
  <si>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</si>
  <si>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</si>
  <si>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</si>
  <si>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</si>
  <si>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</si>
  <si>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</si>
  <si>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</si>
  <si>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</si>
  <si>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</si>
  <si>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</si>
  <si>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</si>
  <si>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</si>
  <si>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</si>
  <si>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</si>
  <si>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</si>
  <si>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</si>
  <si>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</si>
  <si>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</si>
  <si>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</si>
  <si>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</si>
  <si>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</si>
  <si>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</si>
  <si>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</si>
  <si>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</si>
  <si>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</si>
  <si>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</si>
  <si>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</si>
  <si>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</si>
  <si>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</si>
  <si>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</si>
  <si>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</si>
  <si>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</si>
  <si>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</si>
  <si>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</si>
  <si>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</si>
  <si>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</si>
  <si>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</si>
  <si>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</si>
  <si>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</si>
  <si>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</si>
  <si>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</si>
  <si>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</si>
  <si>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</si>
  <si>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</si>
  <si>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</si>
  <si>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</si>
  <si>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</si>
  <si>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</si>
  <si>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</si>
  <si>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</si>
  <si>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</si>
  <si>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</si>
  <si>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</si>
  <si>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</si>
  <si>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</si>
  <si>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</si>
  <si>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</si>
  <si>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</si>
  <si>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</si>
  <si>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</si>
  <si>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</si>
  <si>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</si>
  <si>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</si>
  <si>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</si>
  <si>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Sandu Developers Pvt. Ltd.</t>
  </si>
  <si>
    <t>Shilpadatta by Sandu Developers</t>
  </si>
  <si>
    <t>P51800045569</t>
  </si>
  <si>
    <t>Mumbai</t>
  </si>
  <si>
    <t>Kurla</t>
  </si>
  <si>
    <t>Borla</t>
  </si>
  <si>
    <t>CTS No</t>
  </si>
  <si>
    <t>400 M from Govandi Railway Station</t>
  </si>
  <si>
    <t>Samrat Ashok Nagar</t>
  </si>
  <si>
    <t>Govandi (East)</t>
  </si>
  <si>
    <t>Name / No of the Existing Building</t>
  </si>
  <si>
    <t>Shipadatta</t>
  </si>
  <si>
    <t>Govandi Road</t>
  </si>
  <si>
    <t>https://goo.gl/maps/fnCgWQctfRUZ7xb47?coh=178572&amp;entry=tt</t>
  </si>
  <si>
    <t>Shri Datta Mandir</t>
  </si>
  <si>
    <t>Arogyadham CHSL</t>
  </si>
  <si>
    <t>Thapar Suburbia Building</t>
  </si>
  <si>
    <t>Municipal Corporation Of Greater Mumbai (MCGM)</t>
  </si>
  <si>
    <t>P-8105/2021/(267)/M/E WARD/ BORLA-E</t>
  </si>
  <si>
    <t xml:space="preserve">Airports Authority Of India-NOC No
Valid Up to: </t>
  </si>
  <si>
    <t>SNCR/WEST/B/052219/398808</t>
  </si>
  <si>
    <t>72.85 m (AMSL)</t>
  </si>
  <si>
    <t>As per RERA - 31/12/2026</t>
  </si>
  <si>
    <t>Wing A</t>
  </si>
  <si>
    <t>Basement Floor For Parking</t>
  </si>
  <si>
    <t>Wing B</t>
  </si>
  <si>
    <t>Basement Floor For Pump Room, Fire Tank, Dometic Tank &amp; Parking</t>
  </si>
  <si>
    <t>Majestic Driveway, Fitness Center, Multipurpose Hall, Kids Play Area, Plunge Pool, Yoga Zone, Mini Forest Walkway, Music Garden etc.</t>
  </si>
  <si>
    <t>B Wing = 1B + G + 1st to 17th Floor</t>
  </si>
  <si>
    <t>Ground Floor For Entrance Lobby, Meter Room &amp; Parking</t>
  </si>
  <si>
    <t>2nd Podium Floor For Parking</t>
  </si>
  <si>
    <t>3rd Podium Floor For Fitness Center, Society Office &amp; Parking</t>
  </si>
  <si>
    <t>4th Floor For Residential</t>
  </si>
  <si>
    <t>5th &amp; 6th Floor</t>
  </si>
  <si>
    <t>8th to 11th Floor</t>
  </si>
  <si>
    <t>Refuge Area</t>
  </si>
  <si>
    <t>7th Floor (Part Refuge Area)</t>
  </si>
  <si>
    <t>14th Floor (Part Refuge Area)</t>
  </si>
  <si>
    <t>1BHK</t>
  </si>
  <si>
    <t>2BHK</t>
  </si>
  <si>
    <t>3BHK</t>
  </si>
  <si>
    <t>Shop</t>
  </si>
  <si>
    <t>Flats</t>
  </si>
  <si>
    <t>A Wing = 1B + G + 1st to 17th Floor</t>
  </si>
  <si>
    <t>02 Wings</t>
  </si>
  <si>
    <t>Wing A &amp; B</t>
  </si>
  <si>
    <t>We considered Gross carpet area = Net carpet + Balcony.</t>
  </si>
  <si>
    <t>267A, 267/1 to 267/2, Redevlopement of "Shipadatta"</t>
  </si>
  <si>
    <t>Approved Plans, CC</t>
  </si>
  <si>
    <t>Electricity Meter Charges</t>
  </si>
  <si>
    <t>Water &amp; Other Charges</t>
  </si>
  <si>
    <t>&amp; other charges</t>
  </si>
  <si>
    <t>sanket</t>
  </si>
  <si>
    <t>17000 to 18200</t>
  </si>
  <si>
    <t>19.054102,72.913279</t>
  </si>
  <si>
    <t>A Wing = 1B + G + 1st to 17th Floor
B Wing = 1B + G + 1st to 16th Floor</t>
  </si>
  <si>
    <t>1st Podium</t>
  </si>
  <si>
    <t>Ground Floor For Commercial, Entrance Lobby &amp; Meter Room</t>
  </si>
  <si>
    <t>Shops</t>
  </si>
  <si>
    <t>1st, 2nd &amp; 3rd Podium Floor For Parking</t>
  </si>
  <si>
    <t>12th, 13th &amp; 15th Floor</t>
  </si>
  <si>
    <t>16th Floor</t>
  </si>
  <si>
    <t>17th Floor</t>
  </si>
  <si>
    <t>16th Floor (Part Terrace Area)</t>
  </si>
  <si>
    <t>Terrace Area</t>
  </si>
  <si>
    <t>We have updated approved Layout plan, floor plan &amp; CC (on 28/10/2023).</t>
  </si>
  <si>
    <t>Flats - 117, Shops - 6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</si>
  <si>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</si>
  <si>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Mr. Malin Shah 7700921620</t>
  </si>
  <si>
    <t>P-8105/2021/(267)/M/E
Ward/BORLA-E/FCC/3/Amend</t>
  </si>
  <si>
    <t>We have updated approved CC from MCGM site (on 09/10/2024).</t>
  </si>
  <si>
    <t>Further C.C. upto 13th upper floor for Wing ‘B’ as per approved amended plan dt. 19.10.2023 by restricting 14th, 15th and 16th upper floor of Wing’B’.</t>
  </si>
  <si>
    <t>Ms. Simran 9152972404</t>
  </si>
  <si>
    <t>Akash Kadam</t>
  </si>
  <si>
    <t>Wing A &amp; B  = Construction work is in process at the time of Visit. (Internal photo was not allowed).
B Wing = Construction work is same as last visit dtd.07/10/2024</t>
  </si>
  <si>
    <t>Shruti Tathare</t>
  </si>
  <si>
    <t>Further C.C. up to 3rd podium as per lastly approved amended plans dated 27.03.2023 and as marked A-B-C-D on plinth checking plan of Wing 'B'i s granted pending approval of amended plans as per lastly approved concession by hon’ble M.C. on 31.05.2023 by showing existing structure to be retained.</t>
  </si>
  <si>
    <t>Validity of CC is expired on 01/05/2025. Please provide revised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</si>
</sst>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424295</xdr:colOff>
      <xdr:row>355</xdr:row>
      <xdr:rowOff>139016</xdr:rowOff>
    </xdr:from>
    <xdr:to>
      <xdr:col>6</xdr:col>
      <xdr:colOff>418183</xdr:colOff>
      <xdr:row>370</xdr:row>
      <xdr:rowOff>31629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6295" y="65264039"/>
          <a:ext cx="4141593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442540</xdr:colOff>
      <xdr:row>340</xdr:row>
      <xdr:rowOff>8659</xdr:rowOff>
    </xdr:from>
    <xdr:to>
      <xdr:col>6</xdr:col>
      <xdr:colOff>418183</xdr:colOff>
      <xdr:row>354</xdr:row>
      <xdr:rowOff>100433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4540" y="62146295"/>
          <a:ext cx="412334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398318</xdr:colOff>
      <xdr:row>360</xdr:row>
      <xdr:rowOff>51955</xdr:rowOff>
    </xdr:from>
    <xdr:to>
      <xdr:col>4</xdr:col>
      <xdr:colOff>51955</xdr:colOff>
      <xdr:row>363</xdr:row>
      <xdr:rowOff>155864</xdr:rowOff>
    </xdr:to>
    <xdr:sp macro="" textlink="">
      <xdr:nvSpPr>
        <xdr:cNvPr id="4" name="Rectangle 3"/>
        <xdr:cNvSpPr/>
      </xdr:nvSpPr>
      <xdr:spPr>
        <a:xfrm rot="921363">
          <a:off x="2805545" y="66172773"/>
          <a:ext cx="597478" cy="701386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103909</xdr:colOff>
      <xdr:row>13</xdr:row>
      <xdr:rowOff>147204</xdr:rowOff>
    </xdr:from>
    <xdr:to>
      <xdr:col>13</xdr:col>
      <xdr:colOff>528513</xdr:colOff>
      <xdr:row>14</xdr:row>
      <xdr:rowOff>308045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4204" y="3342409"/>
          <a:ext cx="4537672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337706</xdr:colOff>
      <xdr:row>14</xdr:row>
      <xdr:rowOff>441612</xdr:rowOff>
    </xdr:from>
    <xdr:to>
      <xdr:col>12</xdr:col>
      <xdr:colOff>136424</xdr:colOff>
      <xdr:row>21</xdr:row>
      <xdr:rowOff>156502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1" y="3835976"/>
          <a:ext cx="3123809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43473</xdr:colOff>
      <xdr:row>312</xdr:row>
      <xdr:rowOff>13851</xdr:rowOff>
    </xdr:from>
    <xdr:to>
      <xdr:col>5</xdr:col>
      <xdr:colOff>656337</xdr:colOff>
      <xdr:row>330</xdr:row>
      <xdr:rowOff>28988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02109" y="66766783"/>
          <a:ext cx="3184614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692727</xdr:colOff>
      <xdr:row>296</xdr:row>
      <xdr:rowOff>121227</xdr:rowOff>
    </xdr:from>
    <xdr:to>
      <xdr:col>7</xdr:col>
      <xdr:colOff>14575</xdr:colOff>
      <xdr:row>311</xdr:row>
      <xdr:rowOff>13841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2727" y="63687613"/>
          <a:ext cx="496757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oneCellAnchor>
    <xdr:from>
      <xdr:col>8</xdr:col>
      <xdr:colOff>936916</xdr:colOff>
      <xdr:row>259</xdr:row>
      <xdr:rowOff>53688</xdr:rowOff>
    </xdr:from>
    <xdr:ext cx="385939" cy="530658"/>
    <xdr:sp macro="" textlink="">
      <xdr:nvSpPr>
        <xdr:cNvPr id="30" name="TextBox 29"/>
        <xdr:cNvSpPr txBox="1"/>
      </xdr:nvSpPr>
      <xdr:spPr>
        <a:xfrm>
          <a:off x="7249393" y="56450347"/>
          <a:ext cx="385939" cy="530658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800" b="1"/>
            <a:t>B</a:t>
          </a:r>
        </a:p>
      </xdr:txBody>
    </xdr:sp>
    <xdr:clientData/>
  </xdr:oneCellAnchor>
  <xdr:oneCellAnchor>
    <xdr:from>
      <xdr:col>11</xdr:col>
      <xdr:colOff>464279</xdr:colOff>
      <xdr:row>252</xdr:row>
      <xdr:rowOff>135498</xdr:rowOff>
    </xdr:from>
    <xdr:ext cx="402226" cy="530658"/>
    <xdr:sp macro="" textlink="">
      <xdr:nvSpPr>
        <xdr:cNvPr id="29" name="TextBox 28"/>
        <xdr:cNvSpPr txBox="1"/>
      </xdr:nvSpPr>
      <xdr:spPr>
        <a:xfrm>
          <a:off x="9589229" y="55504323"/>
          <a:ext cx="402226" cy="530658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800" b="1"/>
            <a:t>A</a:t>
          </a:r>
        </a:p>
      </xdr:txBody>
    </xdr:sp>
    <xdr:clientData/>
  </xdr:oneCellAnchor>
  <xdr:oneCellAnchor>
    <xdr:from>
      <xdr:col>13</xdr:col>
      <xdr:colOff>411683</xdr:colOff>
      <xdr:row>252</xdr:row>
      <xdr:rowOff>118933</xdr:rowOff>
    </xdr:from>
    <xdr:ext cx="385939" cy="530658"/>
    <xdr:sp macro="" textlink="">
      <xdr:nvSpPr>
        <xdr:cNvPr id="33" name="TextBox 32"/>
        <xdr:cNvSpPr txBox="1"/>
      </xdr:nvSpPr>
      <xdr:spPr>
        <a:xfrm>
          <a:off x="11032058" y="55487758"/>
          <a:ext cx="385939" cy="530658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800" b="1"/>
            <a:t>B</a:t>
          </a:r>
        </a:p>
      </xdr:txBody>
    </xdr:sp>
    <xdr:clientData/>
  </xdr:oneCellAnchor>
  <xdr:twoCellAnchor>
    <xdr:from>
      <xdr:col>13</xdr:col>
      <xdr:colOff>774887</xdr:colOff>
      <xdr:row>255</xdr:row>
      <xdr:rowOff>16249</xdr:rowOff>
    </xdr:from>
    <xdr:to>
      <xdr:col>14</xdr:col>
      <xdr:colOff>157442</xdr:colOff>
      <xdr:row>256</xdr:row>
      <xdr:rowOff>117101</xdr:rowOff>
    </xdr:to>
    <xdr:cxnSp macro="">
      <xdr:nvCxnSpPr>
        <xdr:cNvPr id="11" name="Straight Arrow Connector 10"/>
        <xdr:cNvCxnSpPr/>
      </xdr:nvCxnSpPr>
      <xdr:spPr>
        <a:xfrm>
          <a:off x="11395262" y="55975624"/>
          <a:ext cx="220755" cy="30087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114299</xdr:colOff>
      <xdr:row>251</xdr:row>
      <xdr:rowOff>111125</xdr:rowOff>
    </xdr:from>
    <xdr:to>
      <xdr:col>7</xdr:col>
      <xdr:colOff>579945</xdr:colOff>
      <xdr:row>288</xdr:row>
      <xdr:rowOff>93075</xdr:rowOff>
    </xdr:to>
    <xdr:grpSp>
      <xdr:nvGrpSpPr>
        <xdr:cNvPr id="10" name="Group 9"/>
        <xdr:cNvGrpSpPr/>
      </xdr:nvGrpSpPr>
      <xdr:grpSpPr>
        <a:xfrm>
          <a:off x="114299" y="56899175"/>
          <a:ext cx="6113971" cy="7373350"/>
          <a:chOff x="114299" y="55041800"/>
          <a:chExt cx="6113971" cy="7373350"/>
        </a:xfrm>
      </xdr:grpSpPr>
      <xdr:pic>
        <xdr:nvPicPr>
          <xdr:cNvPr id="53" name="Picture 52" descr="https://vsjcllp.vsjadon.com/upload/insp-24015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33600" y="60255150"/>
            <a:ext cx="384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Picture 53" descr="https://vsjcllp.vsjadon.com/upload/insp-240151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28949" y="58023125"/>
            <a:ext cx="1323975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54" descr="https://vsjcllp.vsjadon.com/upload/insp-240151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29125" y="5801677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https://vsjcllp.vsjadon.com/upload/insp-240151-84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00200" y="58023125"/>
            <a:ext cx="13525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https://vsjcllp.vsjadon.com/upload/insp-240151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4800" y="58032650"/>
            <a:ext cx="1215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57" descr="https://vsjcllp.vsjadon.com/upload/insp-240151-84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81499" y="55041800"/>
            <a:ext cx="1846771" cy="29083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Picture 58" descr="https://vsjcllp.vsjadon.com/upload/insp-240151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81249" y="55041800"/>
            <a:ext cx="1923719" cy="29083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Picture 59" descr="https://vsjcllp.vsjadon.com/upload/insp-240151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4299" y="55041800"/>
            <a:ext cx="2181225" cy="29083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0" descr="https://vsjcllp.vsjadon.com/upload/insp-240151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9100" y="6024245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733424</xdr:colOff>
      <xdr:row>251</xdr:row>
      <xdr:rowOff>101600</xdr:rowOff>
    </xdr:from>
    <xdr:to>
      <xdr:col>1</xdr:col>
      <xdr:colOff>342038</xdr:colOff>
      <xdr:row>253</xdr:row>
      <xdr:rowOff>163215</xdr:rowOff>
    </xdr:to>
    <xdr:sp macro="" textlink="">
      <xdr:nvSpPr>
        <xdr:cNvPr id="62" name="TextBox 64"/>
        <xdr:cNvSpPr txBox="1"/>
      </xdr:nvSpPr>
      <xdr:spPr>
        <a:xfrm>
          <a:off x="733424" y="55032275"/>
          <a:ext cx="370614" cy="46166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2400" b="1">
              <a:solidFill>
                <a:sysClr val="windowText" lastClr="000000"/>
              </a:solidFill>
            </a:rPr>
            <a:t>B</a:t>
          </a:r>
        </a:p>
      </xdr:txBody>
    </xdr:sp>
    <xdr:clientData/>
  </xdr:twoCellAnchor>
  <xdr:twoCellAnchor>
    <xdr:from>
      <xdr:col>1</xdr:col>
      <xdr:colOff>685799</xdr:colOff>
      <xdr:row>251</xdr:row>
      <xdr:rowOff>92075</xdr:rowOff>
    </xdr:from>
    <xdr:to>
      <xdr:col>2</xdr:col>
      <xdr:colOff>256313</xdr:colOff>
      <xdr:row>253</xdr:row>
      <xdr:rowOff>153690</xdr:rowOff>
    </xdr:to>
    <xdr:sp macro="" textlink="">
      <xdr:nvSpPr>
        <xdr:cNvPr id="63" name="TextBox 64"/>
        <xdr:cNvSpPr txBox="1"/>
      </xdr:nvSpPr>
      <xdr:spPr>
        <a:xfrm>
          <a:off x="1447799" y="55022750"/>
          <a:ext cx="370614" cy="46166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2400" b="1">
              <a:solidFill>
                <a:sysClr val="windowText" lastClr="000000"/>
              </a:solidFill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nCgWQctfRUZ7xb4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39"/>
  <sheetViews>
    <sheetView tabSelected="1" view="pageBreakPreview" zoomScaleNormal="100" zoomScaleSheetLayoutView="100" workbookViewId="0">
      <selection activeCell="G57" sqref="G57:H57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11" style="40" customWidth="1"/>
    <col min="8" max="8" width="12.710937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55" t="s">
        <v>239</v>
      </c>
      <c r="B1" s="155"/>
      <c r="C1" s="155"/>
      <c r="D1" s="155"/>
      <c r="E1" s="155"/>
      <c r="F1" s="155"/>
      <c r="G1" s="155"/>
      <c r="H1" s="155"/>
    </row>
    <row r="2" spans="1:12" ht="16.5" customHeight="1" x14ac:dyDescent="0.25">
      <c r="A2" s="156" t="s">
        <v>0</v>
      </c>
      <c r="B2" s="156"/>
      <c r="C2" s="156"/>
      <c r="D2" s="156"/>
      <c r="E2" s="156"/>
      <c r="F2" s="156"/>
      <c r="G2" s="156"/>
      <c r="H2" s="156"/>
    </row>
    <row r="3" spans="1:12" x14ac:dyDescent="0.25">
      <c r="A3" s="70" t="s">
        <v>1</v>
      </c>
      <c r="B3" s="70"/>
      <c r="C3" s="70"/>
      <c r="D3" s="70"/>
      <c r="E3" s="70" t="str">
        <f ca="1">TEXT(TODAY(),"DD/MM/YYYY")</f>
        <v>17/07/2025</v>
      </c>
      <c r="F3" s="70"/>
      <c r="G3" s="70"/>
      <c r="H3" s="70"/>
    </row>
    <row r="4" spans="1:12" x14ac:dyDescent="0.25">
      <c r="A4" s="70" t="s">
        <v>2</v>
      </c>
      <c r="B4" s="70"/>
      <c r="C4" s="70"/>
      <c r="D4" s="70"/>
      <c r="E4" s="70" t="s">
        <v>171</v>
      </c>
      <c r="F4" s="70"/>
      <c r="G4" s="70"/>
      <c r="H4" s="70"/>
    </row>
    <row r="5" spans="1:12" x14ac:dyDescent="0.25">
      <c r="A5" s="70" t="s">
        <v>3</v>
      </c>
      <c r="B5" s="70"/>
      <c r="C5" s="70"/>
      <c r="D5" s="70"/>
      <c r="E5" s="160">
        <v>45848</v>
      </c>
      <c r="F5" s="70"/>
      <c r="G5" s="70"/>
      <c r="H5" s="70"/>
    </row>
    <row r="6" spans="1:12" ht="16.5" customHeight="1" x14ac:dyDescent="0.25">
      <c r="A6" s="70" t="s">
        <v>4</v>
      </c>
      <c r="B6" s="70"/>
      <c r="C6" s="70"/>
      <c r="D6" s="70"/>
      <c r="E6" s="70" t="s">
        <v>172</v>
      </c>
      <c r="F6" s="70"/>
      <c r="G6" s="70"/>
      <c r="H6" s="70"/>
    </row>
    <row r="7" spans="1:12" ht="15" customHeight="1" x14ac:dyDescent="0.25">
      <c r="A7" s="70" t="s">
        <v>5</v>
      </c>
      <c r="B7" s="70"/>
      <c r="C7" s="70"/>
      <c r="D7" s="70"/>
      <c r="E7" s="70" t="str">
        <f>E6</f>
        <v>Sandu Developers Pvt. Ltd.</v>
      </c>
      <c r="F7" s="70"/>
      <c r="G7" s="70"/>
      <c r="H7" s="70"/>
    </row>
    <row r="8" spans="1:12" x14ac:dyDescent="0.25">
      <c r="A8" s="70" t="s">
        <v>6</v>
      </c>
      <c r="B8" s="70"/>
      <c r="C8" s="70"/>
      <c r="D8" s="70"/>
      <c r="E8" s="157" t="s">
        <v>173</v>
      </c>
      <c r="F8" s="158"/>
      <c r="G8" s="158"/>
      <c r="H8" s="159"/>
    </row>
    <row r="9" spans="1:12" x14ac:dyDescent="0.25">
      <c r="A9" s="70" t="s">
        <v>169</v>
      </c>
      <c r="B9" s="70"/>
      <c r="C9" s="70"/>
      <c r="D9" s="70"/>
      <c r="E9" s="70">
        <v>8657257470</v>
      </c>
      <c r="F9" s="70"/>
      <c r="G9" s="70"/>
      <c r="H9" s="70"/>
    </row>
    <row r="10" spans="1:12" x14ac:dyDescent="0.25">
      <c r="A10" s="70" t="s">
        <v>170</v>
      </c>
      <c r="B10" s="70"/>
      <c r="C10" s="70"/>
      <c r="D10" s="70"/>
      <c r="E10" s="70" t="s">
        <v>244</v>
      </c>
      <c r="F10" s="70"/>
      <c r="G10" s="70"/>
      <c r="H10" s="70"/>
      <c r="I10" s="70" t="s">
        <v>240</v>
      </c>
      <c r="J10" s="70"/>
      <c r="K10" s="70"/>
      <c r="L10" s="70"/>
    </row>
    <row r="11" spans="1:12" x14ac:dyDescent="0.25">
      <c r="A11" s="70" t="s">
        <v>7</v>
      </c>
      <c r="B11" s="70"/>
      <c r="C11" s="70"/>
      <c r="D11" s="70"/>
      <c r="E11" s="70" t="s">
        <v>217</v>
      </c>
      <c r="F11" s="70"/>
      <c r="G11" s="70"/>
      <c r="H11" s="70"/>
    </row>
    <row r="12" spans="1:12" x14ac:dyDescent="0.25">
      <c r="A12" s="70" t="s">
        <v>182</v>
      </c>
      <c r="B12" s="70"/>
      <c r="C12" s="70"/>
      <c r="D12" s="70"/>
      <c r="E12" s="70" t="s">
        <v>183</v>
      </c>
      <c r="F12" s="70"/>
      <c r="G12" s="70"/>
      <c r="H12" s="70"/>
    </row>
    <row r="13" spans="1:12" x14ac:dyDescent="0.25">
      <c r="A13" s="84" t="s">
        <v>8</v>
      </c>
      <c r="B13" s="84"/>
      <c r="C13" s="84"/>
      <c r="D13" s="84"/>
      <c r="E13" s="130" t="s">
        <v>220</v>
      </c>
      <c r="F13" s="130"/>
      <c r="G13" s="130"/>
      <c r="H13" s="130"/>
    </row>
    <row r="14" spans="1:12" x14ac:dyDescent="0.25">
      <c r="A14" s="84" t="s">
        <v>9</v>
      </c>
      <c r="B14" s="84"/>
      <c r="C14" s="84"/>
      <c r="D14" s="84"/>
      <c r="E14" s="130" t="s">
        <v>174</v>
      </c>
      <c r="F14" s="70"/>
      <c r="G14" s="70"/>
      <c r="H14" s="70"/>
    </row>
    <row r="15" spans="1:12" ht="54" customHeight="1" x14ac:dyDescent="0.25">
      <c r="A15" s="130" t="s">
        <v>10</v>
      </c>
      <c r="B15" s="130"/>
      <c r="C15" s="13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Shilpadatta by Sandu Developers, CTS No.267A, 267/1 to 267/2, Redevlopement of "Shipadatta", near Thapar Suburbia Building, Govandi Road, Samrat Ashok Nagar, Borla, Govandi (East), Kurla, Mumbai - 400088.</v>
      </c>
      <c r="D15" s="130"/>
      <c r="E15" s="130"/>
      <c r="F15" s="130"/>
      <c r="G15" s="130"/>
      <c r="H15" s="130"/>
    </row>
    <row r="16" spans="1:12" x14ac:dyDescent="0.25">
      <c r="A16" s="130" t="s">
        <v>178</v>
      </c>
      <c r="B16" s="130"/>
      <c r="C16" s="130" t="s">
        <v>219</v>
      </c>
      <c r="D16" s="130"/>
      <c r="E16" s="130"/>
      <c r="F16" s="130"/>
      <c r="G16" s="130"/>
      <c r="H16" s="130"/>
    </row>
    <row r="17" spans="1:8" ht="15.75" customHeight="1" x14ac:dyDescent="0.25">
      <c r="A17" s="130" t="s">
        <v>165</v>
      </c>
      <c r="B17" s="130"/>
      <c r="C17" s="130" t="s">
        <v>180</v>
      </c>
      <c r="D17" s="130"/>
      <c r="E17" s="130"/>
      <c r="F17" s="130"/>
      <c r="G17" s="130"/>
      <c r="H17" s="130"/>
    </row>
    <row r="18" spans="1:8" ht="15.75" customHeight="1" x14ac:dyDescent="0.25">
      <c r="A18" s="130" t="s">
        <v>11</v>
      </c>
      <c r="B18" s="130"/>
      <c r="C18" s="70" t="s">
        <v>184</v>
      </c>
      <c r="D18" s="70"/>
      <c r="E18" s="130" t="s">
        <v>75</v>
      </c>
      <c r="F18" s="130"/>
      <c r="G18" s="130" t="s">
        <v>177</v>
      </c>
      <c r="H18" s="130"/>
    </row>
    <row r="19" spans="1:8" x14ac:dyDescent="0.25">
      <c r="A19" s="70" t="s">
        <v>13</v>
      </c>
      <c r="B19" s="70"/>
      <c r="C19" s="130" t="s">
        <v>181</v>
      </c>
      <c r="D19" s="130"/>
      <c r="E19" s="130" t="s">
        <v>12</v>
      </c>
      <c r="F19" s="130"/>
      <c r="G19" s="161" t="s">
        <v>175</v>
      </c>
      <c r="H19" s="161"/>
    </row>
    <row r="20" spans="1:8" x14ac:dyDescent="0.25">
      <c r="A20" s="84" t="s">
        <v>76</v>
      </c>
      <c r="B20" s="84"/>
      <c r="C20" s="130" t="s">
        <v>176</v>
      </c>
      <c r="D20" s="130"/>
      <c r="E20" s="129" t="s">
        <v>14</v>
      </c>
      <c r="F20" s="129"/>
      <c r="G20" s="130">
        <v>400088</v>
      </c>
      <c r="H20" s="130"/>
    </row>
    <row r="21" spans="1:8" ht="32.25" customHeight="1" x14ac:dyDescent="0.25">
      <c r="A21" s="84" t="s">
        <v>124</v>
      </c>
      <c r="B21" s="84"/>
      <c r="C21" s="130" t="s">
        <v>188</v>
      </c>
      <c r="D21" s="130"/>
      <c r="E21" s="129" t="s">
        <v>15</v>
      </c>
      <c r="F21" s="129"/>
      <c r="G21" s="130" t="s">
        <v>179</v>
      </c>
      <c r="H21" s="130"/>
    </row>
    <row r="22" spans="1:8" ht="15" customHeight="1" x14ac:dyDescent="0.25">
      <c r="A22" s="129" t="s">
        <v>79</v>
      </c>
      <c r="B22" s="129"/>
      <c r="C22" s="129"/>
      <c r="D22" s="129"/>
      <c r="E22" s="70" t="s">
        <v>16</v>
      </c>
      <c r="F22" s="70"/>
      <c r="G22" s="70"/>
      <c r="H22" s="70"/>
    </row>
    <row r="23" spans="1:8" ht="18.75" customHeight="1" x14ac:dyDescent="0.25">
      <c r="A23" s="129"/>
      <c r="B23" s="129"/>
      <c r="C23" s="129"/>
      <c r="D23" s="129"/>
      <c r="E23" s="70"/>
      <c r="F23" s="70"/>
      <c r="G23" s="70"/>
      <c r="H23" s="70"/>
    </row>
    <row r="24" spans="1:8" ht="15" customHeight="1" x14ac:dyDescent="0.25">
      <c r="A24" s="129" t="s">
        <v>17</v>
      </c>
      <c r="B24" s="129"/>
      <c r="C24" s="129"/>
      <c r="D24" s="129"/>
      <c r="E24" s="130" t="s">
        <v>18</v>
      </c>
      <c r="F24" s="130"/>
      <c r="G24" s="130"/>
      <c r="H24" s="130"/>
    </row>
    <row r="25" spans="1:8" ht="15" customHeight="1" x14ac:dyDescent="0.25">
      <c r="A25" s="84" t="s">
        <v>19</v>
      </c>
      <c r="B25" s="84"/>
      <c r="C25" s="84"/>
      <c r="D25" s="84"/>
      <c r="E25" s="162" t="str">
        <f>IF(AND(G19="Mumbai"),"Upper Class","Middle Class")</f>
        <v>Upper Class</v>
      </c>
      <c r="F25" s="162"/>
      <c r="G25" s="162"/>
      <c r="H25" s="162"/>
    </row>
    <row r="26" spans="1:8" x14ac:dyDescent="0.25">
      <c r="A26" s="84" t="s">
        <v>20</v>
      </c>
      <c r="B26" s="84"/>
      <c r="C26" s="84"/>
      <c r="D26" s="84"/>
      <c r="E26" s="130" t="s">
        <v>21</v>
      </c>
      <c r="F26" s="130"/>
      <c r="G26" s="130"/>
      <c r="H26" s="130"/>
    </row>
    <row r="27" spans="1:8" ht="15.75" customHeight="1" x14ac:dyDescent="0.25">
      <c r="A27" s="84" t="s">
        <v>22</v>
      </c>
      <c r="B27" s="84"/>
      <c r="C27" s="84"/>
      <c r="D27" s="84"/>
      <c r="E27" s="162" t="str">
        <f>IF(AND(G19="Mumbai"),"Developed","Developing")</f>
        <v>Developed</v>
      </c>
      <c r="F27" s="162"/>
      <c r="G27" s="162"/>
      <c r="H27" s="162"/>
    </row>
    <row r="28" spans="1:8" x14ac:dyDescent="0.25">
      <c r="A28" s="84" t="s">
        <v>23</v>
      </c>
      <c r="B28" s="84"/>
      <c r="C28" s="84"/>
      <c r="D28" s="84"/>
      <c r="E28" s="130" t="s">
        <v>24</v>
      </c>
      <c r="F28" s="130"/>
      <c r="G28" s="130"/>
      <c r="H28" s="130"/>
    </row>
    <row r="29" spans="1:8" ht="15.75" customHeight="1" x14ac:dyDescent="0.25">
      <c r="A29" s="84" t="s">
        <v>84</v>
      </c>
      <c r="B29" s="84"/>
      <c r="C29" s="84"/>
      <c r="D29" s="84"/>
      <c r="E29" s="130" t="s">
        <v>85</v>
      </c>
      <c r="F29" s="130"/>
      <c r="G29" s="130"/>
      <c r="H29" s="130"/>
    </row>
    <row r="30" spans="1:8" ht="15" customHeight="1" x14ac:dyDescent="0.25">
      <c r="A30" s="84" t="s">
        <v>33</v>
      </c>
      <c r="B30" s="84"/>
      <c r="C30" s="84"/>
      <c r="D30" s="84"/>
      <c r="E30" s="162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30" s="162"/>
      <c r="G30" s="162"/>
      <c r="H30" s="162"/>
    </row>
    <row r="31" spans="1:8" ht="15.75" customHeight="1" x14ac:dyDescent="0.25">
      <c r="A31" s="84" t="s">
        <v>96</v>
      </c>
      <c r="B31" s="84"/>
      <c r="C31" s="84"/>
      <c r="D31" s="84"/>
      <c r="E31" s="130" t="s">
        <v>34</v>
      </c>
      <c r="F31" s="130"/>
      <c r="G31" s="130"/>
      <c r="H31" s="130"/>
    </row>
    <row r="32" spans="1:8" s="22" customFormat="1" x14ac:dyDescent="0.25">
      <c r="A32" s="166" t="s">
        <v>97</v>
      </c>
      <c r="B32" s="166"/>
      <c r="C32" s="165" t="s">
        <v>29</v>
      </c>
      <c r="D32" s="165"/>
      <c r="E32" s="165"/>
      <c r="F32" s="165" t="s">
        <v>31</v>
      </c>
      <c r="G32" s="165"/>
      <c r="H32" s="165"/>
    </row>
    <row r="33" spans="1:8" s="22" customFormat="1" x14ac:dyDescent="0.25">
      <c r="A33" s="163" t="s">
        <v>25</v>
      </c>
      <c r="B33" s="163" t="s">
        <v>30</v>
      </c>
      <c r="C33" s="164" t="s">
        <v>30</v>
      </c>
      <c r="D33" s="164"/>
      <c r="E33" s="164"/>
      <c r="F33" s="164" t="s">
        <v>188</v>
      </c>
      <c r="G33" s="164"/>
      <c r="H33" s="164"/>
    </row>
    <row r="34" spans="1:8" x14ac:dyDescent="0.25">
      <c r="A34" s="163" t="s">
        <v>26</v>
      </c>
      <c r="B34" s="163" t="s">
        <v>30</v>
      </c>
      <c r="C34" s="164" t="s">
        <v>30</v>
      </c>
      <c r="D34" s="164"/>
      <c r="E34" s="164"/>
      <c r="F34" s="164" t="s">
        <v>187</v>
      </c>
      <c r="G34" s="164"/>
      <c r="H34" s="164"/>
    </row>
    <row r="35" spans="1:8" s="22" customFormat="1" x14ac:dyDescent="0.25">
      <c r="A35" s="163" t="s">
        <v>28</v>
      </c>
      <c r="B35" s="163" t="s">
        <v>30</v>
      </c>
      <c r="C35" s="164" t="s">
        <v>30</v>
      </c>
      <c r="D35" s="164"/>
      <c r="E35" s="164"/>
      <c r="F35" s="164" t="s">
        <v>186</v>
      </c>
      <c r="G35" s="164"/>
      <c r="H35" s="164"/>
    </row>
    <row r="36" spans="1:8" x14ac:dyDescent="0.25">
      <c r="A36" s="163" t="s">
        <v>27</v>
      </c>
      <c r="B36" s="163" t="s">
        <v>30</v>
      </c>
      <c r="C36" s="164" t="s">
        <v>30</v>
      </c>
      <c r="D36" s="164"/>
      <c r="E36" s="164"/>
      <c r="F36" s="164" t="s">
        <v>184</v>
      </c>
      <c r="G36" s="164"/>
      <c r="H36" s="164"/>
    </row>
    <row r="37" spans="1:8" x14ac:dyDescent="0.25">
      <c r="A37" s="84" t="s">
        <v>32</v>
      </c>
      <c r="B37" s="84"/>
      <c r="C37" s="84"/>
      <c r="D37" s="84"/>
      <c r="E37" s="84"/>
      <c r="F37" s="84"/>
      <c r="G37" s="84"/>
      <c r="H37" s="84"/>
    </row>
    <row r="38" spans="1:8" ht="15.75" customHeight="1" x14ac:dyDescent="0.25">
      <c r="A38" s="84" t="s">
        <v>167</v>
      </c>
      <c r="B38" s="84"/>
      <c r="C38" s="107" t="s">
        <v>226</v>
      </c>
      <c r="D38" s="107"/>
      <c r="E38" s="107"/>
      <c r="F38" s="107"/>
      <c r="G38" s="107"/>
      <c r="H38" s="107"/>
    </row>
    <row r="39" spans="1:8" x14ac:dyDescent="0.25">
      <c r="A39" s="84" t="s">
        <v>164</v>
      </c>
      <c r="B39" s="84"/>
      <c r="C39" s="169" t="s">
        <v>185</v>
      </c>
      <c r="D39" s="130"/>
      <c r="E39" s="130"/>
      <c r="F39" s="130"/>
      <c r="G39" s="130"/>
      <c r="H39" s="130"/>
    </row>
    <row r="40" spans="1:8" x14ac:dyDescent="0.25">
      <c r="A40" s="107" t="s">
        <v>35</v>
      </c>
      <c r="B40" s="107"/>
      <c r="C40" s="107"/>
      <c r="D40" s="107"/>
      <c r="E40" s="107"/>
      <c r="F40" s="107"/>
      <c r="G40" s="107"/>
      <c r="H40" s="107"/>
    </row>
    <row r="41" spans="1:8" x14ac:dyDescent="0.25">
      <c r="A41" s="84" t="s">
        <v>36</v>
      </c>
      <c r="B41" s="84"/>
      <c r="C41" s="84"/>
      <c r="D41" s="84"/>
      <c r="E41" s="167">
        <v>2682.6</v>
      </c>
      <c r="F41" s="167"/>
      <c r="G41" s="167"/>
      <c r="H41" s="167"/>
    </row>
    <row r="42" spans="1:8" x14ac:dyDescent="0.25">
      <c r="A42" s="84" t="s">
        <v>37</v>
      </c>
      <c r="B42" s="84"/>
      <c r="C42" s="84"/>
      <c r="D42" s="84"/>
      <c r="E42" s="83">
        <v>1</v>
      </c>
      <c r="F42" s="83"/>
      <c r="G42" s="83"/>
      <c r="H42" s="83"/>
    </row>
    <row r="43" spans="1:8" x14ac:dyDescent="0.25">
      <c r="A43" s="84" t="s">
        <v>38</v>
      </c>
      <c r="B43" s="84"/>
      <c r="C43" s="84"/>
      <c r="D43" s="84"/>
      <c r="E43" s="83">
        <f>E45/E41-E42</f>
        <v>2.4313054499366284</v>
      </c>
      <c r="F43" s="83"/>
      <c r="G43" s="83"/>
      <c r="H43" s="83"/>
    </row>
    <row r="44" spans="1:8" x14ac:dyDescent="0.25">
      <c r="A44" s="84" t="s">
        <v>39</v>
      </c>
      <c r="B44" s="84"/>
      <c r="C44" s="84"/>
      <c r="D44" s="84"/>
      <c r="E44" s="83">
        <f>E42+E43</f>
        <v>3.4313054499366284</v>
      </c>
      <c r="F44" s="83"/>
      <c r="G44" s="83"/>
      <c r="H44" s="83"/>
    </row>
    <row r="45" spans="1:8" x14ac:dyDescent="0.25">
      <c r="A45" s="84" t="s">
        <v>95</v>
      </c>
      <c r="B45" s="84"/>
      <c r="C45" s="84"/>
      <c r="D45" s="84"/>
      <c r="E45" s="192">
        <v>9204.82</v>
      </c>
      <c r="F45" s="192"/>
      <c r="G45" s="192"/>
      <c r="H45" s="192"/>
    </row>
    <row r="46" spans="1:8" x14ac:dyDescent="0.25">
      <c r="A46" s="70" t="s">
        <v>40</v>
      </c>
      <c r="B46" s="70"/>
      <c r="C46" s="70"/>
      <c r="D46" s="70"/>
      <c r="E46" s="70" t="s">
        <v>216</v>
      </c>
      <c r="F46" s="70"/>
      <c r="G46" s="70"/>
      <c r="H46" s="70"/>
    </row>
    <row r="47" spans="1:8" x14ac:dyDescent="0.25">
      <c r="A47" s="107" t="s">
        <v>41</v>
      </c>
      <c r="B47" s="107"/>
      <c r="C47" s="107"/>
      <c r="D47" s="107"/>
      <c r="E47" s="107"/>
      <c r="F47" s="107"/>
      <c r="G47" s="107"/>
      <c r="H47" s="107"/>
    </row>
    <row r="48" spans="1:8" ht="33.75" customHeight="1" x14ac:dyDescent="0.25">
      <c r="A48" s="92" t="s">
        <v>153</v>
      </c>
      <c r="B48" s="93"/>
      <c r="C48" s="157" t="s">
        <v>189</v>
      </c>
      <c r="D48" s="158"/>
      <c r="E48" s="158"/>
      <c r="F48" s="158"/>
      <c r="G48" s="158"/>
      <c r="H48" s="159"/>
    </row>
    <row r="49" spans="1:14" x14ac:dyDescent="0.25">
      <c r="A49" s="92" t="s">
        <v>42</v>
      </c>
      <c r="B49" s="93"/>
      <c r="C49" s="92" t="s">
        <v>190</v>
      </c>
      <c r="D49" s="94"/>
      <c r="E49" s="93"/>
      <c r="F49" s="18" t="s">
        <v>43</v>
      </c>
      <c r="G49" s="95">
        <v>45218</v>
      </c>
      <c r="H49" s="93"/>
    </row>
    <row r="50" spans="1:14" x14ac:dyDescent="0.25">
      <c r="A50" s="92" t="s">
        <v>44</v>
      </c>
      <c r="B50" s="93"/>
      <c r="C50" s="92" t="str">
        <f>C49</f>
        <v>P-8105/2021/(267)/M/E WARD/ BORLA-E</v>
      </c>
      <c r="D50" s="94"/>
      <c r="E50" s="93"/>
      <c r="F50" s="18" t="s">
        <v>43</v>
      </c>
      <c r="G50" s="95">
        <v>45218</v>
      </c>
      <c r="H50" s="93"/>
    </row>
    <row r="51" spans="1:14" s="23" customFormat="1" ht="32.25" customHeight="1" x14ac:dyDescent="0.25">
      <c r="A51" s="133" t="s">
        <v>157</v>
      </c>
      <c r="B51" s="134"/>
      <c r="C51" s="92" t="s">
        <v>241</v>
      </c>
      <c r="D51" s="94"/>
      <c r="E51" s="93"/>
      <c r="F51" s="18" t="s">
        <v>43</v>
      </c>
      <c r="G51" s="95">
        <v>45111</v>
      </c>
      <c r="H51" s="93"/>
    </row>
    <row r="52" spans="1:14" s="23" customFormat="1" ht="114" customHeight="1" x14ac:dyDescent="0.25">
      <c r="A52" s="135"/>
      <c r="B52" s="136"/>
      <c r="C52" s="92" t="s">
        <v>248</v>
      </c>
      <c r="D52" s="94"/>
      <c r="E52" s="93"/>
      <c r="F52" s="18" t="s">
        <v>123</v>
      </c>
      <c r="G52" s="95">
        <v>45476</v>
      </c>
      <c r="H52" s="93"/>
    </row>
    <row r="53" spans="1:14" s="23" customFormat="1" ht="32.25" customHeight="1" x14ac:dyDescent="0.25">
      <c r="A53" s="133" t="s">
        <v>157</v>
      </c>
      <c r="B53" s="134"/>
      <c r="C53" s="92" t="s">
        <v>241</v>
      </c>
      <c r="D53" s="94"/>
      <c r="E53" s="93"/>
      <c r="F53" s="18" t="s">
        <v>43</v>
      </c>
      <c r="G53" s="95">
        <v>45324</v>
      </c>
      <c r="H53" s="93"/>
    </row>
    <row r="54" spans="1:14" s="23" customFormat="1" ht="63.75" customHeight="1" x14ac:dyDescent="0.25">
      <c r="A54" s="135"/>
      <c r="B54" s="136"/>
      <c r="C54" s="92" t="s">
        <v>243</v>
      </c>
      <c r="D54" s="94"/>
      <c r="E54" s="93"/>
      <c r="F54" s="18" t="s">
        <v>123</v>
      </c>
      <c r="G54" s="95">
        <v>45778</v>
      </c>
      <c r="H54" s="93"/>
    </row>
    <row r="55" spans="1:14" s="23" customFormat="1" x14ac:dyDescent="0.25">
      <c r="A55" s="133" t="s">
        <v>191</v>
      </c>
      <c r="B55" s="134"/>
      <c r="C55" s="92" t="s">
        <v>192</v>
      </c>
      <c r="D55" s="94"/>
      <c r="E55" s="93"/>
      <c r="F55" s="18" t="s">
        <v>43</v>
      </c>
      <c r="G55" s="95">
        <v>43633</v>
      </c>
      <c r="H55" s="93"/>
    </row>
    <row r="56" spans="1:14" s="23" customFormat="1" ht="31.5" x14ac:dyDescent="0.25">
      <c r="A56" s="135"/>
      <c r="B56" s="136"/>
      <c r="C56" s="92" t="s">
        <v>193</v>
      </c>
      <c r="D56" s="94"/>
      <c r="E56" s="93"/>
      <c r="F56" s="18" t="s">
        <v>123</v>
      </c>
      <c r="G56" s="95">
        <v>46554</v>
      </c>
      <c r="H56" s="93"/>
    </row>
    <row r="57" spans="1:14" x14ac:dyDescent="0.25">
      <c r="A57" s="125" t="s">
        <v>45</v>
      </c>
      <c r="B57" s="126"/>
      <c r="C57" s="125" t="s">
        <v>105</v>
      </c>
      <c r="D57" s="127"/>
      <c r="E57" s="126"/>
      <c r="F57" s="46" t="s">
        <v>43</v>
      </c>
      <c r="G57" s="131" t="s">
        <v>30</v>
      </c>
      <c r="H57" s="132"/>
    </row>
    <row r="58" spans="1:14" x14ac:dyDescent="0.25">
      <c r="A58" s="128" t="s">
        <v>47</v>
      </c>
      <c r="B58" s="128"/>
      <c r="C58" s="128"/>
      <c r="D58" s="128"/>
      <c r="E58" s="128"/>
      <c r="F58" s="128"/>
      <c r="G58" s="128"/>
      <c r="H58" s="128"/>
    </row>
    <row r="59" spans="1:14" x14ac:dyDescent="0.25">
      <c r="A59" s="129" t="s">
        <v>94</v>
      </c>
      <c r="B59" s="129"/>
      <c r="C59" s="129"/>
      <c r="D59" s="84">
        <f>E45</f>
        <v>9204.82</v>
      </c>
      <c r="E59" s="84"/>
      <c r="F59" s="84"/>
      <c r="G59" s="84"/>
      <c r="H59" s="84"/>
    </row>
    <row r="60" spans="1:14" x14ac:dyDescent="0.25">
      <c r="A60" s="130" t="s">
        <v>48</v>
      </c>
      <c r="B60" s="70"/>
      <c r="C60" s="70"/>
      <c r="D60" s="70" t="s">
        <v>238</v>
      </c>
      <c r="E60" s="70"/>
      <c r="F60" s="70"/>
      <c r="G60" s="70"/>
      <c r="H60" s="70"/>
      <c r="I60" s="24"/>
    </row>
    <row r="61" spans="1:14" ht="34.5" customHeight="1" x14ac:dyDescent="0.25">
      <c r="A61" s="171" t="s">
        <v>49</v>
      </c>
      <c r="B61" s="172"/>
      <c r="C61" s="173"/>
      <c r="D61" s="152" t="s">
        <v>227</v>
      </c>
      <c r="E61" s="170"/>
      <c r="F61" s="170"/>
      <c r="G61" s="170"/>
      <c r="H61" s="170"/>
    </row>
    <row r="62" spans="1:14" ht="15.75" customHeight="1" x14ac:dyDescent="0.25">
      <c r="A62" s="171" t="s">
        <v>92</v>
      </c>
      <c r="B62" s="172"/>
      <c r="C62" s="172"/>
      <c r="D62" s="176" t="s">
        <v>215</v>
      </c>
      <c r="E62" s="177"/>
      <c r="F62" s="177"/>
      <c r="G62" s="177"/>
      <c r="H62" s="178"/>
    </row>
    <row r="63" spans="1:14" ht="15.75" customHeight="1" x14ac:dyDescent="0.25">
      <c r="A63" s="174"/>
      <c r="B63" s="175"/>
      <c r="C63" s="175"/>
      <c r="D63" s="122" t="s">
        <v>200</v>
      </c>
      <c r="E63" s="123"/>
      <c r="F63" s="123"/>
      <c r="G63" s="123"/>
      <c r="H63" s="124"/>
    </row>
    <row r="64" spans="1:14" ht="15.75" customHeight="1" x14ac:dyDescent="0.25">
      <c r="A64" s="168" t="s">
        <v>46</v>
      </c>
      <c r="B64" s="168"/>
      <c r="C64" s="168"/>
      <c r="D64" s="179" t="s">
        <v>194</v>
      </c>
      <c r="E64" s="179"/>
      <c r="F64" s="179"/>
      <c r="G64" s="179"/>
      <c r="H64" s="179"/>
      <c r="J64" s="25"/>
      <c r="K64" s="24"/>
      <c r="N64" s="24"/>
    </row>
    <row r="65" spans="1:14" ht="15.75" customHeight="1" x14ac:dyDescent="0.25">
      <c r="A65" s="84" t="s">
        <v>90</v>
      </c>
      <c r="B65" s="84"/>
      <c r="C65" s="84"/>
      <c r="D65" s="191" t="str">
        <f>(IF(G57="NA","60 Years After Completion",IF(G57&lt;&gt;"NA",""&amp;60-ROUNDDOWN((E3-G57)/360,0)&amp;" Years"," ")))</f>
        <v>60 Years After Completion</v>
      </c>
      <c r="E65" s="191"/>
      <c r="F65" s="191"/>
      <c r="G65" s="191"/>
      <c r="H65" s="191"/>
      <c r="N65" s="24"/>
    </row>
    <row r="66" spans="1:14" ht="15.75" customHeight="1" x14ac:dyDescent="0.25">
      <c r="A66" s="84" t="s">
        <v>91</v>
      </c>
      <c r="B66" s="84"/>
      <c r="C66" s="84"/>
      <c r="D66" s="129" t="s">
        <v>24</v>
      </c>
      <c r="E66" s="129"/>
      <c r="F66" s="129"/>
      <c r="G66" s="129"/>
      <c r="H66" s="129"/>
      <c r="J66" s="26"/>
      <c r="K66" s="26"/>
    </row>
    <row r="67" spans="1:14" ht="48.75" customHeight="1" x14ac:dyDescent="0.25">
      <c r="A67" s="84" t="s">
        <v>77</v>
      </c>
      <c r="B67" s="84"/>
      <c r="C67" s="84"/>
      <c r="D67" s="130" t="s">
        <v>199</v>
      </c>
      <c r="E67" s="129"/>
      <c r="F67" s="129"/>
      <c r="G67" s="129"/>
      <c r="H67" s="129"/>
    </row>
    <row r="68" spans="1:14" x14ac:dyDescent="0.25">
      <c r="A68" s="129" t="s">
        <v>150</v>
      </c>
      <c r="B68" s="129"/>
      <c r="C68" s="129"/>
      <c r="D68" s="129" t="s">
        <v>30</v>
      </c>
      <c r="E68" s="129"/>
      <c r="F68" s="129"/>
      <c r="G68" s="129"/>
      <c r="H68" s="129"/>
      <c r="I68" s="27"/>
      <c r="J68" s="27"/>
      <c r="K68" s="27"/>
      <c r="L68" s="27"/>
      <c r="M68" s="27"/>
      <c r="N68" s="27"/>
    </row>
    <row r="69" spans="1:14" ht="15.75" customHeight="1" x14ac:dyDescent="0.25">
      <c r="A69" s="153" t="s">
        <v>89</v>
      </c>
      <c r="B69" s="153"/>
      <c r="C69" s="153"/>
      <c r="D69" s="152" t="str">
        <f ca="1">(IF(G75&gt;95%,"Nothing",IF(G75&gt;0%,"Cement, Aggregate, Steel, etc",IF(G75=0%,"Work not yet Started"))))</f>
        <v>Cement, Aggregate, Steel, etc</v>
      </c>
      <c r="E69" s="152"/>
      <c r="F69" s="152"/>
      <c r="G69" s="152"/>
      <c r="H69" s="152"/>
      <c r="J69" s="26"/>
    </row>
    <row r="70" spans="1:14" ht="33.75" customHeight="1" thickBot="1" x14ac:dyDescent="0.3">
      <c r="A70" s="151" t="s">
        <v>118</v>
      </c>
      <c r="B70" s="151"/>
      <c r="C70" s="151"/>
      <c r="D70" s="152" t="str">
        <f ca="1">(IF(D69="Nothing","Yes",IF(D69="Cement, Aggregate, Steel, etc","Under Construction",IF(D69="Work not yet Started","Work not yet Started"))))</f>
        <v>Under Construction</v>
      </c>
      <c r="E70" s="152"/>
      <c r="F70" s="152" t="str">
        <f ca="1">(IF(D69="Nothing","Yes",IF(D69="Cement, Aggregate, Steel, etc","Under Construction",IF(D69="Work not yet Started","Work not yet Started"))))</f>
        <v>Under Construction</v>
      </c>
      <c r="G70" s="152"/>
      <c r="H70" s="152"/>
    </row>
    <row r="71" spans="1:14" ht="15.75" customHeight="1" x14ac:dyDescent="0.25">
      <c r="A71" s="85" t="s">
        <v>142</v>
      </c>
      <c r="B71" s="86"/>
      <c r="C71" s="87" t="str">
        <f>D62</f>
        <v>A Wing = 1B + G + 1st to 17th Floor</v>
      </c>
      <c r="D71" s="88"/>
      <c r="E71" s="88"/>
      <c r="F71" s="88"/>
      <c r="G71" s="88"/>
      <c r="H71" s="89"/>
      <c r="I71" s="50" t="str">
        <f ca="1">IF(D84=100%,"All work Completed. Possession granted to the Building.",IF(D83=100%,"All work Completed, Waiting for OC",I72&amp;""&amp;I73&amp;""&amp;J72&amp;""&amp;J71&amp;" "&amp;J73))</f>
        <v>Excavation, Plinth, RCC Slab, Brickwork, Internal Plaster, External Plaster Completed, Flooring upto 15 Floor, Painting upto 9 Floor, Finishing upto 1 Floor Completed</v>
      </c>
      <c r="J71" s="51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Flooring upto 15 Floor, Painting upto 9 Floor, Finishing upto 1 Floor</v>
      </c>
    </row>
    <row r="72" spans="1:14" x14ac:dyDescent="0.25">
      <c r="A72" s="16" t="s">
        <v>144</v>
      </c>
      <c r="B72" s="54">
        <f>IF(AND(ISNUMBER(SEARCH("1B",C71))),1,IF(AND(ISNUMBER(SEARCH("2B",C71))),2,IF(AND(ISNUMBER(SEARCH("3B",C71))),3,IF(AND(ISNUMBER(SEARCH("4B",C71))),4,IF(ISNUMBER(SEARCH("5B",C71)),5,0)))))</f>
        <v>1</v>
      </c>
      <c r="C72" s="48" t="s">
        <v>74</v>
      </c>
      <c r="D72" s="48">
        <v>1</v>
      </c>
      <c r="E72" s="48" t="s">
        <v>73</v>
      </c>
      <c r="F72" s="59">
        <v>0</v>
      </c>
      <c r="G72" s="49" t="s">
        <v>83</v>
      </c>
      <c r="H72" s="17">
        <f ca="1">--TRIM(RIGHT(SUBSTITUTE(LEFT(C71,_xlfn.AGGREGATE(16,6,FIND({0,1,2,3,4,5,6,7,8,9},C71,ROW(INDIRECT("1:"&amp;LEN(C71)))),1))," ",REPT(" ",LEN(C71))),LEN(C71)))</f>
        <v>17</v>
      </c>
      <c r="I72" s="52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Plinth, RCC Slab, Brickwork, Internal Plaster, External Plaster</v>
      </c>
      <c r="J72" s="53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48" customHeight="1" x14ac:dyDescent="0.25">
      <c r="A73" s="193" t="s">
        <v>93</v>
      </c>
      <c r="B73" s="194"/>
      <c r="C73" s="149" t="str">
        <f ca="1">I71</f>
        <v>Excavation, Plinth, RCC Slab, Brickwork, Internal Plaster, External Plaster Completed, Flooring upto 15 Floor, Painting upto 9 Floor, Finishing upto 1 Floor Completed</v>
      </c>
      <c r="D73" s="149"/>
      <c r="E73" s="149"/>
      <c r="F73" s="149"/>
      <c r="G73" s="149"/>
      <c r="H73" s="150"/>
      <c r="I73" s="52" t="str">
        <f ca="1">IF(I72&lt;&gt;""," Completed","")</f>
        <v xml:space="preserve"> Completed</v>
      </c>
      <c r="J73" s="53" t="str">
        <f ca="1">IF(J71&lt;&gt;"","Completed","")</f>
        <v>Completed</v>
      </c>
    </row>
    <row r="74" spans="1:14" ht="15.75" customHeight="1" x14ac:dyDescent="0.25">
      <c r="A74" s="90" t="s">
        <v>50</v>
      </c>
      <c r="B74" s="91"/>
      <c r="C74" s="44" t="s">
        <v>141</v>
      </c>
      <c r="D74" s="44" t="s">
        <v>86</v>
      </c>
      <c r="E74" s="91" t="s">
        <v>88</v>
      </c>
      <c r="F74" s="91"/>
      <c r="G74" s="91" t="s">
        <v>87</v>
      </c>
      <c r="H74" s="154"/>
      <c r="I74" s="14" t="s">
        <v>143</v>
      </c>
      <c r="J74" s="28">
        <f ca="1">H72*25%</f>
        <v>4.25</v>
      </c>
    </row>
    <row r="75" spans="1:14" x14ac:dyDescent="0.25">
      <c r="A75" s="90" t="s">
        <v>130</v>
      </c>
      <c r="B75" s="91"/>
      <c r="C75" s="44">
        <f ca="1">J76</f>
        <v>17</v>
      </c>
      <c r="D75" s="19">
        <f ca="1">((100/H72)*C75)/100</f>
        <v>1</v>
      </c>
      <c r="E75" s="180">
        <f ca="1">(((C76/H72*10)+(40/(D72+F72+H72)*C77)+(7.5/(H72)*C78)+(7.5/(H72)*C79)+(10/H72*C80)+(10/H72*C81)+(5/H72*C82)+(5/H72*C83)+(5/H72*C84))/100)</f>
        <v>0.86764705882352944</v>
      </c>
      <c r="F75" s="181"/>
      <c r="G75" s="180">
        <f ca="1">((((C75/H72)*20)+((C76/H72)*25)+(30/(H72+F72+D72)*C77)+(5/H72*C78)+(5/H72*C79)+(5/H72*C80)+(5/H72*C81)+(0/H72*C82)+(0/H72*C83)+(5/H72*C84))/100)</f>
        <v>0.94411764705882351</v>
      </c>
      <c r="H75" s="186"/>
      <c r="I75" s="14" t="s">
        <v>100</v>
      </c>
      <c r="J75" s="29">
        <f ca="1">H72*50%</f>
        <v>8.5</v>
      </c>
    </row>
    <row r="76" spans="1:14" x14ac:dyDescent="0.25">
      <c r="A76" s="90" t="s">
        <v>51</v>
      </c>
      <c r="B76" s="91"/>
      <c r="C76" s="44">
        <f ca="1">J84</f>
        <v>17</v>
      </c>
      <c r="D76" s="19">
        <f ca="1">((100/H72)*C76)/100</f>
        <v>1</v>
      </c>
      <c r="E76" s="182"/>
      <c r="F76" s="183"/>
      <c r="G76" s="182"/>
      <c r="H76" s="187"/>
      <c r="I76" s="14" t="s">
        <v>101</v>
      </c>
      <c r="J76" s="29">
        <f ca="1">H72</f>
        <v>17</v>
      </c>
    </row>
    <row r="77" spans="1:14" ht="15.75" customHeight="1" x14ac:dyDescent="0.25">
      <c r="A77" s="90" t="s">
        <v>131</v>
      </c>
      <c r="B77" s="91"/>
      <c r="C77" s="44">
        <v>18</v>
      </c>
      <c r="D77" s="19">
        <f ca="1">((100/(D72+F72+H72))*C77)/100</f>
        <v>1</v>
      </c>
      <c r="E77" s="182"/>
      <c r="F77" s="183"/>
      <c r="G77" s="182"/>
      <c r="H77" s="187"/>
      <c r="I77" s="14" t="s">
        <v>102</v>
      </c>
      <c r="J77" s="30">
        <f ca="1">(IF(B72&gt;1,(H72/(B72+2)),H72/4))</f>
        <v>4.25</v>
      </c>
      <c r="L77" s="21">
        <f>0.3*17</f>
        <v>5.0999999999999996</v>
      </c>
    </row>
    <row r="78" spans="1:14" ht="15.75" customHeight="1" x14ac:dyDescent="0.25">
      <c r="A78" s="90" t="s">
        <v>138</v>
      </c>
      <c r="B78" s="91" t="s">
        <v>132</v>
      </c>
      <c r="C78" s="44">
        <v>17</v>
      </c>
      <c r="D78" s="19">
        <f ca="1">((100/H72)*C78)/100</f>
        <v>1</v>
      </c>
      <c r="E78" s="182"/>
      <c r="F78" s="183"/>
      <c r="G78" s="182"/>
      <c r="H78" s="187"/>
      <c r="I78" s="14" t="s">
        <v>103</v>
      </c>
      <c r="J78" s="30">
        <f ca="1">(IF(B72&gt;1,(H72/(B72+2)+J77),H72/4+J77))</f>
        <v>8.5</v>
      </c>
    </row>
    <row r="79" spans="1:14" ht="15.75" customHeight="1" x14ac:dyDescent="0.25">
      <c r="A79" s="90" t="s">
        <v>139</v>
      </c>
      <c r="B79" s="91" t="s">
        <v>132</v>
      </c>
      <c r="C79" s="44">
        <v>17</v>
      </c>
      <c r="D79" s="19">
        <f ca="1">((100/H72)*C79)/100</f>
        <v>1</v>
      </c>
      <c r="E79" s="182"/>
      <c r="F79" s="183"/>
      <c r="G79" s="182"/>
      <c r="H79" s="187"/>
      <c r="I79" s="14" t="s">
        <v>148</v>
      </c>
      <c r="J79" s="30">
        <f>(IF(B72&gt;1,(H72/(B72+2)+J78),0))</f>
        <v>0</v>
      </c>
    </row>
    <row r="80" spans="1:14" ht="15" customHeight="1" x14ac:dyDescent="0.25">
      <c r="A80" s="90" t="s">
        <v>137</v>
      </c>
      <c r="B80" s="91" t="s">
        <v>134</v>
      </c>
      <c r="C80" s="44">
        <v>17</v>
      </c>
      <c r="D80" s="19">
        <f ca="1">((100/(H72))*C80)/100</f>
        <v>1</v>
      </c>
      <c r="E80" s="182"/>
      <c r="F80" s="183"/>
      <c r="G80" s="182"/>
      <c r="H80" s="187"/>
      <c r="I80" s="14" t="s">
        <v>145</v>
      </c>
      <c r="J80" s="30">
        <f>(IF(B72&gt;2,(H72/(B72+2)+J79),0))</f>
        <v>0</v>
      </c>
    </row>
    <row r="81" spans="1:11" ht="15.75" customHeight="1" x14ac:dyDescent="0.25">
      <c r="A81" s="90" t="s">
        <v>133</v>
      </c>
      <c r="B81" s="91" t="s">
        <v>133</v>
      </c>
      <c r="C81" s="44">
        <v>15</v>
      </c>
      <c r="D81" s="19">
        <f ca="1">((100/H72)*C81)/100</f>
        <v>0.88235294117647067</v>
      </c>
      <c r="E81" s="182"/>
      <c r="F81" s="183"/>
      <c r="G81" s="182"/>
      <c r="H81" s="187"/>
      <c r="I81" s="14" t="s">
        <v>146</v>
      </c>
      <c r="J81" s="31">
        <f>(IF(B72&gt;3,(H72/(B72+2)+J80),0))</f>
        <v>0</v>
      </c>
    </row>
    <row r="82" spans="1:11" ht="15.75" customHeight="1" x14ac:dyDescent="0.25">
      <c r="A82" s="90" t="s">
        <v>140</v>
      </c>
      <c r="B82" s="91"/>
      <c r="C82" s="44">
        <v>9</v>
      </c>
      <c r="D82" s="19">
        <f ca="1">((100/H72)*C82)/100</f>
        <v>0.52941176470588236</v>
      </c>
      <c r="E82" s="182"/>
      <c r="F82" s="183"/>
      <c r="G82" s="182"/>
      <c r="H82" s="187"/>
      <c r="I82" s="14" t="s">
        <v>147</v>
      </c>
      <c r="J82" s="30">
        <f>(IF(B72&gt;4,(H72/(B72+2)+J81),0))</f>
        <v>0</v>
      </c>
    </row>
    <row r="83" spans="1:11" ht="15.75" customHeight="1" x14ac:dyDescent="0.25">
      <c r="A83" s="90" t="s">
        <v>135</v>
      </c>
      <c r="B83" s="91" t="s">
        <v>135</v>
      </c>
      <c r="C83" s="44">
        <v>1</v>
      </c>
      <c r="D83" s="19">
        <f ca="1">((100/(H72))*C83)/100</f>
        <v>5.8823529411764712E-2</v>
      </c>
      <c r="E83" s="182"/>
      <c r="F83" s="183"/>
      <c r="G83" s="182"/>
      <c r="H83" s="187"/>
      <c r="I83" s="14" t="s">
        <v>149</v>
      </c>
      <c r="J83" s="30">
        <f ca="1">(IF(B72=1,(H72/(B72+3)+J78),IF(B72=0,(H72/4+J78),IF(B72&gt;1,0))))</f>
        <v>12.75</v>
      </c>
    </row>
    <row r="84" spans="1:11" ht="16.5" thickBot="1" x14ac:dyDescent="0.3">
      <c r="A84" s="189" t="s">
        <v>136</v>
      </c>
      <c r="B84" s="190"/>
      <c r="C84" s="45">
        <v>0</v>
      </c>
      <c r="D84" s="20">
        <f ca="1">((100/(H72))*C84)/100</f>
        <v>0</v>
      </c>
      <c r="E84" s="184"/>
      <c r="F84" s="185"/>
      <c r="G84" s="184"/>
      <c r="H84" s="188"/>
      <c r="I84" s="15" t="s">
        <v>104</v>
      </c>
      <c r="J84" s="32">
        <f ca="1">(IF(B72&gt;1.5,(H72/(B72+2)+J78+MAX(0,J79-J78)+MAX(0,J80-J79)+MAX(0,J81-J80)+MAX(0,J82-J81)+MAX(0,J83-J82)),IF(B72=1,(H72/(B72+3)+J83),IF(B72=0,H72/4+J83))))</f>
        <v>17</v>
      </c>
    </row>
    <row r="85" spans="1:11" ht="15.75" customHeight="1" x14ac:dyDescent="0.25">
      <c r="A85" s="85" t="s">
        <v>142</v>
      </c>
      <c r="B85" s="86"/>
      <c r="C85" s="87" t="str">
        <f>D63</f>
        <v>B Wing = 1B + G + 1st to 17th Floor</v>
      </c>
      <c r="D85" s="88"/>
      <c r="E85" s="88"/>
      <c r="F85" s="88"/>
      <c r="G85" s="88"/>
      <c r="H85" s="89"/>
      <c r="I85" s="50" t="str">
        <f ca="1">IF(D98=100%,"All work Completed. Possession granted to the Building.",IF(D97=100%,"All work Completed, Waiting for OC",I86&amp;""&amp;I87&amp;""&amp;J86&amp;""&amp;J85&amp;" "&amp;J87))</f>
        <v>Excavation, Plinth Completed, RCC upto 17 Slab, Brickwork upto 15 Floor, Internal Plaster upto 9 Floor, External Plaster upto 5 Floor Completed</v>
      </c>
      <c r="J85" s="51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RCC upto 17 Slab, Brickwork upto 15 Floor, Internal Plaster upto 9 Floor, External Plaster upto 5 Floor</v>
      </c>
    </row>
    <row r="86" spans="1:11" x14ac:dyDescent="0.25">
      <c r="A86" s="16" t="s">
        <v>144</v>
      </c>
      <c r="B86" s="55">
        <f>IF(AND(ISNUMBER(SEARCH("1B",C85))),1,IF(AND(ISNUMBER(SEARCH("2B",C85))),2,IF(AND(ISNUMBER(SEARCH("3B",C85))),3,IF(AND(ISNUMBER(SEARCH("4B",C85))),4,IF(ISNUMBER(SEARCH("5B",C85)),5,0)))))</f>
        <v>1</v>
      </c>
      <c r="C86" s="48" t="s">
        <v>74</v>
      </c>
      <c r="D86" s="48">
        <v>1</v>
      </c>
      <c r="E86" s="48" t="s">
        <v>73</v>
      </c>
      <c r="F86" s="59">
        <v>0</v>
      </c>
      <c r="G86" s="49" t="s">
        <v>83</v>
      </c>
      <c r="H86" s="17">
        <f ca="1">--TRIM(RIGHT(SUBSTITUTE(LEFT(C85,_xlfn.AGGREGATE(16,6,FIND({0,1,2,3,4,5,6,7,8,9},C85,ROW(INDIRECT("1:"&amp;LEN(C85)))),1))," ",REPT(" ",LEN(C85))),LEN(C85)))</f>
        <v>17</v>
      </c>
      <c r="I86" s="52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</v>
      </c>
      <c r="J86" s="53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1" ht="30.75" customHeight="1" x14ac:dyDescent="0.25">
      <c r="A87" s="193" t="s">
        <v>93</v>
      </c>
      <c r="B87" s="194"/>
      <c r="C87" s="149" t="str">
        <f ca="1">(IF($G$57="NA",I85,"All work Completed. OC Received."))</f>
        <v>Excavation, Plinth Completed, RCC upto 17 Slab, Brickwork upto 15 Floor, Internal Plaster upto 9 Floor, External Plaster upto 5 Floor Completed</v>
      </c>
      <c r="D87" s="149"/>
      <c r="E87" s="149"/>
      <c r="F87" s="149"/>
      <c r="G87" s="149"/>
      <c r="H87" s="150"/>
      <c r="I87" s="52" t="str">
        <f ca="1">IF(I86&lt;&gt;""," Completed","")</f>
        <v xml:space="preserve"> Completed</v>
      </c>
      <c r="J87" s="53" t="str">
        <f ca="1">IF(J85&lt;&gt;"","Completed","")</f>
        <v>Completed</v>
      </c>
    </row>
    <row r="88" spans="1:11" ht="15.75" customHeight="1" x14ac:dyDescent="0.25">
      <c r="A88" s="90" t="s">
        <v>50</v>
      </c>
      <c r="B88" s="91"/>
      <c r="C88" s="44" t="s">
        <v>141</v>
      </c>
      <c r="D88" s="44" t="s">
        <v>86</v>
      </c>
      <c r="E88" s="91" t="s">
        <v>88</v>
      </c>
      <c r="F88" s="91"/>
      <c r="G88" s="91" t="s">
        <v>87</v>
      </c>
      <c r="H88" s="154"/>
      <c r="I88" s="14" t="s">
        <v>143</v>
      </c>
      <c r="J88" s="28">
        <f ca="1">H86*25%</f>
        <v>4.25</v>
      </c>
    </row>
    <row r="89" spans="1:11" x14ac:dyDescent="0.25">
      <c r="A89" s="90" t="s">
        <v>130</v>
      </c>
      <c r="B89" s="91"/>
      <c r="C89" s="44">
        <f ca="1">J90</f>
        <v>17</v>
      </c>
      <c r="D89" s="19">
        <f ca="1">((100/H86)*C89)/100</f>
        <v>1</v>
      </c>
      <c r="E89" s="180">
        <f ca="1">(((C90/H86*10)+(40/(D86+F86+H86)*C91)+(7.5/(H86)*C92)+(7.5/(H86)*C93)+(10/H86*C94)+(10/H86*C95)+(5/H86*C96)+(5/H86*C97)+(5/H86*C98))/100)</f>
        <v>0.61307189542483653</v>
      </c>
      <c r="F89" s="181"/>
      <c r="G89" s="180">
        <f ca="1">((((C89/H86)*20)+((C90/H86)*25)+(30/(H86+F86+D86)*C91)+(5/H86*C92)+(5/H86*C93)+(5/H86*C94)+(5/H86*C95)+(0/H86*C96)+(0/H86*C97)+(5/H86*C98))/100)</f>
        <v>0.81862745098039214</v>
      </c>
      <c r="H89" s="186"/>
      <c r="I89" s="14" t="s">
        <v>100</v>
      </c>
      <c r="J89" s="29">
        <f ca="1">H86*50%</f>
        <v>8.5</v>
      </c>
    </row>
    <row r="90" spans="1:11" x14ac:dyDescent="0.25">
      <c r="A90" s="90" t="s">
        <v>51</v>
      </c>
      <c r="B90" s="91"/>
      <c r="C90" s="56">
        <f ca="1">J98</f>
        <v>17</v>
      </c>
      <c r="D90" s="19">
        <f ca="1">((100/H86)*C90)/100</f>
        <v>1</v>
      </c>
      <c r="E90" s="182"/>
      <c r="F90" s="183"/>
      <c r="G90" s="182"/>
      <c r="H90" s="187"/>
      <c r="I90" s="14" t="s">
        <v>101</v>
      </c>
      <c r="J90" s="29">
        <f ca="1">H86</f>
        <v>17</v>
      </c>
    </row>
    <row r="91" spans="1:11" ht="15.75" customHeight="1" x14ac:dyDescent="0.25">
      <c r="A91" s="90" t="s">
        <v>131</v>
      </c>
      <c r="B91" s="91"/>
      <c r="C91" s="44">
        <v>17</v>
      </c>
      <c r="D91" s="19">
        <f ca="1">((100/(D86+F86+H86))*C91)/100</f>
        <v>0.94444444444444442</v>
      </c>
      <c r="E91" s="182"/>
      <c r="F91" s="183"/>
      <c r="G91" s="182"/>
      <c r="H91" s="187"/>
      <c r="I91" s="14" t="s">
        <v>102</v>
      </c>
      <c r="J91" s="30">
        <f ca="1">(IF(B86&gt;1,(H86/(B86+2)),H86/4))</f>
        <v>4.25</v>
      </c>
    </row>
    <row r="92" spans="1:11" ht="15.75" customHeight="1" x14ac:dyDescent="0.25">
      <c r="A92" s="90" t="s">
        <v>138</v>
      </c>
      <c r="B92" s="91" t="s">
        <v>132</v>
      </c>
      <c r="C92" s="44">
        <v>15</v>
      </c>
      <c r="D92" s="19">
        <f ca="1">((100/H86)*C92)/100</f>
        <v>0.88235294117647067</v>
      </c>
      <c r="E92" s="182"/>
      <c r="F92" s="183"/>
      <c r="G92" s="182"/>
      <c r="H92" s="187"/>
      <c r="I92" s="14" t="s">
        <v>103</v>
      </c>
      <c r="J92" s="30">
        <f ca="1">(IF(B86&gt;1,(H86/(B86+2)+J91),H86/4+J91))</f>
        <v>8.5</v>
      </c>
    </row>
    <row r="93" spans="1:11" ht="15.75" customHeight="1" x14ac:dyDescent="0.25">
      <c r="A93" s="90" t="s">
        <v>139</v>
      </c>
      <c r="B93" s="91" t="s">
        <v>132</v>
      </c>
      <c r="C93" s="44">
        <v>9</v>
      </c>
      <c r="D93" s="19">
        <f ca="1">((100/H86)*C93)/100</f>
        <v>0.52941176470588236</v>
      </c>
      <c r="E93" s="182"/>
      <c r="F93" s="183"/>
      <c r="G93" s="182"/>
      <c r="H93" s="187"/>
      <c r="I93" s="14" t="s">
        <v>148</v>
      </c>
      <c r="J93" s="30">
        <f>(IF(B86&gt;1,(H86/(B86+2)+J92),0))</f>
        <v>0</v>
      </c>
    </row>
    <row r="94" spans="1:11" ht="15" customHeight="1" x14ac:dyDescent="0.25">
      <c r="A94" s="90" t="s">
        <v>137</v>
      </c>
      <c r="B94" s="91" t="s">
        <v>134</v>
      </c>
      <c r="C94" s="44">
        <v>5</v>
      </c>
      <c r="D94" s="19">
        <f ca="1">((100/(H86))*C94)/100</f>
        <v>0.29411764705882354</v>
      </c>
      <c r="E94" s="182"/>
      <c r="F94" s="183"/>
      <c r="G94" s="182"/>
      <c r="H94" s="187"/>
      <c r="I94" s="14" t="s">
        <v>145</v>
      </c>
      <c r="J94" s="30">
        <f>(IF(B86&gt;2,(H86/(B86+2)+J93),0))</f>
        <v>0</v>
      </c>
    </row>
    <row r="95" spans="1:11" ht="15.75" customHeight="1" x14ac:dyDescent="0.25">
      <c r="A95" s="90" t="s">
        <v>133</v>
      </c>
      <c r="B95" s="91" t="s">
        <v>133</v>
      </c>
      <c r="C95" s="44">
        <v>0</v>
      </c>
      <c r="D95" s="19">
        <f ca="1">((100/H86)*C95)/100</f>
        <v>0</v>
      </c>
      <c r="E95" s="182"/>
      <c r="F95" s="183"/>
      <c r="G95" s="182"/>
      <c r="H95" s="187"/>
      <c r="I95" s="14" t="s">
        <v>146</v>
      </c>
      <c r="J95" s="31">
        <f>(IF(B86&gt;3,(H86/(B86+2)+J94),0))</f>
        <v>0</v>
      </c>
    </row>
    <row r="96" spans="1:11" ht="15.75" customHeight="1" x14ac:dyDescent="0.25">
      <c r="A96" s="90" t="s">
        <v>140</v>
      </c>
      <c r="B96" s="91"/>
      <c r="C96" s="44">
        <v>0</v>
      </c>
      <c r="D96" s="19">
        <f ca="1">((100/H86)*C96)/100</f>
        <v>0</v>
      </c>
      <c r="E96" s="182"/>
      <c r="F96" s="183"/>
      <c r="G96" s="182"/>
      <c r="H96" s="187"/>
      <c r="I96" s="14" t="s">
        <v>147</v>
      </c>
      <c r="J96" s="30">
        <f>(IF(B86&gt;4,(H86/(B86+2)+J95),0))</f>
        <v>0</v>
      </c>
      <c r="K96" s="21">
        <f>0.03*17</f>
        <v>0.51</v>
      </c>
    </row>
    <row r="97" spans="1:13" ht="15.75" customHeight="1" x14ac:dyDescent="0.25">
      <c r="A97" s="90" t="s">
        <v>135</v>
      </c>
      <c r="B97" s="91" t="s">
        <v>135</v>
      </c>
      <c r="C97" s="44">
        <v>0</v>
      </c>
      <c r="D97" s="19">
        <f ca="1">((100/(H86))*C97)/100</f>
        <v>0</v>
      </c>
      <c r="E97" s="182"/>
      <c r="F97" s="183"/>
      <c r="G97" s="182"/>
      <c r="H97" s="187"/>
      <c r="I97" s="14" t="s">
        <v>149</v>
      </c>
      <c r="J97" s="30">
        <f ca="1">(IF(B86=1,(H86/(B86+3)+J92),IF(B86=0,(H86/4+J92),IF(B86&gt;1,0))))</f>
        <v>12.75</v>
      </c>
    </row>
    <row r="98" spans="1:13" ht="16.5" thickBot="1" x14ac:dyDescent="0.3">
      <c r="A98" s="189" t="s">
        <v>136</v>
      </c>
      <c r="B98" s="190"/>
      <c r="C98" s="45">
        <v>0</v>
      </c>
      <c r="D98" s="20">
        <f ca="1">((100/(H86))*C98)/100</f>
        <v>0</v>
      </c>
      <c r="E98" s="184"/>
      <c r="F98" s="185"/>
      <c r="G98" s="184"/>
      <c r="H98" s="188"/>
      <c r="I98" s="15" t="s">
        <v>104</v>
      </c>
      <c r="J98" s="32">
        <f ca="1">(IF(B86&gt;1.5,(H86/(B86+2)+J92+MAX(0,J93-J92)+MAX(0,J94-J93)+MAX(0,J95-J94)+MAX(0,J96-J95)+MAX(0,J97-J96)),IF(B86=1,(H86/(B86+3)+J97),IF(B86=0,H86/4+J97))))</f>
        <v>17</v>
      </c>
    </row>
    <row r="99" spans="1:13" x14ac:dyDescent="0.25">
      <c r="A99" s="202" t="s">
        <v>159</v>
      </c>
      <c r="B99" s="202"/>
      <c r="C99" s="202"/>
      <c r="D99" s="202"/>
      <c r="E99" s="202"/>
      <c r="F99" s="196" t="s">
        <v>162</v>
      </c>
      <c r="G99" s="196"/>
      <c r="H99" s="196"/>
    </row>
    <row r="100" spans="1:13" x14ac:dyDescent="0.25">
      <c r="A100" s="84" t="s">
        <v>161</v>
      </c>
      <c r="B100" s="84"/>
      <c r="C100" s="84"/>
      <c r="D100" s="84"/>
      <c r="E100" s="84"/>
      <c r="F100" s="103">
        <v>18200</v>
      </c>
      <c r="G100" s="103"/>
      <c r="H100" s="103"/>
      <c r="J100" s="63" t="s">
        <v>225</v>
      </c>
      <c r="K100" s="63" t="s">
        <v>223</v>
      </c>
      <c r="L100" s="64">
        <v>45141</v>
      </c>
      <c r="M100" s="63" t="s">
        <v>224</v>
      </c>
    </row>
    <row r="101" spans="1:13" x14ac:dyDescent="0.25">
      <c r="A101" s="84" t="s">
        <v>160</v>
      </c>
      <c r="B101" s="84"/>
      <c r="C101" s="84"/>
      <c r="D101" s="84"/>
      <c r="E101" s="84"/>
      <c r="F101" s="103">
        <v>28000</v>
      </c>
      <c r="G101" s="103"/>
      <c r="H101" s="103"/>
    </row>
    <row r="102" spans="1:13" s="33" customFormat="1" x14ac:dyDescent="0.25">
      <c r="A102" s="84" t="s">
        <v>98</v>
      </c>
      <c r="B102" s="84"/>
      <c r="C102" s="84"/>
      <c r="D102" s="84"/>
      <c r="E102" s="84"/>
      <c r="F102" s="103">
        <v>143000</v>
      </c>
      <c r="G102" s="103"/>
      <c r="H102" s="103"/>
    </row>
    <row r="103" spans="1:13" s="33" customFormat="1" x14ac:dyDescent="0.25">
      <c r="A103" s="84" t="s">
        <v>99</v>
      </c>
      <c r="B103" s="84"/>
      <c r="C103" s="84"/>
      <c r="D103" s="84"/>
      <c r="E103" s="84"/>
      <c r="F103" s="103">
        <v>215000</v>
      </c>
      <c r="G103" s="103"/>
      <c r="H103" s="103"/>
    </row>
    <row r="104" spans="1:13" s="33" customFormat="1" hidden="1" x14ac:dyDescent="0.25">
      <c r="A104" s="84" t="s">
        <v>163</v>
      </c>
      <c r="B104" s="84"/>
      <c r="C104" s="84"/>
      <c r="D104" s="84"/>
      <c r="E104" s="84"/>
      <c r="F104" s="103"/>
      <c r="G104" s="103"/>
      <c r="H104" s="103"/>
    </row>
    <row r="105" spans="1:13" s="33" customFormat="1" x14ac:dyDescent="0.25">
      <c r="A105" s="84" t="s">
        <v>221</v>
      </c>
      <c r="B105" s="84"/>
      <c r="C105" s="84"/>
      <c r="D105" s="84"/>
      <c r="E105" s="84"/>
      <c r="F105" s="103">
        <v>30000</v>
      </c>
      <c r="G105" s="103"/>
      <c r="H105" s="103"/>
    </row>
    <row r="106" spans="1:13" s="33" customFormat="1" x14ac:dyDescent="0.25">
      <c r="A106" s="84" t="s">
        <v>222</v>
      </c>
      <c r="B106" s="84"/>
      <c r="C106" s="84"/>
      <c r="D106" s="84"/>
      <c r="E106" s="84"/>
      <c r="F106" s="103">
        <v>40000</v>
      </c>
      <c r="G106" s="103"/>
      <c r="H106" s="103"/>
    </row>
    <row r="107" spans="1:13" x14ac:dyDescent="0.25">
      <c r="A107" s="84" t="s">
        <v>52</v>
      </c>
      <c r="B107" s="84"/>
      <c r="C107" s="84"/>
      <c r="D107" s="84"/>
      <c r="E107" s="84"/>
      <c r="F107" s="103">
        <v>900000</v>
      </c>
      <c r="G107" s="103"/>
      <c r="H107" s="103"/>
    </row>
    <row r="108" spans="1:13" s="34" customFormat="1" x14ac:dyDescent="0.25">
      <c r="A108" s="107" t="s">
        <v>53</v>
      </c>
      <c r="B108" s="107"/>
      <c r="C108" s="107"/>
      <c r="D108" s="107"/>
      <c r="E108" s="107"/>
      <c r="F108" s="103">
        <f>F100*0.8</f>
        <v>14560</v>
      </c>
      <c r="G108" s="103"/>
      <c r="H108" s="103"/>
    </row>
    <row r="109" spans="1:13" s="35" customFormat="1" ht="15.75" customHeight="1" x14ac:dyDescent="0.25">
      <c r="A109" s="106" t="s">
        <v>78</v>
      </c>
      <c r="B109" s="106"/>
      <c r="C109" s="106"/>
      <c r="D109" s="106"/>
      <c r="E109" s="106"/>
      <c r="F109" s="106"/>
      <c r="G109" s="106"/>
      <c r="H109" s="106"/>
    </row>
    <row r="110" spans="1:13" s="35" customFormat="1" ht="15.75" customHeight="1" x14ac:dyDescent="0.25">
      <c r="A110" s="99" t="s">
        <v>54</v>
      </c>
      <c r="B110" s="99"/>
      <c r="C110" s="109" t="s">
        <v>81</v>
      </c>
      <c r="D110" s="109"/>
      <c r="E110" s="98" t="s">
        <v>55</v>
      </c>
      <c r="F110" s="98"/>
      <c r="G110" s="99" t="s">
        <v>56</v>
      </c>
      <c r="H110" s="99"/>
    </row>
    <row r="111" spans="1:13" s="35" customFormat="1" x14ac:dyDescent="0.25">
      <c r="A111" s="108" t="s">
        <v>230</v>
      </c>
      <c r="B111" s="108"/>
      <c r="C111" s="195">
        <f>COUNT(D126:D128)+COUNT(D130:D132)</f>
        <v>6</v>
      </c>
      <c r="D111" s="206"/>
      <c r="E111" s="104">
        <f>SUM(D126:D128)+SUM(D130:D132)</f>
        <v>5024.3122800000001</v>
      </c>
      <c r="F111" s="105"/>
      <c r="G111" s="104">
        <f>SUM(F126:F128)+SUM(F130:F132)</f>
        <v>8038.8996480000014</v>
      </c>
      <c r="H111" s="105"/>
    </row>
    <row r="112" spans="1:13" s="35" customFormat="1" x14ac:dyDescent="0.25">
      <c r="A112" s="106" t="s">
        <v>152</v>
      </c>
      <c r="B112" s="106"/>
      <c r="C112" s="197">
        <f>SUM(C111)</f>
        <v>6</v>
      </c>
      <c r="D112" s="109"/>
      <c r="E112" s="197">
        <f>SUM(E111)</f>
        <v>5024.3122800000001</v>
      </c>
      <c r="F112" s="109"/>
      <c r="G112" s="197">
        <f>SUM(G111)</f>
        <v>8038.8996480000014</v>
      </c>
      <c r="H112" s="109"/>
    </row>
    <row r="113" spans="1:14" s="35" customFormat="1" x14ac:dyDescent="0.25">
      <c r="A113" s="106" t="s">
        <v>72</v>
      </c>
      <c r="B113" s="106"/>
      <c r="C113" s="106"/>
      <c r="D113" s="106"/>
      <c r="E113" s="106"/>
      <c r="F113" s="106"/>
      <c r="G113" s="106"/>
      <c r="H113" s="106"/>
    </row>
    <row r="114" spans="1:14" s="35" customFormat="1" ht="15.75" customHeight="1" x14ac:dyDescent="0.25">
      <c r="A114" s="99" t="s">
        <v>54</v>
      </c>
      <c r="B114" s="99"/>
      <c r="C114" s="109" t="s">
        <v>81</v>
      </c>
      <c r="D114" s="109"/>
      <c r="E114" s="98" t="s">
        <v>55</v>
      </c>
      <c r="F114" s="98"/>
      <c r="G114" s="99" t="s">
        <v>56</v>
      </c>
      <c r="H114" s="99"/>
    </row>
    <row r="115" spans="1:14" s="35" customFormat="1" x14ac:dyDescent="0.25">
      <c r="A115" s="58" t="s">
        <v>195</v>
      </c>
      <c r="B115" s="147" t="s">
        <v>214</v>
      </c>
      <c r="C115" s="195">
        <f>COUNT(D140:D144)+COUNT(D146:D150)*2+COUNT(D152:D155)+COUNT(D158:D162)*4+COUNT(D164:D168)*3+COUNT(D170:D173)+COUNT(D176:D180)+COUNT(D182:D186)</f>
        <v>68</v>
      </c>
      <c r="D115" s="195"/>
      <c r="E115" s="104">
        <f>SUM(D140:D144)+SUM(D146:D150)*2+SUM(D152:D155)+SUM(D158:D162)*4+SUM(D164:D168)*3+SUM(D170:D173)+SUM(D176:D180)+SUM(D182:D186)</f>
        <v>43378.812359999996</v>
      </c>
      <c r="F115" s="104"/>
      <c r="G115" s="104">
        <f>SUM(F140:F144)+SUM(F146:F150)*2+SUM(F152:F155)+SUM(F158:F162)*4+SUM(F164:F168)*3+SUM(F170:F173)+SUM(F176:F180)+SUM(F182:F186)</f>
        <v>67237.159157999995</v>
      </c>
      <c r="H115" s="104"/>
    </row>
    <row r="116" spans="1:14" s="35" customFormat="1" x14ac:dyDescent="0.25">
      <c r="A116" s="58" t="s">
        <v>197</v>
      </c>
      <c r="B116" s="148"/>
      <c r="C116" s="198">
        <f>COUNT(D192:D195)+COUNT(D197:D200)*2+COUNT(D203:D205)+COUNT(D207:D210)*4+COUNT(D212:D215)*3+COUNT(D218:D220)+COUNT(D223:D225)</f>
        <v>49</v>
      </c>
      <c r="D116" s="199"/>
      <c r="E116" s="200">
        <f>SUM(D192:D195)+SUM(D197:D200)*2+SUM(D203:D205)+SUM(D207:D210)*4+SUM(D212:D215)*3+SUM(D218:D220)+SUM(D223:D225)</f>
        <v>40614.832439999991</v>
      </c>
      <c r="F116" s="201"/>
      <c r="G116" s="200">
        <f>SUM(F192:F195)+SUM(F197:F200)*2+SUM(F203:F205)+SUM(F207:F210)*4+SUM(F212:F215)*3+SUM(F218:F220)+SUM(F223:F225)</f>
        <v>62952.990281999992</v>
      </c>
      <c r="H116" s="201"/>
    </row>
    <row r="117" spans="1:14" s="35" customFormat="1" ht="16.5" thickBot="1" x14ac:dyDescent="0.3">
      <c r="A117" s="203" t="s">
        <v>152</v>
      </c>
      <c r="B117" s="203"/>
      <c r="C117" s="96">
        <f>SUM(C115:C116)</f>
        <v>117</v>
      </c>
      <c r="D117" s="97"/>
      <c r="E117" s="96">
        <f t="shared" ref="E117" si="0">SUM(E115:E116)</f>
        <v>83993.64479999998</v>
      </c>
      <c r="F117" s="97"/>
      <c r="G117" s="96">
        <f t="shared" ref="G117" si="1">SUM(G115:G116)</f>
        <v>130190.14943999998</v>
      </c>
      <c r="H117" s="97"/>
    </row>
    <row r="118" spans="1:14" s="35" customFormat="1" ht="16.5" thickBot="1" x14ac:dyDescent="0.3">
      <c r="A118" s="141" t="s">
        <v>168</v>
      </c>
      <c r="B118" s="142"/>
      <c r="C118" s="143">
        <f>C112+C117</f>
        <v>123</v>
      </c>
      <c r="D118" s="143"/>
      <c r="E118" s="137">
        <f>E112+E117</f>
        <v>89017.957079999978</v>
      </c>
      <c r="F118" s="137"/>
      <c r="G118" s="204">
        <f>G112+G117</f>
        <v>138229.04908799997</v>
      </c>
      <c r="H118" s="205"/>
    </row>
    <row r="119" spans="1:14" s="34" customFormat="1" x14ac:dyDescent="0.25">
      <c r="A119" s="196" t="s">
        <v>57</v>
      </c>
      <c r="B119" s="196"/>
      <c r="C119" s="196"/>
      <c r="D119" s="196"/>
      <c r="E119" s="196"/>
      <c r="F119" s="196"/>
      <c r="G119" s="196"/>
      <c r="H119" s="196"/>
    </row>
    <row r="120" spans="1:14" x14ac:dyDescent="0.25">
      <c r="A120" s="156" t="s">
        <v>58</v>
      </c>
      <c r="B120" s="156"/>
      <c r="C120" s="156"/>
      <c r="D120" s="156"/>
      <c r="E120" s="156"/>
      <c r="F120" s="156"/>
      <c r="G120" s="156"/>
      <c r="H120" s="156"/>
    </row>
    <row r="121" spans="1:14" ht="47.25" customHeight="1" x14ac:dyDescent="0.25">
      <c r="A121" s="110" t="s">
        <v>120</v>
      </c>
      <c r="B121" s="110" t="s">
        <v>119</v>
      </c>
      <c r="C121" s="110" t="s">
        <v>59</v>
      </c>
      <c r="D121" s="110" t="s">
        <v>60</v>
      </c>
      <c r="E121" s="113" t="s">
        <v>158</v>
      </c>
      <c r="F121" s="43" t="s">
        <v>151</v>
      </c>
      <c r="G121" s="115" t="s">
        <v>62</v>
      </c>
      <c r="H121" s="116"/>
    </row>
    <row r="122" spans="1:14" s="37" customFormat="1" x14ac:dyDescent="0.25">
      <c r="A122" s="111"/>
      <c r="B122" s="111"/>
      <c r="C122" s="111"/>
      <c r="D122" s="111"/>
      <c r="E122" s="114"/>
      <c r="F122" s="13">
        <v>0.6</v>
      </c>
      <c r="G122" s="117"/>
      <c r="H122" s="118"/>
    </row>
    <row r="123" spans="1:14" s="60" customFormat="1" x14ac:dyDescent="0.25">
      <c r="A123" s="78" t="s">
        <v>195</v>
      </c>
      <c r="B123" s="79"/>
      <c r="C123" s="79"/>
      <c r="D123" s="79"/>
      <c r="E123" s="79"/>
      <c r="F123" s="79"/>
      <c r="G123" s="79"/>
      <c r="H123" s="80"/>
      <c r="J123" s="36"/>
    </row>
    <row r="124" spans="1:14" s="60" customFormat="1" x14ac:dyDescent="0.25">
      <c r="A124" s="78" t="s">
        <v>196</v>
      </c>
      <c r="B124" s="79"/>
      <c r="C124" s="79"/>
      <c r="D124" s="79"/>
      <c r="E124" s="79"/>
      <c r="F124" s="79"/>
      <c r="G124" s="79"/>
      <c r="H124" s="80"/>
      <c r="J124" s="36"/>
    </row>
    <row r="125" spans="1:14" s="60" customFormat="1" x14ac:dyDescent="0.25">
      <c r="A125" s="78" t="s">
        <v>229</v>
      </c>
      <c r="B125" s="79"/>
      <c r="C125" s="79"/>
      <c r="D125" s="79"/>
      <c r="E125" s="79"/>
      <c r="F125" s="79"/>
      <c r="G125" s="79"/>
      <c r="H125" s="80"/>
      <c r="J125" s="36"/>
    </row>
    <row r="126" spans="1:14" s="37" customFormat="1" x14ac:dyDescent="0.25">
      <c r="A126" s="81">
        <v>1</v>
      </c>
      <c r="B126" s="82"/>
      <c r="C126" s="42" t="s">
        <v>213</v>
      </c>
      <c r="D126" s="61">
        <f>(8.05*8.95)*(10.764)</f>
        <v>775.51928999999996</v>
      </c>
      <c r="E126" s="42">
        <v>0</v>
      </c>
      <c r="F126" s="42">
        <f>(D126+E126)*(($F$122)+1)</f>
        <v>1240.830864</v>
      </c>
      <c r="G126" s="72" t="str">
        <f>A125</f>
        <v>Ground Floor For Commercial, Entrance Lobby &amp; Meter Room</v>
      </c>
      <c r="H126" s="73"/>
      <c r="I126" s="36">
        <f>24.45*6.55+8.05*2.4+6.3*5+2.25*1.3+1.25*1.2+1.35*1.05+1.35*1.25</f>
        <v>218.49749999999997</v>
      </c>
      <c r="J126" s="36">
        <f>26.55*8.05+6.3*4.85+10.15*2.4+2.25*1.3+1.25*1.2+1.35*1.05+1.35*1.25+4.6*5.15+1*1.2</f>
        <v>301.06250000000006</v>
      </c>
      <c r="K126" s="61">
        <f>10.764</f>
        <v>10.763999999999999</v>
      </c>
      <c r="L126" s="71"/>
      <c r="M126" s="71"/>
      <c r="N126" s="36"/>
    </row>
    <row r="127" spans="1:14" s="65" customFormat="1" x14ac:dyDescent="0.25">
      <c r="A127" s="81">
        <f t="shared" ref="A127:A128" si="2">A126+1</f>
        <v>2</v>
      </c>
      <c r="B127" s="82"/>
      <c r="C127" s="66" t="s">
        <v>213</v>
      </c>
      <c r="D127" s="61">
        <f>(9.8*6.55)*(10.764)</f>
        <v>690.94115999999997</v>
      </c>
      <c r="E127" s="66">
        <v>0</v>
      </c>
      <c r="F127" s="66">
        <f>(D127+E127)*(($F$122)+1)</f>
        <v>1105.505856</v>
      </c>
      <c r="G127" s="74"/>
      <c r="H127" s="75"/>
      <c r="I127" s="36"/>
      <c r="J127" s="36"/>
      <c r="K127" s="61"/>
      <c r="L127" s="71"/>
      <c r="M127" s="71"/>
      <c r="N127" s="36"/>
    </row>
    <row r="128" spans="1:14" s="65" customFormat="1" x14ac:dyDescent="0.25">
      <c r="A128" s="81">
        <f t="shared" si="2"/>
        <v>3</v>
      </c>
      <c r="B128" s="82"/>
      <c r="C128" s="66" t="s">
        <v>213</v>
      </c>
      <c r="D128" s="61">
        <f>(6.3*11.55)*(10.764)</f>
        <v>783.24245999999994</v>
      </c>
      <c r="E128" s="66">
        <v>0</v>
      </c>
      <c r="F128" s="66">
        <f>(D128+E128)*(($F$122)+1)</f>
        <v>1253.187936</v>
      </c>
      <c r="G128" s="76"/>
      <c r="H128" s="77"/>
      <c r="I128" s="36"/>
      <c r="J128" s="36"/>
      <c r="K128" s="61"/>
      <c r="L128" s="71"/>
      <c r="M128" s="71"/>
      <c r="N128" s="36"/>
    </row>
    <row r="129" spans="1:14" s="65" customFormat="1" x14ac:dyDescent="0.25">
      <c r="A129" s="78" t="s">
        <v>228</v>
      </c>
      <c r="B129" s="79"/>
      <c r="C129" s="79"/>
      <c r="D129" s="79"/>
      <c r="E129" s="79"/>
      <c r="F129" s="79"/>
      <c r="G129" s="79"/>
      <c r="H129" s="80"/>
      <c r="J129" s="36"/>
    </row>
    <row r="130" spans="1:14" s="65" customFormat="1" x14ac:dyDescent="0.25">
      <c r="A130" s="81">
        <v>1</v>
      </c>
      <c r="B130" s="82"/>
      <c r="C130" s="66" t="s">
        <v>213</v>
      </c>
      <c r="D130" s="61">
        <f>(9.25*10.45)*(10.764)</f>
        <v>1040.47515</v>
      </c>
      <c r="E130" s="66">
        <v>0</v>
      </c>
      <c r="F130" s="66">
        <f>(D130+E130)*(($F$122)+1)</f>
        <v>1664.7602400000001</v>
      </c>
      <c r="G130" s="72" t="str">
        <f>A129</f>
        <v>1st Podium</v>
      </c>
      <c r="H130" s="73"/>
      <c r="I130" s="36"/>
      <c r="J130" s="36"/>
      <c r="K130" s="61"/>
      <c r="L130" s="71"/>
      <c r="M130" s="71"/>
      <c r="N130" s="36"/>
    </row>
    <row r="131" spans="1:14" s="65" customFormat="1" x14ac:dyDescent="0.25">
      <c r="A131" s="81">
        <f t="shared" ref="A131:A132" si="3">A130+1</f>
        <v>2</v>
      </c>
      <c r="B131" s="82"/>
      <c r="C131" s="66" t="s">
        <v>213</v>
      </c>
      <c r="D131" s="61">
        <f>(9.8*8.05)*(10.764)</f>
        <v>849.17196000000013</v>
      </c>
      <c r="E131" s="66">
        <v>0</v>
      </c>
      <c r="F131" s="66">
        <f>(D131+E131)*(($F$122)+1)</f>
        <v>1358.6751360000003</v>
      </c>
      <c r="G131" s="74"/>
      <c r="H131" s="75"/>
      <c r="I131" s="36"/>
      <c r="J131" s="36"/>
      <c r="K131" s="61"/>
      <c r="L131" s="71"/>
      <c r="M131" s="71"/>
      <c r="N131" s="36"/>
    </row>
    <row r="132" spans="1:14" s="65" customFormat="1" x14ac:dyDescent="0.25">
      <c r="A132" s="81">
        <f t="shared" si="3"/>
        <v>3</v>
      </c>
      <c r="B132" s="82"/>
      <c r="C132" s="66" t="s">
        <v>213</v>
      </c>
      <c r="D132" s="61">
        <f>(6.3*13.05)*(10.764)</f>
        <v>884.96226000000001</v>
      </c>
      <c r="E132" s="66">
        <v>0</v>
      </c>
      <c r="F132" s="66">
        <f>(D132+E132)*(($F$122)+1)</f>
        <v>1415.9396160000001</v>
      </c>
      <c r="G132" s="76"/>
      <c r="H132" s="77"/>
      <c r="I132" s="36"/>
      <c r="J132" s="36"/>
      <c r="K132" s="61"/>
      <c r="L132" s="71"/>
      <c r="M132" s="71"/>
      <c r="N132" s="36"/>
    </row>
    <row r="133" spans="1:14" s="60" customFormat="1" x14ac:dyDescent="0.25">
      <c r="A133" s="78" t="s">
        <v>202</v>
      </c>
      <c r="B133" s="79"/>
      <c r="C133" s="79"/>
      <c r="D133" s="79"/>
      <c r="E133" s="79"/>
      <c r="F133" s="79"/>
      <c r="G133" s="79"/>
      <c r="H133" s="80"/>
      <c r="J133" s="36"/>
    </row>
    <row r="134" spans="1:14" s="60" customFormat="1" x14ac:dyDescent="0.25">
      <c r="A134" s="78" t="s">
        <v>203</v>
      </c>
      <c r="B134" s="79"/>
      <c r="C134" s="79"/>
      <c r="D134" s="79"/>
      <c r="E134" s="79"/>
      <c r="F134" s="79"/>
      <c r="G134" s="79"/>
      <c r="H134" s="80"/>
      <c r="J134" s="36"/>
    </row>
    <row r="135" spans="1:14" s="37" customFormat="1" x14ac:dyDescent="0.25">
      <c r="A135" s="81"/>
      <c r="B135" s="100"/>
      <c r="C135" s="100"/>
      <c r="D135" s="100"/>
      <c r="E135" s="100"/>
      <c r="F135" s="100"/>
      <c r="G135" s="100"/>
      <c r="H135" s="82"/>
      <c r="I135" s="36"/>
      <c r="N135" s="36"/>
    </row>
    <row r="136" spans="1:14" ht="47.25" customHeight="1" x14ac:dyDescent="0.25">
      <c r="A136" s="115" t="s">
        <v>121</v>
      </c>
      <c r="B136" s="115" t="s">
        <v>122</v>
      </c>
      <c r="C136" s="110" t="s">
        <v>59</v>
      </c>
      <c r="D136" s="110" t="s">
        <v>60</v>
      </c>
      <c r="E136" s="113" t="s">
        <v>61</v>
      </c>
      <c r="F136" s="43" t="s">
        <v>151</v>
      </c>
      <c r="G136" s="115" t="s">
        <v>62</v>
      </c>
      <c r="H136" s="116"/>
      <c r="I136" s="36"/>
    </row>
    <row r="137" spans="1:14" s="37" customFormat="1" x14ac:dyDescent="0.25">
      <c r="A137" s="117"/>
      <c r="B137" s="117"/>
      <c r="C137" s="111"/>
      <c r="D137" s="111"/>
      <c r="E137" s="114"/>
      <c r="F137" s="13">
        <v>0.55000000000000004</v>
      </c>
      <c r="G137" s="117"/>
      <c r="H137" s="118"/>
      <c r="I137" s="36"/>
    </row>
    <row r="138" spans="1:14" s="60" customFormat="1" x14ac:dyDescent="0.25">
      <c r="A138" s="78" t="s">
        <v>195</v>
      </c>
      <c r="B138" s="79"/>
      <c r="C138" s="79"/>
      <c r="D138" s="79"/>
      <c r="E138" s="79"/>
      <c r="F138" s="79"/>
      <c r="G138" s="79"/>
      <c r="H138" s="80"/>
      <c r="J138" s="36"/>
    </row>
    <row r="139" spans="1:14" s="37" customFormat="1" x14ac:dyDescent="0.25">
      <c r="A139" s="78" t="s">
        <v>204</v>
      </c>
      <c r="B139" s="79"/>
      <c r="C139" s="79"/>
      <c r="D139" s="79"/>
      <c r="E139" s="79"/>
      <c r="F139" s="79"/>
      <c r="G139" s="79"/>
      <c r="H139" s="80"/>
      <c r="J139" s="36"/>
    </row>
    <row r="140" spans="1:14" s="37" customFormat="1" ht="15.75" customHeight="1" x14ac:dyDescent="0.25">
      <c r="A140" s="81">
        <v>1</v>
      </c>
      <c r="B140" s="82"/>
      <c r="C140" s="42" t="s">
        <v>210</v>
      </c>
      <c r="D140" s="61">
        <f>(42.22)*(10.764)</f>
        <v>454.45607999999999</v>
      </c>
      <c r="E140" s="42">
        <v>0</v>
      </c>
      <c r="F140" s="42">
        <f>D140*(($F$137)+1)+(IF(E140&lt;101,E140,IF(E140&lt;201,E140/2,IF(E140&lt;=301,E140/3,E140/4))))</f>
        <v>704.406924</v>
      </c>
      <c r="G140" s="72" t="str">
        <f>A139</f>
        <v>4th Floor For Residential</v>
      </c>
      <c r="H140" s="73"/>
      <c r="I140" s="36"/>
      <c r="L140" s="71"/>
      <c r="M140" s="71"/>
      <c r="N140" s="36"/>
    </row>
    <row r="141" spans="1:14" s="37" customFormat="1" ht="15.75" customHeight="1" x14ac:dyDescent="0.25">
      <c r="A141" s="81">
        <f t="shared" ref="A141:A144" si="4">A140+1</f>
        <v>2</v>
      </c>
      <c r="B141" s="82"/>
      <c r="C141" s="57" t="s">
        <v>211</v>
      </c>
      <c r="D141" s="61">
        <f>(66.22)*(10.764)</f>
        <v>712.79207999999994</v>
      </c>
      <c r="E141" s="42">
        <v>0</v>
      </c>
      <c r="F141" s="42">
        <f>D141*(($F$137)+1)+(IF(E141&lt;101,E141,IF(E141&lt;201,E141/2,IF(E141&lt;=301,E141/3,E141/4))))</f>
        <v>1104.827724</v>
      </c>
      <c r="G141" s="74"/>
      <c r="H141" s="75"/>
      <c r="I141" s="36"/>
      <c r="L141" s="71"/>
      <c r="M141" s="71"/>
      <c r="N141" s="36"/>
    </row>
    <row r="142" spans="1:14" s="37" customFormat="1" ht="15.75" customHeight="1" x14ac:dyDescent="0.25">
      <c r="A142" s="81">
        <f t="shared" si="4"/>
        <v>3</v>
      </c>
      <c r="B142" s="82"/>
      <c r="C142" s="57" t="s">
        <v>211</v>
      </c>
      <c r="D142" s="61">
        <f>(65.21)*(10.764)</f>
        <v>701.92043999999987</v>
      </c>
      <c r="E142" s="42">
        <v>0</v>
      </c>
      <c r="F142" s="42">
        <f>D142*(($F$137)+1)+(IF(E142&lt;101,E142,IF(E142&lt;201,E142/2,IF(E142&lt;=301,E142/3,E142/4))))</f>
        <v>1087.9766819999998</v>
      </c>
      <c r="G142" s="74"/>
      <c r="H142" s="75"/>
      <c r="I142" s="36"/>
      <c r="L142" s="71"/>
      <c r="M142" s="71"/>
      <c r="N142" s="36"/>
    </row>
    <row r="143" spans="1:14" s="37" customFormat="1" ht="15.75" customHeight="1" x14ac:dyDescent="0.25">
      <c r="A143" s="81">
        <f t="shared" si="4"/>
        <v>4</v>
      </c>
      <c r="B143" s="82"/>
      <c r="C143" s="57" t="s">
        <v>211</v>
      </c>
      <c r="D143" s="61">
        <f>(59.72)*(10.764)</f>
        <v>642.82607999999993</v>
      </c>
      <c r="E143" s="42">
        <v>0</v>
      </c>
      <c r="F143" s="42">
        <f>D143*(($F$137)+1)+(IF(E143&lt;101,E143,IF(E143&lt;201,E143/2,IF(E143&lt;=301,E143/3,E143/4))))</f>
        <v>996.38042399999995</v>
      </c>
      <c r="G143" s="74"/>
      <c r="H143" s="75"/>
      <c r="I143" s="36"/>
      <c r="L143" s="71"/>
      <c r="M143" s="71"/>
      <c r="N143" s="36"/>
    </row>
    <row r="144" spans="1:14" s="60" customFormat="1" ht="15.75" customHeight="1" x14ac:dyDescent="0.25">
      <c r="A144" s="81">
        <f t="shared" si="4"/>
        <v>5</v>
      </c>
      <c r="B144" s="82"/>
      <c r="C144" s="57" t="s">
        <v>211</v>
      </c>
      <c r="D144" s="61">
        <f>(59.69)*(10.764)</f>
        <v>642.50315999999998</v>
      </c>
      <c r="E144" s="57">
        <v>0</v>
      </c>
      <c r="F144" s="57">
        <f>D144*(($F$137)+1)+(IF(E144&lt;101,E144,IF(E144&lt;201,E144/2,IF(E144&lt;=301,E144/3,E144/4))))</f>
        <v>995.87989800000003</v>
      </c>
      <c r="G144" s="76"/>
      <c r="H144" s="77"/>
      <c r="I144" s="36"/>
      <c r="L144" s="71"/>
      <c r="M144" s="71"/>
      <c r="N144" s="36"/>
    </row>
    <row r="145" spans="1:14" s="60" customFormat="1" x14ac:dyDescent="0.25">
      <c r="A145" s="78" t="s">
        <v>205</v>
      </c>
      <c r="B145" s="79"/>
      <c r="C145" s="79"/>
      <c r="D145" s="79"/>
      <c r="E145" s="79"/>
      <c r="F145" s="79"/>
      <c r="G145" s="79"/>
      <c r="H145" s="80"/>
      <c r="J145" s="36"/>
    </row>
    <row r="146" spans="1:14" s="60" customFormat="1" ht="15.75" customHeight="1" x14ac:dyDescent="0.25">
      <c r="A146" s="81">
        <v>1</v>
      </c>
      <c r="B146" s="82"/>
      <c r="C146" s="57" t="s">
        <v>210</v>
      </c>
      <c r="D146" s="61">
        <f>(42.22)*(10.764)</f>
        <v>454.45607999999999</v>
      </c>
      <c r="E146" s="57">
        <v>0</v>
      </c>
      <c r="F146" s="57">
        <f>D146*(($F$137)+1)+(IF(E146&lt;101,E146,IF(E146&lt;201,E146/2,IF(E146&lt;=301,E146/3,E146/4))))</f>
        <v>704.406924</v>
      </c>
      <c r="G146" s="72" t="str">
        <f>A145</f>
        <v>5th &amp; 6th Floor</v>
      </c>
      <c r="H146" s="73"/>
      <c r="I146" s="36"/>
      <c r="L146" s="71"/>
      <c r="M146" s="71"/>
      <c r="N146" s="36"/>
    </row>
    <row r="147" spans="1:14" s="60" customFormat="1" ht="15.75" customHeight="1" x14ac:dyDescent="0.25">
      <c r="A147" s="81">
        <f t="shared" ref="A147:A150" si="5">A146+1</f>
        <v>2</v>
      </c>
      <c r="B147" s="82"/>
      <c r="C147" s="57" t="s">
        <v>211</v>
      </c>
      <c r="D147" s="61">
        <f>(66.22)*(10.764)</f>
        <v>712.79207999999994</v>
      </c>
      <c r="E147" s="57">
        <v>0</v>
      </c>
      <c r="F147" s="57">
        <f>D147*(($F$137)+1)+(IF(E147&lt;101,E147,IF(E147&lt;201,E147/2,IF(E147&lt;=301,E147/3,E147/4))))</f>
        <v>1104.827724</v>
      </c>
      <c r="G147" s="74"/>
      <c r="H147" s="75"/>
      <c r="I147" s="36"/>
      <c r="L147" s="71"/>
      <c r="M147" s="71"/>
      <c r="N147" s="36"/>
    </row>
    <row r="148" spans="1:14" s="60" customFormat="1" ht="15.75" customHeight="1" x14ac:dyDescent="0.25">
      <c r="A148" s="81">
        <f t="shared" si="5"/>
        <v>3</v>
      </c>
      <c r="B148" s="82"/>
      <c r="C148" s="57" t="s">
        <v>211</v>
      </c>
      <c r="D148" s="61">
        <f>(65.21)*(10.764)</f>
        <v>701.92043999999987</v>
      </c>
      <c r="E148" s="57">
        <v>0</v>
      </c>
      <c r="F148" s="57">
        <f>D148*(($F$137)+1)+(IF(E148&lt;101,E148,IF(E148&lt;201,E148/2,IF(E148&lt;=301,E148/3,E148/4))))</f>
        <v>1087.9766819999998</v>
      </c>
      <c r="G148" s="74"/>
      <c r="H148" s="75"/>
      <c r="I148" s="61">
        <f>10.764</f>
        <v>10.763999999999999</v>
      </c>
      <c r="L148" s="71"/>
      <c r="M148" s="71"/>
      <c r="N148" s="36"/>
    </row>
    <row r="149" spans="1:14" s="60" customFormat="1" ht="15.75" customHeight="1" x14ac:dyDescent="0.25">
      <c r="A149" s="81">
        <f t="shared" si="5"/>
        <v>4</v>
      </c>
      <c r="B149" s="82"/>
      <c r="C149" s="57" t="s">
        <v>211</v>
      </c>
      <c r="D149" s="61">
        <f>(59.72)*(10.764)</f>
        <v>642.82607999999993</v>
      </c>
      <c r="E149" s="57">
        <v>0</v>
      </c>
      <c r="F149" s="57">
        <f>D149*(($F$137)+1)+(IF(E149&lt;101,E149,IF(E149&lt;201,E149/2,IF(E149&lt;=301,E149/3,E149/4))))</f>
        <v>996.38042399999995</v>
      </c>
      <c r="G149" s="74"/>
      <c r="H149" s="75"/>
      <c r="I149" s="36"/>
      <c r="L149" s="71"/>
      <c r="M149" s="71"/>
      <c r="N149" s="36"/>
    </row>
    <row r="150" spans="1:14" s="60" customFormat="1" ht="15.75" customHeight="1" x14ac:dyDescent="0.25">
      <c r="A150" s="81">
        <f t="shared" si="5"/>
        <v>5</v>
      </c>
      <c r="B150" s="82"/>
      <c r="C150" s="57" t="s">
        <v>211</v>
      </c>
      <c r="D150" s="61">
        <f>(59.69)*(10.764)</f>
        <v>642.50315999999998</v>
      </c>
      <c r="E150" s="57">
        <v>0</v>
      </c>
      <c r="F150" s="57">
        <f>D150*(($F$137)+1)+(IF(E150&lt;101,E150,IF(E150&lt;201,E150/2,IF(E150&lt;=301,E150/3,E150/4))))</f>
        <v>995.87989800000003</v>
      </c>
      <c r="G150" s="76"/>
      <c r="H150" s="77"/>
      <c r="I150" s="36"/>
      <c r="L150" s="71"/>
      <c r="M150" s="71"/>
      <c r="N150" s="36"/>
    </row>
    <row r="151" spans="1:14" s="37" customFormat="1" x14ac:dyDescent="0.25">
      <c r="A151" s="102" t="s">
        <v>208</v>
      </c>
      <c r="B151" s="102"/>
      <c r="C151" s="102"/>
      <c r="D151" s="102"/>
      <c r="E151" s="102"/>
      <c r="F151" s="102"/>
      <c r="G151" s="102"/>
      <c r="H151" s="102"/>
      <c r="I151" s="36"/>
      <c r="L151" s="71"/>
      <c r="M151" s="71"/>
    </row>
    <row r="152" spans="1:14" s="37" customFormat="1" x14ac:dyDescent="0.25">
      <c r="A152" s="101">
        <v>1</v>
      </c>
      <c r="B152" s="101"/>
      <c r="C152" s="57" t="s">
        <v>210</v>
      </c>
      <c r="D152" s="61">
        <f>(42.22)*(10.764)</f>
        <v>454.45607999999999</v>
      </c>
      <c r="E152" s="42">
        <v>0</v>
      </c>
      <c r="F152" s="42">
        <f t="shared" ref="F152:F153" si="6">D152*(($F$137)+1)+(IF(E152&lt;101,E152,IF(E152&lt;201,E152/2,IF(E152&lt;=301,E152/3,E152/4))))</f>
        <v>704.406924</v>
      </c>
      <c r="G152" s="72" t="str">
        <f>A151</f>
        <v>7th Floor (Part Refuge Area)</v>
      </c>
      <c r="H152" s="73"/>
      <c r="I152" s="36"/>
      <c r="N152" s="36"/>
    </row>
    <row r="153" spans="1:14" s="37" customFormat="1" x14ac:dyDescent="0.25">
      <c r="A153" s="101">
        <f>A152+1</f>
        <v>2</v>
      </c>
      <c r="B153" s="101"/>
      <c r="C153" s="57" t="s">
        <v>211</v>
      </c>
      <c r="D153" s="61">
        <f>(66.22)*(10.764)</f>
        <v>712.79207999999994</v>
      </c>
      <c r="E153" s="42">
        <v>0</v>
      </c>
      <c r="F153" s="42">
        <f t="shared" si="6"/>
        <v>1104.827724</v>
      </c>
      <c r="G153" s="74"/>
      <c r="H153" s="75"/>
      <c r="I153" s="36">
        <f>1.35*3.6+3.65*2.3+2.45*1.5+2.45*1.5+3.2*4.05+3.05*3.05+0.55*0.9+3.2*5.65+2.55*0.9+1.4*1</f>
        <v>65.137500000000003</v>
      </c>
      <c r="N153" s="36"/>
    </row>
    <row r="154" spans="1:14" s="37" customFormat="1" x14ac:dyDescent="0.25">
      <c r="A154" s="101">
        <f>A153+1</f>
        <v>3</v>
      </c>
      <c r="B154" s="101"/>
      <c r="C154" s="57" t="s">
        <v>211</v>
      </c>
      <c r="D154" s="61">
        <f>(65.21)*(10.764)</f>
        <v>701.92043999999987</v>
      </c>
      <c r="E154" s="42">
        <v>0</v>
      </c>
      <c r="F154" s="42">
        <f>D154*(($F$137)+1)+(IF(E154&lt;101,E154,IF(E154&lt;201,E154/2,IF(E154&lt;=301,E154/3,E154/4))))</f>
        <v>1087.9766819999998</v>
      </c>
      <c r="G154" s="74"/>
      <c r="H154" s="75"/>
      <c r="I154" s="36"/>
      <c r="N154" s="36"/>
    </row>
    <row r="155" spans="1:14" s="37" customFormat="1" x14ac:dyDescent="0.25">
      <c r="A155" s="101">
        <f>A154+1</f>
        <v>4</v>
      </c>
      <c r="B155" s="101"/>
      <c r="C155" s="57" t="s">
        <v>211</v>
      </c>
      <c r="D155" s="61">
        <f>(61.18)*(10.764)</f>
        <v>658.54151999999999</v>
      </c>
      <c r="E155" s="42">
        <v>0</v>
      </c>
      <c r="F155" s="42">
        <f>D155*(($F$137)+1)+(IF(E155&lt;101,E155,IF(E155&lt;201,E155/2,IF(E155&lt;=301,E155/3,E155/4))))</f>
        <v>1020.739356</v>
      </c>
      <c r="G155" s="74"/>
      <c r="H155" s="75"/>
      <c r="I155" s="36">
        <f>2.4*1.35+5.05*3.2+2.3*3.05+1.5*2.45+2.55*0.9+3.05*3.05+0.9*0.55+4.05*3.2+1.5*2.45</f>
        <v>58.817499999999995</v>
      </c>
      <c r="N155" s="36"/>
    </row>
    <row r="156" spans="1:14" s="37" customFormat="1" x14ac:dyDescent="0.25">
      <c r="A156" s="101">
        <f>A155+1</f>
        <v>5</v>
      </c>
      <c r="B156" s="101"/>
      <c r="C156" s="81" t="s">
        <v>207</v>
      </c>
      <c r="D156" s="100"/>
      <c r="E156" s="100"/>
      <c r="F156" s="82"/>
      <c r="G156" s="76"/>
      <c r="H156" s="77"/>
      <c r="I156" s="36"/>
      <c r="N156" s="36"/>
    </row>
    <row r="157" spans="1:14" s="60" customFormat="1" x14ac:dyDescent="0.25">
      <c r="A157" s="102" t="s">
        <v>206</v>
      </c>
      <c r="B157" s="102"/>
      <c r="C157" s="102"/>
      <c r="D157" s="102"/>
      <c r="E157" s="102"/>
      <c r="F157" s="102"/>
      <c r="G157" s="102"/>
      <c r="H157" s="102"/>
      <c r="I157" s="36"/>
      <c r="L157" s="71"/>
      <c r="M157" s="71"/>
    </row>
    <row r="158" spans="1:14" s="60" customFormat="1" x14ac:dyDescent="0.25">
      <c r="A158" s="101">
        <v>1</v>
      </c>
      <c r="B158" s="101"/>
      <c r="C158" s="57" t="s">
        <v>210</v>
      </c>
      <c r="D158" s="61">
        <f>(42.22)*(10.764)</f>
        <v>454.45607999999999</v>
      </c>
      <c r="E158" s="57">
        <v>0</v>
      </c>
      <c r="F158" s="57">
        <f t="shared" ref="F158:F159" si="7">D158*(($F$137)+1)+(IF(E158&lt;101,E158,IF(E158&lt;201,E158/2,IF(E158&lt;=301,E158/3,E158/4))))</f>
        <v>704.406924</v>
      </c>
      <c r="G158" s="72" t="str">
        <f>A157</f>
        <v>8th to 11th Floor</v>
      </c>
      <c r="H158" s="73"/>
      <c r="I158" s="36"/>
      <c r="N158" s="36"/>
    </row>
    <row r="159" spans="1:14" s="60" customFormat="1" x14ac:dyDescent="0.25">
      <c r="A159" s="101">
        <f>A158+1</f>
        <v>2</v>
      </c>
      <c r="B159" s="101"/>
      <c r="C159" s="57" t="s">
        <v>211</v>
      </c>
      <c r="D159" s="61">
        <f>(63.25)*(10.764)</f>
        <v>680.82299999999998</v>
      </c>
      <c r="E159" s="57">
        <v>0</v>
      </c>
      <c r="F159" s="57">
        <f t="shared" si="7"/>
        <v>1055.27565</v>
      </c>
      <c r="G159" s="74"/>
      <c r="H159" s="75"/>
      <c r="I159" s="36">
        <f>1.4*1+1.35*3.6+3.65*2.3+2.45*1.6+2.45*1.5+3.2*4.05+3.05*3.05+3.2*4.6+0.55*0.9+2.55*0.9</f>
        <v>62.022500000000001</v>
      </c>
      <c r="N159" s="36"/>
    </row>
    <row r="160" spans="1:14" s="60" customFormat="1" x14ac:dyDescent="0.25">
      <c r="A160" s="101">
        <f>A159+1</f>
        <v>3</v>
      </c>
      <c r="B160" s="101"/>
      <c r="C160" s="57" t="s">
        <v>211</v>
      </c>
      <c r="D160" s="61">
        <f>(62.33)*(10.764)</f>
        <v>670.92012</v>
      </c>
      <c r="E160" s="57">
        <v>0</v>
      </c>
      <c r="F160" s="57">
        <f>D160*(($F$137)+1)+(IF(E160&lt;101,E160,IF(E160&lt;201,E160/2,IF(E160&lt;=301,E160/3,E160/4))))</f>
        <v>1039.9261859999999</v>
      </c>
      <c r="G160" s="74"/>
      <c r="H160" s="75"/>
      <c r="I160" s="36"/>
      <c r="N160" s="36"/>
    </row>
    <row r="161" spans="1:14" s="60" customFormat="1" x14ac:dyDescent="0.25">
      <c r="A161" s="101">
        <f>A160+1</f>
        <v>4</v>
      </c>
      <c r="B161" s="101"/>
      <c r="C161" s="57" t="s">
        <v>211</v>
      </c>
      <c r="D161" s="61">
        <f>(61.68)*(10.764)</f>
        <v>663.92351999999994</v>
      </c>
      <c r="E161" s="57">
        <v>0</v>
      </c>
      <c r="F161" s="57">
        <f>D161*(($F$137)+1)+(IF(E161&lt;101,E161,IF(E161&lt;201,E161/2,IF(E161&lt;=301,E161/3,E161/4))))</f>
        <v>1029.0814559999999</v>
      </c>
      <c r="G161" s="74"/>
      <c r="H161" s="75"/>
      <c r="I161" s="36">
        <f>2.4*1.35+2.3*3.05+5.05*3.2+3.05*3.05+2.55*0.9+0.9*0.55+1.5*2.45+4.05*3.2+1.5*2.45</f>
        <v>58.817499999999995</v>
      </c>
      <c r="N161" s="36"/>
    </row>
    <row r="162" spans="1:14" s="60" customFormat="1" x14ac:dyDescent="0.25">
      <c r="A162" s="101">
        <f>A161+1</f>
        <v>5</v>
      </c>
      <c r="B162" s="101"/>
      <c r="C162" s="57" t="s">
        <v>211</v>
      </c>
      <c r="D162" s="61">
        <f>(61.68)*(10.764)</f>
        <v>663.92351999999994</v>
      </c>
      <c r="E162" s="57">
        <v>0</v>
      </c>
      <c r="F162" s="57">
        <f>D162*(($F$137)+1)+(IF(E162&lt;101,E162,IF(E162&lt;201,E162/2,IF(E162&lt;=301,E162/3,E162/4))))</f>
        <v>1029.0814559999999</v>
      </c>
      <c r="G162" s="76"/>
      <c r="H162" s="77"/>
      <c r="I162" s="36"/>
      <c r="N162" s="36"/>
    </row>
    <row r="163" spans="1:14" s="60" customFormat="1" x14ac:dyDescent="0.25">
      <c r="A163" s="102" t="s">
        <v>232</v>
      </c>
      <c r="B163" s="102"/>
      <c r="C163" s="102"/>
      <c r="D163" s="102"/>
      <c r="E163" s="102"/>
      <c r="F163" s="102"/>
      <c r="G163" s="102"/>
      <c r="H163" s="102"/>
      <c r="I163" s="36"/>
      <c r="L163" s="71"/>
      <c r="M163" s="71"/>
    </row>
    <row r="164" spans="1:14" s="60" customFormat="1" x14ac:dyDescent="0.25">
      <c r="A164" s="101">
        <v>1</v>
      </c>
      <c r="B164" s="101"/>
      <c r="C164" s="57" t="s">
        <v>210</v>
      </c>
      <c r="D164" s="61">
        <f>(47.53)*(10.764)</f>
        <v>511.61291999999997</v>
      </c>
      <c r="E164" s="57">
        <v>0</v>
      </c>
      <c r="F164" s="57">
        <f t="shared" ref="F164:F165" si="8">D164*(($F$137)+1)+(IF(E164&lt;101,E164,IF(E164&lt;201,E164/2,IF(E164&lt;=301,E164/3,E164/4))))</f>
        <v>793.00002599999993</v>
      </c>
      <c r="G164" s="72" t="str">
        <f>A163</f>
        <v>12th, 13th &amp; 15th Floor</v>
      </c>
      <c r="H164" s="73"/>
      <c r="I164" s="36"/>
      <c r="N164" s="36"/>
    </row>
    <row r="165" spans="1:14" s="60" customFormat="1" x14ac:dyDescent="0.25">
      <c r="A165" s="101">
        <f>A164+1</f>
        <v>2</v>
      </c>
      <c r="B165" s="101"/>
      <c r="C165" s="57" t="s">
        <v>211</v>
      </c>
      <c r="D165" s="61">
        <f>(63.25)*(10.764)</f>
        <v>680.82299999999998</v>
      </c>
      <c r="E165" s="57">
        <v>0</v>
      </c>
      <c r="F165" s="57">
        <f t="shared" si="8"/>
        <v>1055.27565</v>
      </c>
      <c r="G165" s="74"/>
      <c r="H165" s="75"/>
      <c r="I165" s="36"/>
      <c r="N165" s="36"/>
    </row>
    <row r="166" spans="1:14" s="60" customFormat="1" x14ac:dyDescent="0.25">
      <c r="A166" s="101">
        <f>A165+1</f>
        <v>3</v>
      </c>
      <c r="B166" s="101"/>
      <c r="C166" s="57" t="s">
        <v>211</v>
      </c>
      <c r="D166" s="61">
        <f>(62.33)*(10.764)</f>
        <v>670.92012</v>
      </c>
      <c r="E166" s="57">
        <v>0</v>
      </c>
      <c r="F166" s="57">
        <f>D166*(($F$137)+1)+(IF(E166&lt;101,E166,IF(E166&lt;201,E166/2,IF(E166&lt;=301,E166/3,E166/4))))</f>
        <v>1039.9261859999999</v>
      </c>
      <c r="G166" s="74"/>
      <c r="H166" s="75"/>
      <c r="I166" s="36"/>
      <c r="N166" s="36"/>
    </row>
    <row r="167" spans="1:14" s="60" customFormat="1" x14ac:dyDescent="0.25">
      <c r="A167" s="101">
        <f>A166+1</f>
        <v>4</v>
      </c>
      <c r="B167" s="101"/>
      <c r="C167" s="57" t="s">
        <v>211</v>
      </c>
      <c r="D167" s="61">
        <f>(61.68)*(10.764)</f>
        <v>663.92351999999994</v>
      </c>
      <c r="E167" s="57">
        <v>0</v>
      </c>
      <c r="F167" s="57">
        <f>D167*(($F$137)+1)+(IF(E167&lt;101,E167,IF(E167&lt;201,E167/2,IF(E167&lt;=301,E167/3,E167/4))))</f>
        <v>1029.0814559999999</v>
      </c>
      <c r="G167" s="74"/>
      <c r="H167" s="75"/>
      <c r="I167" s="36"/>
      <c r="N167" s="36"/>
    </row>
    <row r="168" spans="1:14" s="60" customFormat="1" x14ac:dyDescent="0.25">
      <c r="A168" s="101">
        <f>A167+1</f>
        <v>5</v>
      </c>
      <c r="B168" s="101"/>
      <c r="C168" s="57" t="s">
        <v>211</v>
      </c>
      <c r="D168" s="61">
        <f>(61.68)*(10.764)</f>
        <v>663.92351999999994</v>
      </c>
      <c r="E168" s="57">
        <v>0</v>
      </c>
      <c r="F168" s="57">
        <f>D168*(($F$137)+1)+(IF(E168&lt;101,E168,IF(E168&lt;201,E168/2,IF(E168&lt;=301,E168/3,E168/4))))</f>
        <v>1029.0814559999999</v>
      </c>
      <c r="G168" s="76"/>
      <c r="H168" s="77"/>
      <c r="I168" s="36"/>
      <c r="N168" s="36"/>
    </row>
    <row r="169" spans="1:14" s="60" customFormat="1" x14ac:dyDescent="0.25">
      <c r="A169" s="102" t="s">
        <v>209</v>
      </c>
      <c r="B169" s="102"/>
      <c r="C169" s="102"/>
      <c r="D169" s="102"/>
      <c r="E169" s="102"/>
      <c r="F169" s="102"/>
      <c r="G169" s="102"/>
      <c r="H169" s="102"/>
      <c r="I169" s="36"/>
      <c r="L169" s="71"/>
      <c r="M169" s="71"/>
    </row>
    <row r="170" spans="1:14" s="60" customFormat="1" x14ac:dyDescent="0.25">
      <c r="A170" s="101">
        <v>1</v>
      </c>
      <c r="B170" s="101"/>
      <c r="C170" s="57" t="s">
        <v>210</v>
      </c>
      <c r="D170" s="61">
        <f>(47.53)*(10.764)</f>
        <v>511.61291999999997</v>
      </c>
      <c r="E170" s="57">
        <v>0</v>
      </c>
      <c r="F170" s="57">
        <f t="shared" ref="F170:F171" si="9">D170*(($F$137)+1)+(IF(E170&lt;101,E170,IF(E170&lt;201,E170/2,IF(E170&lt;=301,E170/3,E170/4))))</f>
        <v>793.00002599999993</v>
      </c>
      <c r="G170" s="72" t="str">
        <f>A169</f>
        <v>14th Floor (Part Refuge Area)</v>
      </c>
      <c r="H170" s="73"/>
      <c r="I170" s="36"/>
      <c r="J170" s="60">
        <f>19869238+428000</f>
        <v>20297238</v>
      </c>
      <c r="N170" s="36"/>
    </row>
    <row r="171" spans="1:14" s="60" customFormat="1" x14ac:dyDescent="0.25">
      <c r="A171" s="101">
        <f>A170+1</f>
        <v>2</v>
      </c>
      <c r="B171" s="101"/>
      <c r="C171" s="57" t="s">
        <v>211</v>
      </c>
      <c r="D171" s="61">
        <f>(63.25)*(10.764)</f>
        <v>680.82299999999998</v>
      </c>
      <c r="E171" s="57">
        <v>0</v>
      </c>
      <c r="F171" s="57">
        <f t="shared" si="9"/>
        <v>1055.27565</v>
      </c>
      <c r="G171" s="74"/>
      <c r="H171" s="75"/>
      <c r="I171" s="36"/>
      <c r="N171" s="36"/>
    </row>
    <row r="172" spans="1:14" s="60" customFormat="1" x14ac:dyDescent="0.25">
      <c r="A172" s="101">
        <f>A171+1</f>
        <v>3</v>
      </c>
      <c r="B172" s="101"/>
      <c r="C172" s="57" t="s">
        <v>211</v>
      </c>
      <c r="D172" s="61">
        <f>(62.33)*(10.764)</f>
        <v>670.92012</v>
      </c>
      <c r="E172" s="57">
        <v>0</v>
      </c>
      <c r="F172" s="57">
        <f>D172*(($F$137)+1)+(IF(E172&lt;101,E172,IF(E172&lt;201,E172/2,IF(E172&lt;=301,E172/3,E172/4))))</f>
        <v>1039.9261859999999</v>
      </c>
      <c r="G172" s="74"/>
      <c r="H172" s="75"/>
      <c r="I172" s="36"/>
      <c r="N172" s="36"/>
    </row>
    <row r="173" spans="1:14" s="60" customFormat="1" x14ac:dyDescent="0.25">
      <c r="A173" s="101">
        <f>A172+1</f>
        <v>4</v>
      </c>
      <c r="B173" s="101"/>
      <c r="C173" s="57" t="s">
        <v>212</v>
      </c>
      <c r="D173" s="61">
        <f>(95.88)*(10.764)</f>
        <v>1032.0523199999998</v>
      </c>
      <c r="E173" s="57">
        <v>0</v>
      </c>
      <c r="F173" s="57">
        <f>D173*(($F$137)+1)+(IF(E173&lt;101,E173,IF(E173&lt;201,E173/2,IF(E173&lt;=301,E173/3,E173/4))))</f>
        <v>1599.6810959999998</v>
      </c>
      <c r="G173" s="74"/>
      <c r="H173" s="75"/>
      <c r="I173" s="36">
        <f>5.05*6.55+2.4*1.35+2.3*3.05+1.5*3.05+1.5*2.45+3.05*3.05+2.55*0.9+0.9*0.55+4.05*3.2+1.5*2.45+4.05*3.05+1.5*2.45</f>
        <v>96.337499999999991</v>
      </c>
      <c r="N173" s="36"/>
    </row>
    <row r="174" spans="1:14" s="60" customFormat="1" x14ac:dyDescent="0.25">
      <c r="A174" s="101">
        <f>A173+1</f>
        <v>5</v>
      </c>
      <c r="B174" s="101"/>
      <c r="C174" s="81" t="s">
        <v>207</v>
      </c>
      <c r="D174" s="100"/>
      <c r="E174" s="100"/>
      <c r="F174" s="82"/>
      <c r="G174" s="76"/>
      <c r="H174" s="77"/>
      <c r="I174" s="36"/>
      <c r="N174" s="36"/>
    </row>
    <row r="175" spans="1:14" s="60" customFormat="1" x14ac:dyDescent="0.25">
      <c r="A175" s="102" t="s">
        <v>233</v>
      </c>
      <c r="B175" s="102"/>
      <c r="C175" s="102"/>
      <c r="D175" s="102"/>
      <c r="E175" s="102"/>
      <c r="F175" s="102"/>
      <c r="G175" s="102"/>
      <c r="H175" s="102"/>
      <c r="I175" s="36"/>
      <c r="L175" s="71"/>
      <c r="M175" s="71"/>
    </row>
    <row r="176" spans="1:14" s="60" customFormat="1" x14ac:dyDescent="0.25">
      <c r="A176" s="101">
        <v>1</v>
      </c>
      <c r="B176" s="101"/>
      <c r="C176" s="57" t="s">
        <v>210</v>
      </c>
      <c r="D176" s="61">
        <f>(47.53)*(10.764)</f>
        <v>511.61291999999997</v>
      </c>
      <c r="E176" s="57">
        <v>0</v>
      </c>
      <c r="F176" s="57">
        <f t="shared" ref="F176:F177" si="10">D176*(($F$137)+1)+(IF(E176&lt;101,E176,IF(E176&lt;201,E176/2,IF(E176&lt;=301,E176/3,E176/4))))</f>
        <v>793.00002599999993</v>
      </c>
      <c r="G176" s="72" t="str">
        <f>A175</f>
        <v>16th Floor</v>
      </c>
      <c r="H176" s="73"/>
      <c r="I176" s="36"/>
      <c r="N176" s="36"/>
    </row>
    <row r="177" spans="1:14" s="60" customFormat="1" x14ac:dyDescent="0.25">
      <c r="A177" s="101">
        <f>A176+1</f>
        <v>2</v>
      </c>
      <c r="B177" s="101"/>
      <c r="C177" s="57" t="s">
        <v>211</v>
      </c>
      <c r="D177" s="61">
        <f>(63.25)*(10.764)</f>
        <v>680.82299999999998</v>
      </c>
      <c r="E177" s="57">
        <v>0</v>
      </c>
      <c r="F177" s="57">
        <f t="shared" si="10"/>
        <v>1055.27565</v>
      </c>
      <c r="G177" s="74"/>
      <c r="H177" s="75"/>
      <c r="I177" s="36">
        <f>22500000/F177</f>
        <v>21321.443359372501</v>
      </c>
      <c r="J177" s="60">
        <f>17200*F177+900000*2+428000</f>
        <v>20378741.18</v>
      </c>
      <c r="K177" s="60">
        <f>19069238/F177</f>
        <v>18070.385685484165</v>
      </c>
      <c r="L177" s="60">
        <f>2420000/F177</f>
        <v>2293.2396857636199</v>
      </c>
      <c r="N177" s="36"/>
    </row>
    <row r="178" spans="1:14" s="60" customFormat="1" x14ac:dyDescent="0.25">
      <c r="A178" s="101">
        <f>A177+1</f>
        <v>3</v>
      </c>
      <c r="B178" s="101"/>
      <c r="C178" s="57" t="s">
        <v>211</v>
      </c>
      <c r="D178" s="61">
        <f>(62.33)*(10.764)</f>
        <v>670.92012</v>
      </c>
      <c r="E178" s="57">
        <v>0</v>
      </c>
      <c r="F178" s="57">
        <f>D178*(($F$137)+1)+(IF(E178&lt;101,E178,IF(E178&lt;201,E178/2,IF(E178&lt;=301,E178/3,E178/4))))</f>
        <v>1039.9261859999999</v>
      </c>
      <c r="G178" s="74"/>
      <c r="H178" s="75"/>
      <c r="I178" s="36"/>
      <c r="J178" s="62">
        <f>17000*F178</f>
        <v>17678745.161999997</v>
      </c>
      <c r="K178" s="60">
        <f>19491557</f>
        <v>19491557</v>
      </c>
      <c r="N178" s="36"/>
    </row>
    <row r="179" spans="1:14" s="60" customFormat="1" x14ac:dyDescent="0.25">
      <c r="A179" s="101">
        <f>A178+1</f>
        <v>4</v>
      </c>
      <c r="B179" s="101"/>
      <c r="C179" s="57" t="s">
        <v>211</v>
      </c>
      <c r="D179" s="61">
        <f>(61.68)*(10.764)</f>
        <v>663.92351999999994</v>
      </c>
      <c r="E179" s="57">
        <v>0</v>
      </c>
      <c r="F179" s="57">
        <f>D179*(($F$137)+1)+(IF(E179&lt;101,E179,IF(E179&lt;201,E179/2,IF(E179&lt;=301,E179/3,E179/4))))</f>
        <v>1029.0814559999999</v>
      </c>
      <c r="G179" s="74"/>
      <c r="H179" s="75"/>
      <c r="I179" s="36"/>
      <c r="K179" s="60">
        <f>K178-900000</f>
        <v>18591557</v>
      </c>
      <c r="N179" s="36"/>
    </row>
    <row r="180" spans="1:14" s="60" customFormat="1" x14ac:dyDescent="0.25">
      <c r="A180" s="101">
        <f>A179+1</f>
        <v>5</v>
      </c>
      <c r="B180" s="101"/>
      <c r="C180" s="57" t="s">
        <v>211</v>
      </c>
      <c r="D180" s="61">
        <f>(61.68)*(10.764)</f>
        <v>663.92351999999994</v>
      </c>
      <c r="E180" s="57">
        <v>0</v>
      </c>
      <c r="F180" s="57">
        <f>D180*(($F$137)+1)+(IF(E180&lt;101,E180,IF(E180&lt;201,E180/2,IF(E180&lt;=301,E180/3,E180/4))))</f>
        <v>1029.0814559999999</v>
      </c>
      <c r="G180" s="76"/>
      <c r="H180" s="77"/>
      <c r="I180" s="36"/>
      <c r="K180" s="60">
        <f>K179/F178</f>
        <v>17877.765989825744</v>
      </c>
      <c r="N180" s="36"/>
    </row>
    <row r="181" spans="1:14" s="65" customFormat="1" x14ac:dyDescent="0.25">
      <c r="A181" s="102" t="s">
        <v>234</v>
      </c>
      <c r="B181" s="102"/>
      <c r="C181" s="102"/>
      <c r="D181" s="102"/>
      <c r="E181" s="102"/>
      <c r="F181" s="102"/>
      <c r="G181" s="102"/>
      <c r="H181" s="102"/>
      <c r="I181" s="36"/>
      <c r="L181" s="71"/>
      <c r="M181" s="71"/>
    </row>
    <row r="182" spans="1:14" s="65" customFormat="1" x14ac:dyDescent="0.25">
      <c r="A182" s="101">
        <v>1</v>
      </c>
      <c r="B182" s="101"/>
      <c r="C182" s="66" t="s">
        <v>210</v>
      </c>
      <c r="D182" s="61">
        <f>(47.53)*(10.764)</f>
        <v>511.61291999999997</v>
      </c>
      <c r="E182" s="66">
        <v>0</v>
      </c>
      <c r="F182" s="66">
        <f t="shared" ref="F182:F183" si="11">D182*(($F$137)+1)+(IF(E182&lt;101,E182,IF(E182&lt;201,E182/2,IF(E182&lt;=301,E182/3,E182/4))))</f>
        <v>793.00002599999993</v>
      </c>
      <c r="G182" s="72" t="str">
        <f>A181</f>
        <v>17th Floor</v>
      </c>
      <c r="H182" s="73"/>
      <c r="I182" s="36"/>
      <c r="N182" s="36"/>
    </row>
    <row r="183" spans="1:14" s="65" customFormat="1" x14ac:dyDescent="0.25">
      <c r="A183" s="101">
        <f>A182+1</f>
        <v>2</v>
      </c>
      <c r="B183" s="101"/>
      <c r="C183" s="66" t="s">
        <v>211</v>
      </c>
      <c r="D183" s="61">
        <f>(63.25)*(10.764)</f>
        <v>680.82299999999998</v>
      </c>
      <c r="E183" s="66">
        <v>0</v>
      </c>
      <c r="F183" s="66">
        <f t="shared" si="11"/>
        <v>1055.27565</v>
      </c>
      <c r="G183" s="74"/>
      <c r="H183" s="75"/>
      <c r="I183" s="36">
        <f>22500000/F183</f>
        <v>21321.443359372501</v>
      </c>
      <c r="J183" s="65">
        <f>17200*F183+900000*2+428000</f>
        <v>20378741.18</v>
      </c>
      <c r="K183" s="65">
        <f>19069238/F183</f>
        <v>18070.385685484165</v>
      </c>
      <c r="L183" s="65">
        <f>2420000/F183</f>
        <v>2293.2396857636199</v>
      </c>
      <c r="N183" s="36"/>
    </row>
    <row r="184" spans="1:14" s="65" customFormat="1" x14ac:dyDescent="0.25">
      <c r="A184" s="101">
        <f>A183+1</f>
        <v>3</v>
      </c>
      <c r="B184" s="101"/>
      <c r="C184" s="66" t="s">
        <v>211</v>
      </c>
      <c r="D184" s="61">
        <f>(62.33)*(10.764)</f>
        <v>670.92012</v>
      </c>
      <c r="E184" s="66">
        <v>0</v>
      </c>
      <c r="F184" s="66">
        <f>D184*(($F$137)+1)+(IF(E184&lt;101,E184,IF(E184&lt;201,E184/2,IF(E184&lt;=301,E184/3,E184/4))))</f>
        <v>1039.9261859999999</v>
      </c>
      <c r="G184" s="74"/>
      <c r="H184" s="75"/>
      <c r="I184" s="36"/>
      <c r="J184" s="65">
        <f>17000*F184</f>
        <v>17678745.161999997</v>
      </c>
      <c r="K184" s="65">
        <f>19491557</f>
        <v>19491557</v>
      </c>
      <c r="N184" s="36"/>
    </row>
    <row r="185" spans="1:14" s="65" customFormat="1" x14ac:dyDescent="0.25">
      <c r="A185" s="101">
        <f>A184+1</f>
        <v>4</v>
      </c>
      <c r="B185" s="101"/>
      <c r="C185" s="66" t="s">
        <v>211</v>
      </c>
      <c r="D185" s="61">
        <f>(61.68)*(10.764)</f>
        <v>663.92351999999994</v>
      </c>
      <c r="E185" s="66">
        <v>0</v>
      </c>
      <c r="F185" s="66">
        <f>D185*(($F$137)+1)+(IF(E185&lt;101,E185,IF(E185&lt;201,E185/2,IF(E185&lt;=301,E185/3,E185/4))))</f>
        <v>1029.0814559999999</v>
      </c>
      <c r="G185" s="74"/>
      <c r="H185" s="75"/>
      <c r="I185" s="36"/>
      <c r="K185" s="65">
        <f>K184-900000</f>
        <v>18591557</v>
      </c>
      <c r="N185" s="36"/>
    </row>
    <row r="186" spans="1:14" s="65" customFormat="1" x14ac:dyDescent="0.25">
      <c r="A186" s="101">
        <f>A185+1</f>
        <v>5</v>
      </c>
      <c r="B186" s="101"/>
      <c r="C186" s="66" t="s">
        <v>211</v>
      </c>
      <c r="D186" s="61">
        <f>(61.68)*(10.764)</f>
        <v>663.92351999999994</v>
      </c>
      <c r="E186" s="66">
        <v>0</v>
      </c>
      <c r="F186" s="66">
        <f>D186*(($F$137)+1)+(IF(E186&lt;101,E186,IF(E186&lt;201,E186/2,IF(E186&lt;=301,E186/3,E186/4))))</f>
        <v>1029.0814559999999</v>
      </c>
      <c r="G186" s="76"/>
      <c r="H186" s="77"/>
      <c r="I186" s="36"/>
      <c r="K186" s="65">
        <f>K185/F184</f>
        <v>17877.765989825744</v>
      </c>
      <c r="N186" s="36"/>
    </row>
    <row r="187" spans="1:14" s="60" customFormat="1" x14ac:dyDescent="0.25">
      <c r="A187" s="78" t="s">
        <v>197</v>
      </c>
      <c r="B187" s="79"/>
      <c r="C187" s="79"/>
      <c r="D187" s="79"/>
      <c r="E187" s="79"/>
      <c r="F187" s="79"/>
      <c r="G187" s="79"/>
      <c r="H187" s="80"/>
      <c r="J187" s="36"/>
    </row>
    <row r="188" spans="1:14" s="60" customFormat="1" ht="15.75" customHeight="1" x14ac:dyDescent="0.25">
      <c r="A188" s="78" t="s">
        <v>198</v>
      </c>
      <c r="B188" s="79"/>
      <c r="C188" s="79"/>
      <c r="D188" s="79"/>
      <c r="E188" s="79"/>
      <c r="F188" s="79"/>
      <c r="G188" s="79"/>
      <c r="H188" s="80"/>
      <c r="J188" s="36"/>
    </row>
    <row r="189" spans="1:14" s="60" customFormat="1" ht="15.75" customHeight="1" x14ac:dyDescent="0.25">
      <c r="A189" s="78" t="s">
        <v>201</v>
      </c>
      <c r="B189" s="79"/>
      <c r="C189" s="79"/>
      <c r="D189" s="79"/>
      <c r="E189" s="79"/>
      <c r="F189" s="79"/>
      <c r="G189" s="79"/>
      <c r="H189" s="80"/>
      <c r="J189" s="36"/>
    </row>
    <row r="190" spans="1:14" s="60" customFormat="1" ht="15.75" customHeight="1" x14ac:dyDescent="0.25">
      <c r="A190" s="78" t="s">
        <v>231</v>
      </c>
      <c r="B190" s="79"/>
      <c r="C190" s="79"/>
      <c r="D190" s="79"/>
      <c r="E190" s="79"/>
      <c r="F190" s="79"/>
      <c r="G190" s="79"/>
      <c r="H190" s="80"/>
      <c r="J190" s="36"/>
    </row>
    <row r="191" spans="1:14" s="60" customFormat="1" ht="15.75" customHeight="1" x14ac:dyDescent="0.25">
      <c r="A191" s="78" t="s">
        <v>204</v>
      </c>
      <c r="B191" s="79"/>
      <c r="C191" s="79"/>
      <c r="D191" s="79"/>
      <c r="E191" s="79"/>
      <c r="F191" s="79"/>
      <c r="G191" s="79"/>
      <c r="H191" s="80"/>
      <c r="J191" s="36"/>
    </row>
    <row r="192" spans="1:14" s="60" customFormat="1" ht="15.75" customHeight="1" x14ac:dyDescent="0.25">
      <c r="A192" s="81">
        <v>6</v>
      </c>
      <c r="B192" s="82"/>
      <c r="C192" s="57" t="s">
        <v>211</v>
      </c>
      <c r="D192" s="61">
        <f>(63.01)*(10.764)</f>
        <v>678.23963999999989</v>
      </c>
      <c r="E192" s="57">
        <v>0</v>
      </c>
      <c r="F192" s="57">
        <f>D192*(($F$137)+1)+(IF(E192&lt;101,E192,IF(E192&lt;201,E192/2,IF(E192&lt;=301,E192/3,E192/4))))</f>
        <v>1051.271442</v>
      </c>
      <c r="G192" s="72" t="str">
        <f>A191</f>
        <v>4th Floor For Residential</v>
      </c>
      <c r="H192" s="73"/>
      <c r="I192" s="36"/>
      <c r="L192" s="71"/>
      <c r="M192" s="71"/>
      <c r="N192" s="36"/>
    </row>
    <row r="193" spans="1:14" s="60" customFormat="1" ht="15.75" customHeight="1" x14ac:dyDescent="0.25">
      <c r="A193" s="81">
        <f t="shared" ref="A193:A195" si="12">A192+1</f>
        <v>7</v>
      </c>
      <c r="B193" s="82"/>
      <c r="C193" s="57" t="s">
        <v>211</v>
      </c>
      <c r="D193" s="61">
        <f>(63.1)*(10.764)</f>
        <v>679.20839999999998</v>
      </c>
      <c r="E193" s="57">
        <v>0</v>
      </c>
      <c r="F193" s="57">
        <f>D193*(($F$137)+1)+(IF(E193&lt;101,E193,IF(E193&lt;201,E193/2,IF(E193&lt;=301,E193/3,E193/4))))</f>
        <v>1052.7730200000001</v>
      </c>
      <c r="G193" s="74"/>
      <c r="H193" s="75"/>
      <c r="I193" s="36"/>
      <c r="L193" s="71"/>
      <c r="M193" s="71"/>
      <c r="N193" s="36"/>
    </row>
    <row r="194" spans="1:14" s="60" customFormat="1" ht="15.75" customHeight="1" x14ac:dyDescent="0.25">
      <c r="A194" s="81">
        <f t="shared" si="12"/>
        <v>8</v>
      </c>
      <c r="B194" s="82"/>
      <c r="C194" s="57" t="s">
        <v>212</v>
      </c>
      <c r="D194" s="61">
        <f>(75.35)*(10.764)</f>
        <v>811.06739999999991</v>
      </c>
      <c r="E194" s="57">
        <v>0</v>
      </c>
      <c r="F194" s="57">
        <f>D194*(($F$137)+1)+(IF(E194&lt;101,E194,IF(E194&lt;201,E194/2,IF(E194&lt;=301,E194/3,E194/4))))</f>
        <v>1257.1544699999999</v>
      </c>
      <c r="G194" s="74"/>
      <c r="H194" s="75"/>
      <c r="I194" s="36">
        <f>1.63*1.05+3.2*6.1+2.45*2.3+3.2*1.5+2.45*3.45+4.4*0.9+3.05*3.45+1.25*1.5+2*0.9+3.2*4.45</f>
        <v>72.516500000000008</v>
      </c>
      <c r="L194" s="71"/>
      <c r="M194" s="71"/>
      <c r="N194" s="36"/>
    </row>
    <row r="195" spans="1:14" s="60" customFormat="1" ht="15.75" customHeight="1" x14ac:dyDescent="0.25">
      <c r="A195" s="81">
        <f t="shared" si="12"/>
        <v>9</v>
      </c>
      <c r="B195" s="82"/>
      <c r="C195" s="57" t="s">
        <v>212</v>
      </c>
      <c r="D195" s="61">
        <f>(93.55)*(10.764)</f>
        <v>1006.9721999999999</v>
      </c>
      <c r="E195" s="57">
        <v>0</v>
      </c>
      <c r="F195" s="57">
        <f>D195*(($F$137)+1)+(IF(E195&lt;101,E195,IF(E195&lt;201,E195/2,IF(E195&lt;=301,E195/3,E195/4))))</f>
        <v>1560.80691</v>
      </c>
      <c r="G195" s="76"/>
      <c r="H195" s="77"/>
      <c r="I195" s="36">
        <f>1.08*1.05+2.05*1.65+3.05*2.45+1.5*2.45+1.5*2.45+3.35*7.3+3.1*3.5+4*3.5+4.2*0.9+2.45*1.5+0.9*0.45+4*3.2</f>
        <v>89.304000000000002</v>
      </c>
      <c r="L195" s="71"/>
      <c r="M195" s="71"/>
      <c r="N195" s="36"/>
    </row>
    <row r="196" spans="1:14" s="60" customFormat="1" ht="15.75" customHeight="1" x14ac:dyDescent="0.25">
      <c r="A196" s="78" t="s">
        <v>205</v>
      </c>
      <c r="B196" s="79"/>
      <c r="C196" s="79"/>
      <c r="D196" s="79"/>
      <c r="E196" s="79"/>
      <c r="F196" s="79"/>
      <c r="G196" s="79"/>
      <c r="H196" s="80"/>
      <c r="J196" s="36"/>
    </row>
    <row r="197" spans="1:14" s="60" customFormat="1" ht="15.75" customHeight="1" x14ac:dyDescent="0.25">
      <c r="A197" s="81">
        <v>6</v>
      </c>
      <c r="B197" s="82"/>
      <c r="C197" s="57" t="s">
        <v>211</v>
      </c>
      <c r="D197" s="61">
        <f>(63.01)*(10.764)</f>
        <v>678.23963999999989</v>
      </c>
      <c r="E197" s="57">
        <v>0</v>
      </c>
      <c r="F197" s="57">
        <f>D197*(($F$137)+1)+(IF(E197&lt;101,E197,IF(E197&lt;201,E197/2,IF(E197&lt;=301,E197/3,E197/4))))</f>
        <v>1051.271442</v>
      </c>
      <c r="G197" s="72" t="str">
        <f>A196</f>
        <v>5th &amp; 6th Floor</v>
      </c>
      <c r="H197" s="73"/>
      <c r="I197" s="36"/>
      <c r="L197" s="71"/>
      <c r="M197" s="71"/>
      <c r="N197" s="36"/>
    </row>
    <row r="198" spans="1:14" s="60" customFormat="1" ht="15.75" customHeight="1" x14ac:dyDescent="0.25">
      <c r="A198" s="81">
        <f t="shared" ref="A198:A200" si="13">A197+1</f>
        <v>7</v>
      </c>
      <c r="B198" s="82"/>
      <c r="C198" s="57" t="s">
        <v>211</v>
      </c>
      <c r="D198" s="61">
        <f>(63.1)*(10.764)</f>
        <v>679.20839999999998</v>
      </c>
      <c r="E198" s="57">
        <v>0</v>
      </c>
      <c r="F198" s="57">
        <f>D198*(($F$137)+1)+(IF(E198&lt;101,E198,IF(E198&lt;201,E198/2,IF(E198&lt;=301,E198/3,E198/4))))</f>
        <v>1052.7730200000001</v>
      </c>
      <c r="G198" s="74"/>
      <c r="H198" s="75"/>
      <c r="I198" s="36"/>
      <c r="L198" s="71"/>
      <c r="M198" s="71"/>
      <c r="N198" s="36"/>
    </row>
    <row r="199" spans="1:14" s="60" customFormat="1" ht="15.75" customHeight="1" x14ac:dyDescent="0.25">
      <c r="A199" s="81">
        <f t="shared" si="13"/>
        <v>8</v>
      </c>
      <c r="B199" s="82"/>
      <c r="C199" s="57" t="s">
        <v>212</v>
      </c>
      <c r="D199" s="61">
        <f>(76.46)*(10.764)</f>
        <v>823.0154399999999</v>
      </c>
      <c r="E199" s="57">
        <v>0</v>
      </c>
      <c r="F199" s="57">
        <f>D199*(($F$137)+1)+(IF(E199&lt;101,E199,IF(E199&lt;201,E199/2,IF(E199&lt;=301,E199/3,E199/4))))</f>
        <v>1275.6739319999999</v>
      </c>
      <c r="G199" s="74"/>
      <c r="H199" s="75"/>
      <c r="I199" s="36"/>
      <c r="L199" s="71"/>
      <c r="M199" s="71"/>
      <c r="N199" s="36"/>
    </row>
    <row r="200" spans="1:14" s="60" customFormat="1" ht="15.75" customHeight="1" x14ac:dyDescent="0.25">
      <c r="A200" s="81">
        <f t="shared" si="13"/>
        <v>9</v>
      </c>
      <c r="B200" s="82"/>
      <c r="C200" s="57" t="s">
        <v>212</v>
      </c>
      <c r="D200" s="61">
        <f>(93.85)*(10.764)</f>
        <v>1010.2013999999999</v>
      </c>
      <c r="E200" s="57">
        <v>0</v>
      </c>
      <c r="F200" s="57">
        <f>D200*(($F$137)+1)+(IF(E200&lt;101,E200,IF(E200&lt;201,E200/2,IF(E200&lt;=301,E200/3,E200/4))))</f>
        <v>1565.8121699999999</v>
      </c>
      <c r="G200" s="76"/>
      <c r="H200" s="77"/>
      <c r="I200" s="36"/>
      <c r="L200" s="71"/>
      <c r="M200" s="71"/>
      <c r="N200" s="36"/>
    </row>
    <row r="201" spans="1:14" s="60" customFormat="1" ht="15.75" customHeight="1" x14ac:dyDescent="0.25">
      <c r="A201" s="78" t="s">
        <v>208</v>
      </c>
      <c r="B201" s="79"/>
      <c r="C201" s="79"/>
      <c r="D201" s="79"/>
      <c r="E201" s="79"/>
      <c r="F201" s="79"/>
      <c r="G201" s="79"/>
      <c r="H201" s="80"/>
      <c r="J201" s="36"/>
    </row>
    <row r="202" spans="1:14" s="60" customFormat="1" ht="15.75" customHeight="1" x14ac:dyDescent="0.25">
      <c r="A202" s="81">
        <v>6</v>
      </c>
      <c r="B202" s="82"/>
      <c r="C202" s="81" t="s">
        <v>207</v>
      </c>
      <c r="D202" s="100"/>
      <c r="E202" s="100"/>
      <c r="F202" s="82"/>
      <c r="G202" s="72" t="str">
        <f>A201</f>
        <v>7th Floor (Part Refuge Area)</v>
      </c>
      <c r="H202" s="73"/>
      <c r="I202" s="36"/>
      <c r="L202" s="71"/>
      <c r="M202" s="71"/>
      <c r="N202" s="36"/>
    </row>
    <row r="203" spans="1:14" s="60" customFormat="1" ht="15.75" customHeight="1" x14ac:dyDescent="0.25">
      <c r="A203" s="81">
        <f t="shared" ref="A203:A205" si="14">A202+1</f>
        <v>7</v>
      </c>
      <c r="B203" s="82"/>
      <c r="C203" s="57" t="s">
        <v>211</v>
      </c>
      <c r="D203" s="61">
        <f>(67.06)*(10.764)</f>
        <v>721.83384000000001</v>
      </c>
      <c r="E203" s="57">
        <v>0</v>
      </c>
      <c r="F203" s="57">
        <f>D203*(($F$137)+1)+(IF(E203&lt;101,E203,IF(E203&lt;201,E203/2,IF(E203&lt;=301,E203/3,E203/4))))</f>
        <v>1118.8424520000001</v>
      </c>
      <c r="G203" s="74"/>
      <c r="H203" s="75"/>
      <c r="I203" s="36"/>
      <c r="L203" s="71"/>
      <c r="M203" s="71"/>
      <c r="N203" s="36"/>
    </row>
    <row r="204" spans="1:14" s="60" customFormat="1" ht="15.75" customHeight="1" x14ac:dyDescent="0.25">
      <c r="A204" s="81">
        <f t="shared" si="14"/>
        <v>8</v>
      </c>
      <c r="B204" s="82"/>
      <c r="C204" s="57" t="s">
        <v>212</v>
      </c>
      <c r="D204" s="61">
        <f>(77.46)*(10.764)</f>
        <v>833.77943999999991</v>
      </c>
      <c r="E204" s="57">
        <v>0</v>
      </c>
      <c r="F204" s="57">
        <f>D204*(($F$137)+1)+(IF(E204&lt;101,E204,IF(E204&lt;201,E204/2,IF(E204&lt;=301,E204/3,E204/4))))</f>
        <v>1292.3581319999998</v>
      </c>
      <c r="G204" s="74"/>
      <c r="H204" s="75"/>
      <c r="I204" s="36"/>
      <c r="L204" s="71"/>
      <c r="M204" s="71"/>
      <c r="N204" s="36"/>
    </row>
    <row r="205" spans="1:14" s="60" customFormat="1" ht="15.75" customHeight="1" x14ac:dyDescent="0.25">
      <c r="A205" s="81">
        <f t="shared" si="14"/>
        <v>9</v>
      </c>
      <c r="B205" s="82"/>
      <c r="C205" s="57" t="s">
        <v>212</v>
      </c>
      <c r="D205" s="61">
        <f>(93.85)*(10.764)</f>
        <v>1010.2013999999999</v>
      </c>
      <c r="E205" s="57">
        <v>0</v>
      </c>
      <c r="F205" s="57">
        <f>D205*(($F$137)+1)+(IF(E205&lt;101,E205,IF(E205&lt;201,E205/2,IF(E205&lt;=301,E205/3,E205/4))))</f>
        <v>1565.8121699999999</v>
      </c>
      <c r="G205" s="76"/>
      <c r="H205" s="77"/>
      <c r="I205" s="36"/>
      <c r="L205" s="71"/>
      <c r="M205" s="71"/>
      <c r="N205" s="36"/>
    </row>
    <row r="206" spans="1:14" s="60" customFormat="1" ht="15.75" customHeight="1" x14ac:dyDescent="0.25">
      <c r="A206" s="144" t="s">
        <v>206</v>
      </c>
      <c r="B206" s="145"/>
      <c r="C206" s="145"/>
      <c r="D206" s="145"/>
      <c r="E206" s="145"/>
      <c r="F206" s="145"/>
      <c r="G206" s="145"/>
      <c r="H206" s="146"/>
      <c r="J206" s="36"/>
    </row>
    <row r="207" spans="1:14" s="60" customFormat="1" ht="15.75" customHeight="1" x14ac:dyDescent="0.25">
      <c r="A207" s="81">
        <v>6</v>
      </c>
      <c r="B207" s="82"/>
      <c r="C207" s="57" t="s">
        <v>211</v>
      </c>
      <c r="D207" s="61">
        <f>(67.97)*(10.764)</f>
        <v>731.62907999999993</v>
      </c>
      <c r="E207" s="57">
        <v>0</v>
      </c>
      <c r="F207" s="57">
        <f>D207*(($F$137)+1)+(IF(E207&lt;101,E207,IF(E207&lt;201,E207/2,IF(E207&lt;=301,E207/3,E207/4))))</f>
        <v>1134.0250739999999</v>
      </c>
      <c r="G207" s="72" t="str">
        <f>A206</f>
        <v>8th to 11th Floor</v>
      </c>
      <c r="H207" s="73"/>
      <c r="I207" s="36"/>
      <c r="L207" s="71"/>
      <c r="M207" s="71"/>
      <c r="N207" s="36"/>
    </row>
    <row r="208" spans="1:14" s="60" customFormat="1" ht="15.75" customHeight="1" x14ac:dyDescent="0.25">
      <c r="A208" s="81">
        <f t="shared" ref="A208:A210" si="15">A207+1</f>
        <v>7</v>
      </c>
      <c r="B208" s="82"/>
      <c r="C208" s="57" t="s">
        <v>211</v>
      </c>
      <c r="D208" s="61">
        <f>(67.06)*(10.764)</f>
        <v>721.83384000000001</v>
      </c>
      <c r="E208" s="57">
        <v>0</v>
      </c>
      <c r="F208" s="57">
        <f>D208*(($F$137)+1)+(IF(E208&lt;101,E208,IF(E208&lt;201,E208/2,IF(E208&lt;=301,E208/3,E208/4))))</f>
        <v>1118.8424520000001</v>
      </c>
      <c r="G208" s="74"/>
      <c r="H208" s="75"/>
      <c r="I208" s="36"/>
      <c r="L208" s="71"/>
      <c r="M208" s="71"/>
      <c r="N208" s="36"/>
    </row>
    <row r="209" spans="1:14" s="60" customFormat="1" ht="15.75" customHeight="1" x14ac:dyDescent="0.25">
      <c r="A209" s="81">
        <f t="shared" si="15"/>
        <v>8</v>
      </c>
      <c r="B209" s="82"/>
      <c r="C209" s="57" t="s">
        <v>212</v>
      </c>
      <c r="D209" s="61">
        <f>(77.46)*(10.764)</f>
        <v>833.77943999999991</v>
      </c>
      <c r="E209" s="57">
        <v>0</v>
      </c>
      <c r="F209" s="57">
        <f>D209*(($F$137)+1)+(IF(E209&lt;101,E209,IF(E209&lt;201,E209/2,IF(E209&lt;=301,E209/3,E209/4))))</f>
        <v>1292.3581319999998</v>
      </c>
      <c r="G209" s="74"/>
      <c r="H209" s="75"/>
      <c r="I209" s="36"/>
      <c r="L209" s="71"/>
      <c r="M209" s="71"/>
      <c r="N209" s="36"/>
    </row>
    <row r="210" spans="1:14" s="60" customFormat="1" ht="15.75" customHeight="1" x14ac:dyDescent="0.25">
      <c r="A210" s="81">
        <f t="shared" si="15"/>
        <v>9</v>
      </c>
      <c r="B210" s="82"/>
      <c r="C210" s="57" t="s">
        <v>212</v>
      </c>
      <c r="D210" s="61">
        <f>(93.85)*(10.764)</f>
        <v>1010.2013999999999</v>
      </c>
      <c r="E210" s="57">
        <v>0</v>
      </c>
      <c r="F210" s="57">
        <f>D210*(($F$137)+1)+(IF(E210&lt;101,E210,IF(E210&lt;201,E210/2,IF(E210&lt;=301,E210/3,E210/4))))</f>
        <v>1565.8121699999999</v>
      </c>
      <c r="G210" s="76"/>
      <c r="H210" s="77"/>
      <c r="I210" s="36">
        <f>1.08*1.05+2.05*1.65+3.05*2.45+3.35*7.3+3.1*3.5+4*3.5+2.45*1.5+4.2*0.9+0.9*0.45+1.5*2.45+1.5*2.45+4*3.2</f>
        <v>89.304000000000002</v>
      </c>
      <c r="L210" s="71"/>
      <c r="M210" s="71"/>
      <c r="N210" s="36"/>
    </row>
    <row r="211" spans="1:14" s="65" customFormat="1" ht="15.75" customHeight="1" x14ac:dyDescent="0.25">
      <c r="A211" s="102" t="s">
        <v>232</v>
      </c>
      <c r="B211" s="102"/>
      <c r="C211" s="102"/>
      <c r="D211" s="102"/>
      <c r="E211" s="102"/>
      <c r="F211" s="102"/>
      <c r="G211" s="102"/>
      <c r="H211" s="102"/>
      <c r="J211" s="36"/>
    </row>
    <row r="212" spans="1:14" s="65" customFormat="1" ht="15.75" customHeight="1" x14ac:dyDescent="0.25">
      <c r="A212" s="81">
        <v>6</v>
      </c>
      <c r="B212" s="82"/>
      <c r="C212" s="66" t="s">
        <v>211</v>
      </c>
      <c r="D212" s="61">
        <f>(63.51)*(10.764)</f>
        <v>683.62163999999996</v>
      </c>
      <c r="E212" s="66">
        <v>0</v>
      </c>
      <c r="F212" s="66">
        <f>D212*(($F$137)+1)+(IF(E212&lt;101,E212,IF(E212&lt;201,E212/2,IF(E212&lt;=301,E212/3,E212/4))))</f>
        <v>1059.6135420000001</v>
      </c>
      <c r="G212" s="72" t="str">
        <f>A211</f>
        <v>12th, 13th &amp; 15th Floor</v>
      </c>
      <c r="H212" s="73"/>
      <c r="I212" s="36"/>
      <c r="L212" s="71"/>
      <c r="M212" s="71"/>
      <c r="N212" s="36"/>
    </row>
    <row r="213" spans="1:14" s="65" customFormat="1" ht="15.75" customHeight="1" x14ac:dyDescent="0.25">
      <c r="A213" s="81">
        <f t="shared" ref="A213:A215" si="16">A212+1</f>
        <v>7</v>
      </c>
      <c r="B213" s="82"/>
      <c r="C213" s="66" t="s">
        <v>211</v>
      </c>
      <c r="D213" s="61">
        <f>(63.59)*(10.764)</f>
        <v>684.48275999999998</v>
      </c>
      <c r="E213" s="66">
        <v>0</v>
      </c>
      <c r="F213" s="66">
        <f>D213*(($F$137)+1)+(IF(E213&lt;101,E213,IF(E213&lt;201,E213/2,IF(E213&lt;=301,E213/3,E213/4))))</f>
        <v>1060.9482780000001</v>
      </c>
      <c r="G213" s="74"/>
      <c r="H213" s="75"/>
      <c r="I213" s="36"/>
      <c r="L213" s="71"/>
      <c r="M213" s="71"/>
      <c r="N213" s="36"/>
    </row>
    <row r="214" spans="1:14" s="65" customFormat="1" ht="15.75" customHeight="1" x14ac:dyDescent="0.25">
      <c r="A214" s="81">
        <f t="shared" si="16"/>
        <v>8</v>
      </c>
      <c r="B214" s="82"/>
      <c r="C214" s="66" t="s">
        <v>212</v>
      </c>
      <c r="D214" s="61">
        <f>(77.46)*(10.764)</f>
        <v>833.77943999999991</v>
      </c>
      <c r="E214" s="66">
        <v>0</v>
      </c>
      <c r="F214" s="66">
        <f>D214*(($F$137)+1)+(IF(E214&lt;101,E214,IF(E214&lt;201,E214/2,IF(E214&lt;=301,E214/3,E214/4))))</f>
        <v>1292.3581319999998</v>
      </c>
      <c r="G214" s="74"/>
      <c r="H214" s="75"/>
      <c r="I214" s="36"/>
      <c r="L214" s="71"/>
      <c r="M214" s="71"/>
      <c r="N214" s="36"/>
    </row>
    <row r="215" spans="1:14" s="65" customFormat="1" ht="15.75" customHeight="1" x14ac:dyDescent="0.25">
      <c r="A215" s="81">
        <f t="shared" si="16"/>
        <v>9</v>
      </c>
      <c r="B215" s="82"/>
      <c r="C215" s="66" t="s">
        <v>212</v>
      </c>
      <c r="D215" s="61">
        <f>(97.96)*(10.764)</f>
        <v>1054.4414399999998</v>
      </c>
      <c r="E215" s="66">
        <v>0</v>
      </c>
      <c r="F215" s="66">
        <f>D215*(($F$137)+1)+(IF(E215&lt;101,E215,IF(E215&lt;201,E215/2,IF(E215&lt;=301,E215/3,E215/4))))</f>
        <v>1634.3842319999999</v>
      </c>
      <c r="G215" s="76"/>
      <c r="H215" s="77"/>
      <c r="I215" s="36"/>
      <c r="L215" s="71"/>
      <c r="M215" s="71"/>
      <c r="N215" s="36"/>
    </row>
    <row r="216" spans="1:14" s="65" customFormat="1" ht="15.75" customHeight="1" x14ac:dyDescent="0.25">
      <c r="A216" s="102" t="s">
        <v>209</v>
      </c>
      <c r="B216" s="102"/>
      <c r="C216" s="102"/>
      <c r="D216" s="102"/>
      <c r="E216" s="102"/>
      <c r="F216" s="102"/>
      <c r="G216" s="102"/>
      <c r="H216" s="102"/>
      <c r="J216" s="36"/>
    </row>
    <row r="217" spans="1:14" s="65" customFormat="1" ht="15.75" customHeight="1" x14ac:dyDescent="0.25">
      <c r="A217" s="81">
        <v>6</v>
      </c>
      <c r="B217" s="82"/>
      <c r="C217" s="81" t="s">
        <v>207</v>
      </c>
      <c r="D217" s="100"/>
      <c r="E217" s="100"/>
      <c r="F217" s="82"/>
      <c r="G217" s="72" t="str">
        <f>A216</f>
        <v>14th Floor (Part Refuge Area)</v>
      </c>
      <c r="H217" s="73"/>
      <c r="I217" s="36"/>
      <c r="L217" s="71"/>
      <c r="M217" s="71"/>
      <c r="N217" s="36"/>
    </row>
    <row r="218" spans="1:14" s="65" customFormat="1" ht="15.75" customHeight="1" x14ac:dyDescent="0.25">
      <c r="A218" s="81">
        <f t="shared" ref="A218:A220" si="17">A217+1</f>
        <v>7</v>
      </c>
      <c r="B218" s="82"/>
      <c r="C218" s="66" t="s">
        <v>212</v>
      </c>
      <c r="D218" s="61">
        <f>(99.64)*(10.764)</f>
        <v>1072.52496</v>
      </c>
      <c r="E218" s="66">
        <v>0</v>
      </c>
      <c r="F218" s="66">
        <f>D218*(($F$137)+1)+(IF(E218&lt;101,E218,IF(E218&lt;201,E218/2,IF(E218&lt;=301,E218/3,E218/4))))</f>
        <v>1662.4136880000001</v>
      </c>
      <c r="G218" s="74"/>
      <c r="H218" s="75"/>
      <c r="I218" s="36"/>
      <c r="L218" s="71"/>
      <c r="M218" s="71"/>
      <c r="N218" s="36"/>
    </row>
    <row r="219" spans="1:14" s="65" customFormat="1" ht="15.75" customHeight="1" x14ac:dyDescent="0.25">
      <c r="A219" s="81">
        <f t="shared" si="17"/>
        <v>8</v>
      </c>
      <c r="B219" s="82"/>
      <c r="C219" s="66" t="s">
        <v>212</v>
      </c>
      <c r="D219" s="61">
        <f>(77.46)*(10.764)</f>
        <v>833.77943999999991</v>
      </c>
      <c r="E219" s="66">
        <v>0</v>
      </c>
      <c r="F219" s="66">
        <f>D219*(($F$137)+1)+(IF(E219&lt;101,E219,IF(E219&lt;201,E219/2,IF(E219&lt;=301,E219/3,E219/4))))</f>
        <v>1292.3581319999998</v>
      </c>
      <c r="G219" s="74"/>
      <c r="H219" s="75"/>
      <c r="I219" s="36"/>
      <c r="L219" s="71"/>
      <c r="M219" s="71"/>
      <c r="N219" s="36"/>
    </row>
    <row r="220" spans="1:14" s="65" customFormat="1" ht="15.75" customHeight="1" x14ac:dyDescent="0.25">
      <c r="A220" s="81">
        <f t="shared" si="17"/>
        <v>9</v>
      </c>
      <c r="B220" s="82"/>
      <c r="C220" s="66" t="s">
        <v>212</v>
      </c>
      <c r="D220" s="61">
        <f>(97.96)*(10.764)</f>
        <v>1054.4414399999998</v>
      </c>
      <c r="E220" s="66">
        <v>0</v>
      </c>
      <c r="F220" s="66">
        <f>D220*(($F$137)+1)+(IF(E220&lt;101,E220,IF(E220&lt;201,E220/2,IF(E220&lt;=301,E220/3,E220/4))))</f>
        <v>1634.3842319999999</v>
      </c>
      <c r="G220" s="76"/>
      <c r="H220" s="77"/>
      <c r="I220" s="36"/>
      <c r="L220" s="71"/>
      <c r="M220" s="71"/>
      <c r="N220" s="36"/>
    </row>
    <row r="221" spans="1:14" s="65" customFormat="1" ht="15.75" customHeight="1" x14ac:dyDescent="0.25">
      <c r="A221" s="102" t="s">
        <v>235</v>
      </c>
      <c r="B221" s="102"/>
      <c r="C221" s="102"/>
      <c r="D221" s="102"/>
      <c r="E221" s="102"/>
      <c r="F221" s="102"/>
      <c r="G221" s="102"/>
      <c r="H221" s="102"/>
      <c r="J221" s="36"/>
    </row>
    <row r="222" spans="1:14" s="65" customFormat="1" ht="15.75" customHeight="1" x14ac:dyDescent="0.25">
      <c r="A222" s="81">
        <v>6</v>
      </c>
      <c r="B222" s="82"/>
      <c r="C222" s="81" t="s">
        <v>236</v>
      </c>
      <c r="D222" s="100"/>
      <c r="E222" s="100"/>
      <c r="F222" s="82"/>
      <c r="G222" s="72" t="str">
        <f>A221</f>
        <v>16th Floor (Part Terrace Area)</v>
      </c>
      <c r="H222" s="73"/>
      <c r="I222" s="36"/>
      <c r="L222" s="71"/>
      <c r="M222" s="71"/>
      <c r="N222" s="36"/>
    </row>
    <row r="223" spans="1:14" s="65" customFormat="1" ht="15.75" customHeight="1" x14ac:dyDescent="0.25">
      <c r="A223" s="81">
        <f t="shared" ref="A223:A225" si="18">A222+1</f>
        <v>7</v>
      </c>
      <c r="B223" s="82"/>
      <c r="C223" s="66" t="s">
        <v>211</v>
      </c>
      <c r="D223" s="61">
        <f>(63.59)*(10.764)</f>
        <v>684.48275999999998</v>
      </c>
      <c r="E223" s="66">
        <v>0</v>
      </c>
      <c r="F223" s="66">
        <f>D223*(($F$137)+1)+(IF(E223&lt;101,E223,IF(E223&lt;201,E223/2,IF(E223&lt;=301,E223/3,E223/4))))</f>
        <v>1060.9482780000001</v>
      </c>
      <c r="G223" s="74"/>
      <c r="H223" s="75"/>
      <c r="I223" s="36"/>
      <c r="L223" s="71"/>
      <c r="M223" s="71"/>
      <c r="N223" s="36"/>
    </row>
    <row r="224" spans="1:14" s="65" customFormat="1" ht="15.75" customHeight="1" x14ac:dyDescent="0.25">
      <c r="A224" s="81">
        <f t="shared" si="18"/>
        <v>8</v>
      </c>
      <c r="B224" s="82"/>
      <c r="C224" s="66" t="s">
        <v>212</v>
      </c>
      <c r="D224" s="61">
        <f>(77.46)*(10.764)</f>
        <v>833.77943999999991</v>
      </c>
      <c r="E224" s="66">
        <v>0</v>
      </c>
      <c r="F224" s="66">
        <f>D224*(($F$137)+1)+(IF(E224&lt;101,E224,IF(E224&lt;201,E224/2,IF(E224&lt;=301,E224/3,E224/4))))</f>
        <v>1292.3581319999998</v>
      </c>
      <c r="G224" s="74"/>
      <c r="H224" s="75"/>
      <c r="I224" s="36"/>
      <c r="L224" s="71"/>
      <c r="M224" s="71"/>
      <c r="N224" s="36"/>
    </row>
    <row r="225" spans="1:14" s="65" customFormat="1" ht="15.75" customHeight="1" x14ac:dyDescent="0.25">
      <c r="A225" s="81">
        <f t="shared" si="18"/>
        <v>9</v>
      </c>
      <c r="B225" s="82"/>
      <c r="C225" s="66" t="s">
        <v>212</v>
      </c>
      <c r="D225" s="61">
        <f>(97.96)*(10.764)</f>
        <v>1054.4414399999998</v>
      </c>
      <c r="E225" s="66">
        <v>0</v>
      </c>
      <c r="F225" s="66">
        <f>D225*(($F$137)+1)+(IF(E225&lt;101,E225,IF(E225&lt;201,E225/2,IF(E225&lt;=301,E225/3,E225/4))))</f>
        <v>1634.3842319999999</v>
      </c>
      <c r="G225" s="76"/>
      <c r="H225" s="77"/>
      <c r="I225" s="36"/>
      <c r="L225" s="71"/>
      <c r="M225" s="71"/>
      <c r="N225" s="36"/>
    </row>
    <row r="226" spans="1:14" s="35" customFormat="1" x14ac:dyDescent="0.25">
      <c r="A226" s="140" t="s">
        <v>70</v>
      </c>
      <c r="B226" s="140"/>
      <c r="C226" s="140"/>
      <c r="D226" s="140"/>
      <c r="E226" s="140"/>
      <c r="F226" s="140"/>
      <c r="G226" s="140"/>
      <c r="H226" s="140"/>
    </row>
    <row r="227" spans="1:14" s="35" customFormat="1" ht="31.5" customHeight="1" x14ac:dyDescent="0.25">
      <c r="A227" s="47" t="s">
        <v>155</v>
      </c>
      <c r="B227" s="207" t="s">
        <v>246</v>
      </c>
      <c r="C227" s="208"/>
      <c r="D227" s="208"/>
      <c r="E227" s="208"/>
      <c r="F227" s="208"/>
      <c r="G227" s="208"/>
      <c r="H227" s="209"/>
    </row>
    <row r="228" spans="1:14" s="35" customFormat="1" x14ac:dyDescent="0.25">
      <c r="A228" s="47" t="s">
        <v>155</v>
      </c>
      <c r="B228" s="207" t="str">
        <f>(IF(F136="Saleable area Loading :","We have considered Saleable area of Flats as per our Calculation.","We considered Saleable area of Flat as per Builder area Sheet."))</f>
        <v>We have considered Saleable area of Flats as per our Calculation.</v>
      </c>
      <c r="C228" s="208"/>
      <c r="D228" s="208"/>
      <c r="E228" s="208"/>
      <c r="F228" s="208"/>
      <c r="G228" s="208"/>
      <c r="H228" s="209"/>
    </row>
    <row r="229" spans="1:14" s="35" customFormat="1" x14ac:dyDescent="0.25">
      <c r="A229" s="47" t="s">
        <v>155</v>
      </c>
      <c r="B229" s="207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9" s="208"/>
      <c r="D229" s="208"/>
      <c r="E229" s="208"/>
      <c r="F229" s="208"/>
      <c r="G229" s="208"/>
      <c r="H229" s="209"/>
    </row>
    <row r="230" spans="1:14" s="35" customFormat="1" x14ac:dyDescent="0.25">
      <c r="A230" s="47" t="s">
        <v>155</v>
      </c>
      <c r="B230" s="119" t="s">
        <v>125</v>
      </c>
      <c r="C230" s="120"/>
      <c r="D230" s="120"/>
      <c r="E230" s="120"/>
      <c r="F230" s="120"/>
      <c r="G230" s="120"/>
      <c r="H230" s="121"/>
    </row>
    <row r="231" spans="1:14" s="35" customFormat="1" x14ac:dyDescent="0.25">
      <c r="A231" s="47" t="s">
        <v>155</v>
      </c>
      <c r="B231" s="119" t="s">
        <v>218</v>
      </c>
      <c r="C231" s="120"/>
      <c r="D231" s="120"/>
      <c r="E231" s="120"/>
      <c r="F231" s="120"/>
      <c r="G231" s="120"/>
      <c r="H231" s="121"/>
    </row>
    <row r="232" spans="1:14" s="35" customFormat="1" x14ac:dyDescent="0.25">
      <c r="A232" s="47" t="s">
        <v>155</v>
      </c>
      <c r="B232" s="119" t="s">
        <v>154</v>
      </c>
      <c r="C232" s="120"/>
      <c r="D232" s="120"/>
      <c r="E232" s="120"/>
      <c r="F232" s="120"/>
      <c r="G232" s="120"/>
      <c r="H232" s="121"/>
    </row>
    <row r="233" spans="1:14" s="35" customFormat="1" x14ac:dyDescent="0.25">
      <c r="A233" s="47" t="s">
        <v>155</v>
      </c>
      <c r="B233" s="119" t="s">
        <v>126</v>
      </c>
      <c r="C233" s="120"/>
      <c r="D233" s="120"/>
      <c r="E233" s="120"/>
      <c r="F233" s="120"/>
      <c r="G233" s="120"/>
      <c r="H233" s="121"/>
    </row>
    <row r="234" spans="1:14" s="35" customFormat="1" ht="34.5" customHeight="1" x14ac:dyDescent="0.25">
      <c r="A234" s="47" t="s">
        <v>155</v>
      </c>
      <c r="B234" s="119" t="s">
        <v>156</v>
      </c>
      <c r="C234" s="120"/>
      <c r="D234" s="120"/>
      <c r="E234" s="120"/>
      <c r="F234" s="120"/>
      <c r="G234" s="120"/>
      <c r="H234" s="121"/>
    </row>
    <row r="235" spans="1:14" s="35" customFormat="1" x14ac:dyDescent="0.25">
      <c r="A235" s="47" t="s">
        <v>155</v>
      </c>
      <c r="B235" s="119" t="s">
        <v>127</v>
      </c>
      <c r="C235" s="120"/>
      <c r="D235" s="120"/>
      <c r="E235" s="120"/>
      <c r="F235" s="120"/>
      <c r="G235" s="120"/>
      <c r="H235" s="121"/>
    </row>
    <row r="236" spans="1:14" s="35" customFormat="1" x14ac:dyDescent="0.25">
      <c r="A236" s="67" t="s">
        <v>155</v>
      </c>
      <c r="B236" s="119" t="s">
        <v>237</v>
      </c>
      <c r="C236" s="120"/>
      <c r="D236" s="120"/>
      <c r="E236" s="120"/>
      <c r="F236" s="120"/>
      <c r="G236" s="120"/>
      <c r="H236" s="121"/>
    </row>
    <row r="237" spans="1:14" s="35" customFormat="1" x14ac:dyDescent="0.25">
      <c r="A237" s="69" t="s">
        <v>155</v>
      </c>
      <c r="B237" s="119" t="s">
        <v>242</v>
      </c>
      <c r="C237" s="120"/>
      <c r="D237" s="120"/>
      <c r="E237" s="120"/>
      <c r="F237" s="120"/>
      <c r="G237" s="120"/>
      <c r="H237" s="121"/>
    </row>
    <row r="238" spans="1:14" s="35" customFormat="1" x14ac:dyDescent="0.25">
      <c r="A238" s="68" t="s">
        <v>155</v>
      </c>
      <c r="B238" s="119" t="s">
        <v>249</v>
      </c>
      <c r="C238" s="120"/>
      <c r="D238" s="120"/>
      <c r="E238" s="120"/>
      <c r="F238" s="120"/>
      <c r="G238" s="120"/>
      <c r="H238" s="121"/>
    </row>
    <row r="239" spans="1:14" x14ac:dyDescent="0.25">
      <c r="A239" s="128" t="s">
        <v>63</v>
      </c>
      <c r="B239" s="128"/>
      <c r="C239" s="128"/>
      <c r="D239" s="128"/>
      <c r="E239" s="128"/>
      <c r="F239" s="128"/>
      <c r="G239" s="128"/>
      <c r="H239" s="128"/>
    </row>
    <row r="240" spans="1:14" x14ac:dyDescent="0.25">
      <c r="A240" s="84" t="s">
        <v>64</v>
      </c>
      <c r="B240" s="84"/>
      <c r="C240" s="84"/>
      <c r="D240" s="84"/>
      <c r="E240" s="84"/>
      <c r="F240" s="84"/>
      <c r="G240" s="84"/>
      <c r="H240" s="84"/>
    </row>
    <row r="241" spans="1:8" ht="15.75" customHeight="1" x14ac:dyDescent="0.25">
      <c r="A241" s="112" t="s">
        <v>65</v>
      </c>
      <c r="B241" s="112"/>
      <c r="C241" s="112"/>
      <c r="D241" s="112"/>
      <c r="E241" s="112"/>
      <c r="F241" s="112"/>
      <c r="G241" s="112"/>
      <c r="H241" s="112"/>
    </row>
    <row r="242" spans="1:8" x14ac:dyDescent="0.25">
      <c r="A242" s="84" t="s">
        <v>66</v>
      </c>
      <c r="B242" s="84"/>
      <c r="C242" s="84"/>
      <c r="D242" s="84"/>
      <c r="E242" s="84"/>
      <c r="F242" s="84"/>
      <c r="G242" s="84"/>
      <c r="H242" s="84"/>
    </row>
    <row r="243" spans="1:8" x14ac:dyDescent="0.25">
      <c r="A243" s="84" t="s">
        <v>67</v>
      </c>
      <c r="B243" s="84"/>
      <c r="C243" s="84"/>
      <c r="D243" s="84"/>
      <c r="E243" s="84"/>
      <c r="F243" s="84"/>
      <c r="G243" s="84"/>
      <c r="H243" s="84"/>
    </row>
    <row r="244" spans="1:8" x14ac:dyDescent="0.25">
      <c r="A244" s="84" t="s">
        <v>128</v>
      </c>
      <c r="B244" s="84"/>
      <c r="C244" s="84"/>
      <c r="D244" s="84"/>
      <c r="E244" s="84"/>
      <c r="F244" s="84"/>
      <c r="G244" s="84"/>
      <c r="H244" s="84"/>
    </row>
    <row r="245" spans="1:8" ht="34.5" customHeight="1" x14ac:dyDescent="0.25">
      <c r="A245" s="129" t="s">
        <v>129</v>
      </c>
      <c r="B245" s="129"/>
      <c r="C245" s="129"/>
      <c r="D245" s="129"/>
      <c r="E245" s="129"/>
      <c r="F245" s="129"/>
      <c r="G245" s="129"/>
      <c r="H245" s="129"/>
    </row>
    <row r="246" spans="1:8" x14ac:dyDescent="0.25">
      <c r="A246" s="139" t="s">
        <v>80</v>
      </c>
      <c r="B246" s="139"/>
      <c r="C246" s="139" t="s">
        <v>245</v>
      </c>
      <c r="D246" s="139"/>
      <c r="E246" s="139" t="s">
        <v>106</v>
      </c>
      <c r="F246" s="139"/>
      <c r="G246" s="139" t="s">
        <v>247</v>
      </c>
      <c r="H246" s="139"/>
    </row>
    <row r="247" spans="1:8" x14ac:dyDescent="0.25">
      <c r="A247" s="138" t="s">
        <v>82</v>
      </c>
      <c r="B247" s="138"/>
      <c r="C247" s="138"/>
      <c r="D247" s="138"/>
      <c r="E247" s="138"/>
      <c r="F247" s="138"/>
      <c r="G247" s="138"/>
      <c r="H247" s="138"/>
    </row>
    <row r="248" spans="1:8" x14ac:dyDescent="0.25">
      <c r="A248" s="138"/>
      <c r="B248" s="138"/>
      <c r="C248" s="138"/>
      <c r="D248" s="138"/>
      <c r="E248" s="138"/>
      <c r="F248" s="138"/>
      <c r="G248" s="138"/>
      <c r="H248" s="138"/>
    </row>
    <row r="249" spans="1:8" x14ac:dyDescent="0.25">
      <c r="A249" s="138"/>
      <c r="B249" s="138"/>
      <c r="C249" s="138"/>
      <c r="D249" s="138"/>
      <c r="E249" s="138"/>
      <c r="F249" s="138"/>
      <c r="G249" s="138"/>
      <c r="H249" s="138"/>
    </row>
    <row r="250" spans="1:8" x14ac:dyDescent="0.25">
      <c r="A250" s="138"/>
      <c r="B250" s="138"/>
      <c r="C250" s="138"/>
      <c r="D250" s="138"/>
      <c r="E250" s="138"/>
      <c r="F250" s="138"/>
      <c r="G250" s="138"/>
      <c r="H250" s="138"/>
    </row>
    <row r="251" spans="1:8" x14ac:dyDescent="0.25">
      <c r="A251" s="38" t="s">
        <v>68</v>
      </c>
      <c r="B251" s="39"/>
      <c r="C251" s="39"/>
      <c r="D251" s="38" t="str">
        <f>E8</f>
        <v>Shilpadatta by Sandu Developers</v>
      </c>
      <c r="F251" s="39"/>
      <c r="G251" s="39"/>
      <c r="H251" s="39"/>
    </row>
    <row r="252" spans="1:8" x14ac:dyDescent="0.25">
      <c r="A252" s="39"/>
      <c r="B252" s="39"/>
      <c r="C252" s="39"/>
      <c r="D252" s="39"/>
      <c r="E252" s="39"/>
      <c r="F252" s="39"/>
      <c r="G252" s="39"/>
      <c r="H252" s="39"/>
    </row>
    <row r="253" spans="1:8" x14ac:dyDescent="0.25">
      <c r="A253" s="39"/>
      <c r="B253" s="39"/>
      <c r="C253" s="39"/>
      <c r="D253" s="39"/>
      <c r="E253" s="39"/>
      <c r="F253" s="39"/>
      <c r="G253" s="39"/>
      <c r="H253" s="39"/>
    </row>
    <row r="254" spans="1:8" ht="15" customHeight="1" x14ac:dyDescent="0.25"/>
    <row r="295" spans="1:1" x14ac:dyDescent="0.25">
      <c r="A295" s="41" t="s">
        <v>166</v>
      </c>
    </row>
    <row r="339" spans="1:1" x14ac:dyDescent="0.25">
      <c r="A339" s="41" t="s">
        <v>69</v>
      </c>
    </row>
  </sheetData>
  <mergeCells count="454">
    <mergeCell ref="A51:B52"/>
    <mergeCell ref="C51:E51"/>
    <mergeCell ref="G51:H51"/>
    <mergeCell ref="C52:E52"/>
    <mergeCell ref="G52:H52"/>
    <mergeCell ref="L222:M222"/>
    <mergeCell ref="A223:B223"/>
    <mergeCell ref="L223:M223"/>
    <mergeCell ref="A224:B224"/>
    <mergeCell ref="L224:M224"/>
    <mergeCell ref="C217:F217"/>
    <mergeCell ref="L181:M181"/>
    <mergeCell ref="A182:B182"/>
    <mergeCell ref="G182:H186"/>
    <mergeCell ref="A183:B183"/>
    <mergeCell ref="A184:B184"/>
    <mergeCell ref="A185:B185"/>
    <mergeCell ref="A186:B186"/>
    <mergeCell ref="A211:H211"/>
    <mergeCell ref="L195:M195"/>
    <mergeCell ref="A187:H187"/>
    <mergeCell ref="A191:H191"/>
    <mergeCell ref="A192:B192"/>
    <mergeCell ref="L192:M192"/>
    <mergeCell ref="L225:M225"/>
    <mergeCell ref="B235:H235"/>
    <mergeCell ref="B233:H233"/>
    <mergeCell ref="B229:H229"/>
    <mergeCell ref="B227:H227"/>
    <mergeCell ref="B228:H228"/>
    <mergeCell ref="L212:M212"/>
    <mergeCell ref="A213:B213"/>
    <mergeCell ref="L213:M213"/>
    <mergeCell ref="A214:B214"/>
    <mergeCell ref="L214:M214"/>
    <mergeCell ref="A215:B215"/>
    <mergeCell ref="L215:M215"/>
    <mergeCell ref="A216:H216"/>
    <mergeCell ref="A217:B217"/>
    <mergeCell ref="G217:H220"/>
    <mergeCell ref="L217:M217"/>
    <mergeCell ref="A218:B218"/>
    <mergeCell ref="L218:M218"/>
    <mergeCell ref="A219:B219"/>
    <mergeCell ref="L219:M219"/>
    <mergeCell ref="A220:B220"/>
    <mergeCell ref="L220:M220"/>
    <mergeCell ref="L193:M193"/>
    <mergeCell ref="L205:M205"/>
    <mergeCell ref="A195:B195"/>
    <mergeCell ref="G192:H195"/>
    <mergeCell ref="A196:H196"/>
    <mergeCell ref="A197:B197"/>
    <mergeCell ref="G197:H200"/>
    <mergeCell ref="L197:M197"/>
    <mergeCell ref="A198:B198"/>
    <mergeCell ref="A199:B199"/>
    <mergeCell ref="L200:M200"/>
    <mergeCell ref="L194:M194"/>
    <mergeCell ref="L198:M198"/>
    <mergeCell ref="L127:M127"/>
    <mergeCell ref="A128:B128"/>
    <mergeCell ref="L128:M128"/>
    <mergeCell ref="G126:H128"/>
    <mergeCell ref="A129:H129"/>
    <mergeCell ref="A130:B130"/>
    <mergeCell ref="G130:H132"/>
    <mergeCell ref="L130:M130"/>
    <mergeCell ref="A131:B131"/>
    <mergeCell ref="L131:M131"/>
    <mergeCell ref="A132:B132"/>
    <mergeCell ref="L132:M132"/>
    <mergeCell ref="L126:M126"/>
    <mergeCell ref="A126:B126"/>
    <mergeCell ref="A106:E106"/>
    <mergeCell ref="A105:E105"/>
    <mergeCell ref="A99:E99"/>
    <mergeCell ref="A102:E102"/>
    <mergeCell ref="A117:B117"/>
    <mergeCell ref="E117:F117"/>
    <mergeCell ref="A98:B98"/>
    <mergeCell ref="G118:H118"/>
    <mergeCell ref="F105:H105"/>
    <mergeCell ref="C110:D110"/>
    <mergeCell ref="F106:H106"/>
    <mergeCell ref="A120:H120"/>
    <mergeCell ref="G110:H110"/>
    <mergeCell ref="C111:D111"/>
    <mergeCell ref="E111:F111"/>
    <mergeCell ref="B121:B122"/>
    <mergeCell ref="A121:A122"/>
    <mergeCell ref="L151:M151"/>
    <mergeCell ref="A135:H135"/>
    <mergeCell ref="A136:A137"/>
    <mergeCell ref="A156:B156"/>
    <mergeCell ref="A153:B153"/>
    <mergeCell ref="A154:B154"/>
    <mergeCell ref="G117:H117"/>
    <mergeCell ref="E112:F112"/>
    <mergeCell ref="G112:H112"/>
    <mergeCell ref="A112:B112"/>
    <mergeCell ref="C112:D112"/>
    <mergeCell ref="C116:D116"/>
    <mergeCell ref="E116:F116"/>
    <mergeCell ref="G116:H116"/>
    <mergeCell ref="L143:M143"/>
    <mergeCell ref="L140:M140"/>
    <mergeCell ref="A141:B141"/>
    <mergeCell ref="L141:M141"/>
    <mergeCell ref="A142:B142"/>
    <mergeCell ref="L142:M142"/>
    <mergeCell ref="C121:C122"/>
    <mergeCell ref="B136:B137"/>
    <mergeCell ref="A143:B143"/>
    <mergeCell ref="L149:M149"/>
    <mergeCell ref="E121:E122"/>
    <mergeCell ref="G121:H122"/>
    <mergeCell ref="A89:B89"/>
    <mergeCell ref="E89:F98"/>
    <mergeCell ref="A96:B96"/>
    <mergeCell ref="A97:B97"/>
    <mergeCell ref="F99:H99"/>
    <mergeCell ref="F102:H102"/>
    <mergeCell ref="A87:B87"/>
    <mergeCell ref="C87:H87"/>
    <mergeCell ref="A88:B88"/>
    <mergeCell ref="E88:F88"/>
    <mergeCell ref="G88:H88"/>
    <mergeCell ref="A103:E103"/>
    <mergeCell ref="F103:H103"/>
    <mergeCell ref="A104:E104"/>
    <mergeCell ref="G89:H98"/>
    <mergeCell ref="A119:H119"/>
    <mergeCell ref="A90:B90"/>
    <mergeCell ref="A91:B91"/>
    <mergeCell ref="A92:B92"/>
    <mergeCell ref="F101:H101"/>
    <mergeCell ref="A101:E101"/>
    <mergeCell ref="D121:D122"/>
    <mergeCell ref="A65:C65"/>
    <mergeCell ref="D64:H64"/>
    <mergeCell ref="E75:F84"/>
    <mergeCell ref="G75:H84"/>
    <mergeCell ref="A83:B83"/>
    <mergeCell ref="A84:B84"/>
    <mergeCell ref="D65:H65"/>
    <mergeCell ref="A43:D43"/>
    <mergeCell ref="E43:H43"/>
    <mergeCell ref="E44:H44"/>
    <mergeCell ref="E45:H45"/>
    <mergeCell ref="E46:H46"/>
    <mergeCell ref="A45:D45"/>
    <mergeCell ref="A48:B48"/>
    <mergeCell ref="C48:H48"/>
    <mergeCell ref="A81:B81"/>
    <mergeCell ref="A74:B74"/>
    <mergeCell ref="A77:B77"/>
    <mergeCell ref="A73:B73"/>
    <mergeCell ref="A71:B71"/>
    <mergeCell ref="C71:H71"/>
    <mergeCell ref="A79:B79"/>
    <mergeCell ref="A66:C66"/>
    <mergeCell ref="D66:H66"/>
    <mergeCell ref="A37:H37"/>
    <mergeCell ref="A36:B36"/>
    <mergeCell ref="C36:E36"/>
    <mergeCell ref="A41:D41"/>
    <mergeCell ref="E41:H41"/>
    <mergeCell ref="F33:H33"/>
    <mergeCell ref="F34:H34"/>
    <mergeCell ref="A40:H40"/>
    <mergeCell ref="A64:C64"/>
    <mergeCell ref="A38:B38"/>
    <mergeCell ref="C38:H38"/>
    <mergeCell ref="A39:B39"/>
    <mergeCell ref="C39:H39"/>
    <mergeCell ref="A44:D44"/>
    <mergeCell ref="F36:H36"/>
    <mergeCell ref="A46:D46"/>
    <mergeCell ref="A47:H47"/>
    <mergeCell ref="D61:H61"/>
    <mergeCell ref="A61:C61"/>
    <mergeCell ref="G50:H50"/>
    <mergeCell ref="A53:B54"/>
    <mergeCell ref="C53:E53"/>
    <mergeCell ref="A62:C63"/>
    <mergeCell ref="D62:H62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27:B127"/>
    <mergeCell ref="B115:B116"/>
    <mergeCell ref="A144:B144"/>
    <mergeCell ref="A181:H181"/>
    <mergeCell ref="C73:H73"/>
    <mergeCell ref="A76:B76"/>
    <mergeCell ref="A78:B78"/>
    <mergeCell ref="E74:F74"/>
    <mergeCell ref="A67:C67"/>
    <mergeCell ref="D67:H67"/>
    <mergeCell ref="A70:C70"/>
    <mergeCell ref="D70:H70"/>
    <mergeCell ref="A68:C68"/>
    <mergeCell ref="D68:H68"/>
    <mergeCell ref="A69:C69"/>
    <mergeCell ref="D69:H69"/>
    <mergeCell ref="A75:B75"/>
    <mergeCell ref="G74:H74"/>
    <mergeCell ref="A82:B82"/>
    <mergeCell ref="C115:D115"/>
    <mergeCell ref="E115:F115"/>
    <mergeCell ref="G115:H115"/>
    <mergeCell ref="F104:H104"/>
    <mergeCell ref="A100:E100"/>
    <mergeCell ref="A133:H133"/>
    <mergeCell ref="A134:H134"/>
    <mergeCell ref="A149:B149"/>
    <mergeCell ref="A200:B200"/>
    <mergeCell ref="A206:H206"/>
    <mergeCell ref="B237:H237"/>
    <mergeCell ref="A138:H138"/>
    <mergeCell ref="A140:B140"/>
    <mergeCell ref="A155:B155"/>
    <mergeCell ref="A193:B193"/>
    <mergeCell ref="A225:B225"/>
    <mergeCell ref="A247:H250"/>
    <mergeCell ref="A246:B246"/>
    <mergeCell ref="E246:F246"/>
    <mergeCell ref="C246:D246"/>
    <mergeCell ref="G246:H246"/>
    <mergeCell ref="A245:H245"/>
    <mergeCell ref="A243:H243"/>
    <mergeCell ref="C222:F222"/>
    <mergeCell ref="G222:H225"/>
    <mergeCell ref="B230:H230"/>
    <mergeCell ref="B231:H231"/>
    <mergeCell ref="A226:H226"/>
    <mergeCell ref="B234:H234"/>
    <mergeCell ref="B232:H232"/>
    <mergeCell ref="A242:H242"/>
    <mergeCell ref="A239:H239"/>
    <mergeCell ref="A240:H240"/>
    <mergeCell ref="A222:B222"/>
    <mergeCell ref="B238:H238"/>
    <mergeCell ref="L199:M199"/>
    <mergeCell ref="D63:H63"/>
    <mergeCell ref="C50:E50"/>
    <mergeCell ref="A57:B57"/>
    <mergeCell ref="C57:E57"/>
    <mergeCell ref="A50:B50"/>
    <mergeCell ref="A58:H58"/>
    <mergeCell ref="A59:C59"/>
    <mergeCell ref="A60:C60"/>
    <mergeCell ref="D60:H60"/>
    <mergeCell ref="G57:H57"/>
    <mergeCell ref="A55:B56"/>
    <mergeCell ref="C55:E55"/>
    <mergeCell ref="G55:H55"/>
    <mergeCell ref="C56:E56"/>
    <mergeCell ref="G56:H56"/>
    <mergeCell ref="C54:E54"/>
    <mergeCell ref="G54:H54"/>
    <mergeCell ref="G53:H53"/>
    <mergeCell ref="E118:F118"/>
    <mergeCell ref="A148:B148"/>
    <mergeCell ref="G114:H114"/>
    <mergeCell ref="A118:B118"/>
    <mergeCell ref="C118:D118"/>
    <mergeCell ref="C136:C137"/>
    <mergeCell ref="A164:B164"/>
    <mergeCell ref="A190:H190"/>
    <mergeCell ref="A244:H244"/>
    <mergeCell ref="A241:H241"/>
    <mergeCell ref="A152:B152"/>
    <mergeCell ref="A114:B114"/>
    <mergeCell ref="D136:D137"/>
    <mergeCell ref="E136:E137"/>
    <mergeCell ref="G136:H137"/>
    <mergeCell ref="A194:B194"/>
    <mergeCell ref="A207:B207"/>
    <mergeCell ref="G207:H210"/>
    <mergeCell ref="A167:B167"/>
    <mergeCell ref="A168:B168"/>
    <mergeCell ref="A212:B212"/>
    <mergeCell ref="G212:H215"/>
    <mergeCell ref="B236:H236"/>
    <mergeCell ref="A221:H221"/>
    <mergeCell ref="A147:B147"/>
    <mergeCell ref="A150:B150"/>
    <mergeCell ref="A123:H123"/>
    <mergeCell ref="A124:H124"/>
    <mergeCell ref="A125:H125"/>
    <mergeCell ref="A93:B93"/>
    <mergeCell ref="A94:B94"/>
    <mergeCell ref="A95:B95"/>
    <mergeCell ref="F100:H100"/>
    <mergeCell ref="G111:H111"/>
    <mergeCell ref="A162:B162"/>
    <mergeCell ref="A189:H189"/>
    <mergeCell ref="A188:H188"/>
    <mergeCell ref="A109:H109"/>
    <mergeCell ref="A107:E107"/>
    <mergeCell ref="F107:H107"/>
    <mergeCell ref="A108:E108"/>
    <mergeCell ref="F108:H108"/>
    <mergeCell ref="A151:H151"/>
    <mergeCell ref="A111:B111"/>
    <mergeCell ref="A113:H113"/>
    <mergeCell ref="C114:D114"/>
    <mergeCell ref="G152:H156"/>
    <mergeCell ref="A157:H157"/>
    <mergeCell ref="C156:F156"/>
    <mergeCell ref="A174:B174"/>
    <mergeCell ref="G164:H168"/>
    <mergeCell ref="A165:B165"/>
    <mergeCell ref="A166:B166"/>
    <mergeCell ref="L157:M157"/>
    <mergeCell ref="A158:B158"/>
    <mergeCell ref="G158:H162"/>
    <mergeCell ref="A159:B159"/>
    <mergeCell ref="A160:B160"/>
    <mergeCell ref="A161:B161"/>
    <mergeCell ref="G176:H180"/>
    <mergeCell ref="A163:H163"/>
    <mergeCell ref="L163:M163"/>
    <mergeCell ref="A179:B179"/>
    <mergeCell ref="A180:B180"/>
    <mergeCell ref="A177:B177"/>
    <mergeCell ref="A178:B178"/>
    <mergeCell ref="C174:F174"/>
    <mergeCell ref="A175:H175"/>
    <mergeCell ref="L175:M175"/>
    <mergeCell ref="A176:B176"/>
    <mergeCell ref="A169:H169"/>
    <mergeCell ref="L169:M169"/>
    <mergeCell ref="A170:B170"/>
    <mergeCell ref="G170:H174"/>
    <mergeCell ref="A171:B171"/>
    <mergeCell ref="A172:B172"/>
    <mergeCell ref="A173:B173"/>
    <mergeCell ref="L207:M207"/>
    <mergeCell ref="A208:B208"/>
    <mergeCell ref="L208:M208"/>
    <mergeCell ref="A209:B209"/>
    <mergeCell ref="L209:M209"/>
    <mergeCell ref="A210:B210"/>
    <mergeCell ref="L210:M210"/>
    <mergeCell ref="A201:H201"/>
    <mergeCell ref="A202:B202"/>
    <mergeCell ref="G202:H205"/>
    <mergeCell ref="L202:M202"/>
    <mergeCell ref="A203:B203"/>
    <mergeCell ref="L203:M203"/>
    <mergeCell ref="A204:B204"/>
    <mergeCell ref="L204:M204"/>
    <mergeCell ref="A205:B205"/>
    <mergeCell ref="C202:F202"/>
    <mergeCell ref="I10:L10"/>
    <mergeCell ref="L144:M144"/>
    <mergeCell ref="G140:H144"/>
    <mergeCell ref="A145:H145"/>
    <mergeCell ref="A146:B146"/>
    <mergeCell ref="G146:H150"/>
    <mergeCell ref="L146:M146"/>
    <mergeCell ref="L147:M147"/>
    <mergeCell ref="L148:M148"/>
    <mergeCell ref="L150:M150"/>
    <mergeCell ref="E42:H42"/>
    <mergeCell ref="A42:D42"/>
    <mergeCell ref="A85:B85"/>
    <mergeCell ref="C85:H85"/>
    <mergeCell ref="A80:B80"/>
    <mergeCell ref="A49:B49"/>
    <mergeCell ref="C49:E49"/>
    <mergeCell ref="D59:H59"/>
    <mergeCell ref="G49:H49"/>
    <mergeCell ref="C117:D117"/>
    <mergeCell ref="A139:H139"/>
    <mergeCell ref="E110:F110"/>
    <mergeCell ref="A110:B110"/>
    <mergeCell ref="E114:F114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50" max="16383" man="1"/>
    <brk id="294" max="16383" man="1"/>
    <brk id="33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0" t="s">
        <v>107</v>
      </c>
      <c r="C3" s="210"/>
      <c r="D3" s="210"/>
      <c r="E3" s="210"/>
      <c r="F3" s="210"/>
      <c r="G3" s="210"/>
      <c r="H3" s="210"/>
    </row>
    <row r="4" spans="1:9" x14ac:dyDescent="0.25">
      <c r="A4" s="2"/>
      <c r="B4" s="3" t="s">
        <v>108</v>
      </c>
      <c r="C4" s="3" t="s">
        <v>109</v>
      </c>
      <c r="D4" s="3" t="s">
        <v>71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2025-07-17T09:13:54Z</cp:lastPrinted>
  <dcterms:created xsi:type="dcterms:W3CDTF">2019-07-16T09:29:46Z</dcterms:created>
  <dcterms:modified xsi:type="dcterms:W3CDTF">2025-07-17T09:13:57Z</dcterms:modified>
</cp:coreProperties>
</file>