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 name="Remarks" sheetId="6" r:id="rId4"/>
  </sheets>
  <definedNames>
    <definedName name="_xlnm.Print_Area" localSheetId="0">Report!$A$1:$H$432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6" i="1" l="1"/>
  <c r="C51" i="1"/>
  <c r="I67" i="1" l="1"/>
  <c r="L114" i="1" l="1"/>
  <c r="F116" i="1"/>
  <c r="L106" i="1"/>
  <c r="D149" i="1" l="1"/>
  <c r="D156" i="1" l="1"/>
  <c r="D155" i="1"/>
  <c r="D153" i="1"/>
  <c r="D152" i="1"/>
  <c r="D151" i="1"/>
  <c r="D150" i="1"/>
  <c r="D148" i="1"/>
  <c r="D147" i="1"/>
  <c r="D146" i="1"/>
  <c r="D142" i="1"/>
  <c r="D141" i="1"/>
  <c r="D140" i="1"/>
  <c r="D139" i="1"/>
  <c r="I139" i="1"/>
  <c r="I120" i="1" l="1"/>
  <c r="I119" i="1"/>
  <c r="D238" i="1"/>
  <c r="D237" i="1"/>
  <c r="F237" i="1" s="1"/>
  <c r="H237" i="1" s="1"/>
  <c r="D236" i="1"/>
  <c r="F236" i="1" s="1"/>
  <c r="H236" i="1" s="1"/>
  <c r="D235" i="1"/>
  <c r="F235" i="1" s="1"/>
  <c r="H235" i="1" s="1"/>
  <c r="D234" i="1"/>
  <c r="F234" i="1" s="1"/>
  <c r="H234" i="1" s="1"/>
  <c r="D231" i="1"/>
  <c r="F231" i="1" s="1"/>
  <c r="H231" i="1" s="1"/>
  <c r="D230" i="1"/>
  <c r="F230" i="1" s="1"/>
  <c r="H230" i="1" s="1"/>
  <c r="D229" i="1"/>
  <c r="D228" i="1"/>
  <c r="F228" i="1" s="1"/>
  <c r="H228" i="1" s="1"/>
  <c r="D227" i="1"/>
  <c r="F227" i="1" s="1"/>
  <c r="H227" i="1" s="1"/>
  <c r="D225" i="1"/>
  <c r="F225" i="1" s="1"/>
  <c r="H225" i="1" s="1"/>
  <c r="D224" i="1"/>
  <c r="D223" i="1"/>
  <c r="F223" i="1" s="1"/>
  <c r="H223" i="1" s="1"/>
  <c r="D222" i="1"/>
  <c r="F222" i="1" s="1"/>
  <c r="H222" i="1" s="1"/>
  <c r="D221" i="1"/>
  <c r="D220" i="1"/>
  <c r="D219" i="1"/>
  <c r="F219" i="1" s="1"/>
  <c r="H219" i="1" s="1"/>
  <c r="D218" i="1"/>
  <c r="F218" i="1" s="1"/>
  <c r="H218" i="1" s="1"/>
  <c r="D217" i="1"/>
  <c r="F217" i="1" s="1"/>
  <c r="H217" i="1" s="1"/>
  <c r="D216" i="1"/>
  <c r="D215" i="1"/>
  <c r="F215" i="1" s="1"/>
  <c r="H215" i="1" s="1"/>
  <c r="D214" i="1"/>
  <c r="F214" i="1" s="1"/>
  <c r="H214" i="1" s="1"/>
  <c r="D212" i="1"/>
  <c r="F212" i="1" s="1"/>
  <c r="H212" i="1" s="1"/>
  <c r="D211" i="1"/>
  <c r="D210" i="1"/>
  <c r="D209" i="1"/>
  <c r="F209" i="1" s="1"/>
  <c r="H209" i="1" s="1"/>
  <c r="D208" i="1"/>
  <c r="F208" i="1" s="1"/>
  <c r="H208" i="1" s="1"/>
  <c r="D203" i="1"/>
  <c r="F203" i="1" s="1"/>
  <c r="H203" i="1" s="1"/>
  <c r="D202" i="1"/>
  <c r="F202" i="1" s="1"/>
  <c r="H202" i="1" s="1"/>
  <c r="D201" i="1"/>
  <c r="F201" i="1" s="1"/>
  <c r="H201" i="1" s="1"/>
  <c r="D196" i="1"/>
  <c r="D195" i="1"/>
  <c r="F195" i="1" s="1"/>
  <c r="H195" i="1" s="1"/>
  <c r="L195" i="1" s="1"/>
  <c r="D194" i="1"/>
  <c r="D193" i="1"/>
  <c r="F193" i="1" s="1"/>
  <c r="H193" i="1" s="1"/>
  <c r="L193" i="1" s="1"/>
  <c r="D192" i="1"/>
  <c r="F192" i="1" s="1"/>
  <c r="H192" i="1" s="1"/>
  <c r="L192" i="1" s="1"/>
  <c r="D191" i="1"/>
  <c r="F191" i="1" s="1"/>
  <c r="H191" i="1" s="1"/>
  <c r="L191" i="1" s="1"/>
  <c r="D190" i="1"/>
  <c r="D189" i="1"/>
  <c r="F189" i="1" s="1"/>
  <c r="H189" i="1" s="1"/>
  <c r="L189" i="1" s="1"/>
  <c r="D188" i="1"/>
  <c r="F188" i="1" s="1"/>
  <c r="H188" i="1" s="1"/>
  <c r="L188" i="1" s="1"/>
  <c r="D187" i="1"/>
  <c r="F187" i="1" s="1"/>
  <c r="H187" i="1" s="1"/>
  <c r="L187" i="1" s="1"/>
  <c r="D186" i="1"/>
  <c r="D184" i="1"/>
  <c r="F184" i="1" s="1"/>
  <c r="H184" i="1" s="1"/>
  <c r="D183" i="1"/>
  <c r="F183" i="1" s="1"/>
  <c r="H183" i="1" s="1"/>
  <c r="D182" i="1"/>
  <c r="D181" i="1"/>
  <c r="D178" i="1"/>
  <c r="F178" i="1" s="1"/>
  <c r="H178" i="1" s="1"/>
  <c r="D169" i="1"/>
  <c r="D168" i="1"/>
  <c r="F168" i="1" s="1"/>
  <c r="H168" i="1" s="1"/>
  <c r="D167" i="1"/>
  <c r="F167" i="1" s="1"/>
  <c r="H167" i="1" s="1"/>
  <c r="D161" i="1"/>
  <c r="F161" i="1" s="1"/>
  <c r="H161" i="1" s="1"/>
  <c r="D160" i="1"/>
  <c r="F160" i="1" s="1"/>
  <c r="D159" i="1"/>
  <c r="D158" i="1"/>
  <c r="F158" i="1" s="1"/>
  <c r="H158" i="1" s="1"/>
  <c r="D157" i="1"/>
  <c r="F157" i="1" s="1"/>
  <c r="H157" i="1" s="1"/>
  <c r="F156" i="1"/>
  <c r="H156" i="1" s="1"/>
  <c r="D154" i="1"/>
  <c r="F153" i="1"/>
  <c r="H153" i="1" s="1"/>
  <c r="F152" i="1"/>
  <c r="H152" i="1" s="1"/>
  <c r="F150" i="1"/>
  <c r="H150" i="1" s="1"/>
  <c r="F149" i="1"/>
  <c r="H149" i="1" s="1"/>
  <c r="F148" i="1"/>
  <c r="H148" i="1" s="1"/>
  <c r="F147" i="1"/>
  <c r="H147" i="1" s="1"/>
  <c r="F146" i="1"/>
  <c r="H146" i="1" s="1"/>
  <c r="D145" i="1"/>
  <c r="F145" i="1" s="1"/>
  <c r="H145" i="1" s="1"/>
  <c r="D144" i="1"/>
  <c r="F144" i="1" s="1"/>
  <c r="H144" i="1" s="1"/>
  <c r="D143" i="1"/>
  <c r="F238" i="1"/>
  <c r="H238" i="1" s="1"/>
  <c r="J238" i="1" s="1"/>
  <c r="A236" i="1"/>
  <c r="A233" i="1"/>
  <c r="A230" i="1"/>
  <c r="F229" i="1"/>
  <c r="H229" i="1" s="1"/>
  <c r="A228" i="1"/>
  <c r="F221" i="1"/>
  <c r="H221" i="1" s="1"/>
  <c r="F220" i="1"/>
  <c r="H220" i="1" s="1"/>
  <c r="F224" i="1"/>
  <c r="H224" i="1" s="1"/>
  <c r="A223" i="1"/>
  <c r="A220" i="1"/>
  <c r="A217" i="1"/>
  <c r="F216" i="1"/>
  <c r="H216" i="1" s="1"/>
  <c r="A215" i="1"/>
  <c r="F211" i="1"/>
  <c r="H211" i="1" s="1"/>
  <c r="F210" i="1"/>
  <c r="H210" i="1" s="1"/>
  <c r="A210" i="1"/>
  <c r="A207" i="1"/>
  <c r="A204" i="1"/>
  <c r="A202" i="1"/>
  <c r="F196" i="1"/>
  <c r="H196" i="1" s="1"/>
  <c r="L196" i="1" s="1"/>
  <c r="F194" i="1"/>
  <c r="H194" i="1" s="1"/>
  <c r="F190" i="1"/>
  <c r="H190" i="1" s="1"/>
  <c r="L190" i="1" s="1"/>
  <c r="A192" i="1"/>
  <c r="A194" i="1"/>
  <c r="I181" i="1"/>
  <c r="A189" i="1"/>
  <c r="F186" i="1"/>
  <c r="A187" i="1"/>
  <c r="F182" i="1"/>
  <c r="H182" i="1" s="1"/>
  <c r="F169" i="1"/>
  <c r="H169" i="1" s="1"/>
  <c r="A169" i="1"/>
  <c r="A171" i="1" s="1"/>
  <c r="F181" i="1"/>
  <c r="H181" i="1" s="1"/>
  <c r="A174" i="1"/>
  <c r="A175" i="1" s="1"/>
  <c r="A176" i="1" s="1"/>
  <c r="A164" i="1"/>
  <c r="A165" i="1" s="1"/>
  <c r="A166" i="1" s="1"/>
  <c r="I162" i="1"/>
  <c r="F159" i="1"/>
  <c r="H159" i="1" s="1"/>
  <c r="I152" i="1"/>
  <c r="F154" i="1"/>
  <c r="H154" i="1" s="1"/>
  <c r="F151" i="1"/>
  <c r="H151" i="1" s="1"/>
  <c r="A161" i="1"/>
  <c r="F155" i="1"/>
  <c r="H155" i="1" s="1"/>
  <c r="A155" i="1"/>
  <c r="A150" i="1"/>
  <c r="A151" i="1" s="1"/>
  <c r="A152" i="1" s="1"/>
  <c r="F143" i="1"/>
  <c r="J134" i="1"/>
  <c r="I135" i="1"/>
  <c r="I134" i="1"/>
  <c r="A145" i="1"/>
  <c r="A146" i="1" s="1"/>
  <c r="A147" i="1" s="1"/>
  <c r="G51" i="1"/>
  <c r="E43" i="1"/>
  <c r="J194" i="1" l="1"/>
  <c r="L194" i="1"/>
  <c r="H143" i="1"/>
  <c r="E119" i="1"/>
  <c r="H186" i="1"/>
  <c r="L186" i="1" s="1"/>
  <c r="E120" i="1"/>
  <c r="G120" i="1"/>
  <c r="C120" i="1"/>
  <c r="C119" i="1"/>
  <c r="H160" i="1"/>
  <c r="G119" i="1" s="1"/>
  <c r="F140" i="1"/>
  <c r="H140" i="1" s="1"/>
  <c r="F141" i="1"/>
  <c r="H141" i="1" s="1"/>
  <c r="F142" i="1"/>
  <c r="H142" i="1" s="1"/>
  <c r="F139" i="1"/>
  <c r="E124" i="1" s="1"/>
  <c r="E125" i="1" l="1"/>
  <c r="C124" i="1"/>
  <c r="C125" i="1" s="1"/>
  <c r="G121" i="1"/>
  <c r="C121" i="1"/>
  <c r="E121" i="1"/>
  <c r="H139" i="1"/>
  <c r="B273" i="1"/>
  <c r="G124" i="1" l="1"/>
  <c r="G125" i="1" s="1"/>
  <c r="G126" i="1" s="1"/>
  <c r="C126" i="1"/>
  <c r="G58" i="1"/>
  <c r="C58" i="1"/>
  <c r="G56" i="1"/>
  <c r="C56" i="1"/>
  <c r="C54" i="1"/>
  <c r="S33" i="1" l="1"/>
  <c r="F11" i="5" l="1"/>
  <c r="G11" i="5" s="1"/>
  <c r="G10" i="5"/>
  <c r="F10" i="5"/>
  <c r="F9" i="5"/>
  <c r="G9" i="5" s="1"/>
  <c r="G8" i="5"/>
  <c r="F8" i="5"/>
  <c r="F7" i="5"/>
  <c r="G7" i="5" s="1"/>
  <c r="F6" i="5"/>
  <c r="G6" i="5" s="1"/>
  <c r="F5" i="5"/>
  <c r="G5" i="5" s="1"/>
  <c r="G12" i="5" s="1"/>
  <c r="D301" i="1"/>
  <c r="B274" i="1"/>
  <c r="F270" i="1"/>
  <c r="H270" i="1" s="1"/>
  <c r="F269" i="1"/>
  <c r="H269" i="1" s="1"/>
  <c r="F268" i="1"/>
  <c r="H268" i="1" s="1"/>
  <c r="F267" i="1"/>
  <c r="H267" i="1" s="1"/>
  <c r="F266" i="1"/>
  <c r="H266" i="1" s="1"/>
  <c r="F264" i="1"/>
  <c r="H264" i="1" s="1"/>
  <c r="F263" i="1"/>
  <c r="H263" i="1" s="1"/>
  <c r="F262" i="1"/>
  <c r="H262" i="1" s="1"/>
  <c r="F261" i="1"/>
  <c r="H261" i="1" s="1"/>
  <c r="F260" i="1"/>
  <c r="H260" i="1" s="1"/>
  <c r="F258" i="1"/>
  <c r="H258" i="1" s="1"/>
  <c r="F257" i="1"/>
  <c r="H257" i="1" s="1"/>
  <c r="F256" i="1"/>
  <c r="H256" i="1" s="1"/>
  <c r="F255" i="1"/>
  <c r="H255" i="1" s="1"/>
  <c r="F254" i="1"/>
  <c r="H254" i="1" s="1"/>
  <c r="F252" i="1"/>
  <c r="H252" i="1" s="1"/>
  <c r="F251" i="1"/>
  <c r="H251" i="1" s="1"/>
  <c r="F250" i="1"/>
  <c r="H250" i="1" s="1"/>
  <c r="F249" i="1"/>
  <c r="H249" i="1" s="1"/>
  <c r="F248" i="1"/>
  <c r="H248" i="1" s="1"/>
  <c r="A248" i="1"/>
  <c r="A249" i="1" s="1"/>
  <c r="A250" i="1" s="1"/>
  <c r="A251" i="1" s="1"/>
  <c r="A252" i="1" s="1"/>
  <c r="F246" i="1"/>
  <c r="H246" i="1" s="1"/>
  <c r="F245" i="1"/>
  <c r="H245" i="1" s="1"/>
  <c r="F244" i="1"/>
  <c r="H244" i="1" s="1"/>
  <c r="A244" i="1"/>
  <c r="A245" i="1" s="1"/>
  <c r="A246" i="1" s="1"/>
  <c r="F243" i="1"/>
  <c r="H243" i="1" s="1"/>
  <c r="A140" i="1"/>
  <c r="A141" i="1" s="1"/>
  <c r="A142" i="1" s="1"/>
  <c r="A143" i="1" s="1"/>
  <c r="G132" i="1"/>
  <c r="E132" i="1"/>
  <c r="C132" i="1"/>
  <c r="C87" i="1"/>
  <c r="C73" i="1"/>
  <c r="D62" i="1"/>
  <c r="E44" i="1"/>
  <c r="E45" i="1" s="1"/>
  <c r="E31" i="1"/>
  <c r="E28" i="1"/>
  <c r="E26" i="1"/>
  <c r="C16" i="1"/>
  <c r="I15" i="1"/>
  <c r="Z13" i="1"/>
  <c r="E8" i="1"/>
  <c r="E3" i="1"/>
  <c r="A260" i="1"/>
  <c r="H88" i="1"/>
  <c r="A266" i="1"/>
  <c r="H74" i="1"/>
  <c r="A254" i="1"/>
  <c r="J73" i="1" l="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B88" i="1"/>
  <c r="B74" i="1"/>
  <c r="J79" i="1" s="1"/>
  <c r="A261" i="1"/>
  <c r="A267" i="1"/>
  <c r="A255" i="1"/>
  <c r="C91" i="1" l="1"/>
  <c r="D91" i="1" s="1"/>
  <c r="I88" i="1" s="1"/>
  <c r="I89" i="1" s="1"/>
  <c r="D77" i="1"/>
  <c r="J98" i="1"/>
  <c r="J95" i="1"/>
  <c r="J97" i="1"/>
  <c r="J96" i="1"/>
  <c r="J93" i="1"/>
  <c r="J94" i="1" s="1"/>
  <c r="J83" i="1"/>
  <c r="J81" i="1"/>
  <c r="J82" i="1"/>
  <c r="J80" i="1"/>
  <c r="J85" i="1" s="1"/>
  <c r="J86" i="1" s="1"/>
  <c r="C78" i="1" s="1"/>
  <c r="J84" i="1"/>
  <c r="A268" i="1"/>
  <c r="A256" i="1"/>
  <c r="A262" i="1"/>
  <c r="G91" i="1" l="1"/>
  <c r="J74" i="1"/>
  <c r="J99" i="1"/>
  <c r="J100" i="1" s="1"/>
  <c r="J88" i="1" s="1"/>
  <c r="I87" i="1" s="1"/>
  <c r="C89" i="1" s="1"/>
  <c r="E77" i="1"/>
  <c r="D78" i="1"/>
  <c r="I74" i="1" s="1"/>
  <c r="G77" i="1"/>
  <c r="D71" i="1" s="1"/>
  <c r="A269" i="1"/>
  <c r="A263" i="1"/>
  <c r="A257" i="1"/>
  <c r="F72" i="1" l="1"/>
  <c r="D72" i="1"/>
  <c r="I75" i="1"/>
  <c r="I73" i="1" s="1"/>
  <c r="C75" i="1" s="1"/>
  <c r="A270" i="1"/>
  <c r="A264" i="1"/>
  <c r="A258"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                       Proposed Builtup Area
Approved No. of Floors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41"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<sst xmlns="http://schemas.openxmlformats.org/spreadsheetml/2006/main" count="774" uniqueCount="381">
  <si>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</si>
  <si>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</si>
  <si>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</si>
  <si>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</si>
  <si>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</si>
  <si>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</si>
  <si>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</si>
  <si>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</si>
  <si>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</si>
  <si>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</si>
  <si>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</si>
  <si>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</si>
  <si>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</si>
  <si>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</si>
  <si>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</si>
  <si>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</si>
  <si>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</si>
  <si>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</si>
  <si>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</si>
  <si>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</si>
  <si>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</si>
  <si>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</si>
  <si>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</si>
  <si>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</si>
  <si>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</si>
  <si>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</si>
  <si>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</si>
  <si>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</si>
  <si>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</si>
  <si>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</si>
  <si>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</si>
  <si>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</si>
  <si>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</si>
  <si>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</si>
  <si>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</si>
  <si>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</si>
  <si>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</si>
  <si>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</si>
  <si>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</si>
  <si>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</si>
  <si>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</si>
  <si>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</si>
  <si>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</si>
  <si>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</si>
  <si>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</si>
  <si>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</si>
  <si>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</si>
  <si>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</si>
  <si>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</si>
  <si>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</si>
  <si>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</si>
  <si>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</si>
  <si>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</si>
  <si>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</si>
  <si>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</si>
  <si>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</si>
  <si>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</si>
  <si>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</si>
  <si>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</si>
  <si>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</si>
  <si>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</si>
  <si>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</si>
  <si>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</si>
  <si>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</si>
  <si>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</si>
  <si>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</si>
  <si>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</si>
  <si>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</si>
  <si>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</si>
  <si>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</si>
  <si>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</si>
  <si>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</si>
  <si>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</si>
  <si>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</si>
  <si>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</si>
  <si>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</si>
  <si>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</si>
  <si>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</si>
  <si>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</si>
  <si>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</si>
  <si>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</si>
  <si>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</si>
  <si>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</si>
  <si>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</si>
  <si>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</si>
  <si>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</si>
  <si>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</si>
  <si>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</si>
  <si>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</si>
  <si>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</si>
  <si>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</si>
  <si>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</si>
  <si>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</si>
  <si>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</si>
  <si>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</si>
  <si>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</si>
  <si>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</si>
  <si>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</si>
  <si>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</si>
  <si>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</si>
  <si>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</si>
  <si>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</si>
  <si>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</si>
  <si>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</si>
  <si>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</si>
  <si>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</si>
  <si>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</si>
  <si>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</si>
  <si>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</si>
  <si>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</si>
  <si>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</si>
  <si>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</si>
  <si>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</si>
  <si>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</si>
  <si>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</si>
  <si>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</si>
  <si>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</si>
  <si>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</si>
  <si>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</si>
  <si>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</si>
  <si>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</si>
  <si>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</si>
  <si>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</si>
  <si>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</si>
  <si>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</si>
  <si>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</si>
  <si>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</si>
  <si>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</si>
  <si>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</si>
  <si>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</si>
  <si>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</si>
  <si>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</si>
  <si>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</si>
  <si>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</si>
  <si>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</si>
  <si>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</si>
  <si>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</si>
  <si>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</si>
  <si>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</si>
  <si>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</si>
  <si>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</si>
  <si>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</si>
  <si>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</si>
  <si>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</si>
  <si>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</si>
  <si>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</si>
  <si>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</si>
  <si>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</si>
  <si>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</si>
  <si>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</si>
  <si>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</si>
  <si>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</si>
  <si>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</si>
  <si>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</si>
  <si>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</si>
  <si>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</si>
  <si>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</si>
  <si>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</si>
  <si>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</si>
  <si>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</si>
  <si>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</si>
  <si>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</si>
  <si>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</si>
  <si>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</si>
  <si>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</si>
  <si>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</si>
  <si>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</si>
  <si>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</si>
  <si>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</si>
  <si>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</si>
  <si>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</si>
  <si>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</si>
  <si>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</si>
  <si>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</si>
  <si>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</si>
  <si>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</si>
  <si>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</si>
  <si>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</si>
  <si>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</si>
  <si>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</si>
  <si>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</si>
  <si>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</si>
  <si>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</si>
  <si>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</si>
  <si>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</si>
  <si>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</si>
  <si>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</si>
  <si>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</si>
  <si>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</si>
  <si>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</si>
  <si>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</si>
  <si>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</si>
  <si>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</si>
  <si>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</si>
  <si>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</si>
  <si>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</si>
  <si>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</si>
  <si>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</si>
  <si>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</si>
  <si>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</si>
  <si>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</si>
  <si>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</si>
  <si>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</si>
  <si>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</si>
  <si>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</si>
  <si>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</si>
  <si>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</si>
  <si>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</si>
  <si>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</si>
  <si>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</si>
  <si>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</si>
  <si>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</si>
  <si>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</si>
  <si>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</si>
  <si>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</si>
  <si>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</si>
  <si>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</si>
  <si>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</si>
  <si>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</si>
  <si>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</si>
  <si>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</si>
  <si>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</si>
  <si>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</si>
  <si>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</si>
  <si>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</si>
  <si>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</si>
  <si>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</si>
  <si>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</si>
  <si>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</si>
  <si>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</si>
  <si>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</si>
  <si>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</si>
  <si>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</si>
  <si>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</si>
  <si>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</si>
  <si>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</si>
  <si>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</si>
  <si>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</si>
  <si>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</si>
  <si>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</si>
  <si>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</si>
  <si>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</si>
  <si>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</si>
  <si>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</si>
  <si>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</si>
  <si>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</si>
  <si>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</si>
  <si>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</si>
  <si>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</si>
  <si>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</si>
  <si>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</si>
  <si>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</si>
  <si>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</si>
  <si>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</si>
  <si>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</si>
  <si>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</si>
  <si>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</si>
  <si>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</si>
  <si>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</si>
  <si>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</si>
  <si>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</si>
  <si>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</si>
  <si>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</si>
  <si>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</si>
  <si>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</si>
  <si>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</si>
  <si>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</si>
  <si>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</si>
  <si>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</si>
  <si>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</si>
  <si>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</si>
  <si>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</si>
  <si>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</si>
  <si>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</si>
  <si>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</si>
  <si>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</si>
  <si>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</si>
  <si>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</si>
  <si>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</si>
  <si>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</si>
  <si>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</si>
  <si>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</si>
  <si>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</si>
  <si>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</si>
  <si>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</si>
  <si>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</si>
  <si>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</si>
  <si>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</si>
  <si>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</si>
  <si>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</si>
  <si>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</si>
  <si>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</si>
  <si>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</si>
  <si>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</si>
  <si>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</si>
  <si>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</si>
  <si>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</si>
  <si>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</si>
  <si>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</si>
  <si>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</si>
  <si>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Thane Municipal Corporation (TMC)</t>
  </si>
  <si>
    <t>Khopoli Municipal Council</t>
  </si>
  <si>
    <t>Prime Square</t>
  </si>
  <si>
    <t>Prime Realtors</t>
  </si>
  <si>
    <t>022-28059955</t>
  </si>
  <si>
    <t>Shakti Niwas</t>
  </si>
  <si>
    <t>P51800045886</t>
  </si>
  <si>
    <t>Builder Saleable Area, Cost Sheet, Airport Noc, Railway Noc, OC</t>
  </si>
  <si>
    <t>CC &amp; Sale Plans</t>
  </si>
  <si>
    <t>33, 33/1 to 20, Redevelopement of " Shakti Niwas "</t>
  </si>
  <si>
    <t>Malad North</t>
  </si>
  <si>
    <t>https://maps.app.goo.gl/tkB3NMHQpWidzKe36</t>
  </si>
  <si>
    <t>19.203586,72.849879</t>
  </si>
  <si>
    <t>Subodh Kunj</t>
  </si>
  <si>
    <t>Jethava Nagar</t>
  </si>
  <si>
    <t>Swami Vivekananda Road</t>
  </si>
  <si>
    <t>Swami Vivekananda Road &amp; Narayan Joshi Road No.2</t>
  </si>
  <si>
    <t>Society Bhavan (Narayan Bhavan)</t>
  </si>
  <si>
    <t>Narayan Joshi Road No.2</t>
  </si>
  <si>
    <t>Other Plot</t>
  </si>
  <si>
    <t>9.10 M. Wide Existing Road</t>
  </si>
  <si>
    <t>27.40 M Wide Existing S.V Road</t>
  </si>
  <si>
    <t>P-2222/2019/(33)/R/SWARD/MALAD/
R/S/337/1/New</t>
  </si>
  <si>
    <t>As per RERA - 30/06/2026</t>
  </si>
  <si>
    <r>
      <t xml:space="preserve">Proposed Amenities :                                                                                                                                                                                                                         </t>
    </r>
    <r>
      <rPr>
        <b/>
        <sz val="12"/>
        <rFont val="Times New Roman"/>
        <family val="1"/>
      </rPr>
      <t xml:space="preserve">                                               </t>
    </r>
  </si>
  <si>
    <t xml:space="preserve">Details of Commercials in Building   </t>
  </si>
  <si>
    <t>Basement Floor For Pump Room, Domestic Tank, Fire Fighting Tank, Flushing Tank &amp;
 D. G Set Room</t>
  </si>
  <si>
    <t>Ground Floor For Commercial</t>
  </si>
  <si>
    <t>Shop Duplex with 1st Floor</t>
  </si>
  <si>
    <t>Rehab</t>
  </si>
  <si>
    <t>Sale</t>
  </si>
  <si>
    <t>Shop</t>
  </si>
  <si>
    <t>10 &amp; 20</t>
  </si>
  <si>
    <t>18 A</t>
  </si>
  <si>
    <t>18 B</t>
  </si>
  <si>
    <t>1st Floor</t>
  </si>
  <si>
    <t>Shop Duplex with Ground Floor</t>
  </si>
  <si>
    <t>13a</t>
  </si>
  <si>
    <t>2nd &amp; 3rd Floor</t>
  </si>
  <si>
    <t>Office</t>
  </si>
  <si>
    <t>4th Podium Floor For Parking &amp; Space For Electric Meter Room</t>
  </si>
  <si>
    <t>5th Podium Floor For Parking &amp; Society Office</t>
  </si>
  <si>
    <t>6th, 7th &amp; 8th Podium Floor For Parking</t>
  </si>
  <si>
    <t>9th Floor For (Part Refuge Area)</t>
  </si>
  <si>
    <t>Refuge Area</t>
  </si>
  <si>
    <t>10th to 15th &amp; 17th to 19th Floor</t>
  </si>
  <si>
    <t>16th Floor (Part Refuge Area)</t>
  </si>
  <si>
    <t>1B + Gr + 1st to 3rd + P4 to P8 + 9th to 19th Floor</t>
  </si>
  <si>
    <t>Sky Garden, Roof Top Cafeteria, Jogging Track, Yoga Fitness, Billiards, 24 x 7 Security Service, CCTV Surveillance, Ample Car Parking, 6 Branded High- Speed Elevators, Conference / Society Office, Advanced Fire Fighting System, Hi-Tech Security System, EV Charging Points, Grand Entrance Lobby etc.</t>
  </si>
  <si>
    <t>Commercial Area Details :Sale</t>
  </si>
  <si>
    <t>Commercial Area Details :Rehab</t>
  </si>
  <si>
    <t>Sale Shops - 11,  Sale Offices - 148, Rehab Shop - 20</t>
  </si>
  <si>
    <t xml:space="preserve">We considered Gross carpet area = Net carpet </t>
  </si>
  <si>
    <t>0.21 KM from Kandivali Railway Station</t>
  </si>
  <si>
    <t>Kandivali West</t>
  </si>
  <si>
    <t>Society Bhavan (Narayan Bhuvan)</t>
  </si>
  <si>
    <t>We have taken approved plans from MCGM Site on 05/02/2024.</t>
  </si>
  <si>
    <t>Recommended rate of the Shop Per Sq. Ft. (Ground Floor)</t>
  </si>
  <si>
    <t>Recommended rate of the Shop Per Sq. Ft. (Ground + 1st Floor)</t>
  </si>
  <si>
    <t>Recommended rate of the Office Per Sq. Ft. (2nd to 6th Floor)</t>
  </si>
  <si>
    <t>Recommended rate of the Office Per Sq. Ft. (7th to 19th Floor)</t>
  </si>
  <si>
    <t>Validity of CC is expired on 31/03/2024. Please provide latest CC.</t>
  </si>
  <si>
    <t>P-2222/2019/(33)/R/S Ward/MALAD-R/S/FCC/4/Amend</t>
  </si>
  <si>
    <t>This C.C. is re-endorsed for the work of building comprising of Basement + Ground + 1st to 3rd floors + 4th to 8th podium floors + 9th to 19th upper commercial floors + lift opening at terrace level + LMR &amp; OHT as per approved amended plans dated 11.11.2024.</t>
  </si>
  <si>
    <t>P-2222/2019/(33)/R/S Ward/MALAD-R/S/OCC/1/New
Approved upto : Basement (pt) + Shop No.5,12 &amp; 17 and amalgamated Shop No. 10, 11, 19 &amp; 20 at ground floor + 1st floor for Shop No. 124, 125 &amp; 126.</t>
  </si>
  <si>
    <t xml:space="preserve">Part O. Certificate No.: </t>
  </si>
  <si>
    <t>60 Years After Completion</t>
  </si>
  <si>
    <t>We have updated part OC &amp; latest CC from MCGM site (on 24/04/2025).</t>
  </si>
  <si>
    <t>Sanket Salvi</t>
  </si>
  <si>
    <t>Recommended rate of the Shop Per Sq. Ft. (First Floor)</t>
  </si>
  <si>
    <t>Shop no. 5,12 &amp; 17 and amalgamated Shop No. 10, 11, 19 &amp; 20 at ground floor &amp; @ 1st floor for Shop No. 124, 125 &amp; 126 have received OC. Therefore stage construction for this shops is 100% completed</t>
  </si>
  <si>
    <t>09/07/2025.</t>
  </si>
  <si>
    <t>Mr. Rakesh 9820400348</t>
  </si>
  <si>
    <t>03/07/2023.</t>
  </si>
  <si>
    <t>11/12/2024.</t>
  </si>
  <si>
    <t>31/03/2025.</t>
  </si>
  <si>
    <t>21/02/2025.</t>
  </si>
  <si>
    <t>Validity of CC is expired on 31/03/2025. Please provide latest CC.</t>
  </si>
  <si>
    <t>Please provide Revised approved plans dtd. 11/11/2024.</t>
  </si>
  <si>
    <t>Shruti Tathare</t>
  </si>
  <si>
    <t>Construction work is in process at the time of Visit. Internal visit was not allowed.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</si>
</sst>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theme="1"/>
      <name val="Calibri Light"/>
      <family val="2"/>
      <scheme val="major"/>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235">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6" fillId="0" borderId="1" xfId="1" applyFont="1" applyBorder="1" applyAlignment="1" applyProtection="1">
      <alignment horizontal="center" vertical="top"/>
      <protection locked="0"/>
    </xf>
    <xf numFmtId="0" fontId="19" fillId="0" borderId="11" xfId="0" applyFont="1" applyBorder="1" applyProtection="1">
      <protection hidden="1"/>
    </xf>
    <xf numFmtId="0" fontId="13" fillId="0" borderId="4"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9" fontId="8" fillId="0" borderId="1" xfId="8" applyFont="1" applyFill="1" applyBorder="1" applyAlignment="1" applyProtection="1">
      <alignment horizontal="center" vertical="top" wrapText="1"/>
      <protection locked="0"/>
    </xf>
    <xf numFmtId="9" fontId="8" fillId="0" borderId="7" xfId="8" applyFont="1" applyFill="1" applyBorder="1" applyAlignment="1" applyProtection="1">
      <alignment horizontal="center"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10" xfId="1" applyFont="1" applyBorder="1"/>
    <xf numFmtId="0" fontId="19"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26" fillId="2" borderId="30" xfId="0" applyFont="1" applyFill="1" applyBorder="1"/>
    <xf numFmtId="0" fontId="27" fillId="0" borderId="31" xfId="0" applyFont="1" applyBorder="1"/>
    <xf numFmtId="0" fontId="27" fillId="0" borderId="1" xfId="0" applyFont="1" applyBorder="1"/>
    <xf numFmtId="0" fontId="27" fillId="0" borderId="5" xfId="0" applyFont="1" applyBorder="1"/>
    <xf numFmtId="0" fontId="13"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9" fontId="18"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8"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16" fillId="0" borderId="1"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0" fontId="32" fillId="0" borderId="0" xfId="1" applyFont="1"/>
    <xf numFmtId="0" fontId="1" fillId="0" borderId="0" xfId="1" applyFont="1"/>
    <xf numFmtId="0" fontId="33" fillId="0" borderId="0" xfId="0" applyFont="1"/>
    <xf numFmtId="1" fontId="7"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9" fontId="13" fillId="0" borderId="7" xfId="8" applyFont="1" applyFill="1" applyBorder="1" applyAlignment="1" applyProtection="1">
      <alignment horizontal="center" vertical="top" wrapText="1"/>
      <protection locked="0"/>
    </xf>
    <xf numFmtId="2" fontId="8" fillId="0" borderId="0" xfId="1" applyNumberFormat="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lignment horizontal="center" vertical="center"/>
    </xf>
    <xf numFmtId="0" fontId="8" fillId="0" borderId="0" xfId="1" applyFont="1" applyAlignment="1">
      <alignment horizontal="center" vertical="center"/>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26" fillId="2" borderId="15" xfId="0" applyFont="1" applyFill="1" applyBorder="1"/>
    <xf numFmtId="0" fontId="27" fillId="0" borderId="9" xfId="0" applyFont="1" applyBorder="1"/>
    <xf numFmtId="1" fontId="8" fillId="0" borderId="9" xfId="1" applyNumberFormat="1" applyFont="1" applyBorder="1" applyAlignment="1">
      <alignment horizontal="center" vertical="center"/>
    </xf>
    <xf numFmtId="1" fontId="9" fillId="0" borderId="1" xfId="1" applyNumberFormat="1" applyFont="1" applyBorder="1" applyAlignment="1" applyProtection="1">
      <alignment horizontal="center" vertical="top" wrapText="1"/>
      <protection locked="0"/>
    </xf>
    <xf numFmtId="9" fontId="14" fillId="0" borderId="1" xfId="8" applyFont="1" applyFill="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8" fillId="0" borderId="4"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1" fontId="18" fillId="0" borderId="8" xfId="0" applyNumberFormat="1" applyFont="1" applyBorder="1" applyAlignment="1" applyProtection="1">
      <alignment vertical="top" wrapText="1"/>
      <protection locked="0"/>
    </xf>
    <xf numFmtId="1" fontId="18" fillId="0" borderId="21" xfId="0" applyNumberFormat="1" applyFont="1" applyBorder="1" applyAlignment="1" applyProtection="1">
      <alignment vertical="top" wrapText="1"/>
      <protection locked="0"/>
    </xf>
    <xf numFmtId="1" fontId="18" fillId="0" borderId="9" xfId="0" applyNumberFormat="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0" fontId="8" fillId="0" borderId="6"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9" fontId="8" fillId="0" borderId="17" xfId="8" applyFont="1" applyFill="1" applyBorder="1" applyAlignment="1" applyProtection="1">
      <alignment horizontal="center" vertical="center" wrapText="1"/>
      <protection locked="0"/>
    </xf>
    <xf numFmtId="9" fontId="8" fillId="0" borderId="27" xfId="8" applyFont="1" applyFill="1" applyBorder="1" applyAlignment="1" applyProtection="1">
      <alignment horizontal="center" vertical="center" wrapText="1"/>
      <protection locked="0"/>
    </xf>
    <xf numFmtId="9" fontId="8" fillId="0" borderId="25" xfId="8" applyFont="1" applyFill="1" applyBorder="1" applyAlignment="1" applyProtection="1">
      <alignment horizontal="center" vertical="center" wrapText="1"/>
      <protection locked="0"/>
    </xf>
    <xf numFmtId="9" fontId="8" fillId="0" borderId="10" xfId="8" applyFont="1" applyFill="1" applyBorder="1" applyAlignment="1" applyProtection="1">
      <alignment horizontal="center" vertical="center" wrapText="1"/>
      <protection locked="0"/>
    </xf>
    <xf numFmtId="9" fontId="8" fillId="0" borderId="28" xfId="8" applyFont="1" applyFill="1" applyBorder="1" applyAlignment="1" applyProtection="1">
      <alignment horizontal="center" vertical="center" wrapText="1"/>
      <protection locked="0"/>
    </xf>
    <xf numFmtId="9" fontId="8" fillId="0" borderId="12" xfId="8" applyFont="1" applyFill="1" applyBorder="1" applyAlignment="1" applyProtection="1">
      <alignment horizontal="center" vertical="center" wrapText="1"/>
      <protection locked="0"/>
    </xf>
    <xf numFmtId="167" fontId="13" fillId="0" borderId="1" xfId="9" applyNumberFormat="1" applyFont="1" applyFill="1" applyBorder="1" applyAlignment="1" applyProtection="1">
      <alignment horizontal="left" vertical="top"/>
      <protection locked="0"/>
    </xf>
    <xf numFmtId="1" fontId="9" fillId="0" borderId="1" xfId="1" applyNumberFormat="1" applyFont="1" applyBorder="1" applyAlignment="1" applyProtection="1">
      <alignment horizontal="center" vertical="top" wrapText="1"/>
      <protection locked="0"/>
    </xf>
    <xf numFmtId="0" fontId="9" fillId="0" borderId="16" xfId="1" applyFont="1" applyBorder="1" applyAlignment="1" applyProtection="1">
      <alignment horizontal="left" vertical="top"/>
      <protection locked="0"/>
    </xf>
    <xf numFmtId="1" fontId="5" fillId="0" borderId="1" xfId="1" applyNumberFormat="1" applyFont="1" applyBorder="1" applyAlignment="1" applyProtection="1">
      <alignment horizontal="center" vertical="top" wrapText="1"/>
      <protection locked="0"/>
    </xf>
    <xf numFmtId="0" fontId="8" fillId="0" borderId="0" xfId="1" applyFont="1" applyAlignment="1">
      <alignment horizontal="center" vertical="center"/>
    </xf>
    <xf numFmtId="0" fontId="28" fillId="0" borderId="1" xfId="10"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16" xfId="1" applyNumberFormat="1" applyFont="1" applyBorder="1" applyAlignment="1" applyProtection="1">
      <alignment horizontal="center" vertical="top" wrapText="1"/>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14" fillId="0" borderId="8" xfId="1" applyFont="1" applyBorder="1" applyAlignment="1" applyProtection="1">
      <alignment horizontal="left" vertical="top"/>
      <protection locked="0"/>
    </xf>
    <xf numFmtId="0" fontId="14" fillId="0" borderId="21" xfId="1" applyFont="1" applyBorder="1" applyAlignment="1" applyProtection="1">
      <alignment horizontal="left" vertical="top"/>
      <protection locked="0"/>
    </xf>
    <xf numFmtId="0" fontId="14" fillId="0" borderId="9" xfId="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2" fontId="7"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1" fontId="7" fillId="0" borderId="1" xfId="1" applyNumberFormat="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7" fillId="0" borderId="21"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left"/>
      <protection locked="0"/>
    </xf>
    <xf numFmtId="0" fontId="8"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4" fontId="13"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3" fillId="0" borderId="5" xfId="1" applyFont="1" applyBorder="1" applyAlignment="1" applyProtection="1">
      <alignment horizontal="center" vertical="top" wrapText="1"/>
      <protection locked="0"/>
    </xf>
    <xf numFmtId="9" fontId="13" fillId="0" borderId="17" xfId="8" applyFont="1" applyFill="1" applyBorder="1" applyAlignment="1" applyProtection="1">
      <alignment horizontal="center" vertical="center" wrapText="1"/>
      <protection locked="0"/>
    </xf>
    <xf numFmtId="9" fontId="13" fillId="0" borderId="18" xfId="8" applyFont="1" applyFill="1" applyBorder="1" applyAlignment="1" applyProtection="1">
      <alignment horizontal="center" vertical="center" wrapText="1"/>
      <protection locked="0"/>
    </xf>
    <xf numFmtId="9" fontId="13" fillId="0" borderId="25" xfId="8" applyFont="1" applyFill="1" applyBorder="1" applyAlignment="1" applyProtection="1">
      <alignment horizontal="center" vertical="center" wrapText="1"/>
      <protection locked="0"/>
    </xf>
    <xf numFmtId="9" fontId="13" fillId="0" borderId="26" xfId="8" applyFont="1" applyFill="1" applyBorder="1" applyAlignment="1" applyProtection="1">
      <alignment horizontal="center" vertical="center" wrapText="1"/>
      <protection locked="0"/>
    </xf>
    <xf numFmtId="9" fontId="13" fillId="0" borderId="28" xfId="8" applyFont="1" applyFill="1" applyBorder="1" applyAlignment="1" applyProtection="1">
      <alignment horizontal="center" vertical="center" wrapText="1"/>
      <protection locked="0"/>
    </xf>
    <xf numFmtId="9" fontId="13" fillId="0" borderId="29" xfId="8" applyFont="1" applyFill="1" applyBorder="1" applyAlignment="1" applyProtection="1">
      <alignment horizontal="center" vertical="center" wrapText="1"/>
      <protection locked="0"/>
    </xf>
    <xf numFmtId="9" fontId="13" fillId="0" borderId="27" xfId="8" applyFont="1" applyFill="1" applyBorder="1" applyAlignment="1" applyProtection="1">
      <alignment horizontal="center" vertical="center" wrapText="1"/>
      <protection locked="0"/>
    </xf>
    <xf numFmtId="9" fontId="13" fillId="0" borderId="10" xfId="8" applyFont="1" applyFill="1" applyBorder="1" applyAlignment="1" applyProtection="1">
      <alignment horizontal="center" vertical="center" wrapText="1"/>
      <protection locked="0"/>
    </xf>
    <xf numFmtId="9" fontId="13" fillId="0" borderId="12" xfId="8" applyFont="1" applyFill="1" applyBorder="1" applyAlignment="1" applyProtection="1">
      <alignment horizontal="center" vertical="center"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67" fontId="8" fillId="0" borderId="1" xfId="9" applyNumberFormat="1" applyFont="1" applyFill="1" applyBorder="1" applyAlignment="1" applyProtection="1">
      <alignment horizontal="left" vertical="top"/>
      <protection locked="0"/>
    </xf>
    <xf numFmtId="1"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9" fillId="0" borderId="16" xfId="1" applyFont="1" applyBorder="1" applyAlignment="1" applyProtection="1">
      <alignment horizontal="center" vertical="top"/>
      <protection locked="0"/>
    </xf>
    <xf numFmtId="0" fontId="8" fillId="0" borderId="5" xfId="1" applyFont="1" applyBorder="1" applyAlignment="1" applyProtection="1">
      <alignment horizontal="center" vertical="top" wrapText="1"/>
      <protection locked="0"/>
    </xf>
    <xf numFmtId="9" fontId="8" fillId="0" borderId="18" xfId="8" applyFont="1" applyFill="1" applyBorder="1" applyAlignment="1" applyProtection="1">
      <alignment horizontal="center" vertical="center" wrapText="1"/>
      <protection locked="0"/>
    </xf>
    <xf numFmtId="9" fontId="8" fillId="0" borderId="26" xfId="8" applyFont="1" applyFill="1" applyBorder="1" applyAlignment="1" applyProtection="1">
      <alignment horizontal="center" vertical="center" wrapText="1"/>
      <protection locked="0"/>
    </xf>
    <xf numFmtId="9" fontId="8" fillId="0" borderId="29" xfId="8" applyFont="1" applyFill="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14" fillId="0" borderId="8" xfId="0" applyNumberFormat="1" applyFont="1" applyBorder="1" applyAlignment="1" applyProtection="1">
      <alignment vertical="top" wrapText="1"/>
      <protection locked="0"/>
    </xf>
    <xf numFmtId="1" fontId="14" fillId="0" borderId="21" xfId="0" applyNumberFormat="1" applyFont="1" applyBorder="1" applyAlignment="1" applyProtection="1">
      <alignment vertical="top" wrapText="1"/>
      <protection locked="0"/>
    </xf>
    <xf numFmtId="1" fontId="14" fillId="0" borderId="9" xfId="0" applyNumberFormat="1" applyFont="1" applyBorder="1" applyAlignment="1" applyProtection="1">
      <alignment vertical="top" wrapText="1"/>
      <protection locked="0"/>
    </xf>
    <xf numFmtId="1" fontId="9" fillId="0" borderId="1" xfId="0"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4" fontId="9" fillId="0" borderId="1" xfId="1" applyNumberFormat="1" applyFont="1" applyBorder="1" applyAlignment="1" applyProtection="1">
      <alignment horizontal="left" vertical="top"/>
      <protection locked="0"/>
    </xf>
    <xf numFmtId="0" fontId="16" fillId="0" borderId="17" xfId="1" applyFont="1" applyBorder="1" applyAlignment="1" applyProtection="1">
      <alignment horizontal="left" vertical="top" wrapText="1"/>
      <protection locked="0"/>
    </xf>
    <xf numFmtId="0" fontId="16" fillId="0" borderId="18" xfId="1" applyFont="1" applyBorder="1" applyAlignment="1" applyProtection="1">
      <alignment horizontal="left" vertical="top" wrapText="1"/>
      <protection locked="0"/>
    </xf>
    <xf numFmtId="0" fontId="16" fillId="0" borderId="19" xfId="1" applyFont="1" applyBorder="1" applyAlignment="1" applyProtection="1">
      <alignment horizontal="left" vertical="top" wrapText="1"/>
      <protection locked="0"/>
    </xf>
    <xf numFmtId="0" fontId="16" fillId="0" borderId="20"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8" fillId="0" borderId="25" xfId="1" applyFont="1" applyBorder="1" applyAlignment="1">
      <alignment horizontal="center"/>
    </xf>
    <xf numFmtId="0" fontId="8" fillId="0" borderId="0" xfId="1" applyFont="1" applyAlignment="1">
      <alignment horizontal="center"/>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25" xfId="1" applyNumberFormat="1" applyFont="1" applyBorder="1" applyAlignment="1" applyProtection="1">
      <alignment horizontal="center" vertical="center" wrapText="1"/>
      <protection locked="0"/>
    </xf>
    <xf numFmtId="1" fontId="8" fillId="0" borderId="0" xfId="1" applyNumberFormat="1" applyFont="1" applyBorder="1" applyAlignment="1" applyProtection="1">
      <alignment horizontal="center" vertical="center" wrapText="1"/>
      <protection locked="0"/>
    </xf>
    <xf numFmtId="1" fontId="8" fillId="0" borderId="26"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0" fontId="10"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488438</xdr:colOff>
      <xdr:row>3</xdr:row>
      <xdr:rowOff>108148</xdr:rowOff>
    </xdr:from>
    <xdr:to>
      <xdr:col>14</xdr:col>
      <xdr:colOff>542180</xdr:colOff>
      <xdr:row>13</xdr:row>
      <xdr:rowOff>194101</xdr:rowOff>
    </xdr:to>
    <xdr:pic>
      <xdr:nvPicPr>
        <xdr:cNvPr id="2" name="Picture 1"/>
        <xdr:cNvPicPr>
          <a:picLocks noChangeAspect="1"/>
        </xdr:cNvPicPr>
      </xdr:nvPicPr>
      <xdr:blipFill>
        <a:blip xmlns:r="http://schemas.openxmlformats.org/officeDocument/2006/relationships" r:embed="rId1"/>
        <a:stretch>
          <a:fillRect/>
        </a:stretch>
      </xdr:blipFill>
      <xdr:spPr>
        <a:xfrm>
          <a:off x="6803513" y="1108273"/>
          <a:ext cx="5235342" cy="2067153"/>
        </a:xfrm>
        <a:prstGeom prst="rect">
          <a:avLst/>
        </a:prstGeom>
      </xdr:spPr>
    </xdr:pic>
    <xdr:clientData/>
  </xdr:twoCellAnchor>
  <xdr:twoCellAnchor editAs="oneCell">
    <xdr:from>
      <xdr:col>8</xdr:col>
      <xdr:colOff>307698</xdr:colOff>
      <xdr:row>15</xdr:row>
      <xdr:rowOff>77440</xdr:rowOff>
    </xdr:from>
    <xdr:to>
      <xdr:col>14</xdr:col>
      <xdr:colOff>528997</xdr:colOff>
      <xdr:row>17</xdr:row>
      <xdr:rowOff>71569</xdr:rowOff>
    </xdr:to>
    <xdr:pic>
      <xdr:nvPicPr>
        <xdr:cNvPr id="3" name="Picture 2"/>
        <xdr:cNvPicPr>
          <a:picLocks noChangeAspect="1"/>
        </xdr:cNvPicPr>
      </xdr:nvPicPr>
      <xdr:blipFill>
        <a:blip xmlns:r="http://schemas.openxmlformats.org/officeDocument/2006/relationships" r:embed="rId2"/>
        <a:stretch>
          <a:fillRect/>
        </a:stretch>
      </xdr:blipFill>
      <xdr:spPr>
        <a:xfrm>
          <a:off x="6622773" y="3458815"/>
          <a:ext cx="5402899" cy="1070454"/>
        </a:xfrm>
        <a:prstGeom prst="rect">
          <a:avLst/>
        </a:prstGeom>
      </xdr:spPr>
    </xdr:pic>
    <xdr:clientData/>
  </xdr:twoCellAnchor>
  <xdr:twoCellAnchor editAs="oneCell">
    <xdr:from>
      <xdr:col>1</xdr:col>
      <xdr:colOff>79852</xdr:colOff>
      <xdr:row>389</xdr:row>
      <xdr:rowOff>190499</xdr:rowOff>
    </xdr:from>
    <xdr:to>
      <xdr:col>6</xdr:col>
      <xdr:colOff>669705</xdr:colOff>
      <xdr:row>406</xdr:row>
      <xdr:rowOff>187562</xdr:rowOff>
    </xdr:to>
    <xdr:pic>
      <xdr:nvPicPr>
        <xdr:cNvPr id="4" name="Picture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1852" y="65666470"/>
          <a:ext cx="4680000" cy="3426062"/>
        </a:xfrm>
        <a:prstGeom prst="rect">
          <a:avLst/>
        </a:prstGeom>
        <a:ln w="9525">
          <a:solidFill>
            <a:schemeClr val="tx1"/>
          </a:solidFill>
        </a:ln>
      </xdr:spPr>
    </xdr:pic>
    <xdr:clientData/>
  </xdr:twoCellAnchor>
  <xdr:twoCellAnchor>
    <xdr:from>
      <xdr:col>0</xdr:col>
      <xdr:colOff>414615</xdr:colOff>
      <xdr:row>407</xdr:row>
      <xdr:rowOff>163848</xdr:rowOff>
    </xdr:from>
    <xdr:to>
      <xdr:col>7</xdr:col>
      <xdr:colOff>358587</xdr:colOff>
      <xdr:row>427</xdr:row>
      <xdr:rowOff>168088</xdr:rowOff>
    </xdr:to>
    <xdr:grpSp>
      <xdr:nvGrpSpPr>
        <xdr:cNvPr id="5" name="Group 4"/>
        <xdr:cNvGrpSpPr/>
      </xdr:nvGrpSpPr>
      <xdr:grpSpPr>
        <a:xfrm>
          <a:off x="414615" y="81526398"/>
          <a:ext cx="5525622" cy="4004740"/>
          <a:chOff x="784737" y="4389618"/>
          <a:chExt cx="5400000" cy="3781284"/>
        </a:xfrm>
      </xdr:grpSpPr>
      <xdr:grpSp>
        <xdr:nvGrpSpPr>
          <xdr:cNvPr id="6" name="Group 5"/>
          <xdr:cNvGrpSpPr/>
        </xdr:nvGrpSpPr>
        <xdr:grpSpPr>
          <a:xfrm>
            <a:off x="784737" y="4404928"/>
            <a:ext cx="5400000" cy="3765974"/>
            <a:chOff x="899037" y="4284278"/>
            <a:chExt cx="5400000" cy="3765974"/>
          </a:xfrm>
        </xdr:grpSpPr>
        <xdr:pic>
          <xdr:nvPicPr>
            <xdr:cNvPr id="10" name="Picture 9"/>
            <xdr:cNvPicPr>
              <a:picLocks noChangeAspect="1"/>
            </xdr:cNvPicPr>
          </xdr:nvPicPr>
          <xdr:blipFill>
            <a:blip xmlns:r="http://schemas.openxmlformats.org/officeDocument/2006/relationships" r:embed="rId4"/>
            <a:stretch>
              <a:fillRect/>
            </a:stretch>
          </xdr:blipFill>
          <xdr:spPr>
            <a:xfrm>
              <a:off x="899037" y="4284278"/>
              <a:ext cx="5400000" cy="3765974"/>
            </a:xfrm>
            <a:prstGeom prst="rect">
              <a:avLst/>
            </a:prstGeom>
            <a:ln w="9525">
              <a:solidFill>
                <a:schemeClr val="tx1"/>
              </a:solidFill>
            </a:ln>
          </xdr:spPr>
        </xdr:pic>
        <xdr:sp macro="" textlink="">
          <xdr:nvSpPr>
            <xdr:cNvPr id="11" name="Rectangle 10"/>
            <xdr:cNvSpPr/>
          </xdr:nvSpPr>
          <xdr:spPr>
            <a:xfrm rot="422175">
              <a:off x="2599357" y="6259399"/>
              <a:ext cx="316972" cy="354937"/>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xnSp macro="">
        <xdr:nvCxnSpPr>
          <xdr:cNvPr id="7" name="Straight Connector 6"/>
          <xdr:cNvCxnSpPr/>
        </xdr:nvCxnSpPr>
        <xdr:spPr>
          <a:xfrm flipH="1">
            <a:off x="4343400" y="4404928"/>
            <a:ext cx="609600" cy="3765974"/>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4953001" y="4404928"/>
            <a:ext cx="559989" cy="3765974"/>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sp macro="" textlink="">
        <xdr:nvSpPr>
          <xdr:cNvPr id="9" name="TextBox 14"/>
          <xdr:cNvSpPr txBox="1"/>
        </xdr:nvSpPr>
        <xdr:spPr>
          <a:xfrm rot="16733016">
            <a:off x="3725975" y="5527290"/>
            <a:ext cx="2613898" cy="3385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FF00"/>
                </a:solidFill>
              </a:rPr>
              <a:t>Railway Track</a:t>
            </a:r>
            <a:endParaRPr lang="en-IN" sz="1600" b="1">
              <a:solidFill>
                <a:srgbClr val="FFFF00"/>
              </a:solidFill>
            </a:endParaRPr>
          </a:p>
        </xdr:txBody>
      </xdr:sp>
    </xdr:grpSp>
    <xdr:clientData/>
  </xdr:twoCellAnchor>
  <xdr:twoCellAnchor editAs="oneCell">
    <xdr:from>
      <xdr:col>1</xdr:col>
      <xdr:colOff>23812</xdr:colOff>
      <xdr:row>361</xdr:row>
      <xdr:rowOff>152326</xdr:rowOff>
    </xdr:from>
    <xdr:to>
      <xdr:col>5</xdr:col>
      <xdr:colOff>738867</xdr:colOff>
      <xdr:row>386</xdr:row>
      <xdr:rowOff>85074</xdr:rowOff>
    </xdr:to>
    <xdr:pic>
      <xdr:nvPicPr>
        <xdr:cNvPr id="12" name="Picture 11"/>
        <xdr:cNvPicPr>
          <a:picLocks noChangeAspect="1"/>
        </xdr:cNvPicPr>
      </xdr:nvPicPr>
      <xdr:blipFill rotWithShape="1">
        <a:blip xmlns:r="http://schemas.openxmlformats.org/officeDocument/2006/relationships" r:embed="rId5"/>
        <a:srcRect l="6598" t="2471"/>
        <a:stretch/>
      </xdr:blipFill>
      <xdr:spPr>
        <a:xfrm>
          <a:off x="785812" y="60513612"/>
          <a:ext cx="4048805" cy="5035426"/>
        </a:xfrm>
        <a:prstGeom prst="rect">
          <a:avLst/>
        </a:prstGeom>
        <a:ln w="9525">
          <a:solidFill>
            <a:schemeClr val="tx1"/>
          </a:solidFill>
        </a:ln>
      </xdr:spPr>
    </xdr:pic>
    <xdr:clientData/>
  </xdr:twoCellAnchor>
  <xdr:twoCellAnchor editAs="oneCell">
    <xdr:from>
      <xdr:col>2</xdr:col>
      <xdr:colOff>27215</xdr:colOff>
      <xdr:row>345</xdr:row>
      <xdr:rowOff>107226</xdr:rowOff>
    </xdr:from>
    <xdr:to>
      <xdr:col>4</xdr:col>
      <xdr:colOff>653143</xdr:colOff>
      <xdr:row>361</xdr:row>
      <xdr:rowOff>3402</xdr:rowOff>
    </xdr:to>
    <xdr:pic>
      <xdr:nvPicPr>
        <xdr:cNvPr id="13" name="Picture 12"/>
        <xdr:cNvPicPr>
          <a:picLocks noChangeAspect="1"/>
        </xdr:cNvPicPr>
      </xdr:nvPicPr>
      <xdr:blipFill rotWithShape="1">
        <a:blip xmlns:r="http://schemas.openxmlformats.org/officeDocument/2006/relationships" r:embed="rId6"/>
        <a:srcRect l="1943" b="-963"/>
        <a:stretch/>
      </xdr:blipFill>
      <xdr:spPr>
        <a:xfrm>
          <a:off x="1592036" y="57202797"/>
          <a:ext cx="2381250" cy="3161892"/>
        </a:xfrm>
        <a:prstGeom prst="rect">
          <a:avLst/>
        </a:prstGeom>
        <a:ln w="9525">
          <a:solidFill>
            <a:schemeClr val="tx1"/>
          </a:solidFill>
        </a:ln>
      </xdr:spPr>
    </xdr:pic>
    <xdr:clientData/>
  </xdr:twoCellAnchor>
  <xdr:twoCellAnchor editAs="oneCell">
    <xdr:from>
      <xdr:col>8</xdr:col>
      <xdr:colOff>680141</xdr:colOff>
      <xdr:row>42</xdr:row>
      <xdr:rowOff>143273</xdr:rowOff>
    </xdr:from>
    <xdr:to>
      <xdr:col>15</xdr:col>
      <xdr:colOff>248124</xdr:colOff>
      <xdr:row>46</xdr:row>
      <xdr:rowOff>49224</xdr:rowOff>
    </xdr:to>
    <xdr:pic>
      <xdr:nvPicPr>
        <xdr:cNvPr id="14" name="Picture 13"/>
        <xdr:cNvPicPr>
          <a:picLocks noChangeAspect="1"/>
        </xdr:cNvPicPr>
      </xdr:nvPicPr>
      <xdr:blipFill>
        <a:blip xmlns:r="http://schemas.openxmlformats.org/officeDocument/2006/relationships" r:embed="rId7"/>
        <a:stretch>
          <a:fillRect/>
        </a:stretch>
      </xdr:blipFill>
      <xdr:spPr>
        <a:xfrm>
          <a:off x="7303191" y="10163573"/>
          <a:ext cx="5841783" cy="693351"/>
        </a:xfrm>
        <a:prstGeom prst="rect">
          <a:avLst/>
        </a:prstGeom>
      </xdr:spPr>
    </xdr:pic>
    <xdr:clientData/>
  </xdr:twoCellAnchor>
  <xdr:twoCellAnchor editAs="oneCell">
    <xdr:from>
      <xdr:col>8</xdr:col>
      <xdr:colOff>621092</xdr:colOff>
      <xdr:row>46</xdr:row>
      <xdr:rowOff>128545</xdr:rowOff>
    </xdr:from>
    <xdr:to>
      <xdr:col>12</xdr:col>
      <xdr:colOff>499992</xdr:colOff>
      <xdr:row>49</xdr:row>
      <xdr:rowOff>292704</xdr:rowOff>
    </xdr:to>
    <xdr:pic>
      <xdr:nvPicPr>
        <xdr:cNvPr id="15" name="Picture 14"/>
        <xdr:cNvPicPr>
          <a:picLocks noChangeAspect="1"/>
        </xdr:cNvPicPr>
      </xdr:nvPicPr>
      <xdr:blipFill>
        <a:blip xmlns:r="http://schemas.openxmlformats.org/officeDocument/2006/relationships" r:embed="rId8"/>
        <a:stretch>
          <a:fillRect/>
        </a:stretch>
      </xdr:blipFill>
      <xdr:spPr>
        <a:xfrm>
          <a:off x="7244142" y="10936245"/>
          <a:ext cx="3600000" cy="983309"/>
        </a:xfrm>
        <a:prstGeom prst="rect">
          <a:avLst/>
        </a:prstGeom>
      </xdr:spPr>
    </xdr:pic>
    <xdr:clientData/>
  </xdr:twoCellAnchor>
  <xdr:twoCellAnchor editAs="oneCell">
    <xdr:from>
      <xdr:col>8</xdr:col>
      <xdr:colOff>342900</xdr:colOff>
      <xdr:row>50</xdr:row>
      <xdr:rowOff>38100</xdr:rowOff>
    </xdr:from>
    <xdr:to>
      <xdr:col>13</xdr:col>
      <xdr:colOff>476300</xdr:colOff>
      <xdr:row>52</xdr:row>
      <xdr:rowOff>1170593</xdr:rowOff>
    </xdr:to>
    <xdr:pic>
      <xdr:nvPicPr>
        <xdr:cNvPr id="28" name="Picture 27"/>
        <xdr:cNvPicPr>
          <a:picLocks noChangeAspect="1"/>
        </xdr:cNvPicPr>
      </xdr:nvPicPr>
      <xdr:blipFill>
        <a:blip xmlns:r="http://schemas.openxmlformats.org/officeDocument/2006/relationships" r:embed="rId9"/>
        <a:stretch>
          <a:fillRect/>
        </a:stretch>
      </xdr:blipFill>
      <xdr:spPr>
        <a:xfrm>
          <a:off x="6965950" y="12045950"/>
          <a:ext cx="4680000" cy="2008793"/>
        </a:xfrm>
        <a:prstGeom prst="rect">
          <a:avLst/>
        </a:prstGeom>
        <a:ln>
          <a:solidFill>
            <a:schemeClr val="tx1"/>
          </a:solidFill>
        </a:ln>
      </xdr:spPr>
    </xdr:pic>
    <xdr:clientData/>
  </xdr:twoCellAnchor>
  <xdr:twoCellAnchor>
    <xdr:from>
      <xdr:col>0</xdr:col>
      <xdr:colOff>95250</xdr:colOff>
      <xdr:row>301</xdr:row>
      <xdr:rowOff>76200</xdr:rowOff>
    </xdr:from>
    <xdr:to>
      <xdr:col>7</xdr:col>
      <xdr:colOff>649723</xdr:colOff>
      <xdr:row>338</xdr:row>
      <xdr:rowOff>199437</xdr:rowOff>
    </xdr:to>
    <xdr:grpSp>
      <xdr:nvGrpSpPr>
        <xdr:cNvPr id="17" name="Group 16"/>
        <xdr:cNvGrpSpPr/>
      </xdr:nvGrpSpPr>
      <xdr:grpSpPr>
        <a:xfrm>
          <a:off x="95250" y="60236100"/>
          <a:ext cx="6136123" cy="7524162"/>
          <a:chOff x="95250" y="60236100"/>
          <a:chExt cx="6136123" cy="7524162"/>
        </a:xfrm>
      </xdr:grpSpPr>
      <xdr:pic>
        <xdr:nvPicPr>
          <xdr:cNvPr id="25" name="Picture 24" descr="https://vsjcllp.vsjadon.com/upload/insp-240152-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876676" y="66055875"/>
            <a:ext cx="2250456" cy="1696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0152-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95250" y="63846075"/>
            <a:ext cx="1583173" cy="2105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0152-844.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38150" y="60236100"/>
            <a:ext cx="2636233" cy="3505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0152-847.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171825" y="60236100"/>
            <a:ext cx="2636233" cy="3505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0152-849.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648200" y="63846075"/>
            <a:ext cx="1583173" cy="2105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0152-88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161926" y="66052700"/>
            <a:ext cx="1275887" cy="1696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0152-9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533526" y="66063812"/>
            <a:ext cx="2258791" cy="1696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0152-928.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781175" y="63858775"/>
            <a:ext cx="2792459" cy="2105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kB3NMHQpWidzKe3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89"/>
  <sheetViews>
    <sheetView tabSelected="1" view="pageBreakPreview" zoomScaleNormal="100" zoomScaleSheetLayoutView="100" zoomScalePageLayoutView="85" workbookViewId="0">
      <selection activeCell="K61" sqref="K61"/>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67" t="s">
        <v>164</v>
      </c>
      <c r="B1" s="167"/>
      <c r="C1" s="167"/>
      <c r="D1" s="167"/>
      <c r="E1" s="167"/>
      <c r="F1" s="167"/>
      <c r="G1" s="167"/>
      <c r="H1" s="167"/>
    </row>
    <row r="2" spans="1:26" ht="16.5" customHeight="1" x14ac:dyDescent="0.25">
      <c r="A2" s="168" t="s">
        <v>0</v>
      </c>
      <c r="B2" s="168"/>
      <c r="C2" s="168"/>
      <c r="D2" s="168"/>
      <c r="E2" s="168"/>
      <c r="F2" s="168"/>
      <c r="G2" s="168"/>
      <c r="H2" s="168"/>
    </row>
    <row r="3" spans="1:26" x14ac:dyDescent="0.25">
      <c r="A3" s="144" t="s">
        <v>1</v>
      </c>
      <c r="B3" s="144"/>
      <c r="C3" s="144"/>
      <c r="D3" s="144"/>
      <c r="E3" s="144" t="str">
        <f ca="1">TEXT(TODAY(),"DD/MM/YYYY")</f>
        <v>10/07/2025</v>
      </c>
      <c r="F3" s="144"/>
      <c r="G3" s="144"/>
      <c r="H3" s="144"/>
      <c r="K3" s="60" t="s">
        <v>238</v>
      </c>
      <c r="L3" s="55" t="s">
        <v>236</v>
      </c>
      <c r="M3" s="55" t="s">
        <v>241</v>
      </c>
      <c r="N3" s="55" t="s">
        <v>239</v>
      </c>
      <c r="O3" s="55" t="s">
        <v>240</v>
      </c>
      <c r="P3" s="55" t="s">
        <v>242</v>
      </c>
    </row>
    <row r="4" spans="1:26" ht="15" customHeight="1" x14ac:dyDescent="0.25">
      <c r="A4" s="144" t="s">
        <v>235</v>
      </c>
      <c r="B4" s="144"/>
      <c r="C4" s="144"/>
      <c r="D4" s="144"/>
      <c r="E4" s="144" t="s">
        <v>236</v>
      </c>
      <c r="F4" s="144"/>
      <c r="G4" s="144"/>
      <c r="H4" s="144"/>
      <c r="K4" s="54" t="s">
        <v>237</v>
      </c>
      <c r="L4" s="55" t="s">
        <v>170</v>
      </c>
      <c r="M4" s="55" t="s">
        <v>246</v>
      </c>
      <c r="N4" s="55" t="s">
        <v>248</v>
      </c>
      <c r="O4" s="55" t="s">
        <v>250</v>
      </c>
      <c r="P4" s="55"/>
    </row>
    <row r="5" spans="1:26" ht="15" customHeight="1" x14ac:dyDescent="0.25">
      <c r="A5" s="144" t="s">
        <v>2</v>
      </c>
      <c r="B5" s="144"/>
      <c r="C5" s="144"/>
      <c r="D5" s="144"/>
      <c r="E5" s="144" t="s">
        <v>170</v>
      </c>
      <c r="F5" s="144"/>
      <c r="G5" s="144"/>
      <c r="H5" s="144"/>
      <c r="K5" s="54"/>
      <c r="L5" s="55" t="s">
        <v>243</v>
      </c>
      <c r="M5" s="55" t="s">
        <v>247</v>
      </c>
      <c r="N5" s="55" t="s">
        <v>249</v>
      </c>
      <c r="O5" s="55" t="s">
        <v>251</v>
      </c>
      <c r="P5" s="55"/>
    </row>
    <row r="6" spans="1:26" x14ac:dyDescent="0.25">
      <c r="A6" s="144" t="s">
        <v>3</v>
      </c>
      <c r="B6" s="144"/>
      <c r="C6" s="144"/>
      <c r="D6" s="144"/>
      <c r="E6" s="169" t="s">
        <v>371</v>
      </c>
      <c r="F6" s="144"/>
      <c r="G6" s="144"/>
      <c r="H6" s="144"/>
      <c r="K6" s="54"/>
      <c r="L6" s="55" t="s">
        <v>244</v>
      </c>
      <c r="M6" s="55"/>
      <c r="N6" s="55"/>
      <c r="O6" s="55" t="s">
        <v>252</v>
      </c>
      <c r="P6" s="55"/>
    </row>
    <row r="7" spans="1:26" ht="16.5" customHeight="1" x14ac:dyDescent="0.25">
      <c r="A7" s="144" t="s">
        <v>4</v>
      </c>
      <c r="B7" s="144"/>
      <c r="C7" s="144"/>
      <c r="D7" s="144"/>
      <c r="E7" s="144" t="s">
        <v>303</v>
      </c>
      <c r="F7" s="144"/>
      <c r="G7" s="144"/>
      <c r="H7" s="144"/>
      <c r="K7" s="54"/>
      <c r="L7" s="55" t="s">
        <v>245</v>
      </c>
      <c r="M7" s="55"/>
      <c r="N7" s="55"/>
      <c r="O7" s="55" t="s">
        <v>252</v>
      </c>
      <c r="P7" s="55"/>
    </row>
    <row r="8" spans="1:26" ht="15" customHeight="1" x14ac:dyDescent="0.25">
      <c r="A8" s="144" t="s">
        <v>5</v>
      </c>
      <c r="B8" s="144"/>
      <c r="C8" s="144"/>
      <c r="D8" s="144"/>
      <c r="E8" s="144" t="str">
        <f>E7</f>
        <v>Prime Realtors</v>
      </c>
      <c r="F8" s="144"/>
      <c r="G8" s="144"/>
      <c r="H8" s="144"/>
      <c r="K8" s="54"/>
      <c r="L8" s="55"/>
      <c r="M8" s="55"/>
      <c r="N8" s="55"/>
      <c r="O8" s="55" t="s">
        <v>253</v>
      </c>
      <c r="P8" s="55"/>
    </row>
    <row r="9" spans="1:26" x14ac:dyDescent="0.25">
      <c r="A9" s="144" t="s">
        <v>6</v>
      </c>
      <c r="B9" s="144"/>
      <c r="C9" s="144"/>
      <c r="D9" s="144"/>
      <c r="E9" s="142" t="s">
        <v>302</v>
      </c>
      <c r="F9" s="142"/>
      <c r="G9" s="142"/>
      <c r="H9" s="142"/>
      <c r="K9" s="54"/>
      <c r="L9" s="55"/>
      <c r="M9" s="55"/>
      <c r="N9" s="55"/>
      <c r="O9" s="55" t="s">
        <v>254</v>
      </c>
      <c r="P9" s="55"/>
    </row>
    <row r="10" spans="1:26" x14ac:dyDescent="0.25">
      <c r="A10" s="144" t="s">
        <v>167</v>
      </c>
      <c r="B10" s="144"/>
      <c r="C10" s="144"/>
      <c r="D10" s="144"/>
      <c r="E10" s="144" t="s">
        <v>304</v>
      </c>
      <c r="F10" s="144"/>
      <c r="G10" s="144"/>
      <c r="H10" s="144"/>
      <c r="K10" s="54"/>
      <c r="L10" s="55"/>
      <c r="M10" s="55"/>
      <c r="N10" s="55"/>
      <c r="O10" s="55"/>
      <c r="P10" s="55"/>
    </row>
    <row r="11" spans="1:26" x14ac:dyDescent="0.25">
      <c r="A11" s="144" t="s">
        <v>168</v>
      </c>
      <c r="B11" s="144"/>
      <c r="C11" s="144"/>
      <c r="D11" s="144"/>
      <c r="E11" s="144" t="s">
        <v>372</v>
      </c>
      <c r="F11" s="144"/>
      <c r="G11" s="144"/>
      <c r="H11" s="144"/>
    </row>
    <row r="12" spans="1:26" x14ac:dyDescent="0.25">
      <c r="A12" s="144" t="s">
        <v>7</v>
      </c>
      <c r="B12" s="144"/>
      <c r="C12" s="144"/>
      <c r="D12" s="144"/>
      <c r="E12" s="144" t="s">
        <v>118</v>
      </c>
      <c r="F12" s="144"/>
      <c r="G12" s="144"/>
      <c r="H12" s="144"/>
    </row>
    <row r="13" spans="1:26" x14ac:dyDescent="0.25">
      <c r="A13" s="144" t="s">
        <v>171</v>
      </c>
      <c r="B13" s="144"/>
      <c r="C13" s="144"/>
      <c r="D13" s="144"/>
      <c r="E13" s="144" t="s">
        <v>305</v>
      </c>
      <c r="F13" s="144"/>
      <c r="G13" s="144"/>
      <c r="H13" s="144"/>
      <c r="S13" s="55" t="s">
        <v>179</v>
      </c>
      <c r="T13" s="55" t="s">
        <v>189</v>
      </c>
      <c r="U13" s="55" t="s">
        <v>172</v>
      </c>
      <c r="V13" s="55" t="s">
        <v>194</v>
      </c>
      <c r="W13" s="55" t="s">
        <v>212</v>
      </c>
      <c r="X13"/>
      <c r="Y13" t="s">
        <v>194</v>
      </c>
      <c r="Z13" t="e">
        <f ca="1">OFFSET($S$13,1,MATCH($G20,$S$13:$W$13,0)-1,15,1)</f>
        <v>#VALUE!</v>
      </c>
    </row>
    <row r="14" spans="1:26" x14ac:dyDescent="0.25">
      <c r="A14" s="105" t="s">
        <v>281</v>
      </c>
      <c r="B14" s="105"/>
      <c r="C14" s="105"/>
      <c r="D14" s="105"/>
      <c r="E14" s="132" t="s">
        <v>308</v>
      </c>
      <c r="F14" s="132"/>
      <c r="G14" s="132"/>
      <c r="H14" s="132"/>
      <c r="I14" s="21" t="s">
        <v>307</v>
      </c>
      <c r="S14" s="55" t="s">
        <v>180</v>
      </c>
      <c r="T14" s="55" t="s">
        <v>187</v>
      </c>
      <c r="U14" s="55" t="s">
        <v>209</v>
      </c>
      <c r="V14" s="55" t="s">
        <v>195</v>
      </c>
      <c r="W14" s="55" t="s">
        <v>213</v>
      </c>
      <c r="X14"/>
      <c r="Y14"/>
      <c r="Z14"/>
    </row>
    <row r="15" spans="1:26" x14ac:dyDescent="0.25">
      <c r="A15" s="105" t="s">
        <v>8</v>
      </c>
      <c r="B15" s="105"/>
      <c r="C15" s="105"/>
      <c r="D15" s="105"/>
      <c r="E15" s="132" t="s">
        <v>306</v>
      </c>
      <c r="F15" s="144"/>
      <c r="G15" s="144"/>
      <c r="H15" s="144"/>
      <c r="I15" s="217" t="e">
        <f ca="1">OFFSET($D$5,1,MATCH($J13,$D$5:$H$5,0)-1,15,1)</f>
        <v>#N/A</v>
      </c>
      <c r="J15" s="218"/>
      <c r="K15" s="218"/>
      <c r="L15" s="218"/>
      <c r="M15" s="218"/>
      <c r="N15" s="218"/>
      <c r="O15" s="218"/>
      <c r="P15" s="218"/>
      <c r="S15" s="55" t="s">
        <v>181</v>
      </c>
      <c r="T15" s="55" t="s">
        <v>188</v>
      </c>
      <c r="U15" s="55" t="s">
        <v>210</v>
      </c>
      <c r="V15" s="55" t="s">
        <v>196</v>
      </c>
      <c r="W15" s="55" t="s">
        <v>226</v>
      </c>
      <c r="X15"/>
      <c r="Y15"/>
      <c r="Z15"/>
    </row>
    <row r="16" spans="1:26" ht="69" customHeight="1" x14ac:dyDescent="0.25">
      <c r="A16" s="155" t="s">
        <v>9</v>
      </c>
      <c r="B16" s="155"/>
      <c r="C16" s="155" t="str">
        <f>CONCATENATE((IF(OR(E9="",E9="NA"),"",E9)),", ",(IF(OR(A17="",A17="NA"),"",A17)),".",(IF(OR(C17="",C17="NA"),"",C17)),", near ",(IF(OR(C22="",C22="NA"),"",C22)),", ",(IF(OR(C19="",C19="NA"),"",C19)),", ",(IF(OR(C18="",C18="NA"),"",C18)),", ",(IF(OR(G19="",G19="NA"),"",G19)),", ",(IF(OR(C20="",C20="NA"),"",C20)),", ",(IF(OR(C21="",C21="NA"),"",C21)),", ",(IF(OR(G20="",G20="NA"),"",G20))," - ",(IF(OR(G21="",G21="NA"),"",G21)),".")</f>
        <v>Prime Square, CTS No.33, 33/1 to 20, Redevelopement of " Shakti Niwas ", near Society Bhavan (Narayan Bhuvan), Swami Vivekananda Road &amp; Narayan Joshi Road No.2, Jethava Nagar, Malad North, Kandivali West, Borivali, Mumbai - 400067.</v>
      </c>
      <c r="D16" s="155"/>
      <c r="E16" s="155"/>
      <c r="F16" s="155"/>
      <c r="G16" s="155"/>
      <c r="H16" s="155"/>
      <c r="S16" s="55" t="s">
        <v>182</v>
      </c>
      <c r="T16" s="55" t="s">
        <v>190</v>
      </c>
      <c r="U16" s="55" t="s">
        <v>211</v>
      </c>
      <c r="V16" s="55" t="s">
        <v>197</v>
      </c>
      <c r="W16" s="55" t="s">
        <v>214</v>
      </c>
      <c r="X16"/>
      <c r="Y16"/>
      <c r="Z16"/>
    </row>
    <row r="17" spans="1:26" x14ac:dyDescent="0.25">
      <c r="A17" s="132" t="s">
        <v>175</v>
      </c>
      <c r="B17" s="132"/>
      <c r="C17" s="132" t="s">
        <v>309</v>
      </c>
      <c r="D17" s="132"/>
      <c r="E17" s="132"/>
      <c r="F17" s="132"/>
      <c r="G17" s="132"/>
      <c r="H17" s="132"/>
      <c r="S17" s="55" t="s">
        <v>183</v>
      </c>
      <c r="T17" s="55" t="s">
        <v>191</v>
      </c>
      <c r="U17" s="55" t="s">
        <v>172</v>
      </c>
      <c r="V17" s="55" t="s">
        <v>198</v>
      </c>
      <c r="W17" s="55" t="s">
        <v>215</v>
      </c>
      <c r="X17"/>
      <c r="Y17"/>
      <c r="Z17"/>
    </row>
    <row r="18" spans="1:26" ht="15.75" customHeight="1" x14ac:dyDescent="0.25">
      <c r="A18" s="132" t="s">
        <v>162</v>
      </c>
      <c r="B18" s="132"/>
      <c r="C18" s="132" t="s">
        <v>314</v>
      </c>
      <c r="D18" s="132"/>
      <c r="E18" s="132"/>
      <c r="F18" s="132"/>
      <c r="G18" s="132"/>
      <c r="H18" s="132"/>
      <c r="S18" s="55" t="s">
        <v>184</v>
      </c>
      <c r="T18" s="55" t="s">
        <v>189</v>
      </c>
      <c r="U18" s="55"/>
      <c r="V18" s="55" t="s">
        <v>199</v>
      </c>
      <c r="W18" s="55" t="s">
        <v>216</v>
      </c>
      <c r="X18"/>
      <c r="Y18"/>
      <c r="Z18"/>
    </row>
    <row r="19" spans="1:26" ht="30.75" customHeight="1" x14ac:dyDescent="0.25">
      <c r="A19" s="155" t="s">
        <v>10</v>
      </c>
      <c r="B19" s="155"/>
      <c r="C19" s="132" t="s">
        <v>316</v>
      </c>
      <c r="D19" s="132"/>
      <c r="E19" s="132" t="s">
        <v>69</v>
      </c>
      <c r="F19" s="132"/>
      <c r="G19" s="132" t="s">
        <v>310</v>
      </c>
      <c r="H19" s="132"/>
      <c r="S19" s="55" t="s">
        <v>185</v>
      </c>
      <c r="T19" s="55" t="s">
        <v>192</v>
      </c>
      <c r="U19" s="55"/>
      <c r="V19" s="55" t="s">
        <v>200</v>
      </c>
      <c r="W19" s="55" t="s">
        <v>217</v>
      </c>
      <c r="X19"/>
      <c r="Y19"/>
      <c r="Z19"/>
    </row>
    <row r="20" spans="1:26" x14ac:dyDescent="0.25">
      <c r="A20" s="105" t="s">
        <v>12</v>
      </c>
      <c r="B20" s="105"/>
      <c r="C20" s="132" t="s">
        <v>354</v>
      </c>
      <c r="D20" s="132"/>
      <c r="E20" s="132" t="s">
        <v>11</v>
      </c>
      <c r="F20" s="132"/>
      <c r="G20" s="165" t="s">
        <v>172</v>
      </c>
      <c r="H20" s="165"/>
      <c r="S20" s="55" t="s">
        <v>186</v>
      </c>
      <c r="T20" s="55" t="s">
        <v>193</v>
      </c>
      <c r="U20" s="55"/>
      <c r="V20" s="55" t="s">
        <v>201</v>
      </c>
      <c r="W20" s="55" t="s">
        <v>218</v>
      </c>
      <c r="X20"/>
      <c r="Y20"/>
      <c r="Z20"/>
    </row>
    <row r="21" spans="1:26" x14ac:dyDescent="0.25">
      <c r="A21" s="105" t="s">
        <v>70</v>
      </c>
      <c r="B21" s="105"/>
      <c r="C21" s="166" t="s">
        <v>210</v>
      </c>
      <c r="D21" s="166"/>
      <c r="E21" s="132" t="s">
        <v>13</v>
      </c>
      <c r="F21" s="132"/>
      <c r="G21" s="132">
        <v>400067</v>
      </c>
      <c r="H21" s="132"/>
      <c r="S21" s="55"/>
      <c r="T21" s="55"/>
      <c r="U21" s="55"/>
      <c r="V21" s="55" t="s">
        <v>202</v>
      </c>
      <c r="W21" s="55" t="s">
        <v>219</v>
      </c>
      <c r="X21"/>
      <c r="Y21"/>
      <c r="Z21"/>
    </row>
    <row r="22" spans="1:26" ht="52.5" customHeight="1" x14ac:dyDescent="0.25">
      <c r="A22" s="105" t="s">
        <v>120</v>
      </c>
      <c r="B22" s="105"/>
      <c r="C22" s="132" t="s">
        <v>355</v>
      </c>
      <c r="D22" s="132"/>
      <c r="E22" s="155" t="s">
        <v>14</v>
      </c>
      <c r="F22" s="155"/>
      <c r="G22" s="132" t="s">
        <v>353</v>
      </c>
      <c r="H22" s="132"/>
      <c r="S22" s="55"/>
      <c r="T22" s="55"/>
      <c r="U22" s="55"/>
      <c r="V22" s="55" t="s">
        <v>203</v>
      </c>
      <c r="W22" s="55" t="s">
        <v>220</v>
      </c>
      <c r="X22"/>
      <c r="Y22"/>
      <c r="Z22"/>
    </row>
    <row r="23" spans="1:26" ht="15" customHeight="1" x14ac:dyDescent="0.25">
      <c r="A23" s="155" t="s">
        <v>71</v>
      </c>
      <c r="B23" s="155"/>
      <c r="C23" s="155"/>
      <c r="D23" s="155"/>
      <c r="E23" s="144" t="s">
        <v>15</v>
      </c>
      <c r="F23" s="144"/>
      <c r="G23" s="144"/>
      <c r="H23" s="144"/>
      <c r="S23" s="55"/>
      <c r="T23" s="55"/>
      <c r="U23" s="55"/>
      <c r="V23" s="55" t="s">
        <v>204</v>
      </c>
      <c r="W23" s="55" t="s">
        <v>221</v>
      </c>
      <c r="X23"/>
      <c r="Y23"/>
      <c r="Z23"/>
    </row>
    <row r="24" spans="1:26" ht="18.75" customHeight="1" x14ac:dyDescent="0.25">
      <c r="A24" s="155"/>
      <c r="B24" s="155"/>
      <c r="C24" s="155"/>
      <c r="D24" s="155"/>
      <c r="E24" s="144"/>
      <c r="F24" s="144"/>
      <c r="G24" s="144"/>
      <c r="H24" s="144"/>
      <c r="S24" s="55"/>
      <c r="T24" s="55"/>
      <c r="U24" s="55"/>
      <c r="V24" s="55" t="s">
        <v>205</v>
      </c>
      <c r="W24" s="55" t="s">
        <v>222</v>
      </c>
      <c r="X24"/>
      <c r="Y24"/>
      <c r="Z24"/>
    </row>
    <row r="25" spans="1:26" ht="15" customHeight="1" x14ac:dyDescent="0.25">
      <c r="A25" s="155" t="s">
        <v>16</v>
      </c>
      <c r="B25" s="155"/>
      <c r="C25" s="155"/>
      <c r="D25" s="155"/>
      <c r="E25" s="132" t="s">
        <v>17</v>
      </c>
      <c r="F25" s="132"/>
      <c r="G25" s="132"/>
      <c r="H25" s="132"/>
      <c r="S25" s="55"/>
      <c r="T25" s="55"/>
      <c r="U25" s="55"/>
      <c r="V25" s="55" t="s">
        <v>206</v>
      </c>
      <c r="W25" s="55" t="s">
        <v>223</v>
      </c>
      <c r="X25"/>
      <c r="Y25"/>
      <c r="Z25"/>
    </row>
    <row r="26" spans="1:26" ht="15" customHeight="1" x14ac:dyDescent="0.25">
      <c r="A26" s="105" t="s">
        <v>18</v>
      </c>
      <c r="B26" s="105"/>
      <c r="C26" s="105"/>
      <c r="D26" s="105"/>
      <c r="E26" s="132" t="str">
        <f>IF(AND(G20="Mumbai"),"Upper Class","Middle Class")</f>
        <v>Upper Class</v>
      </c>
      <c r="F26" s="132"/>
      <c r="G26" s="132"/>
      <c r="H26" s="132"/>
      <c r="S26" s="55"/>
      <c r="T26" s="55"/>
      <c r="U26" s="55"/>
      <c r="V26" s="55" t="s">
        <v>207</v>
      </c>
      <c r="W26" s="55" t="s">
        <v>224</v>
      </c>
      <c r="X26"/>
      <c r="Y26"/>
      <c r="Z26"/>
    </row>
    <row r="27" spans="1:26" x14ac:dyDescent="0.25">
      <c r="A27" s="105" t="s">
        <v>19</v>
      </c>
      <c r="B27" s="105"/>
      <c r="C27" s="105"/>
      <c r="D27" s="105"/>
      <c r="E27" s="132" t="s">
        <v>20</v>
      </c>
      <c r="F27" s="132"/>
      <c r="G27" s="132"/>
      <c r="H27" s="132"/>
      <c r="S27" s="55"/>
      <c r="T27" s="55"/>
      <c r="U27" s="55"/>
      <c r="V27" s="55" t="s">
        <v>208</v>
      </c>
      <c r="W27" s="55" t="s">
        <v>225</v>
      </c>
      <c r="X27"/>
      <c r="Y27"/>
      <c r="Z27"/>
    </row>
    <row r="28" spans="1:26" ht="15.75" customHeight="1" x14ac:dyDescent="0.25">
      <c r="A28" s="105" t="s">
        <v>21</v>
      </c>
      <c r="B28" s="105"/>
      <c r="C28" s="105"/>
      <c r="D28" s="105"/>
      <c r="E28" s="132" t="str">
        <f>IF(AND(G20="Mumbai"),"Developed","Developing")</f>
        <v>Developed</v>
      </c>
      <c r="F28" s="132"/>
      <c r="G28" s="132"/>
      <c r="H28" s="132"/>
    </row>
    <row r="29" spans="1:26" x14ac:dyDescent="0.25">
      <c r="A29" s="105" t="s">
        <v>22</v>
      </c>
      <c r="B29" s="105"/>
      <c r="C29" s="105"/>
      <c r="D29" s="105"/>
      <c r="E29" s="132" t="s">
        <v>23</v>
      </c>
      <c r="F29" s="132"/>
      <c r="G29" s="132"/>
      <c r="H29" s="132"/>
    </row>
    <row r="30" spans="1:26" ht="15.75" customHeight="1" x14ac:dyDescent="0.25">
      <c r="A30" s="105" t="s">
        <v>76</v>
      </c>
      <c r="B30" s="105"/>
      <c r="C30" s="105"/>
      <c r="D30" s="105"/>
      <c r="E30" s="132" t="s">
        <v>77</v>
      </c>
      <c r="F30" s="132"/>
      <c r="G30" s="132"/>
      <c r="H30" s="132"/>
    </row>
    <row r="31" spans="1:26" ht="15" customHeight="1" x14ac:dyDescent="0.25">
      <c r="A31" s="105" t="s">
        <v>30</v>
      </c>
      <c r="B31" s="105"/>
      <c r="C31" s="105"/>
      <c r="D31" s="105"/>
      <c r="E31" s="13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Commercial</v>
      </c>
      <c r="F31" s="132"/>
      <c r="G31" s="132"/>
      <c r="H31" s="132"/>
    </row>
    <row r="32" spans="1:26" ht="15.75" customHeight="1" x14ac:dyDescent="0.25">
      <c r="A32" s="105" t="s">
        <v>88</v>
      </c>
      <c r="B32" s="105"/>
      <c r="C32" s="105"/>
      <c r="D32" s="105"/>
      <c r="E32" s="132" t="s">
        <v>31</v>
      </c>
      <c r="F32" s="132"/>
      <c r="G32" s="132"/>
      <c r="H32" s="132"/>
    </row>
    <row r="33" spans="1:19" s="22" customFormat="1" x14ac:dyDescent="0.25">
      <c r="A33" s="164" t="s">
        <v>89</v>
      </c>
      <c r="B33" s="164"/>
      <c r="C33" s="163" t="s">
        <v>173</v>
      </c>
      <c r="D33" s="163"/>
      <c r="E33" s="163"/>
      <c r="F33" s="163" t="s">
        <v>29</v>
      </c>
      <c r="G33" s="163"/>
      <c r="H33" s="163"/>
      <c r="S33" s="22" t="e">
        <f ca="1">OFFSET($S$13,1,MATCH($G20,$S$13:$W$13,0)-1,15,1)</f>
        <v>#VALUE!</v>
      </c>
    </row>
    <row r="34" spans="1:19" s="22" customFormat="1" x14ac:dyDescent="0.25">
      <c r="A34" s="152" t="s">
        <v>24</v>
      </c>
      <c r="B34" s="152" t="s">
        <v>28</v>
      </c>
      <c r="C34" s="153" t="s">
        <v>320</v>
      </c>
      <c r="D34" s="153"/>
      <c r="E34" s="153"/>
      <c r="F34" s="153" t="s">
        <v>318</v>
      </c>
      <c r="G34" s="153"/>
      <c r="H34" s="153"/>
    </row>
    <row r="35" spans="1:19" x14ac:dyDescent="0.25">
      <c r="A35" s="152" t="s">
        <v>25</v>
      </c>
      <c r="B35" s="152" t="s">
        <v>28</v>
      </c>
      <c r="C35" s="153" t="s">
        <v>321</v>
      </c>
      <c r="D35" s="153"/>
      <c r="E35" s="153"/>
      <c r="F35" s="153" t="s">
        <v>315</v>
      </c>
      <c r="G35" s="153"/>
      <c r="H35" s="153"/>
    </row>
    <row r="36" spans="1:19" s="22" customFormat="1" x14ac:dyDescent="0.25">
      <c r="A36" s="152" t="s">
        <v>27</v>
      </c>
      <c r="B36" s="152" t="s">
        <v>28</v>
      </c>
      <c r="C36" s="153" t="s">
        <v>319</v>
      </c>
      <c r="D36" s="153"/>
      <c r="E36" s="153"/>
      <c r="F36" s="153" t="s">
        <v>313</v>
      </c>
      <c r="G36" s="153"/>
      <c r="H36" s="153"/>
    </row>
    <row r="37" spans="1:19" x14ac:dyDescent="0.25">
      <c r="A37" s="152" t="s">
        <v>26</v>
      </c>
      <c r="B37" s="152" t="s">
        <v>28</v>
      </c>
      <c r="C37" s="153" t="s">
        <v>319</v>
      </c>
      <c r="D37" s="153"/>
      <c r="E37" s="153"/>
      <c r="F37" s="153" t="s">
        <v>317</v>
      </c>
      <c r="G37" s="153"/>
      <c r="H37" s="153"/>
    </row>
    <row r="38" spans="1:19" x14ac:dyDescent="0.25">
      <c r="A38" s="105" t="s">
        <v>282</v>
      </c>
      <c r="B38" s="105"/>
      <c r="C38" s="105"/>
      <c r="D38" s="105"/>
      <c r="E38" s="105"/>
      <c r="F38" s="105"/>
      <c r="G38" s="105"/>
      <c r="H38" s="105"/>
    </row>
    <row r="39" spans="1:19" ht="15.75" customHeight="1" x14ac:dyDescent="0.25">
      <c r="A39" s="105" t="s">
        <v>165</v>
      </c>
      <c r="B39" s="105"/>
      <c r="C39" s="143" t="s">
        <v>312</v>
      </c>
      <c r="D39" s="143"/>
      <c r="E39" s="143"/>
      <c r="F39" s="143"/>
      <c r="G39" s="143"/>
      <c r="H39" s="143"/>
    </row>
    <row r="40" spans="1:19" x14ac:dyDescent="0.25">
      <c r="A40" s="105" t="s">
        <v>161</v>
      </c>
      <c r="B40" s="105"/>
      <c r="C40" s="131" t="s">
        <v>311</v>
      </c>
      <c r="D40" s="132"/>
      <c r="E40" s="132"/>
      <c r="F40" s="132"/>
      <c r="G40" s="132"/>
      <c r="H40" s="132"/>
    </row>
    <row r="41" spans="1:19" x14ac:dyDescent="0.25">
      <c r="A41" s="143" t="s">
        <v>32</v>
      </c>
      <c r="B41" s="143"/>
      <c r="C41" s="143"/>
      <c r="D41" s="143"/>
      <c r="E41" s="143"/>
      <c r="F41" s="143"/>
      <c r="G41" s="143"/>
      <c r="H41" s="143"/>
    </row>
    <row r="42" spans="1:19" x14ac:dyDescent="0.25">
      <c r="A42" s="105" t="s">
        <v>33</v>
      </c>
      <c r="B42" s="105"/>
      <c r="C42" s="105"/>
      <c r="D42" s="105"/>
      <c r="E42" s="154">
        <v>1149</v>
      </c>
      <c r="F42" s="154"/>
      <c r="G42" s="154"/>
      <c r="H42" s="154"/>
    </row>
    <row r="43" spans="1:19" x14ac:dyDescent="0.25">
      <c r="A43" s="105" t="s">
        <v>34</v>
      </c>
      <c r="B43" s="105"/>
      <c r="C43" s="105"/>
      <c r="D43" s="105"/>
      <c r="E43" s="157">
        <f>1299.3/E42</f>
        <v>1.1308093994778068</v>
      </c>
      <c r="F43" s="157"/>
      <c r="G43" s="157"/>
      <c r="H43" s="157"/>
    </row>
    <row r="44" spans="1:19" x14ac:dyDescent="0.25">
      <c r="A44" s="105" t="s">
        <v>35</v>
      </c>
      <c r="B44" s="105"/>
      <c r="C44" s="105"/>
      <c r="D44" s="105"/>
      <c r="E44" s="157">
        <f>E46/E42-E43</f>
        <v>4.5232375979112271</v>
      </c>
      <c r="F44" s="157"/>
      <c r="G44" s="157"/>
      <c r="H44" s="157"/>
    </row>
    <row r="45" spans="1:19" x14ac:dyDescent="0.25">
      <c r="A45" s="105" t="s">
        <v>36</v>
      </c>
      <c r="B45" s="105"/>
      <c r="C45" s="105"/>
      <c r="D45" s="105"/>
      <c r="E45" s="157">
        <f>E43+E44</f>
        <v>5.6540469973890337</v>
      </c>
      <c r="F45" s="157"/>
      <c r="G45" s="157"/>
      <c r="H45" s="157"/>
      <c r="I45"/>
    </row>
    <row r="46" spans="1:19" x14ac:dyDescent="0.25">
      <c r="A46" s="105" t="s">
        <v>87</v>
      </c>
      <c r="B46" s="105"/>
      <c r="C46" s="105"/>
      <c r="D46" s="105"/>
      <c r="E46" s="158">
        <v>6496.5</v>
      </c>
      <c r="F46" s="158"/>
      <c r="G46" s="158"/>
      <c r="H46" s="158"/>
    </row>
    <row r="47" spans="1:19" x14ac:dyDescent="0.25">
      <c r="A47" s="144" t="s">
        <v>37</v>
      </c>
      <c r="B47" s="144"/>
      <c r="C47" s="144"/>
      <c r="D47" s="144"/>
      <c r="E47" s="144" t="s">
        <v>118</v>
      </c>
      <c r="F47" s="144"/>
      <c r="G47" s="144"/>
      <c r="H47" s="144"/>
    </row>
    <row r="48" spans="1:19" x14ac:dyDescent="0.25">
      <c r="A48" s="143" t="s">
        <v>38</v>
      </c>
      <c r="B48" s="143"/>
      <c r="C48" s="143"/>
      <c r="D48" s="143"/>
      <c r="E48" s="143"/>
      <c r="F48" s="143"/>
      <c r="G48" s="143"/>
      <c r="H48" s="143"/>
    </row>
    <row r="49" spans="1:24" ht="33.75" customHeight="1" x14ac:dyDescent="0.25">
      <c r="A49" s="147" t="s">
        <v>152</v>
      </c>
      <c r="B49" s="148"/>
      <c r="C49" s="149" t="s">
        <v>257</v>
      </c>
      <c r="D49" s="150"/>
      <c r="E49" s="150"/>
      <c r="F49" s="150"/>
      <c r="G49" s="150"/>
      <c r="H49" s="151"/>
      <c r="R49" t="s">
        <v>255</v>
      </c>
      <c r="S49" t="s">
        <v>172</v>
      </c>
      <c r="T49" t="s">
        <v>179</v>
      </c>
      <c r="U49" t="s">
        <v>194</v>
      </c>
      <c r="V49" t="s">
        <v>189</v>
      </c>
    </row>
    <row r="50" spans="1:24" ht="30" customHeight="1" x14ac:dyDescent="0.25">
      <c r="A50" s="147" t="s">
        <v>39</v>
      </c>
      <c r="B50" s="148"/>
      <c r="C50" s="147" t="s">
        <v>322</v>
      </c>
      <c r="D50" s="160"/>
      <c r="E50" s="161"/>
      <c r="F50" s="18" t="s">
        <v>40</v>
      </c>
      <c r="G50" s="162" t="s">
        <v>373</v>
      </c>
      <c r="H50" s="148"/>
      <c r="R50"/>
      <c r="S50" t="s">
        <v>256</v>
      </c>
      <c r="T50" t="s">
        <v>261</v>
      </c>
      <c r="U50" t="s">
        <v>272</v>
      </c>
      <c r="V50" t="s">
        <v>277</v>
      </c>
    </row>
    <row r="51" spans="1:24" ht="33" customHeight="1" x14ac:dyDescent="0.25">
      <c r="A51" s="147" t="s">
        <v>41</v>
      </c>
      <c r="B51" s="148"/>
      <c r="C51" s="147" t="str">
        <f>C50</f>
        <v>P-2222/2019/(33)/R/SWARD/MALAD/
R/S/337/1/New</v>
      </c>
      <c r="D51" s="159"/>
      <c r="E51" s="148"/>
      <c r="F51" s="18" t="s">
        <v>40</v>
      </c>
      <c r="G51" s="162" t="str">
        <f>G50</f>
        <v>03/07/2023.</v>
      </c>
      <c r="H51" s="148"/>
      <c r="R51"/>
      <c r="S51" t="s">
        <v>257</v>
      </c>
      <c r="T51" t="s">
        <v>300</v>
      </c>
      <c r="U51" t="s">
        <v>270</v>
      </c>
      <c r="V51" t="s">
        <v>278</v>
      </c>
    </row>
    <row r="52" spans="1:24" s="23" customFormat="1" ht="36" customHeight="1" x14ac:dyDescent="0.25">
      <c r="A52" s="213" t="s">
        <v>156</v>
      </c>
      <c r="B52" s="214"/>
      <c r="C52" s="147" t="s">
        <v>362</v>
      </c>
      <c r="D52" s="159"/>
      <c r="E52" s="148"/>
      <c r="F52" s="18" t="s">
        <v>40</v>
      </c>
      <c r="G52" s="162" t="s">
        <v>374</v>
      </c>
      <c r="H52" s="148"/>
      <c r="R52"/>
      <c r="S52" t="s">
        <v>258</v>
      </c>
      <c r="T52" t="s">
        <v>263</v>
      </c>
      <c r="U52" t="s">
        <v>260</v>
      </c>
      <c r="V52" t="s">
        <v>279</v>
      </c>
    </row>
    <row r="53" spans="1:24" s="23" customFormat="1" ht="111.6" customHeight="1" x14ac:dyDescent="0.25">
      <c r="A53" s="215"/>
      <c r="B53" s="216"/>
      <c r="C53" s="147" t="s">
        <v>363</v>
      </c>
      <c r="D53" s="159"/>
      <c r="E53" s="148"/>
      <c r="F53" s="18" t="s">
        <v>119</v>
      </c>
      <c r="G53" s="162" t="s">
        <v>375</v>
      </c>
      <c r="H53" s="148"/>
      <c r="R53"/>
      <c r="S53" t="s">
        <v>259</v>
      </c>
      <c r="T53" t="s">
        <v>266</v>
      </c>
      <c r="U53" t="s">
        <v>273</v>
      </c>
    </row>
    <row r="54" spans="1:24" s="23" customFormat="1" hidden="1" x14ac:dyDescent="0.25">
      <c r="A54" s="209" t="s">
        <v>283</v>
      </c>
      <c r="B54" s="210"/>
      <c r="C54" s="147" t="str">
        <f>C53</f>
        <v>This C.C. is re-endorsed for the work of building comprising of Basement + Ground + 1st to 3rd floors + 4th to 8th podium floors + 9th to 19th upper commercial floors + lift opening at terrace level + LMR &amp; OHT as per approved amended plans dated 11.11.2024.</v>
      </c>
      <c r="D54" s="159"/>
      <c r="E54" s="148"/>
      <c r="F54" s="18" t="s">
        <v>40</v>
      </c>
      <c r="G54" s="147"/>
      <c r="H54" s="148"/>
      <c r="R54"/>
      <c r="S54" t="s">
        <v>258</v>
      </c>
      <c r="T54" t="s">
        <v>263</v>
      </c>
      <c r="U54" t="s">
        <v>260</v>
      </c>
      <c r="V54" t="s">
        <v>279</v>
      </c>
    </row>
    <row r="55" spans="1:24" s="23" customFormat="1" ht="32.25" hidden="1" customHeight="1" x14ac:dyDescent="0.25">
      <c r="A55" s="211"/>
      <c r="B55" s="212"/>
      <c r="C55" s="138"/>
      <c r="D55" s="139"/>
      <c r="E55" s="139"/>
      <c r="F55" s="139"/>
      <c r="G55" s="139"/>
      <c r="H55" s="140"/>
      <c r="R55"/>
      <c r="S55" t="s">
        <v>260</v>
      </c>
      <c r="T55" t="s">
        <v>264</v>
      </c>
      <c r="U55" t="s">
        <v>274</v>
      </c>
      <c r="V55" s="21"/>
      <c r="W55" s="21"/>
      <c r="X55" s="21"/>
    </row>
    <row r="56" spans="1:24" s="23" customFormat="1" ht="34.5" hidden="1" customHeight="1" x14ac:dyDescent="0.25">
      <c r="A56" s="209" t="s">
        <v>284</v>
      </c>
      <c r="B56" s="210"/>
      <c r="C56" s="147">
        <f>C55</f>
        <v>0</v>
      </c>
      <c r="D56" s="159"/>
      <c r="E56" s="148"/>
      <c r="F56" s="18" t="s">
        <v>40</v>
      </c>
      <c r="G56" s="147">
        <f>G55</f>
        <v>0</v>
      </c>
      <c r="H56" s="148"/>
      <c r="R56"/>
      <c r="S56" s="21"/>
      <c r="T56" t="s">
        <v>265</v>
      </c>
      <c r="U56" t="s">
        <v>275</v>
      </c>
      <c r="V56" s="21"/>
      <c r="W56" s="21"/>
      <c r="X56" s="21"/>
    </row>
    <row r="57" spans="1:24" s="23" customFormat="1" ht="41.25" hidden="1" customHeight="1" x14ac:dyDescent="0.25">
      <c r="A57" s="211"/>
      <c r="B57" s="212"/>
      <c r="C57" s="147"/>
      <c r="D57" s="159"/>
      <c r="E57" s="159"/>
      <c r="F57" s="159"/>
      <c r="G57" s="159"/>
      <c r="H57" s="148"/>
      <c r="R57"/>
      <c r="S57" s="21"/>
      <c r="T57" t="s">
        <v>267</v>
      </c>
      <c r="U57" s="72" t="s">
        <v>276</v>
      </c>
      <c r="V57" s="71"/>
      <c r="W57" s="70"/>
      <c r="X57" s="21"/>
    </row>
    <row r="58" spans="1:24" s="23" customFormat="1" ht="15.75" hidden="1" customHeight="1" x14ac:dyDescent="0.25">
      <c r="A58" s="209" t="s">
        <v>285</v>
      </c>
      <c r="B58" s="210"/>
      <c r="C58" s="147">
        <f>C57</f>
        <v>0</v>
      </c>
      <c r="D58" s="159"/>
      <c r="E58" s="148"/>
      <c r="F58" s="18" t="s">
        <v>40</v>
      </c>
      <c r="G58" s="147">
        <f>G57</f>
        <v>0</v>
      </c>
      <c r="H58" s="148"/>
      <c r="R58"/>
      <c r="S58" s="21"/>
      <c r="T58" t="s">
        <v>268</v>
      </c>
      <c r="U58" s="71" t="s">
        <v>299</v>
      </c>
      <c r="V58" s="71"/>
      <c r="W58" s="70"/>
      <c r="X58" s="21"/>
    </row>
    <row r="59" spans="1:24" s="23" customFormat="1" ht="33.75" hidden="1" customHeight="1" x14ac:dyDescent="0.25">
      <c r="A59" s="211"/>
      <c r="B59" s="212"/>
      <c r="C59" s="147"/>
      <c r="D59" s="159"/>
      <c r="E59" s="159"/>
      <c r="F59" s="159"/>
      <c r="G59" s="159"/>
      <c r="H59" s="148"/>
      <c r="R59"/>
      <c r="S59" s="21"/>
      <c r="T59" t="s">
        <v>269</v>
      </c>
      <c r="U59" s="71" t="s">
        <v>301</v>
      </c>
      <c r="V59" s="70"/>
      <c r="W59" s="70"/>
      <c r="X59" s="21"/>
    </row>
    <row r="60" spans="1:24" ht="95.25" customHeight="1" x14ac:dyDescent="0.25">
      <c r="A60" s="172" t="s">
        <v>365</v>
      </c>
      <c r="B60" s="172"/>
      <c r="C60" s="172" t="s">
        <v>364</v>
      </c>
      <c r="D60" s="172"/>
      <c r="E60" s="172"/>
      <c r="F60" s="86" t="s">
        <v>40</v>
      </c>
      <c r="G60" s="208" t="s">
        <v>376</v>
      </c>
      <c r="H60" s="208"/>
      <c r="R60"/>
      <c r="T60" t="s">
        <v>271</v>
      </c>
      <c r="U60" s="70"/>
      <c r="V60" s="70"/>
      <c r="W60" s="70"/>
    </row>
    <row r="61" spans="1:24" x14ac:dyDescent="0.25">
      <c r="A61" s="188" t="s">
        <v>43</v>
      </c>
      <c r="B61" s="188"/>
      <c r="C61" s="188"/>
      <c r="D61" s="188"/>
      <c r="E61" s="188"/>
      <c r="F61" s="188"/>
      <c r="G61" s="188"/>
      <c r="H61" s="188"/>
      <c r="T61" t="s">
        <v>280</v>
      </c>
      <c r="U61" s="70"/>
      <c r="V61" s="70"/>
      <c r="W61" s="70"/>
    </row>
    <row r="62" spans="1:24" x14ac:dyDescent="0.25">
      <c r="A62" s="155" t="s">
        <v>86</v>
      </c>
      <c r="B62" s="155"/>
      <c r="C62" s="155"/>
      <c r="D62" s="105">
        <f>E46</f>
        <v>6496.5</v>
      </c>
      <c r="E62" s="105"/>
      <c r="F62" s="105"/>
      <c r="G62" s="105"/>
      <c r="H62" s="105"/>
      <c r="R62"/>
    </row>
    <row r="63" spans="1:24" x14ac:dyDescent="0.25">
      <c r="A63" s="132" t="s">
        <v>44</v>
      </c>
      <c r="B63" s="144"/>
      <c r="C63" s="144"/>
      <c r="D63" s="144" t="s">
        <v>351</v>
      </c>
      <c r="E63" s="144"/>
      <c r="F63" s="144"/>
      <c r="G63" s="144"/>
      <c r="H63" s="144"/>
      <c r="I63" s="24"/>
      <c r="R63"/>
    </row>
    <row r="64" spans="1:24" x14ac:dyDescent="0.25">
      <c r="A64" s="132" t="s">
        <v>45</v>
      </c>
      <c r="B64" s="132"/>
      <c r="C64" s="132"/>
      <c r="D64" s="132" t="s">
        <v>347</v>
      </c>
      <c r="E64" s="144"/>
      <c r="F64" s="144"/>
      <c r="G64" s="144"/>
      <c r="H64" s="144"/>
      <c r="R64"/>
    </row>
    <row r="65" spans="1:19" ht="15.75" customHeight="1" x14ac:dyDescent="0.25">
      <c r="A65" s="132" t="s">
        <v>84</v>
      </c>
      <c r="B65" s="132"/>
      <c r="C65" s="132"/>
      <c r="D65" s="132" t="s">
        <v>347</v>
      </c>
      <c r="E65" s="144"/>
      <c r="F65" s="144"/>
      <c r="G65" s="144"/>
      <c r="H65" s="144"/>
      <c r="R65"/>
    </row>
    <row r="66" spans="1:19" ht="15.75" customHeight="1" x14ac:dyDescent="0.25">
      <c r="A66" s="105" t="s">
        <v>42</v>
      </c>
      <c r="B66" s="105"/>
      <c r="C66" s="105"/>
      <c r="D66" s="155" t="s">
        <v>323</v>
      </c>
      <c r="E66" s="155"/>
      <c r="F66" s="155"/>
      <c r="G66" s="155"/>
      <c r="H66" s="155"/>
      <c r="J66" s="25"/>
      <c r="K66" s="24"/>
      <c r="N66" s="24"/>
      <c r="S66"/>
    </row>
    <row r="67" spans="1:19" ht="15.75" customHeight="1" x14ac:dyDescent="0.25">
      <c r="A67" s="105" t="s">
        <v>82</v>
      </c>
      <c r="B67" s="105"/>
      <c r="C67" s="105"/>
      <c r="D67" s="156" t="s">
        <v>366</v>
      </c>
      <c r="E67" s="156"/>
      <c r="F67" s="156"/>
      <c r="G67" s="156"/>
      <c r="H67" s="156"/>
      <c r="I67" s="156" t="str">
        <f>(IF(L60="NA","60 Years After Completion",IF(L60&lt;&gt;"NA",""&amp;60-ROUNDDOWN((J3-L60)/360,0)&amp;" Years"," ")))</f>
        <v>60 Years</v>
      </c>
      <c r="J67" s="156"/>
      <c r="K67" s="156"/>
      <c r="L67" s="156"/>
      <c r="M67" s="156"/>
      <c r="N67" s="24"/>
      <c r="S67"/>
    </row>
    <row r="68" spans="1:19" ht="15.75" customHeight="1" x14ac:dyDescent="0.25">
      <c r="A68" s="105" t="s">
        <v>83</v>
      </c>
      <c r="B68" s="105"/>
      <c r="C68" s="105"/>
      <c r="D68" s="155" t="s">
        <v>23</v>
      </c>
      <c r="E68" s="155"/>
      <c r="F68" s="155"/>
      <c r="G68" s="155"/>
      <c r="H68" s="155"/>
      <c r="J68" s="26"/>
      <c r="K68" s="26"/>
      <c r="S68"/>
    </row>
    <row r="69" spans="1:19" ht="81.75" customHeight="1" x14ac:dyDescent="0.25">
      <c r="A69" s="144" t="s">
        <v>324</v>
      </c>
      <c r="B69" s="144"/>
      <c r="C69" s="144"/>
      <c r="D69" s="132" t="s">
        <v>348</v>
      </c>
      <c r="E69" s="132"/>
      <c r="F69" s="132"/>
      <c r="G69" s="132"/>
      <c r="H69" s="132"/>
      <c r="S69"/>
    </row>
    <row r="70" spans="1:19" x14ac:dyDescent="0.25">
      <c r="A70" s="155" t="s">
        <v>148</v>
      </c>
      <c r="B70" s="155"/>
      <c r="C70" s="155"/>
      <c r="D70" s="155" t="s">
        <v>28</v>
      </c>
      <c r="E70" s="155"/>
      <c r="F70" s="155"/>
      <c r="G70" s="155"/>
      <c r="H70" s="155"/>
      <c r="I70" s="27"/>
      <c r="J70" s="27"/>
      <c r="K70" s="27"/>
      <c r="L70" s="27"/>
      <c r="M70" s="27"/>
      <c r="N70" s="27"/>
    </row>
    <row r="71" spans="1:19" ht="15.75" customHeight="1" x14ac:dyDescent="0.25">
      <c r="A71" s="105" t="s">
        <v>81</v>
      </c>
      <c r="B71" s="105"/>
      <c r="C71" s="105"/>
      <c r="D71" s="132" t="str">
        <f ca="1">(IF(G77&gt;95%,"Nothing",IF(G77&gt;0%,"Cement, Aggregate, Steel, etc",IF(G77=0%,"Work not yet Started"))))</f>
        <v>Cement, Aggregate, Steel, etc</v>
      </c>
      <c r="E71" s="132"/>
      <c r="F71" s="132"/>
      <c r="G71" s="132"/>
      <c r="H71" s="132"/>
      <c r="J71" s="26"/>
      <c r="S71"/>
    </row>
    <row r="72" spans="1:19" ht="33.75" customHeight="1" thickBot="1" x14ac:dyDescent="0.3">
      <c r="A72" s="155" t="s">
        <v>113</v>
      </c>
      <c r="B72" s="155"/>
      <c r="C72" s="155"/>
      <c r="D72" s="132" t="str">
        <f ca="1">(IF(D71="Nothing","Yes",IF(D71="Cement, Aggregate, Steel, etc","Under Construction",IF(D71="Work not yet Started","Work not yet Started"))))</f>
        <v>Under Construction</v>
      </c>
      <c r="E72" s="132"/>
      <c r="F72" s="132" t="str">
        <f ca="1">(IF(D71="Nothing","Yes",IF(D71="Cement, Aggregate, Steel, etc","Under Construction",IF(D71="Work not yet Started","Work not yet Started"))))</f>
        <v>Under Construction</v>
      </c>
      <c r="G72" s="132"/>
      <c r="H72" s="132"/>
      <c r="S72"/>
    </row>
    <row r="73" spans="1:19" ht="15.75" customHeight="1" x14ac:dyDescent="0.25">
      <c r="A73" s="172" t="s">
        <v>138</v>
      </c>
      <c r="B73" s="172"/>
      <c r="C73" s="145" t="str">
        <f>D65</f>
        <v>1B + Gr + 1st to 3rd + P4 to P8 + 9th to 19th Floor</v>
      </c>
      <c r="D73" s="145"/>
      <c r="E73" s="145"/>
      <c r="F73" s="145"/>
      <c r="G73" s="145"/>
      <c r="H73" s="145"/>
      <c r="I73" s="89" t="str">
        <f ca="1">IF(D86=100%,"All work Completed. Possession granted to the Building.",IF(D85=100%,"All work Completed, Waiting for OC",I74&amp;""&amp;I75&amp;""&amp;J74&amp;""&amp;J73&amp;" "&amp;J75))</f>
        <v>Excavation, Plinth, RCC Slab, Brickwork, Internal Plaster Completed, External Plaster upto 8 Floor, Flooring upto 2 Floor, Painting upto 1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External Plaster upto 8 Floor, Flooring upto 2 Floor, Painting upto 1 Floor</v>
      </c>
      <c r="S73"/>
    </row>
    <row r="74" spans="1:19" x14ac:dyDescent="0.25">
      <c r="A74" s="52" t="s">
        <v>140</v>
      </c>
      <c r="B74" s="52">
        <f>IF(AND(ISNUMBER(SEARCH("1B",C73))),1,IF(AND(ISNUMBER(SEARCH("2B",C73))),2,IF(AND(ISNUMBER(SEARCH("3B",C73))),3,IF(AND(ISNUMBER(SEARCH("4B",C73))),4,IF(ISNUMBER(SEARCH("5B",C73)),5,0)))))</f>
        <v>1</v>
      </c>
      <c r="C74" s="52" t="s">
        <v>68</v>
      </c>
      <c r="D74" s="52">
        <v>1</v>
      </c>
      <c r="E74" s="52" t="s">
        <v>67</v>
      </c>
      <c r="F74" s="52">
        <v>0</v>
      </c>
      <c r="G74" s="52" t="s">
        <v>75</v>
      </c>
      <c r="H74" s="52">
        <f ca="1">--TRIM(RIGHT(SUBSTITUTE(LEFT(C73,_xlfn.AGGREGATE(16,6,FIND({0,1,2,3,4,5,6,7,8,9},C73,ROW(INDIRECT("1:"&amp;LEN(C73)))),1))," ",REPT(" ",LEN(C73))),LEN(C73)))</f>
        <v>19</v>
      </c>
      <c r="I74" s="90" t="str">
        <f ca="1">IF(D77=100%,"Excavation","")&amp;IF(D78=100%,", Plinth","")&amp;IF(D79=100%,", RCC Slab","")&amp;IF(D80=100%,", Brickwork","")&amp;IF(D81=100%,", Internal Plaster","")&amp;IF(D82=100%,", External Plaster","")&amp;IF(D83=100%,", Flooring","")&amp;IF(D84=100%,", Painting","")&amp;IF(D85=100%,", Building common Amenities","")</f>
        <v>Excavation, Plinth, RCC Slab, Brickwork, Internal Plaster</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50.1" customHeight="1" x14ac:dyDescent="0.25">
      <c r="A75" s="170" t="s">
        <v>85</v>
      </c>
      <c r="B75" s="171"/>
      <c r="C75" s="145" t="str">
        <f ca="1">I73</f>
        <v>Excavation, Plinth, RCC Slab, Brickwork, Internal Plaster Completed, External Plaster upto 8 Floor, Flooring upto 2 Floor, Painting upto 1 Floor Completed</v>
      </c>
      <c r="D75" s="145"/>
      <c r="E75" s="145"/>
      <c r="F75" s="145"/>
      <c r="G75" s="145"/>
      <c r="H75" s="146"/>
      <c r="I75" s="50" t="str">
        <f ca="1">IF(I74&lt;&gt;""," Completed","")</f>
        <v xml:space="preserve"> Completed</v>
      </c>
      <c r="J75" s="51" t="str">
        <f ca="1">IF(J73&lt;&gt;"","Completed","")</f>
        <v>Completed</v>
      </c>
      <c r="S75"/>
    </row>
    <row r="76" spans="1:19" ht="15.75" customHeight="1" x14ac:dyDescent="0.25">
      <c r="A76" s="100" t="s">
        <v>46</v>
      </c>
      <c r="B76" s="101"/>
      <c r="C76" s="75" t="s">
        <v>137</v>
      </c>
      <c r="D76" s="75" t="s">
        <v>78</v>
      </c>
      <c r="E76" s="173" t="s">
        <v>80</v>
      </c>
      <c r="F76" s="173"/>
      <c r="G76" s="173" t="s">
        <v>79</v>
      </c>
      <c r="H76" s="174"/>
      <c r="I76" s="13" t="s">
        <v>139</v>
      </c>
      <c r="J76" s="28">
        <f ca="1">H74*25%</f>
        <v>4.75</v>
      </c>
      <c r="S76"/>
    </row>
    <row r="77" spans="1:19" x14ac:dyDescent="0.25">
      <c r="A77" s="100" t="s">
        <v>126</v>
      </c>
      <c r="B77" s="101"/>
      <c r="C77" s="75">
        <f ca="1">J78</f>
        <v>19</v>
      </c>
      <c r="D77" s="76">
        <f ca="1">((100/H74)*C77)/100</f>
        <v>1</v>
      </c>
      <c r="E77" s="175">
        <f ca="1">(((C78/H74*10)+(40/(D74+F74+H74)*C79)+(7.5/(H74)*C80)+(7.5/(H74)*C81)+(10/H74*C82)+(10/H74*C83)+(5/H74*C84)+(5/H74*C85)+(5/H74*C86))/100)</f>
        <v>0.70526315789473681</v>
      </c>
      <c r="F77" s="176"/>
      <c r="G77" s="175">
        <f ca="1">((((C77/H74)*20)+((C78/H74)*25)+(30/(H74+F74+D74)*C79)+(5/H74*C80)+(5/H74*C81)+(5/H74*C82)+(5/H74*C83)+(0/H74*C84)+(0/H74*C85)+(5/H74*C86))/100)</f>
        <v>0.87631578947368427</v>
      </c>
      <c r="H77" s="181"/>
      <c r="I77" s="13" t="s">
        <v>96</v>
      </c>
      <c r="J77" s="29">
        <f ca="1">H74*50%</f>
        <v>9.5</v>
      </c>
    </row>
    <row r="78" spans="1:19" x14ac:dyDescent="0.25">
      <c r="A78" s="100" t="s">
        <v>47</v>
      </c>
      <c r="B78" s="101"/>
      <c r="C78" s="75">
        <f ca="1">J86</f>
        <v>19</v>
      </c>
      <c r="D78" s="76">
        <f ca="1">((100/H74)*C78)/100</f>
        <v>1</v>
      </c>
      <c r="E78" s="177"/>
      <c r="F78" s="178"/>
      <c r="G78" s="177"/>
      <c r="H78" s="182"/>
      <c r="I78" s="13" t="s">
        <v>97</v>
      </c>
      <c r="J78" s="29">
        <f ca="1">H74</f>
        <v>19</v>
      </c>
      <c r="S78"/>
    </row>
    <row r="79" spans="1:19" ht="15.75" customHeight="1" x14ac:dyDescent="0.25">
      <c r="A79" s="100" t="s">
        <v>127</v>
      </c>
      <c r="B79" s="101"/>
      <c r="C79" s="75">
        <v>20</v>
      </c>
      <c r="D79" s="76">
        <f ca="1">((100/(D74+F74+H74))*C79)/100</f>
        <v>1</v>
      </c>
      <c r="E79" s="177"/>
      <c r="F79" s="178"/>
      <c r="G79" s="177"/>
      <c r="H79" s="182"/>
      <c r="I79" s="13" t="s">
        <v>98</v>
      </c>
      <c r="J79" s="30">
        <f ca="1">(IF(B74&gt;1,(H74/(B74+2)),H74/4))</f>
        <v>4.75</v>
      </c>
      <c r="S79"/>
    </row>
    <row r="80" spans="1:19" ht="15.75" customHeight="1" x14ac:dyDescent="0.25">
      <c r="A80" s="100" t="s">
        <v>134</v>
      </c>
      <c r="B80" s="101" t="s">
        <v>128</v>
      </c>
      <c r="C80" s="75">
        <v>19</v>
      </c>
      <c r="D80" s="76">
        <f ca="1">((100/H74)*C80)/100</f>
        <v>1</v>
      </c>
      <c r="E80" s="177"/>
      <c r="F80" s="178"/>
      <c r="G80" s="177"/>
      <c r="H80" s="182"/>
      <c r="I80" s="13" t="s">
        <v>99</v>
      </c>
      <c r="J80" s="30">
        <f ca="1">(IF(B74&gt;1,(H74/(B74+2)+J79),H74/4+J79))</f>
        <v>9.5</v>
      </c>
    </row>
    <row r="81" spans="1:10" ht="15.75" customHeight="1" x14ac:dyDescent="0.25">
      <c r="A81" s="100" t="s">
        <v>135</v>
      </c>
      <c r="B81" s="101" t="s">
        <v>128</v>
      </c>
      <c r="C81" s="75">
        <v>19</v>
      </c>
      <c r="D81" s="76">
        <f ca="1">((100/H74)*C81)/100</f>
        <v>1</v>
      </c>
      <c r="E81" s="177"/>
      <c r="F81" s="178"/>
      <c r="G81" s="177"/>
      <c r="H81" s="182"/>
      <c r="I81" s="13" t="s">
        <v>146</v>
      </c>
      <c r="J81" s="30">
        <f>(IF(B74&gt;1,(H74/(B74+2)+J80),0))</f>
        <v>0</v>
      </c>
    </row>
    <row r="82" spans="1:10" ht="15" customHeight="1" x14ac:dyDescent="0.25">
      <c r="A82" s="100" t="s">
        <v>133</v>
      </c>
      <c r="B82" s="101" t="s">
        <v>130</v>
      </c>
      <c r="C82" s="75">
        <v>8</v>
      </c>
      <c r="D82" s="76">
        <f ca="1">((100/(H74))*C82)/100</f>
        <v>0.4210526315789474</v>
      </c>
      <c r="E82" s="177"/>
      <c r="F82" s="178"/>
      <c r="G82" s="177"/>
      <c r="H82" s="182"/>
      <c r="I82" s="13" t="s">
        <v>141</v>
      </c>
      <c r="J82" s="30">
        <f>(IF(B74&gt;2,(H74/(B74+2)+J81),0))</f>
        <v>0</v>
      </c>
    </row>
    <row r="83" spans="1:10" ht="15.75" customHeight="1" x14ac:dyDescent="0.25">
      <c r="A83" s="100" t="s">
        <v>129</v>
      </c>
      <c r="B83" s="101" t="s">
        <v>129</v>
      </c>
      <c r="C83" s="75">
        <v>2</v>
      </c>
      <c r="D83" s="76">
        <f ca="1">((100/H74)*C83)/100</f>
        <v>0.10526315789473685</v>
      </c>
      <c r="E83" s="177"/>
      <c r="F83" s="178"/>
      <c r="G83" s="177"/>
      <c r="H83" s="182"/>
      <c r="I83" s="13" t="s">
        <v>142</v>
      </c>
      <c r="J83" s="31">
        <f>(IF(B74&gt;3,(H74/(B74+2)+J82),0))</f>
        <v>0</v>
      </c>
    </row>
    <row r="84" spans="1:10" ht="15.75" customHeight="1" x14ac:dyDescent="0.25">
      <c r="A84" s="100" t="s">
        <v>136</v>
      </c>
      <c r="B84" s="101"/>
      <c r="C84" s="75">
        <v>1</v>
      </c>
      <c r="D84" s="76">
        <f ca="1">((100/H74)*C84)/100</f>
        <v>5.2631578947368425E-2</v>
      </c>
      <c r="E84" s="177"/>
      <c r="F84" s="178"/>
      <c r="G84" s="177"/>
      <c r="H84" s="182"/>
      <c r="I84" s="13" t="s">
        <v>143</v>
      </c>
      <c r="J84" s="30">
        <f>(IF(B74&gt;4,(H74/(B74+2)+J83),0))</f>
        <v>0</v>
      </c>
    </row>
    <row r="85" spans="1:10" ht="15.75" customHeight="1" x14ac:dyDescent="0.25">
      <c r="A85" s="100" t="s">
        <v>131</v>
      </c>
      <c r="B85" s="101" t="s">
        <v>131</v>
      </c>
      <c r="C85" s="75">
        <v>0</v>
      </c>
      <c r="D85" s="76">
        <f ca="1">((100/(H74))*C85)/100</f>
        <v>0</v>
      </c>
      <c r="E85" s="177"/>
      <c r="F85" s="178"/>
      <c r="G85" s="177"/>
      <c r="H85" s="182"/>
      <c r="I85" s="13" t="s">
        <v>147</v>
      </c>
      <c r="J85" s="30">
        <f ca="1">(IF(B74=1,(H74/(B74+3)+J80),IF(B74=0,(H74/4+J80),IF(B74&gt;1,0))))</f>
        <v>14.25</v>
      </c>
    </row>
    <row r="86" spans="1:10" ht="16.5" thickBot="1" x14ac:dyDescent="0.3">
      <c r="A86" s="106" t="s">
        <v>132</v>
      </c>
      <c r="B86" s="107"/>
      <c r="C86" s="77">
        <v>0</v>
      </c>
      <c r="D86" s="78">
        <f ca="1">((100/(H74))*C86)/100</f>
        <v>0</v>
      </c>
      <c r="E86" s="179"/>
      <c r="F86" s="180"/>
      <c r="G86" s="179"/>
      <c r="H86" s="183"/>
      <c r="I86" s="15" t="s">
        <v>100</v>
      </c>
      <c r="J86" s="32">
        <f ca="1">(IF(B74&gt;1.5,(H74/(B74+2)+J80+MAX(0,J81-J80)+MAX(0,J82-J81)+MAX(0,J83-J82)+MAX(0,J84-J83)+MAX(0,J85-J84)),IF(B74=1,(H74/(B74+3)+J85),IF(B74=0,H74/4+J85))))</f>
        <v>19</v>
      </c>
    </row>
    <row r="87" spans="1:10" ht="15.75" hidden="1" customHeight="1" x14ac:dyDescent="0.25">
      <c r="A87" s="219" t="s">
        <v>138</v>
      </c>
      <c r="B87" s="220"/>
      <c r="C87" s="221" t="e">
        <f>#REF!</f>
        <v>#REF!</v>
      </c>
      <c r="D87" s="222"/>
      <c r="E87" s="222"/>
      <c r="F87" s="222"/>
      <c r="G87" s="222"/>
      <c r="H87" s="223"/>
      <c r="I87" s="48" t="e">
        <f ca="1">IF(D100=100%,"All work Completed. Possession granted to the Building.",IF(D99=100%,"All work Completed, Waiting for OC",I88&amp;""&amp;I89&amp;""&amp;J88&amp;""&amp;J87&amp;" "&amp;J89))</f>
        <v>#REF!</v>
      </c>
      <c r="J87" s="49"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25">
      <c r="A88" s="16" t="s">
        <v>140</v>
      </c>
      <c r="B88" s="52">
        <f>IF(AND(ISNUMBER(SEARCH("1B",C87))),1,IF(AND(ISNUMBER(SEARCH("2B",C87))),2,IF(AND(ISNUMBER(SEARCH("3B",C87))),3,IF(AND(ISNUMBER(SEARCH("4B",C87))),4,IF(ISNUMBER(SEARCH("5B",C87)),5,0)))))</f>
        <v>0</v>
      </c>
      <c r="C88" s="46" t="s">
        <v>68</v>
      </c>
      <c r="D88" s="46">
        <v>1</v>
      </c>
      <c r="E88" s="46" t="s">
        <v>67</v>
      </c>
      <c r="F88" s="14">
        <v>0</v>
      </c>
      <c r="G88" s="47" t="s">
        <v>75</v>
      </c>
      <c r="H88" s="17" t="e">
        <f ca="1">--TRIM(RIGHT(SUBSTITUTE(LEFT(C87,_xlfn.AGGREGATE(16,6,FIND({0,1,2,3,4,5,6,7,8,9},C87,ROW(INDIRECT("1:"&amp;LEN(C87)))),1))," ",REPT(" ",LEN(C87))),LEN(C87)))</f>
        <v>#REF!</v>
      </c>
      <c r="I88" s="50" t="e">
        <f ca="1">IF(D91=100%,"Excavation","")&amp;IF(D92=100%,", Plinth","")&amp;IF(D93=100%,", RCC Slab","")&amp;IF(D94=100%,", Brickwork","")&amp;IF(D95=100%,", Internal Plaster","")&amp;IF(D96=100%,", External Plaster","")&amp;IF(D97=100%,", Flooring","")&amp;IF(D98=100%,", Painting","")&amp;IF(D99=100%,", Building common Amenities","")</f>
        <v>#REF!</v>
      </c>
      <c r="J88" s="51"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25">
      <c r="A89" s="141" t="s">
        <v>85</v>
      </c>
      <c r="B89" s="142"/>
      <c r="C89" s="145" t="str">
        <f>(IF($G$60="NA",I87,"All work Completed. OC Received."))</f>
        <v>All work Completed. OC Received.</v>
      </c>
      <c r="D89" s="145"/>
      <c r="E89" s="145"/>
      <c r="F89" s="145"/>
      <c r="G89" s="145"/>
      <c r="H89" s="146"/>
      <c r="I89" s="50" t="e">
        <f ca="1">IF(I88&lt;&gt;""," Completed","")</f>
        <v>#REF!</v>
      </c>
      <c r="J89" s="51" t="e">
        <f ca="1">IF(J87&lt;&gt;"","Completed","")</f>
        <v>#REF!</v>
      </c>
    </row>
    <row r="90" spans="1:10" ht="15.75" hidden="1" customHeight="1" x14ac:dyDescent="0.25">
      <c r="A90" s="100" t="s">
        <v>46</v>
      </c>
      <c r="B90" s="101"/>
      <c r="C90" s="43" t="s">
        <v>137</v>
      </c>
      <c r="D90" s="43" t="s">
        <v>78</v>
      </c>
      <c r="E90" s="101" t="s">
        <v>80</v>
      </c>
      <c r="F90" s="101"/>
      <c r="G90" s="101" t="s">
        <v>79</v>
      </c>
      <c r="H90" s="193"/>
      <c r="I90" s="13" t="s">
        <v>139</v>
      </c>
      <c r="J90" s="28" t="e">
        <f ca="1">H88*25%</f>
        <v>#REF!</v>
      </c>
    </row>
    <row r="91" spans="1:10" hidden="1" x14ac:dyDescent="0.25">
      <c r="A91" s="100" t="s">
        <v>126</v>
      </c>
      <c r="B91" s="101"/>
      <c r="C91" s="66" t="e">
        <f ca="1">J92</f>
        <v>#REF!</v>
      </c>
      <c r="D91" s="19" t="e">
        <f ca="1">((100/H88)*C91)/100</f>
        <v>#REF!</v>
      </c>
      <c r="E91" s="120" t="e">
        <f ca="1">(((C92/H88*10)+(40/(D88+F88+H88)*C93)+(7.5/(H88)*C94)+(7.5/(H88)*C95)+(10/H88*C96)+(10/H88*C97)+(5/H88*C98)+(5/H88*C99)+(5/H88*C100))/100)</f>
        <v>#REF!</v>
      </c>
      <c r="F91" s="194"/>
      <c r="G91" s="120" t="e">
        <f ca="1">((((C91/H88)*20)+((C92/H88)*25)+(30/(H88+F88+D88)*C93)+(5/H88*C94)+(5/H88*C95)+(5/H88*C96)+(5/H88*C97)+(0/H88*C98)+(0/H88*C99)+(5/H88*C100))/100)</f>
        <v>#REF!</v>
      </c>
      <c r="H91" s="121"/>
      <c r="I91" s="13" t="s">
        <v>96</v>
      </c>
      <c r="J91" s="29" t="e">
        <f ca="1">H88*50%</f>
        <v>#REF!</v>
      </c>
    </row>
    <row r="92" spans="1:10" hidden="1" x14ac:dyDescent="0.25">
      <c r="A92" s="100" t="s">
        <v>47</v>
      </c>
      <c r="B92" s="101"/>
      <c r="C92" s="67">
        <v>19</v>
      </c>
      <c r="D92" s="19" t="e">
        <f ca="1">((100/H88)*C92)/100</f>
        <v>#REF!</v>
      </c>
      <c r="E92" s="122"/>
      <c r="F92" s="195"/>
      <c r="G92" s="122"/>
      <c r="H92" s="123"/>
      <c r="I92" s="13" t="s">
        <v>97</v>
      </c>
      <c r="J92" s="29" t="e">
        <f ca="1">H88</f>
        <v>#REF!</v>
      </c>
    </row>
    <row r="93" spans="1:10" ht="15.75" hidden="1" customHeight="1" x14ac:dyDescent="0.25">
      <c r="A93" s="100" t="s">
        <v>127</v>
      </c>
      <c r="B93" s="101"/>
      <c r="C93" s="43">
        <v>0</v>
      </c>
      <c r="D93" s="19" t="e">
        <f ca="1">((100/(D88+F88+H88))*C93)/100</f>
        <v>#REF!</v>
      </c>
      <c r="E93" s="122"/>
      <c r="F93" s="195"/>
      <c r="G93" s="122"/>
      <c r="H93" s="123"/>
      <c r="I93" s="13" t="s">
        <v>98</v>
      </c>
      <c r="J93" s="30" t="e">
        <f ca="1">(IF(B88&gt;1,(H88/(B88+2)),H88/4))</f>
        <v>#REF!</v>
      </c>
    </row>
    <row r="94" spans="1:10" ht="15.75" hidden="1" customHeight="1" x14ac:dyDescent="0.25">
      <c r="A94" s="100" t="s">
        <v>134</v>
      </c>
      <c r="B94" s="101" t="s">
        <v>128</v>
      </c>
      <c r="C94" s="65">
        <v>0</v>
      </c>
      <c r="D94" s="19" t="e">
        <f ca="1">((100/H88)*C94)/100</f>
        <v>#REF!</v>
      </c>
      <c r="E94" s="122"/>
      <c r="F94" s="195"/>
      <c r="G94" s="122"/>
      <c r="H94" s="123"/>
      <c r="I94" s="13" t="s">
        <v>99</v>
      </c>
      <c r="J94" s="30" t="e">
        <f ca="1">(IF(B88&gt;1,(H88/(B88+2)+J93),H88/4+J93))</f>
        <v>#REF!</v>
      </c>
    </row>
    <row r="95" spans="1:10" ht="15.75" hidden="1" customHeight="1" x14ac:dyDescent="0.25">
      <c r="A95" s="100" t="s">
        <v>135</v>
      </c>
      <c r="B95" s="101" t="s">
        <v>128</v>
      </c>
      <c r="C95" s="65">
        <v>0</v>
      </c>
      <c r="D95" s="19" t="e">
        <f ca="1">((100/H88)*C95)/100</f>
        <v>#REF!</v>
      </c>
      <c r="E95" s="122"/>
      <c r="F95" s="195"/>
      <c r="G95" s="122"/>
      <c r="H95" s="123"/>
      <c r="I95" s="13" t="s">
        <v>146</v>
      </c>
      <c r="J95" s="30">
        <f>(IF(B88&gt;1,(H88/(B88+2)+J94),0))</f>
        <v>0</v>
      </c>
    </row>
    <row r="96" spans="1:10" ht="15" hidden="1" customHeight="1" x14ac:dyDescent="0.25">
      <c r="A96" s="100" t="s">
        <v>133</v>
      </c>
      <c r="B96" s="101" t="s">
        <v>130</v>
      </c>
      <c r="C96" s="65">
        <v>0</v>
      </c>
      <c r="D96" s="19" t="e">
        <f ca="1">((100/(H88))*C96)/100</f>
        <v>#REF!</v>
      </c>
      <c r="E96" s="122"/>
      <c r="F96" s="195"/>
      <c r="G96" s="122"/>
      <c r="H96" s="123"/>
      <c r="I96" s="13" t="s">
        <v>141</v>
      </c>
      <c r="J96" s="30">
        <f>(IF(B88&gt;2,(H88/(B88+2)+J95),0))</f>
        <v>0</v>
      </c>
    </row>
    <row r="97" spans="1:22" ht="15.75" hidden="1" customHeight="1" x14ac:dyDescent="0.25">
      <c r="A97" s="100" t="s">
        <v>129</v>
      </c>
      <c r="B97" s="101" t="s">
        <v>129</v>
      </c>
      <c r="C97" s="65">
        <v>0</v>
      </c>
      <c r="D97" s="19" t="e">
        <f ca="1">((100/H88)*C97)/100</f>
        <v>#REF!</v>
      </c>
      <c r="E97" s="122"/>
      <c r="F97" s="195"/>
      <c r="G97" s="122"/>
      <c r="H97" s="123"/>
      <c r="I97" s="13" t="s">
        <v>142</v>
      </c>
      <c r="J97" s="31">
        <f>(IF(B88&gt;3,(H88/(B88+2)+J96),0))</f>
        <v>0</v>
      </c>
    </row>
    <row r="98" spans="1:22" ht="15.75" hidden="1" customHeight="1" x14ac:dyDescent="0.25">
      <c r="A98" s="100" t="s">
        <v>136</v>
      </c>
      <c r="B98" s="101"/>
      <c r="C98" s="43">
        <v>0</v>
      </c>
      <c r="D98" s="19" t="e">
        <f ca="1">((100/H88)*C98)/100</f>
        <v>#REF!</v>
      </c>
      <c r="E98" s="122"/>
      <c r="F98" s="195"/>
      <c r="G98" s="122"/>
      <c r="H98" s="123"/>
      <c r="I98" s="13" t="s">
        <v>143</v>
      </c>
      <c r="J98" s="30">
        <f>(IF(B88&gt;4,(H88/(B88+2)+J97),0))</f>
        <v>0</v>
      </c>
    </row>
    <row r="99" spans="1:22" ht="15.75" hidden="1" customHeight="1" x14ac:dyDescent="0.25">
      <c r="A99" s="100" t="s">
        <v>131</v>
      </c>
      <c r="B99" s="101" t="s">
        <v>131</v>
      </c>
      <c r="C99" s="43">
        <v>0</v>
      </c>
      <c r="D99" s="19" t="e">
        <f ca="1">((100/(H88))*C99)/100</f>
        <v>#REF!</v>
      </c>
      <c r="E99" s="122"/>
      <c r="F99" s="195"/>
      <c r="G99" s="122"/>
      <c r="H99" s="123"/>
      <c r="I99" s="13" t="s">
        <v>147</v>
      </c>
      <c r="J99" s="30" t="e">
        <f ca="1">(IF(B88=1,(H88/(B88+3)+J94),IF(B88=0,(H88/4+J94),IF(B88&gt;1,0))))</f>
        <v>#REF!</v>
      </c>
    </row>
    <row r="100" spans="1:22" ht="16.5" hidden="1" thickBot="1" x14ac:dyDescent="0.3">
      <c r="A100" s="106" t="s">
        <v>132</v>
      </c>
      <c r="B100" s="107"/>
      <c r="C100" s="44">
        <v>0</v>
      </c>
      <c r="D100" s="20" t="e">
        <f ca="1">((100/(H88))*C100)/100</f>
        <v>#REF!</v>
      </c>
      <c r="E100" s="124"/>
      <c r="F100" s="196"/>
      <c r="G100" s="124"/>
      <c r="H100" s="125"/>
      <c r="I100" s="15" t="s">
        <v>100</v>
      </c>
      <c r="J100" s="32" t="e">
        <f ca="1">(IF(B88&gt;1.5,(H88/(B88+2)+J94+MAX(0,J95-J94)+MAX(0,J96-J95)+MAX(0,J97-J96)+MAX(0,J98-J97)+MAX(0,J99-J98)),IF(B88=1,(H88/(B88+3)+J99),IF(B88=0,H88/4+J99))))</f>
        <v>#REF!</v>
      </c>
    </row>
    <row r="101" spans="1:22" x14ac:dyDescent="0.25">
      <c r="A101" s="128" t="s">
        <v>158</v>
      </c>
      <c r="B101" s="128"/>
      <c r="C101" s="128"/>
      <c r="D101" s="128"/>
      <c r="E101" s="128"/>
      <c r="F101" s="192" t="s">
        <v>160</v>
      </c>
      <c r="G101" s="192"/>
      <c r="H101" s="192"/>
      <c r="R101" t="s">
        <v>255</v>
      </c>
      <c r="S101" t="s">
        <v>172</v>
      </c>
      <c r="T101" t="s">
        <v>179</v>
      </c>
      <c r="U101" t="s">
        <v>194</v>
      </c>
      <c r="V101" t="s">
        <v>189</v>
      </c>
    </row>
    <row r="102" spans="1:22" hidden="1" x14ac:dyDescent="0.25">
      <c r="A102" s="105" t="s">
        <v>159</v>
      </c>
      <c r="B102" s="105"/>
      <c r="C102" s="105"/>
      <c r="D102" s="105"/>
      <c r="E102" s="105"/>
      <c r="F102" s="126"/>
      <c r="G102" s="126"/>
      <c r="H102" s="126"/>
      <c r="R102"/>
      <c r="S102">
        <v>800000</v>
      </c>
      <c r="T102">
        <v>150000</v>
      </c>
      <c r="U102">
        <v>100000</v>
      </c>
      <c r="V102">
        <v>100000</v>
      </c>
    </row>
    <row r="103" spans="1:22" x14ac:dyDescent="0.25">
      <c r="A103" s="105" t="s">
        <v>357</v>
      </c>
      <c r="B103" s="105"/>
      <c r="C103" s="105"/>
      <c r="D103" s="105"/>
      <c r="E103" s="105"/>
      <c r="F103" s="126">
        <v>28000</v>
      </c>
      <c r="G103" s="126"/>
      <c r="H103" s="126"/>
      <c r="R103"/>
      <c r="S103">
        <v>900000</v>
      </c>
      <c r="T103">
        <v>200000</v>
      </c>
      <c r="U103">
        <v>150000</v>
      </c>
      <c r="V103">
        <v>150000</v>
      </c>
    </row>
    <row r="104" spans="1:22" x14ac:dyDescent="0.25">
      <c r="A104" s="105" t="s">
        <v>369</v>
      </c>
      <c r="B104" s="105"/>
      <c r="C104" s="105"/>
      <c r="D104" s="105"/>
      <c r="E104" s="105"/>
      <c r="F104" s="126">
        <v>27500</v>
      </c>
      <c r="G104" s="126"/>
      <c r="H104" s="126"/>
      <c r="R104"/>
      <c r="S104">
        <v>900000</v>
      </c>
      <c r="T104">
        <v>200000</v>
      </c>
      <c r="U104">
        <v>150000</v>
      </c>
      <c r="V104">
        <v>150000</v>
      </c>
    </row>
    <row r="105" spans="1:22" x14ac:dyDescent="0.25">
      <c r="A105" s="105" t="s">
        <v>358</v>
      </c>
      <c r="B105" s="105"/>
      <c r="C105" s="105"/>
      <c r="D105" s="105"/>
      <c r="E105" s="105"/>
      <c r="F105" s="126">
        <v>25000</v>
      </c>
      <c r="G105" s="126"/>
      <c r="H105" s="126"/>
      <c r="R105"/>
      <c r="S105">
        <v>900000</v>
      </c>
      <c r="T105">
        <v>200000</v>
      </c>
      <c r="U105">
        <v>150000</v>
      </c>
      <c r="V105">
        <v>150000</v>
      </c>
    </row>
    <row r="106" spans="1:22" x14ac:dyDescent="0.25">
      <c r="A106" s="105" t="s">
        <v>359</v>
      </c>
      <c r="B106" s="105"/>
      <c r="C106" s="105"/>
      <c r="D106" s="105"/>
      <c r="E106" s="105"/>
      <c r="F106" s="126">
        <v>21000</v>
      </c>
      <c r="G106" s="126"/>
      <c r="H106" s="126"/>
      <c r="L106" s="21">
        <f>34000/1.5</f>
        <v>22666.666666666668</v>
      </c>
      <c r="R106"/>
      <c r="S106">
        <v>1000000</v>
      </c>
      <c r="T106">
        <v>250000</v>
      </c>
      <c r="U106">
        <v>200000</v>
      </c>
      <c r="V106">
        <v>200000</v>
      </c>
    </row>
    <row r="107" spans="1:22" s="33" customFormat="1" hidden="1" x14ac:dyDescent="0.25">
      <c r="A107" s="105" t="s">
        <v>174</v>
      </c>
      <c r="B107" s="105"/>
      <c r="C107" s="105"/>
      <c r="D107" s="105"/>
      <c r="E107" s="105"/>
      <c r="F107" s="126"/>
      <c r="G107" s="126"/>
      <c r="H107" s="126"/>
      <c r="R107"/>
      <c r="S107">
        <v>1100000</v>
      </c>
      <c r="T107">
        <v>300000</v>
      </c>
      <c r="U107">
        <v>250000</v>
      </c>
      <c r="V107" s="23">
        <v>250000</v>
      </c>
    </row>
    <row r="108" spans="1:22" s="33" customFormat="1" hidden="1" x14ac:dyDescent="0.25">
      <c r="A108" s="105" t="s">
        <v>90</v>
      </c>
      <c r="B108" s="105"/>
      <c r="C108" s="105"/>
      <c r="D108" s="105"/>
      <c r="E108" s="105"/>
      <c r="F108" s="126"/>
      <c r="G108" s="126"/>
      <c r="H108" s="126"/>
      <c r="R108"/>
      <c r="S108">
        <v>1200000</v>
      </c>
      <c r="T108">
        <v>350000</v>
      </c>
      <c r="U108">
        <v>300000</v>
      </c>
      <c r="V108">
        <v>300000</v>
      </c>
    </row>
    <row r="109" spans="1:22" s="33" customFormat="1" hidden="1" x14ac:dyDescent="0.25">
      <c r="A109" s="105" t="s">
        <v>91</v>
      </c>
      <c r="B109" s="105"/>
      <c r="C109" s="105"/>
      <c r="D109" s="105"/>
      <c r="E109" s="105"/>
      <c r="F109" s="126"/>
      <c r="G109" s="126"/>
      <c r="H109" s="126"/>
      <c r="R109"/>
      <c r="S109">
        <v>1300000</v>
      </c>
      <c r="T109">
        <v>400000</v>
      </c>
      <c r="U109">
        <v>350000</v>
      </c>
      <c r="V109" s="23">
        <v>400000</v>
      </c>
    </row>
    <row r="110" spans="1:22" s="33" customFormat="1" hidden="1" x14ac:dyDescent="0.25">
      <c r="A110" s="105" t="s">
        <v>92</v>
      </c>
      <c r="B110" s="105"/>
      <c r="C110" s="105"/>
      <c r="D110" s="105"/>
      <c r="E110" s="105"/>
      <c r="F110" s="126"/>
      <c r="G110" s="126"/>
      <c r="H110" s="126"/>
      <c r="R110"/>
      <c r="S110">
        <v>1400000</v>
      </c>
      <c r="T110">
        <v>500000</v>
      </c>
      <c r="U110">
        <v>400000</v>
      </c>
      <c r="V110"/>
    </row>
    <row r="111" spans="1:22" s="33" customFormat="1" hidden="1" x14ac:dyDescent="0.25">
      <c r="A111" s="105" t="s">
        <v>93</v>
      </c>
      <c r="B111" s="105"/>
      <c r="C111" s="105"/>
      <c r="D111" s="105"/>
      <c r="E111" s="105"/>
      <c r="F111" s="126"/>
      <c r="G111" s="126"/>
      <c r="H111" s="126"/>
      <c r="R111"/>
      <c r="S111">
        <v>1500000</v>
      </c>
      <c r="T111">
        <v>600000</v>
      </c>
      <c r="U111">
        <v>500000</v>
      </c>
      <c r="V111" s="23"/>
    </row>
    <row r="112" spans="1:22" s="33" customFormat="1" hidden="1" x14ac:dyDescent="0.25">
      <c r="A112" s="105" t="s">
        <v>94</v>
      </c>
      <c r="B112" s="105"/>
      <c r="C112" s="105"/>
      <c r="D112" s="105"/>
      <c r="E112" s="105"/>
      <c r="F112" s="126"/>
      <c r="G112" s="126"/>
      <c r="H112" s="126"/>
      <c r="R112"/>
      <c r="S112">
        <v>1600000</v>
      </c>
      <c r="T112">
        <v>700000</v>
      </c>
      <c r="U112">
        <v>600000</v>
      </c>
      <c r="V112"/>
    </row>
    <row r="113" spans="1:22" s="33" customFormat="1" hidden="1" x14ac:dyDescent="0.25">
      <c r="A113" s="105" t="s">
        <v>95</v>
      </c>
      <c r="B113" s="105"/>
      <c r="C113" s="105"/>
      <c r="D113" s="105"/>
      <c r="E113" s="105"/>
      <c r="F113" s="126"/>
      <c r="G113" s="126"/>
      <c r="H113" s="126"/>
      <c r="R113"/>
      <c r="S113">
        <v>1700000</v>
      </c>
      <c r="T113">
        <v>800000</v>
      </c>
      <c r="U113"/>
      <c r="V113" s="23"/>
    </row>
    <row r="114" spans="1:22" x14ac:dyDescent="0.25">
      <c r="A114" s="105" t="s">
        <v>360</v>
      </c>
      <c r="B114" s="105"/>
      <c r="C114" s="105"/>
      <c r="D114" s="105"/>
      <c r="E114" s="105"/>
      <c r="F114" s="126">
        <v>20000</v>
      </c>
      <c r="G114" s="126"/>
      <c r="H114" s="126"/>
      <c r="L114" s="21">
        <f>34000/1.5</f>
        <v>22666.666666666668</v>
      </c>
      <c r="R114"/>
      <c r="S114">
        <v>1000000</v>
      </c>
      <c r="T114">
        <v>250000</v>
      </c>
      <c r="U114">
        <v>200000</v>
      </c>
      <c r="V114">
        <v>200000</v>
      </c>
    </row>
    <row r="115" spans="1:22" x14ac:dyDescent="0.25">
      <c r="A115" s="105" t="s">
        <v>48</v>
      </c>
      <c r="B115" s="105"/>
      <c r="C115" s="105"/>
      <c r="D115" s="105"/>
      <c r="E115" s="105"/>
      <c r="F115" s="186">
        <v>700000</v>
      </c>
      <c r="G115" s="186"/>
      <c r="H115" s="186"/>
      <c r="R115"/>
      <c r="S115">
        <v>1800000</v>
      </c>
      <c r="T115">
        <v>900000</v>
      </c>
      <c r="U115"/>
    </row>
    <row r="116" spans="1:22" s="34" customFormat="1" x14ac:dyDescent="0.25">
      <c r="A116" s="143" t="s">
        <v>49</v>
      </c>
      <c r="B116" s="143"/>
      <c r="C116" s="143"/>
      <c r="D116" s="143"/>
      <c r="E116" s="143"/>
      <c r="F116" s="126">
        <f>F106*0.8</f>
        <v>16800</v>
      </c>
      <c r="G116" s="126"/>
      <c r="H116" s="126"/>
      <c r="R116" s="21"/>
      <c r="S116" s="21">
        <v>700000</v>
      </c>
      <c r="T116">
        <v>1000000</v>
      </c>
      <c r="U116"/>
      <c r="V116" s="21"/>
    </row>
    <row r="117" spans="1:22" s="35" customFormat="1" ht="15.75" customHeight="1" x14ac:dyDescent="0.25">
      <c r="A117" s="108" t="s">
        <v>349</v>
      </c>
      <c r="B117" s="108"/>
      <c r="C117" s="108"/>
      <c r="D117" s="108"/>
      <c r="E117" s="108"/>
      <c r="F117" s="108"/>
      <c r="G117" s="108"/>
      <c r="H117" s="108"/>
      <c r="R117"/>
      <c r="S117" s="21"/>
      <c r="T117"/>
      <c r="U117"/>
      <c r="V117" s="21"/>
    </row>
    <row r="118" spans="1:22" s="35" customFormat="1" ht="15.75" customHeight="1" x14ac:dyDescent="0.25">
      <c r="A118" s="110" t="s">
        <v>50</v>
      </c>
      <c r="B118" s="110"/>
      <c r="C118" s="113" t="s">
        <v>73</v>
      </c>
      <c r="D118" s="113"/>
      <c r="E118" s="109" t="s">
        <v>51</v>
      </c>
      <c r="F118" s="109"/>
      <c r="G118" s="110" t="s">
        <v>52</v>
      </c>
      <c r="H118" s="110"/>
      <c r="R118"/>
      <c r="S118" s="21"/>
      <c r="T118"/>
      <c r="U118" s="21"/>
      <c r="V118" s="21"/>
    </row>
    <row r="119" spans="1:22" s="35" customFormat="1" x14ac:dyDescent="0.25">
      <c r="A119" s="115" t="s">
        <v>331</v>
      </c>
      <c r="B119" s="115"/>
      <c r="C119" s="133">
        <f>COUNT(F143,F158,F160:F161)+COUNT(F167:F169,F181:F184)</f>
        <v>11</v>
      </c>
      <c r="D119" s="116"/>
      <c r="E119" s="111">
        <f>SUM(F143,F158,F160:F161)+SUM(F167:F169,F181:F184)</f>
        <v>2903.8042799999998</v>
      </c>
      <c r="F119" s="111"/>
      <c r="G119" s="111">
        <f>SUM(H143,H158,H160:H161)+SUM(H167:H169,H181:H184)</f>
        <v>4355.7064199999995</v>
      </c>
      <c r="H119" s="111"/>
      <c r="I119" s="35">
        <f>4+7</f>
        <v>11</v>
      </c>
      <c r="R119"/>
      <c r="S119" s="21"/>
      <c r="T119"/>
      <c r="U119" s="21"/>
      <c r="V119" s="21"/>
    </row>
    <row r="120" spans="1:22" s="35" customFormat="1" x14ac:dyDescent="0.25">
      <c r="A120" s="115" t="s">
        <v>339</v>
      </c>
      <c r="B120" s="115"/>
      <c r="C120" s="111">
        <f>COUNT(D186:D196)*2+COUNT(D201:D203,D208:D212)+COUNT(D214:D225)*9+COUNT(D227:D231,D234:D238)</f>
        <v>148</v>
      </c>
      <c r="D120" s="111"/>
      <c r="E120" s="111">
        <f>SUM(F186:F196)*2+SUM(F201:F203,F208:F212)+SUM(F214:F225)*9+SUM(F227:F231,F234:F238)</f>
        <v>70323.472440000012</v>
      </c>
      <c r="F120" s="111"/>
      <c r="G120" s="111">
        <f>SUM(H186:H196)*2+SUM(H201:H203,H208:H212)+SUM(H214:H225)*9+SUM(H227:H231,H234:H238)</f>
        <v>105485.20865999999</v>
      </c>
      <c r="H120" s="111"/>
      <c r="I120" s="35">
        <f>11*2+8+10+12*9</f>
        <v>148</v>
      </c>
      <c r="R120"/>
      <c r="S120" s="21"/>
      <c r="T120"/>
      <c r="U120" s="21"/>
      <c r="V120" s="21"/>
    </row>
    <row r="121" spans="1:22" s="35" customFormat="1" x14ac:dyDescent="0.25">
      <c r="A121" s="108" t="s">
        <v>151</v>
      </c>
      <c r="B121" s="108"/>
      <c r="C121" s="112">
        <f t="shared" ref="C121:G121" si="0">SUM(C119:D120)</f>
        <v>159</v>
      </c>
      <c r="D121" s="113"/>
      <c r="E121" s="114">
        <f t="shared" si="0"/>
        <v>73227.276720000009</v>
      </c>
      <c r="F121" s="109"/>
      <c r="G121" s="110">
        <f t="shared" si="0"/>
        <v>109840.91507999999</v>
      </c>
      <c r="H121" s="110"/>
      <c r="R121"/>
      <c r="S121" s="21"/>
      <c r="T121"/>
      <c r="U121" s="21"/>
      <c r="V121" s="21"/>
    </row>
    <row r="122" spans="1:22" s="35" customFormat="1" x14ac:dyDescent="0.25">
      <c r="A122" s="108" t="s">
        <v>350</v>
      </c>
      <c r="B122" s="108"/>
      <c r="C122" s="108"/>
      <c r="D122" s="108"/>
      <c r="E122" s="108"/>
      <c r="F122" s="108"/>
      <c r="G122" s="108"/>
      <c r="H122" s="108"/>
      <c r="T122"/>
    </row>
    <row r="123" spans="1:22" s="35" customFormat="1" ht="15.75" customHeight="1" x14ac:dyDescent="0.25">
      <c r="A123" s="110" t="s">
        <v>50</v>
      </c>
      <c r="B123" s="110"/>
      <c r="C123" s="113" t="s">
        <v>73</v>
      </c>
      <c r="D123" s="113"/>
      <c r="E123" s="109" t="s">
        <v>51</v>
      </c>
      <c r="F123" s="109"/>
      <c r="G123" s="110" t="s">
        <v>52</v>
      </c>
      <c r="H123" s="110"/>
      <c r="T123"/>
    </row>
    <row r="124" spans="1:22" s="35" customFormat="1" x14ac:dyDescent="0.25">
      <c r="A124" s="115" t="s">
        <v>331</v>
      </c>
      <c r="B124" s="115"/>
      <c r="C124" s="133">
        <f>COUNT(F139:F142,F144:F153,F154:F157,F159)+COUNT(F178)</f>
        <v>20</v>
      </c>
      <c r="D124" s="116"/>
      <c r="E124" s="111">
        <f>SUM(F139:F142,F144:F153,F154:F157,F159)+SUM(F178)</f>
        <v>7471.0771199999999</v>
      </c>
      <c r="F124" s="117"/>
      <c r="G124" s="111">
        <f>SUM(H139:H142,H144:H153,H154:H157,H159)+SUM(H178)</f>
        <v>11206.615679999997</v>
      </c>
      <c r="H124" s="117"/>
      <c r="T124"/>
    </row>
    <row r="125" spans="1:22" s="35" customFormat="1" x14ac:dyDescent="0.25">
      <c r="A125" s="108" t="s">
        <v>151</v>
      </c>
      <c r="B125" s="108"/>
      <c r="C125" s="112">
        <f>SUM(C124)</f>
        <v>20</v>
      </c>
      <c r="D125" s="113"/>
      <c r="E125" s="114">
        <f>SUM(E124)</f>
        <v>7471.0771199999999</v>
      </c>
      <c r="F125" s="109"/>
      <c r="G125" s="110">
        <f>SUM(G124)</f>
        <v>11206.615679999997</v>
      </c>
      <c r="H125" s="110"/>
      <c r="T125"/>
    </row>
    <row r="126" spans="1:22" s="35" customFormat="1" x14ac:dyDescent="0.25">
      <c r="A126" s="108" t="s">
        <v>166</v>
      </c>
      <c r="B126" s="108"/>
      <c r="C126" s="112">
        <f>C121+C125</f>
        <v>179</v>
      </c>
      <c r="D126" s="113"/>
      <c r="E126" s="114">
        <f>E121+E125</f>
        <v>80698.353840000011</v>
      </c>
      <c r="F126" s="109"/>
      <c r="G126" s="110">
        <f>G121+G125</f>
        <v>121047.53075999999</v>
      </c>
      <c r="H126" s="110"/>
      <c r="T126"/>
    </row>
    <row r="127" spans="1:22" s="35" customFormat="1" hidden="1" x14ac:dyDescent="0.25">
      <c r="A127" s="108" t="s">
        <v>66</v>
      </c>
      <c r="B127" s="108"/>
      <c r="C127" s="108"/>
      <c r="D127" s="108"/>
      <c r="E127" s="108"/>
      <c r="F127" s="108"/>
      <c r="G127" s="108"/>
      <c r="H127" s="108"/>
      <c r="T127"/>
    </row>
    <row r="128" spans="1:22" s="34" customFormat="1" hidden="1" x14ac:dyDescent="0.25">
      <c r="A128" s="110" t="s">
        <v>50</v>
      </c>
      <c r="B128" s="110"/>
      <c r="C128" s="113" t="s">
        <v>73</v>
      </c>
      <c r="D128" s="113"/>
      <c r="E128" s="109" t="s">
        <v>51</v>
      </c>
      <c r="F128" s="109"/>
      <c r="G128" s="110" t="s">
        <v>52</v>
      </c>
      <c r="H128" s="110"/>
      <c r="T128" s="35"/>
    </row>
    <row r="129" spans="1:20" hidden="1" x14ac:dyDescent="0.25">
      <c r="A129" s="115"/>
      <c r="B129" s="115"/>
      <c r="C129" s="116"/>
      <c r="D129" s="116"/>
      <c r="E129" s="117"/>
      <c r="F129" s="117"/>
      <c r="G129" s="118"/>
      <c r="H129" s="118"/>
      <c r="T129" s="35"/>
    </row>
    <row r="130" spans="1:20" ht="47.25" hidden="1" customHeight="1" x14ac:dyDescent="0.25">
      <c r="A130" s="115"/>
      <c r="B130" s="115"/>
      <c r="C130" s="116"/>
      <c r="D130" s="116"/>
      <c r="E130" s="117"/>
      <c r="F130" s="117"/>
      <c r="G130" s="118"/>
      <c r="H130" s="118"/>
      <c r="T130" s="35"/>
    </row>
    <row r="131" spans="1:20" s="37" customFormat="1" hidden="1" x14ac:dyDescent="0.25">
      <c r="A131" s="108" t="s">
        <v>151</v>
      </c>
      <c r="B131" s="108"/>
      <c r="C131" s="113"/>
      <c r="D131" s="113"/>
      <c r="E131" s="109"/>
      <c r="F131" s="109"/>
      <c r="G131" s="110"/>
      <c r="H131" s="110"/>
      <c r="T131" s="35"/>
    </row>
    <row r="132" spans="1:20" s="37" customFormat="1" ht="33.75" hidden="1" customHeight="1" thickBot="1" x14ac:dyDescent="0.3">
      <c r="A132" s="108" t="s">
        <v>166</v>
      </c>
      <c r="B132" s="108"/>
      <c r="C132" s="113">
        <f>C121+C131</f>
        <v>159</v>
      </c>
      <c r="D132" s="113"/>
      <c r="E132" s="109">
        <f>E121+E131</f>
        <v>73227.276720000009</v>
      </c>
      <c r="F132" s="109"/>
      <c r="G132" s="110">
        <f>G121+G131</f>
        <v>109840.91507999999</v>
      </c>
      <c r="H132" s="110"/>
      <c r="I132" s="91">
        <v>10.763999999999999</v>
      </c>
      <c r="J132" s="36"/>
      <c r="T132" s="35"/>
    </row>
    <row r="133" spans="1:20" s="37" customFormat="1" ht="15.75" customHeight="1" x14ac:dyDescent="0.25">
      <c r="A133" s="168" t="s">
        <v>53</v>
      </c>
      <c r="B133" s="168"/>
      <c r="C133" s="168"/>
      <c r="D133" s="168"/>
      <c r="E133" s="168"/>
      <c r="F133" s="168"/>
      <c r="G133" s="168"/>
      <c r="H133" s="168"/>
      <c r="I133" s="36"/>
      <c r="L133" s="130"/>
      <c r="M133" s="130"/>
      <c r="N133" s="36"/>
      <c r="T133" s="35"/>
    </row>
    <row r="134" spans="1:20" s="37" customFormat="1" x14ac:dyDescent="0.25">
      <c r="A134" s="163" t="s">
        <v>325</v>
      </c>
      <c r="B134" s="163"/>
      <c r="C134" s="163"/>
      <c r="D134" s="163"/>
      <c r="E134" s="163"/>
      <c r="F134" s="163"/>
      <c r="G134" s="163"/>
      <c r="H134" s="163"/>
      <c r="I134" s="79">
        <f>2.35*12.5</f>
        <v>29.375</v>
      </c>
      <c r="J134" s="37">
        <f>2.35*12.35</f>
        <v>29.022500000000001</v>
      </c>
      <c r="L134" s="130"/>
      <c r="M134" s="130"/>
      <c r="N134" s="36"/>
      <c r="T134" s="34"/>
    </row>
    <row r="135" spans="1:20" s="37" customFormat="1" ht="51" customHeight="1" x14ac:dyDescent="0.25">
      <c r="A135" s="127" t="s">
        <v>116</v>
      </c>
      <c r="B135" s="127" t="s">
        <v>176</v>
      </c>
      <c r="C135" s="127" t="s">
        <v>54</v>
      </c>
      <c r="D135" s="127" t="s">
        <v>233</v>
      </c>
      <c r="E135" s="129" t="s">
        <v>157</v>
      </c>
      <c r="F135" s="127" t="s">
        <v>55</v>
      </c>
      <c r="G135" s="129" t="s">
        <v>56</v>
      </c>
      <c r="H135" s="92" t="s">
        <v>149</v>
      </c>
      <c r="I135" s="79">
        <f>2.25*8</f>
        <v>18</v>
      </c>
      <c r="L135" s="130"/>
      <c r="M135" s="130"/>
      <c r="N135" s="36"/>
      <c r="T135" s="21"/>
    </row>
    <row r="136" spans="1:20" s="37" customFormat="1" x14ac:dyDescent="0.25">
      <c r="A136" s="127"/>
      <c r="B136" s="127"/>
      <c r="C136" s="127"/>
      <c r="D136" s="127"/>
      <c r="E136" s="129"/>
      <c r="F136" s="127"/>
      <c r="G136" s="129"/>
      <c r="H136" s="93">
        <v>0.5</v>
      </c>
      <c r="I136" s="36"/>
      <c r="L136" s="130"/>
      <c r="M136" s="130"/>
      <c r="N136" s="36"/>
      <c r="T136" s="21"/>
    </row>
    <row r="137" spans="1:20" s="37" customFormat="1" ht="32.25" customHeight="1" x14ac:dyDescent="0.25">
      <c r="A137" s="189" t="s">
        <v>326</v>
      </c>
      <c r="B137" s="190"/>
      <c r="C137" s="190"/>
      <c r="D137" s="190"/>
      <c r="E137" s="190"/>
      <c r="F137" s="190"/>
      <c r="G137" s="190"/>
      <c r="H137" s="191"/>
      <c r="I137" s="36"/>
      <c r="N137" s="36"/>
    </row>
    <row r="138" spans="1:20" ht="15.75" customHeight="1" x14ac:dyDescent="0.25">
      <c r="A138" s="189" t="s">
        <v>327</v>
      </c>
      <c r="B138" s="190"/>
      <c r="C138" s="190"/>
      <c r="D138" s="190"/>
      <c r="E138" s="190"/>
      <c r="F138" s="190"/>
      <c r="G138" s="190"/>
      <c r="H138" s="191"/>
      <c r="I138" s="36"/>
      <c r="T138" s="37"/>
    </row>
    <row r="139" spans="1:20" s="37" customFormat="1" ht="47.25" x14ac:dyDescent="0.25">
      <c r="A139" s="74">
        <v>1</v>
      </c>
      <c r="B139" s="74" t="s">
        <v>329</v>
      </c>
      <c r="C139" s="42" t="s">
        <v>328</v>
      </c>
      <c r="D139" s="82">
        <f>(29.38+29.02)*10.764</f>
        <v>628.61759999999992</v>
      </c>
      <c r="E139" s="42">
        <v>0</v>
      </c>
      <c r="F139" s="68">
        <f>D139+(IF(E139&lt;201,E139,IF(E139&lt;301,E139/2,E139/3)))</f>
        <v>628.61759999999992</v>
      </c>
      <c r="G139" s="69">
        <v>0</v>
      </c>
      <c r="H139" s="68">
        <f>(F139+(IF(G139&lt;101,G139,IF(G139&lt;201,G139/2,IF(G139&lt;=301,G139/3,G139/4)))))*(($H$136)+1)</f>
        <v>942.92639999999983</v>
      </c>
      <c r="I139" s="36">
        <f>2.35*12.5</f>
        <v>29.375</v>
      </c>
    </row>
    <row r="140" spans="1:20" s="37" customFormat="1" ht="47.25" x14ac:dyDescent="0.25">
      <c r="A140" s="74">
        <f>A139+1</f>
        <v>2</v>
      </c>
      <c r="B140" s="74" t="s">
        <v>329</v>
      </c>
      <c r="C140" s="74" t="s">
        <v>328</v>
      </c>
      <c r="D140" s="82">
        <f>(18+17.66)*10.764</f>
        <v>383.84423999999996</v>
      </c>
      <c r="E140" s="42">
        <v>0</v>
      </c>
      <c r="F140" s="68">
        <f t="shared" ref="F140:F142" si="1">D140+(IF(E140&lt;201,E140,IF(E140&lt;301,E140/2,E140/3)))</f>
        <v>383.84423999999996</v>
      </c>
      <c r="G140" s="56">
        <v>0</v>
      </c>
      <c r="H140" s="68">
        <f t="shared" ref="H140:H142" si="2">(F140+(IF(G140&lt;101,G140,IF(G140&lt;201,G140/2,IF(G140&lt;=301,G140/3,G140/4)))))*(($H$136)+1)</f>
        <v>575.76635999999996</v>
      </c>
      <c r="J140" s="83"/>
    </row>
    <row r="141" spans="1:20" s="37" customFormat="1" ht="51.75" customHeight="1" x14ac:dyDescent="0.25">
      <c r="A141" s="74">
        <f>A140+1</f>
        <v>3</v>
      </c>
      <c r="B141" s="74" t="s">
        <v>329</v>
      </c>
      <c r="C141" s="74" t="s">
        <v>328</v>
      </c>
      <c r="D141" s="82">
        <f>(18.04+17.71)*10.764</f>
        <v>384.81299999999999</v>
      </c>
      <c r="E141" s="42">
        <v>0</v>
      </c>
      <c r="F141" s="68">
        <f t="shared" si="1"/>
        <v>384.81299999999999</v>
      </c>
      <c r="G141" s="56">
        <v>0</v>
      </c>
      <c r="H141" s="68">
        <f t="shared" si="2"/>
        <v>577.21949999999993</v>
      </c>
      <c r="I141" s="36"/>
      <c r="J141" s="83"/>
      <c r="L141" s="130"/>
      <c r="M141" s="130"/>
      <c r="N141" s="36"/>
    </row>
    <row r="142" spans="1:20" s="37" customFormat="1" ht="48.75" customHeight="1" x14ac:dyDescent="0.25">
      <c r="A142" s="74">
        <f>A141+1</f>
        <v>4</v>
      </c>
      <c r="B142" s="74" t="s">
        <v>329</v>
      </c>
      <c r="C142" s="74" t="s">
        <v>328</v>
      </c>
      <c r="D142" s="82">
        <f>(29.38+29.02)*10.764</f>
        <v>628.61759999999992</v>
      </c>
      <c r="E142" s="42">
        <v>0</v>
      </c>
      <c r="F142" s="68">
        <f t="shared" si="1"/>
        <v>628.61759999999992</v>
      </c>
      <c r="G142" s="56">
        <v>0</v>
      </c>
      <c r="H142" s="68">
        <f t="shared" si="2"/>
        <v>942.92639999999983</v>
      </c>
      <c r="I142" s="36"/>
      <c r="J142" s="83"/>
      <c r="L142" s="130"/>
      <c r="M142" s="130"/>
      <c r="N142" s="36"/>
    </row>
    <row r="143" spans="1:20" s="37" customFormat="1" ht="50.25" customHeight="1" x14ac:dyDescent="0.25">
      <c r="A143" s="74">
        <f>A142+1</f>
        <v>5</v>
      </c>
      <c r="B143" s="74" t="s">
        <v>330</v>
      </c>
      <c r="C143" s="74" t="s">
        <v>331</v>
      </c>
      <c r="D143" s="82">
        <f>(45.63)*10.764</f>
        <v>491.16131999999999</v>
      </c>
      <c r="E143" s="74">
        <v>0</v>
      </c>
      <c r="F143" s="74">
        <f t="shared" ref="F143" si="3">D143+(IF(E143&lt;201,E143,IF(E143&lt;301,E143/2,E143/3)))</f>
        <v>491.16131999999999</v>
      </c>
      <c r="G143" s="74">
        <v>0</v>
      </c>
      <c r="H143" s="74">
        <f t="shared" ref="H143" si="4">(F143+(IF(G143&lt;101,G143,IF(G143&lt;201,G143/2,IF(G143&lt;=301,G143/3,G143/4)))))*(($H$136)+1)</f>
        <v>736.74198000000001</v>
      </c>
      <c r="I143" s="36"/>
      <c r="J143" s="83"/>
      <c r="L143" s="130"/>
      <c r="M143" s="130"/>
      <c r="N143" s="36"/>
    </row>
    <row r="144" spans="1:20" s="37" customFormat="1" ht="44.25" customHeight="1" x14ac:dyDescent="0.25">
      <c r="A144" s="74">
        <v>6</v>
      </c>
      <c r="B144" s="74" t="s">
        <v>329</v>
      </c>
      <c r="C144" s="74" t="s">
        <v>331</v>
      </c>
      <c r="D144" s="82">
        <f>(46.25)*10.764</f>
        <v>497.83499999999998</v>
      </c>
      <c r="E144" s="74">
        <v>0</v>
      </c>
      <c r="F144" s="74">
        <f>D144+(IF(E144&lt;201,E144,IF(E144&lt;301,E144/2,E144/3)))</f>
        <v>497.83499999999998</v>
      </c>
      <c r="G144" s="69">
        <v>0</v>
      </c>
      <c r="H144" s="74">
        <f>(F144+(IF(G144&lt;101,G144,IF(G144&lt;201,G144/2,IF(G144&lt;=301,G144/3,G144/4)))))*(($H$136)+1)</f>
        <v>746.75249999999994</v>
      </c>
      <c r="I144" s="36"/>
      <c r="J144" s="83"/>
      <c r="L144" s="130"/>
      <c r="M144" s="130"/>
      <c r="N144" s="36"/>
      <c r="T144" s="21"/>
    </row>
    <row r="145" spans="1:14" s="37" customFormat="1" x14ac:dyDescent="0.25">
      <c r="A145" s="74">
        <f>A144+1</f>
        <v>7</v>
      </c>
      <c r="B145" s="74" t="s">
        <v>329</v>
      </c>
      <c r="C145" s="74" t="s">
        <v>331</v>
      </c>
      <c r="D145" s="82">
        <f>(36.25)*10.764</f>
        <v>390.19499999999999</v>
      </c>
      <c r="E145" s="74">
        <v>0</v>
      </c>
      <c r="F145" s="74">
        <f t="shared" ref="F145:F147" si="5">D145+(IF(E145&lt;201,E145,IF(E145&lt;301,E145/2,E145/3)))</f>
        <v>390.19499999999999</v>
      </c>
      <c r="G145" s="74">
        <v>0</v>
      </c>
      <c r="H145" s="74">
        <f t="shared" ref="H145:H147" si="6">(F145+(IF(G145&lt;101,G145,IF(G145&lt;201,G145/2,IF(G145&lt;=301,G145/3,G145/4)))))*(($H$136)+1)</f>
        <v>585.29250000000002</v>
      </c>
      <c r="I145" s="36"/>
      <c r="L145" s="130"/>
      <c r="M145" s="130"/>
    </row>
    <row r="146" spans="1:14" s="37" customFormat="1" ht="44.25" customHeight="1" x14ac:dyDescent="0.25">
      <c r="A146" s="74">
        <f>A145+1</f>
        <v>8</v>
      </c>
      <c r="B146" s="74" t="s">
        <v>329</v>
      </c>
      <c r="C146" s="74" t="s">
        <v>328</v>
      </c>
      <c r="D146" s="82">
        <f>(14.15+13.8)*10.764</f>
        <v>300.85380000000004</v>
      </c>
      <c r="E146" s="74">
        <v>0</v>
      </c>
      <c r="F146" s="74">
        <f t="shared" si="5"/>
        <v>300.85380000000004</v>
      </c>
      <c r="G146" s="74">
        <v>0</v>
      </c>
      <c r="H146" s="74">
        <f t="shared" si="6"/>
        <v>451.28070000000002</v>
      </c>
      <c r="I146" s="36"/>
      <c r="N146" s="36"/>
    </row>
    <row r="147" spans="1:14" s="37" customFormat="1" ht="47.25" x14ac:dyDescent="0.25">
      <c r="A147" s="74">
        <f>A146+1</f>
        <v>9</v>
      </c>
      <c r="B147" s="74" t="s">
        <v>329</v>
      </c>
      <c r="C147" s="74" t="s">
        <v>328</v>
      </c>
      <c r="D147" s="82">
        <f>(19.11+20.34)*10.764</f>
        <v>424.63979999999998</v>
      </c>
      <c r="E147" s="74">
        <v>0</v>
      </c>
      <c r="F147" s="74">
        <f t="shared" si="5"/>
        <v>424.63979999999998</v>
      </c>
      <c r="G147" s="74">
        <v>0</v>
      </c>
      <c r="H147" s="74">
        <f t="shared" si="6"/>
        <v>636.9597</v>
      </c>
      <c r="I147" s="36"/>
      <c r="N147" s="36"/>
    </row>
    <row r="148" spans="1:14" s="37" customFormat="1" ht="47.25" x14ac:dyDescent="0.25">
      <c r="A148" s="74" t="s">
        <v>332</v>
      </c>
      <c r="B148" s="74" t="s">
        <v>329</v>
      </c>
      <c r="C148" s="74" t="s">
        <v>328</v>
      </c>
      <c r="D148" s="82">
        <f>(30+29.64)*10.764</f>
        <v>641.96496000000002</v>
      </c>
      <c r="E148" s="74">
        <v>0</v>
      </c>
      <c r="F148" s="74">
        <f t="shared" ref="F148" si="7">D148+(IF(E148&lt;201,E148,IF(E148&lt;301,E148/2,E148/3)))</f>
        <v>641.96496000000002</v>
      </c>
      <c r="G148" s="74">
        <v>0</v>
      </c>
      <c r="H148" s="74">
        <f t="shared" ref="H148" si="8">(F148+(IF(G148&lt;101,G148,IF(G148&lt;201,G148/2,IF(G148&lt;=301,G148/3,G148/4)))))*(($H$136)+1)</f>
        <v>962.94744000000003</v>
      </c>
      <c r="I148" s="36"/>
      <c r="N148" s="36"/>
    </row>
    <row r="149" spans="1:14" s="37" customFormat="1" ht="47.25" x14ac:dyDescent="0.25">
      <c r="A149" s="74">
        <v>11</v>
      </c>
      <c r="B149" s="74" t="s">
        <v>329</v>
      </c>
      <c r="C149" s="74" t="s">
        <v>328</v>
      </c>
      <c r="D149" s="82">
        <f>(8.06+7.74)*10.764</f>
        <v>170.0712</v>
      </c>
      <c r="E149" s="74">
        <v>0</v>
      </c>
      <c r="F149" s="74">
        <f>D149+(IF(E149&lt;201,E149,IF(E149&lt;301,E149/2,E149/3)))</f>
        <v>170.0712</v>
      </c>
      <c r="G149" s="69">
        <v>0</v>
      </c>
      <c r="H149" s="74">
        <f>(F149+(IF(G149&lt;101,G149,IF(G149&lt;201,G149/2,IF(G149&lt;=301,G149/3,G149/4)))))*(($H$136)+1)</f>
        <v>255.10680000000002</v>
      </c>
      <c r="I149" s="36"/>
      <c r="N149" s="36"/>
    </row>
    <row r="150" spans="1:14" s="37" customFormat="1" ht="47.25" x14ac:dyDescent="0.25">
      <c r="A150" s="74">
        <f>A149+1</f>
        <v>12</v>
      </c>
      <c r="B150" s="74" t="s">
        <v>329</v>
      </c>
      <c r="C150" s="74" t="s">
        <v>328</v>
      </c>
      <c r="D150" s="82">
        <f>(29.15+28.49)*10.764</f>
        <v>620.43696</v>
      </c>
      <c r="E150" s="74">
        <v>0</v>
      </c>
      <c r="F150" s="74">
        <f t="shared" ref="F150:F152" si="9">D150+(IF(E150&lt;201,E150,IF(E150&lt;301,E150/2,E150/3)))</f>
        <v>620.43696</v>
      </c>
      <c r="G150" s="74">
        <v>0</v>
      </c>
      <c r="H150" s="74">
        <f t="shared" ref="H150:H152" si="10">(F150+(IF(G150&lt;101,G150,IF(G150&lt;201,G150/2,IF(G150&lt;=301,G150/3,G150/4)))))*(($H$136)+1)</f>
        <v>930.65544</v>
      </c>
      <c r="I150" s="36"/>
      <c r="N150" s="36"/>
    </row>
    <row r="151" spans="1:14" s="37" customFormat="1" ht="48" customHeight="1" x14ac:dyDescent="0.25">
      <c r="A151" s="87">
        <f>A150+1</f>
        <v>13</v>
      </c>
      <c r="B151" s="87" t="s">
        <v>329</v>
      </c>
      <c r="C151" s="87" t="s">
        <v>328</v>
      </c>
      <c r="D151" s="82">
        <f>(12.86+12.51)*10.764</f>
        <v>273.08267999999998</v>
      </c>
      <c r="E151" s="87">
        <v>0</v>
      </c>
      <c r="F151" s="87">
        <f t="shared" si="9"/>
        <v>273.08267999999998</v>
      </c>
      <c r="G151" s="87">
        <v>0</v>
      </c>
      <c r="H151" s="87">
        <f t="shared" si="10"/>
        <v>409.62401999999997</v>
      </c>
      <c r="I151" s="36"/>
    </row>
    <row r="152" spans="1:14" s="37" customFormat="1" ht="48.75" customHeight="1" x14ac:dyDescent="0.25">
      <c r="A152" s="87">
        <f>A151+1</f>
        <v>14</v>
      </c>
      <c r="B152" s="87" t="s">
        <v>329</v>
      </c>
      <c r="C152" s="87" t="s">
        <v>328</v>
      </c>
      <c r="D152" s="82">
        <f>(14.13+13.77)*10.764</f>
        <v>300.31559999999996</v>
      </c>
      <c r="E152" s="87">
        <v>0</v>
      </c>
      <c r="F152" s="87">
        <f t="shared" si="9"/>
        <v>300.31559999999996</v>
      </c>
      <c r="G152" s="87">
        <v>0</v>
      </c>
      <c r="H152" s="87">
        <f t="shared" si="10"/>
        <v>450.47339999999997</v>
      </c>
      <c r="I152" s="36">
        <f>2.3*6.15+1.06*0.3+2.01*2.15+1.15*0.9</f>
        <v>19.819499999999998</v>
      </c>
    </row>
    <row r="153" spans="1:14" s="37" customFormat="1" ht="47.25" x14ac:dyDescent="0.25">
      <c r="A153" s="87">
        <v>15</v>
      </c>
      <c r="B153" s="87" t="s">
        <v>329</v>
      </c>
      <c r="C153" s="87" t="s">
        <v>328</v>
      </c>
      <c r="D153" s="82">
        <f>(11.1+10.73)*10.764</f>
        <v>234.97811999999996</v>
      </c>
      <c r="E153" s="87">
        <v>0</v>
      </c>
      <c r="F153" s="87">
        <f>D153+(IF(E153&lt;201,E153,IF(E153&lt;301,E153/2,E153/3)))</f>
        <v>234.97811999999996</v>
      </c>
      <c r="G153" s="69">
        <v>0</v>
      </c>
      <c r="H153" s="87">
        <f>(F153+(IF(G153&lt;101,G153,IF(G153&lt;201,G153/2,IF(G153&lt;=301,G153/3,G153/4)))))*(($H$136)+1)</f>
        <v>352.46717999999993</v>
      </c>
      <c r="I153" s="36"/>
    </row>
    <row r="154" spans="1:14" s="37" customFormat="1" ht="15.75" customHeight="1" x14ac:dyDescent="0.25">
      <c r="A154" s="74">
        <v>17</v>
      </c>
      <c r="B154" s="81" t="s">
        <v>329</v>
      </c>
      <c r="C154" s="74" t="s">
        <v>331</v>
      </c>
      <c r="D154" s="82">
        <f>(34.85)*10.764</f>
        <v>375.12540000000001</v>
      </c>
      <c r="E154" s="74">
        <v>0</v>
      </c>
      <c r="F154" s="74">
        <f t="shared" ref="F154:F155" si="11">D154+(IF(E154&lt;201,E154,IF(E154&lt;301,E154/2,E154/3)))</f>
        <v>375.12540000000001</v>
      </c>
      <c r="G154" s="74">
        <v>0</v>
      </c>
      <c r="H154" s="74">
        <f t="shared" ref="H154:H155" si="12">(F154+(IF(G154&lt;101,G154,IF(G154&lt;201,G154/2,IF(G154&lt;=301,G154/3,G154/4)))))*(($H$136)+1)</f>
        <v>562.68810000000008</v>
      </c>
      <c r="I154" s="36"/>
    </row>
    <row r="155" spans="1:14" s="37" customFormat="1" ht="55.5" customHeight="1" x14ac:dyDescent="0.25">
      <c r="A155" s="74">
        <f>A154+1</f>
        <v>18</v>
      </c>
      <c r="B155" s="81" t="s">
        <v>329</v>
      </c>
      <c r="C155" s="74" t="s">
        <v>328</v>
      </c>
      <c r="D155" s="82">
        <f>(5.81+5.48)*10.764</f>
        <v>121.52555999999998</v>
      </c>
      <c r="E155" s="74">
        <v>0</v>
      </c>
      <c r="F155" s="74">
        <f t="shared" si="11"/>
        <v>121.52555999999998</v>
      </c>
      <c r="G155" s="74">
        <v>0</v>
      </c>
      <c r="H155" s="74">
        <f t="shared" si="12"/>
        <v>182.28833999999998</v>
      </c>
      <c r="I155" s="36"/>
    </row>
    <row r="156" spans="1:14" s="37" customFormat="1" ht="47.25" x14ac:dyDescent="0.25">
      <c r="A156" s="74" t="s">
        <v>333</v>
      </c>
      <c r="B156" s="81" t="s">
        <v>329</v>
      </c>
      <c r="C156" s="74" t="s">
        <v>328</v>
      </c>
      <c r="D156" s="82">
        <f>(23.59+27.95)*10.764</f>
        <v>554.7765599999999</v>
      </c>
      <c r="E156" s="74">
        <v>0</v>
      </c>
      <c r="F156" s="74">
        <f>D156+(IF(E156&lt;201,E156,IF(E156&lt;301,E156/2,E156/3)))</f>
        <v>554.7765599999999</v>
      </c>
      <c r="G156" s="69">
        <v>0</v>
      </c>
      <c r="H156" s="74">
        <f>(F156+(IF(G156&lt;101,G156,IF(G156&lt;201,G156/2,IF(G156&lt;=301,G156/3,G156/4)))))*(($H$136)+1)</f>
        <v>832.16483999999991</v>
      </c>
      <c r="I156" s="36"/>
    </row>
    <row r="157" spans="1:14" s="37" customFormat="1" ht="15.75" customHeight="1" x14ac:dyDescent="0.25">
      <c r="A157" s="74" t="s">
        <v>334</v>
      </c>
      <c r="B157" s="81" t="s">
        <v>329</v>
      </c>
      <c r="C157" s="74" t="s">
        <v>331</v>
      </c>
      <c r="D157" s="82">
        <f>(4.34)*10.764</f>
        <v>46.715759999999996</v>
      </c>
      <c r="E157" s="74">
        <v>0</v>
      </c>
      <c r="F157" s="74">
        <f t="shared" ref="F157:F159" si="13">D157+(IF(E157&lt;201,E157,IF(E157&lt;301,E157/2,E157/3)))</f>
        <v>46.715759999999996</v>
      </c>
      <c r="G157" s="74">
        <v>0</v>
      </c>
      <c r="H157" s="74">
        <f t="shared" ref="H157:H159" si="14">(F157+(IF(G157&lt;101,G157,IF(G157&lt;201,G157/2,IF(G157&lt;=301,G157/3,G157/4)))))*(($H$136)+1)</f>
        <v>70.073639999999997</v>
      </c>
      <c r="I157" s="36"/>
    </row>
    <row r="158" spans="1:14" s="37" customFormat="1" x14ac:dyDescent="0.25">
      <c r="A158" s="74">
        <v>19</v>
      </c>
      <c r="B158" s="74" t="s">
        <v>330</v>
      </c>
      <c r="C158" s="74" t="s">
        <v>331</v>
      </c>
      <c r="D158" s="82">
        <f>(18.49)*10.764</f>
        <v>199.02635999999998</v>
      </c>
      <c r="E158" s="74">
        <v>0</v>
      </c>
      <c r="F158" s="74">
        <f t="shared" si="13"/>
        <v>199.02635999999998</v>
      </c>
      <c r="G158" s="74">
        <v>0</v>
      </c>
      <c r="H158" s="74">
        <f t="shared" si="14"/>
        <v>298.53953999999999</v>
      </c>
      <c r="I158" s="36"/>
    </row>
    <row r="159" spans="1:14" s="37" customFormat="1" ht="15.75" customHeight="1" x14ac:dyDescent="0.25">
      <c r="A159" s="74">
        <v>21</v>
      </c>
      <c r="B159" s="81" t="s">
        <v>329</v>
      </c>
      <c r="C159" s="74" t="s">
        <v>331</v>
      </c>
      <c r="D159" s="82">
        <f>(11.15)*10.764</f>
        <v>120.01859999999999</v>
      </c>
      <c r="E159" s="74">
        <v>0</v>
      </c>
      <c r="F159" s="74">
        <f t="shared" si="13"/>
        <v>120.01859999999999</v>
      </c>
      <c r="G159" s="74">
        <v>0</v>
      </c>
      <c r="H159" s="74">
        <f t="shared" si="14"/>
        <v>180.02789999999999</v>
      </c>
      <c r="I159" s="36"/>
    </row>
    <row r="160" spans="1:14" s="37" customFormat="1" x14ac:dyDescent="0.25">
      <c r="A160" s="74">
        <v>22</v>
      </c>
      <c r="B160" s="74" t="s">
        <v>330</v>
      </c>
      <c r="C160" s="74" t="s">
        <v>331</v>
      </c>
      <c r="D160" s="82">
        <f>(14.26)*10.764</f>
        <v>153.49463999999998</v>
      </c>
      <c r="E160" s="74">
        <v>0</v>
      </c>
      <c r="F160" s="74">
        <f>D160+(IF(E160&lt;201,E160,IF(E160&lt;301,E160/2,E160/3)))</f>
        <v>153.49463999999998</v>
      </c>
      <c r="G160" s="69">
        <v>0</v>
      </c>
      <c r="H160" s="74">
        <f>(F160+(IF(G160&lt;101,G160,IF(G160&lt;201,G160/2,IF(G160&lt;=301,G160/3,G160/4)))))*(($H$136)+1)</f>
        <v>230.24195999999995</v>
      </c>
      <c r="I160" s="36"/>
    </row>
    <row r="161" spans="1:20" s="37" customFormat="1" ht="15.75" customHeight="1" x14ac:dyDescent="0.25">
      <c r="A161" s="74">
        <f>A160+1</f>
        <v>23</v>
      </c>
      <c r="B161" s="74" t="s">
        <v>330</v>
      </c>
      <c r="C161" s="74" t="s">
        <v>331</v>
      </c>
      <c r="D161" s="82">
        <f>(13.18)*10.764</f>
        <v>141.86951999999999</v>
      </c>
      <c r="E161" s="74">
        <v>0</v>
      </c>
      <c r="F161" s="74">
        <f t="shared" ref="F161" si="15">D161+(IF(E161&lt;201,E161,IF(E161&lt;301,E161/2,E161/3)))</f>
        <v>141.86951999999999</v>
      </c>
      <c r="G161" s="74">
        <v>0</v>
      </c>
      <c r="H161" s="74">
        <f t="shared" ref="H161" si="16">(F161+(IF(G161&lt;101,G161,IF(G161&lt;201,G161/2,IF(G161&lt;=301,G161/3,G161/4)))))*(($H$136)+1)</f>
        <v>212.80428000000001</v>
      </c>
      <c r="I161" s="36"/>
    </row>
    <row r="162" spans="1:20" s="37" customFormat="1" ht="15.75" customHeight="1" x14ac:dyDescent="0.25">
      <c r="A162" s="189" t="s">
        <v>335</v>
      </c>
      <c r="B162" s="190"/>
      <c r="C162" s="190"/>
      <c r="D162" s="190"/>
      <c r="E162" s="190"/>
      <c r="F162" s="190"/>
      <c r="G162" s="190"/>
      <c r="H162" s="191"/>
      <c r="I162" s="79">
        <f>3.65*9.75+2.25*2.6+1.25*1.55</f>
        <v>43.375</v>
      </c>
    </row>
    <row r="163" spans="1:20" s="37" customFormat="1" ht="15.75" customHeight="1" x14ac:dyDescent="0.25">
      <c r="A163" s="74">
        <v>1</v>
      </c>
      <c r="B163" s="80" t="s">
        <v>329</v>
      </c>
      <c r="C163" s="205" t="s">
        <v>336</v>
      </c>
      <c r="D163" s="206"/>
      <c r="E163" s="206"/>
      <c r="F163" s="206"/>
      <c r="G163" s="206"/>
      <c r="H163" s="207"/>
      <c r="I163" s="36"/>
    </row>
    <row r="164" spans="1:20" s="37" customFormat="1" ht="15.75" customHeight="1" x14ac:dyDescent="0.25">
      <c r="A164" s="74">
        <f>A163+1</f>
        <v>2</v>
      </c>
      <c r="B164" s="80" t="s">
        <v>329</v>
      </c>
      <c r="C164" s="205" t="s">
        <v>336</v>
      </c>
      <c r="D164" s="206"/>
      <c r="E164" s="206"/>
      <c r="F164" s="206"/>
      <c r="G164" s="206"/>
      <c r="H164" s="207"/>
      <c r="I164" s="36"/>
    </row>
    <row r="165" spans="1:20" s="37" customFormat="1" ht="15.75" customHeight="1" x14ac:dyDescent="0.25">
      <c r="A165" s="74">
        <f>A164+1</f>
        <v>3</v>
      </c>
      <c r="B165" s="80" t="s">
        <v>329</v>
      </c>
      <c r="C165" s="205" t="s">
        <v>336</v>
      </c>
      <c r="D165" s="206"/>
      <c r="E165" s="206"/>
      <c r="F165" s="206"/>
      <c r="G165" s="206"/>
      <c r="H165" s="207"/>
      <c r="I165" s="36"/>
    </row>
    <row r="166" spans="1:20" s="35" customFormat="1" x14ac:dyDescent="0.25">
      <c r="A166" s="74">
        <f>A165+1</f>
        <v>4</v>
      </c>
      <c r="B166" s="80" t="s">
        <v>329</v>
      </c>
      <c r="C166" s="205" t="s">
        <v>336</v>
      </c>
      <c r="D166" s="206"/>
      <c r="E166" s="206"/>
      <c r="F166" s="206"/>
      <c r="G166" s="206"/>
      <c r="H166" s="207"/>
      <c r="T166" s="37"/>
    </row>
    <row r="167" spans="1:20" s="35" customFormat="1" x14ac:dyDescent="0.25">
      <c r="A167" s="74">
        <v>124</v>
      </c>
      <c r="B167" s="74" t="s">
        <v>330</v>
      </c>
      <c r="C167" s="74" t="s">
        <v>331</v>
      </c>
      <c r="D167" s="82">
        <f>(43.82)*10.764</f>
        <v>471.67847999999998</v>
      </c>
      <c r="E167" s="74">
        <v>0</v>
      </c>
      <c r="F167" s="74">
        <f t="shared" ref="F167" si="17">D167+(IF(E167&lt;201,E167,IF(E167&lt;301,E167/2,E167/3)))</f>
        <v>471.67847999999998</v>
      </c>
      <c r="G167" s="74">
        <v>0</v>
      </c>
      <c r="H167" s="74">
        <f t="shared" ref="H167" si="18">(F167+(IF(G167&lt;101,G167,IF(G167&lt;201,G167/2,IF(G167&lt;=301,G167/3,G167/4)))))*(($H$136)+1)</f>
        <v>707.51771999999994</v>
      </c>
      <c r="T167" s="37"/>
    </row>
    <row r="168" spans="1:20" s="35" customFormat="1" x14ac:dyDescent="0.25">
      <c r="A168" s="74">
        <v>125</v>
      </c>
      <c r="B168" s="74" t="s">
        <v>330</v>
      </c>
      <c r="C168" s="74" t="s">
        <v>331</v>
      </c>
      <c r="D168" s="82">
        <f>(44.39)*10.764</f>
        <v>477.81395999999995</v>
      </c>
      <c r="E168" s="74">
        <v>0</v>
      </c>
      <c r="F168" s="74">
        <f>D168+(IF(E168&lt;201,E168,IF(E168&lt;301,E168/2,E168/3)))</f>
        <v>477.81395999999995</v>
      </c>
      <c r="G168" s="69">
        <v>0</v>
      </c>
      <c r="H168" s="74">
        <f>(F168+(IF(G168&lt;101,G168,IF(G168&lt;201,G168/2,IF(G168&lt;=301,G168/3,G168/4)))))*(($H$136)+1)</f>
        <v>716.72093999999993</v>
      </c>
      <c r="T168" s="37"/>
    </row>
    <row r="169" spans="1:20" s="35" customFormat="1" x14ac:dyDescent="0.25">
      <c r="A169" s="74">
        <f>A168+1</f>
        <v>126</v>
      </c>
      <c r="B169" s="74" t="s">
        <v>330</v>
      </c>
      <c r="C169" s="74" t="s">
        <v>331</v>
      </c>
      <c r="D169" s="82">
        <f>(34.51)*10.764</f>
        <v>371.46563999999995</v>
      </c>
      <c r="E169" s="74">
        <v>0</v>
      </c>
      <c r="F169" s="74">
        <f t="shared" ref="F169" si="19">D169+(IF(E169&lt;201,E169,IF(E169&lt;301,E169/2,E169/3)))</f>
        <v>371.46563999999995</v>
      </c>
      <c r="G169" s="74">
        <v>0</v>
      </c>
      <c r="H169" s="74">
        <f t="shared" ref="H169" si="20">(F169+(IF(G169&lt;101,G169,IF(G169&lt;201,G169/2,IF(G169&lt;=301,G169/3,G169/4)))))*(($H$136)+1)</f>
        <v>557.19845999999995</v>
      </c>
      <c r="T169" s="37"/>
    </row>
    <row r="170" spans="1:20" s="35" customFormat="1" x14ac:dyDescent="0.25">
      <c r="A170" s="74">
        <v>8</v>
      </c>
      <c r="B170" s="74" t="s">
        <v>329</v>
      </c>
      <c r="C170" s="205" t="s">
        <v>336</v>
      </c>
      <c r="D170" s="206"/>
      <c r="E170" s="206"/>
      <c r="F170" s="206"/>
      <c r="G170" s="206"/>
      <c r="H170" s="207"/>
      <c r="T170" s="37"/>
    </row>
    <row r="171" spans="1:20" s="35" customFormat="1" x14ac:dyDescent="0.25">
      <c r="A171" s="74">
        <f>A170+1</f>
        <v>9</v>
      </c>
      <c r="B171" s="80" t="s">
        <v>329</v>
      </c>
      <c r="C171" s="205" t="s">
        <v>336</v>
      </c>
      <c r="D171" s="206"/>
      <c r="E171" s="206"/>
      <c r="F171" s="206"/>
      <c r="G171" s="206"/>
      <c r="H171" s="207"/>
      <c r="T171" s="37"/>
    </row>
    <row r="172" spans="1:20" s="35" customFormat="1" x14ac:dyDescent="0.25">
      <c r="A172" s="74" t="s">
        <v>332</v>
      </c>
      <c r="B172" s="80" t="s">
        <v>329</v>
      </c>
      <c r="C172" s="205" t="s">
        <v>336</v>
      </c>
      <c r="D172" s="206"/>
      <c r="E172" s="206"/>
      <c r="F172" s="206"/>
      <c r="G172" s="206"/>
      <c r="H172" s="207"/>
    </row>
    <row r="173" spans="1:20" s="35" customFormat="1" x14ac:dyDescent="0.25">
      <c r="A173" s="74">
        <v>11</v>
      </c>
      <c r="B173" s="80" t="s">
        <v>329</v>
      </c>
      <c r="C173" s="205" t="s">
        <v>336</v>
      </c>
      <c r="D173" s="206"/>
      <c r="E173" s="206"/>
      <c r="F173" s="206"/>
      <c r="G173" s="206"/>
      <c r="H173" s="207"/>
    </row>
    <row r="174" spans="1:20" s="35" customFormat="1" x14ac:dyDescent="0.25">
      <c r="A174" s="74">
        <f>A173+1</f>
        <v>12</v>
      </c>
      <c r="B174" s="80" t="s">
        <v>329</v>
      </c>
      <c r="C174" s="205" t="s">
        <v>336</v>
      </c>
      <c r="D174" s="206"/>
      <c r="E174" s="206"/>
      <c r="F174" s="206"/>
      <c r="G174" s="206"/>
      <c r="H174" s="207"/>
    </row>
    <row r="175" spans="1:20" s="35" customFormat="1" x14ac:dyDescent="0.25">
      <c r="A175" s="74">
        <f>A174+1</f>
        <v>13</v>
      </c>
      <c r="B175" s="80" t="s">
        <v>329</v>
      </c>
      <c r="C175" s="205" t="s">
        <v>336</v>
      </c>
      <c r="D175" s="206"/>
      <c r="E175" s="206"/>
      <c r="F175" s="206"/>
      <c r="G175" s="206"/>
      <c r="H175" s="207"/>
    </row>
    <row r="176" spans="1:20" s="35" customFormat="1" x14ac:dyDescent="0.25">
      <c r="A176" s="74">
        <f>A175+1</f>
        <v>14</v>
      </c>
      <c r="B176" s="80" t="s">
        <v>329</v>
      </c>
      <c r="C176" s="205" t="s">
        <v>336</v>
      </c>
      <c r="D176" s="206"/>
      <c r="E176" s="206"/>
      <c r="F176" s="206"/>
      <c r="G176" s="206"/>
      <c r="H176" s="207"/>
    </row>
    <row r="177" spans="1:20" x14ac:dyDescent="0.25">
      <c r="A177" s="74">
        <v>15</v>
      </c>
      <c r="B177" s="80" t="s">
        <v>329</v>
      </c>
      <c r="C177" s="205" t="s">
        <v>336</v>
      </c>
      <c r="D177" s="206"/>
      <c r="E177" s="206"/>
      <c r="F177" s="206"/>
      <c r="G177" s="206"/>
      <c r="H177" s="207"/>
      <c r="T177" s="35"/>
    </row>
    <row r="178" spans="1:20" ht="15.75" customHeight="1" x14ac:dyDescent="0.25">
      <c r="A178" s="74" t="s">
        <v>337</v>
      </c>
      <c r="B178" s="81" t="s">
        <v>329</v>
      </c>
      <c r="C178" s="74" t="s">
        <v>331</v>
      </c>
      <c r="D178" s="82">
        <f>(34.62)*10.764</f>
        <v>372.64967999999993</v>
      </c>
      <c r="E178" s="74">
        <v>0</v>
      </c>
      <c r="F178" s="74">
        <f t="shared" ref="F178" si="21">D178+(IF(E178&lt;201,E178,IF(E178&lt;301,E178/2,E178/3)))</f>
        <v>372.64967999999993</v>
      </c>
      <c r="G178" s="74">
        <v>0</v>
      </c>
      <c r="H178" s="74">
        <f t="shared" ref="H178" si="22">(F178+(IF(G178&lt;101,G178,IF(G178&lt;201,G178/2,IF(G178&lt;=301,G178/3,G178/4)))))*(($H$136)+1)</f>
        <v>558.97451999999987</v>
      </c>
      <c r="T178" s="35"/>
    </row>
    <row r="179" spans="1:20" x14ac:dyDescent="0.25">
      <c r="A179" s="74">
        <v>18</v>
      </c>
      <c r="B179" s="80" t="s">
        <v>329</v>
      </c>
      <c r="C179" s="205" t="s">
        <v>336</v>
      </c>
      <c r="D179" s="206"/>
      <c r="E179" s="206"/>
      <c r="F179" s="206"/>
      <c r="G179" s="206"/>
      <c r="H179" s="207"/>
      <c r="T179" s="35"/>
    </row>
    <row r="180" spans="1:20" x14ac:dyDescent="0.25">
      <c r="A180" s="74" t="s">
        <v>333</v>
      </c>
      <c r="B180" s="80" t="s">
        <v>329</v>
      </c>
      <c r="C180" s="205" t="s">
        <v>336</v>
      </c>
      <c r="D180" s="206"/>
      <c r="E180" s="206"/>
      <c r="F180" s="206"/>
      <c r="G180" s="206"/>
      <c r="H180" s="207"/>
      <c r="T180" s="35"/>
    </row>
    <row r="181" spans="1:20" x14ac:dyDescent="0.25">
      <c r="A181" s="74">
        <v>129</v>
      </c>
      <c r="B181" s="74" t="s">
        <v>330</v>
      </c>
      <c r="C181" s="74" t="s">
        <v>331</v>
      </c>
      <c r="D181" s="82">
        <f>(18.49)*10.764</f>
        <v>199.02635999999998</v>
      </c>
      <c r="E181" s="74">
        <v>0</v>
      </c>
      <c r="F181" s="74">
        <f t="shared" ref="F181:F182" si="23">D181+(IF(E181&lt;201,E181,IF(E181&lt;301,E181/2,E181/3)))</f>
        <v>199.02635999999998</v>
      </c>
      <c r="G181" s="74">
        <v>0</v>
      </c>
      <c r="H181" s="74">
        <f t="shared" ref="H181:H182" si="24">(F181+(IF(G181&lt;101,G181,IF(G181&lt;201,G181/2,IF(G181&lt;=301,G181/3,G181/4)))))*(($H$136)+1)</f>
        <v>298.53953999999999</v>
      </c>
      <c r="I181" s="21">
        <f>4.65*9.54+3.1*2.6+1.25*1.76</f>
        <v>54.621000000000002</v>
      </c>
      <c r="T181" s="35"/>
    </row>
    <row r="182" spans="1:20" x14ac:dyDescent="0.25">
      <c r="A182" s="74">
        <v>128</v>
      </c>
      <c r="B182" s="74" t="s">
        <v>330</v>
      </c>
      <c r="C182" s="74" t="s">
        <v>331</v>
      </c>
      <c r="D182" s="82">
        <f>(9.56)*10.764</f>
        <v>102.90384</v>
      </c>
      <c r="E182" s="74">
        <v>0</v>
      </c>
      <c r="F182" s="74">
        <f t="shared" si="23"/>
        <v>102.90384</v>
      </c>
      <c r="G182" s="74">
        <v>0</v>
      </c>
      <c r="H182" s="74">
        <f t="shared" si="24"/>
        <v>154.35576</v>
      </c>
      <c r="T182" s="35"/>
    </row>
    <row r="183" spans="1:20" x14ac:dyDescent="0.25">
      <c r="A183" s="74">
        <v>127</v>
      </c>
      <c r="B183" s="74" t="s">
        <v>330</v>
      </c>
      <c r="C183" s="74" t="s">
        <v>331</v>
      </c>
      <c r="D183" s="82">
        <f>(14.26)*10.764</f>
        <v>153.49463999999998</v>
      </c>
      <c r="E183" s="74">
        <v>0</v>
      </c>
      <c r="F183" s="74">
        <f>D183+(IF(E183&lt;201,E183,IF(E183&lt;301,E183/2,E183/3)))</f>
        <v>153.49463999999998</v>
      </c>
      <c r="G183" s="69">
        <v>0</v>
      </c>
      <c r="H183" s="74">
        <f>(F183+(IF(G183&lt;101,G183,IF(G183&lt;201,G183/2,IF(G183&lt;=301,G183/3,G183/4)))))*(($H$136)+1)</f>
        <v>230.24195999999995</v>
      </c>
    </row>
    <row r="184" spans="1:20" x14ac:dyDescent="0.25">
      <c r="A184" s="74">
        <v>130</v>
      </c>
      <c r="B184" s="74" t="s">
        <v>330</v>
      </c>
      <c r="C184" s="74" t="s">
        <v>331</v>
      </c>
      <c r="D184" s="82">
        <f>(13.18)*10.764</f>
        <v>141.86951999999999</v>
      </c>
      <c r="E184" s="74">
        <v>0</v>
      </c>
      <c r="F184" s="74">
        <f t="shared" ref="F184" si="25">D184+(IF(E184&lt;201,E184,IF(E184&lt;301,E184/2,E184/3)))</f>
        <v>141.86951999999999</v>
      </c>
      <c r="G184" s="74">
        <v>0</v>
      </c>
      <c r="H184" s="74">
        <f t="shared" ref="H184" si="26">(F184+(IF(G184&lt;101,G184,IF(G184&lt;201,G184/2,IF(G184&lt;=301,G184/3,G184/4)))))*(($H$136)+1)</f>
        <v>212.80428000000001</v>
      </c>
    </row>
    <row r="185" spans="1:20" x14ac:dyDescent="0.25">
      <c r="A185" s="187" t="s">
        <v>338</v>
      </c>
      <c r="B185" s="187"/>
      <c r="C185" s="187"/>
      <c r="D185" s="187"/>
      <c r="E185" s="187"/>
      <c r="F185" s="187"/>
      <c r="G185" s="187"/>
      <c r="H185" s="187"/>
      <c r="L185" s="21">
        <v>20000</v>
      </c>
    </row>
    <row r="186" spans="1:20" x14ac:dyDescent="0.25">
      <c r="A186" s="80">
        <v>1</v>
      </c>
      <c r="B186" s="80" t="s">
        <v>330</v>
      </c>
      <c r="C186" s="87" t="s">
        <v>339</v>
      </c>
      <c r="D186" s="82">
        <f>(55.72)*10.764</f>
        <v>599.77008000000001</v>
      </c>
      <c r="E186" s="87">
        <v>0</v>
      </c>
      <c r="F186" s="87">
        <f t="shared" ref="F186:F187" si="27">D186+(IF(E186&lt;201,E186,IF(E186&lt;301,E186/2,E186/3)))</f>
        <v>599.77008000000001</v>
      </c>
      <c r="G186" s="87">
        <v>0</v>
      </c>
      <c r="H186" s="87">
        <f t="shared" ref="H186:H187" si="28">(F186+(IF(G186&lt;101,G186,IF(G186&lt;201,G186/2,IF(G186&lt;=301,G186/3,G186/4)))))*(($H$136)+1)</f>
        <v>899.65512000000001</v>
      </c>
      <c r="L186" s="21">
        <f>L$185*H186</f>
        <v>17993102.399999999</v>
      </c>
    </row>
    <row r="187" spans="1:20" x14ac:dyDescent="0.25">
      <c r="A187" s="80">
        <f>A186+1</f>
        <v>2</v>
      </c>
      <c r="B187" s="80" t="s">
        <v>330</v>
      </c>
      <c r="C187" s="87" t="s">
        <v>339</v>
      </c>
      <c r="D187" s="82">
        <f>(56.3)*10.764</f>
        <v>606.01319999999998</v>
      </c>
      <c r="E187" s="87">
        <v>0</v>
      </c>
      <c r="F187" s="87">
        <f t="shared" si="27"/>
        <v>606.01319999999998</v>
      </c>
      <c r="G187" s="87">
        <v>0</v>
      </c>
      <c r="H187" s="87">
        <f t="shared" si="28"/>
        <v>909.01980000000003</v>
      </c>
      <c r="L187" s="21">
        <f t="shared" ref="L187:L196" si="29">L$185*H187</f>
        <v>18180396</v>
      </c>
    </row>
    <row r="188" spans="1:20" x14ac:dyDescent="0.25">
      <c r="A188" s="80">
        <v>3</v>
      </c>
      <c r="B188" s="80" t="s">
        <v>330</v>
      </c>
      <c r="C188" s="87" t="s">
        <v>339</v>
      </c>
      <c r="D188" s="82">
        <f>(43.66)*10.764</f>
        <v>469.95623999999992</v>
      </c>
      <c r="E188" s="87">
        <v>0</v>
      </c>
      <c r="F188" s="87">
        <f>D188+(IF(E188&lt;201,E188,IF(E188&lt;301,E188/2,E188/3)))</f>
        <v>469.95623999999992</v>
      </c>
      <c r="G188" s="69">
        <v>0</v>
      </c>
      <c r="H188" s="87">
        <f>(F188+(IF(G188&lt;101,G188,IF(G188&lt;201,G188/2,IF(G188&lt;=301,G188/3,G188/4)))))*(($H$136)+1)</f>
        <v>704.93435999999986</v>
      </c>
      <c r="L188" s="21">
        <f t="shared" si="29"/>
        <v>14098687.199999997</v>
      </c>
    </row>
    <row r="189" spans="1:20" x14ac:dyDescent="0.25">
      <c r="A189" s="80">
        <f>A188+1</f>
        <v>4</v>
      </c>
      <c r="B189" s="80" t="s">
        <v>330</v>
      </c>
      <c r="C189" s="87" t="s">
        <v>339</v>
      </c>
      <c r="D189" s="82">
        <f>(43.66)*10.764</f>
        <v>469.95623999999992</v>
      </c>
      <c r="E189" s="87">
        <v>0</v>
      </c>
      <c r="F189" s="87">
        <f t="shared" ref="F189:F190" si="30">D189+(IF(E189&lt;201,E189,IF(E189&lt;301,E189/2,E189/3)))</f>
        <v>469.95623999999992</v>
      </c>
      <c r="G189" s="87">
        <v>0</v>
      </c>
      <c r="H189" s="87">
        <f t="shared" ref="H189:H190" si="31">(F189+(IF(G189&lt;101,G189,IF(G189&lt;201,G189/2,IF(G189&lt;=301,G189/3,G189/4)))))*(($H$136)+1)</f>
        <v>704.93435999999986</v>
      </c>
      <c r="L189" s="21">
        <f t="shared" si="29"/>
        <v>14098687.199999997</v>
      </c>
    </row>
    <row r="190" spans="1:20" x14ac:dyDescent="0.25">
      <c r="A190" s="80">
        <v>5</v>
      </c>
      <c r="B190" s="80" t="s">
        <v>330</v>
      </c>
      <c r="C190" s="87" t="s">
        <v>339</v>
      </c>
      <c r="D190" s="82">
        <f>(61.96)*10.764</f>
        <v>666.93743999999992</v>
      </c>
      <c r="E190" s="87">
        <v>0</v>
      </c>
      <c r="F190" s="87">
        <f t="shared" si="30"/>
        <v>666.93743999999992</v>
      </c>
      <c r="G190" s="87">
        <v>0</v>
      </c>
      <c r="H190" s="87">
        <f t="shared" si="31"/>
        <v>1000.4061599999999</v>
      </c>
      <c r="L190" s="21">
        <f t="shared" si="29"/>
        <v>20008123.199999999</v>
      </c>
    </row>
    <row r="191" spans="1:20" x14ac:dyDescent="0.25">
      <c r="A191" s="80">
        <v>6</v>
      </c>
      <c r="B191" s="80" t="s">
        <v>330</v>
      </c>
      <c r="C191" s="87" t="s">
        <v>339</v>
      </c>
      <c r="D191" s="82">
        <f>(43.05)*10.764</f>
        <v>463.39019999999994</v>
      </c>
      <c r="E191" s="87">
        <v>0</v>
      </c>
      <c r="F191" s="87">
        <f>D191+(IF(E191&lt;201,E191,IF(E191&lt;301,E191/2,E191/3)))</f>
        <v>463.39019999999994</v>
      </c>
      <c r="G191" s="69">
        <v>0</v>
      </c>
      <c r="H191" s="87">
        <f>(F191+(IF(G191&lt;101,G191,IF(G191&lt;201,G191/2,IF(G191&lt;=301,G191/3,G191/4)))))*(($H$136)+1)</f>
        <v>695.08529999999996</v>
      </c>
      <c r="L191" s="21">
        <f t="shared" si="29"/>
        <v>13901706</v>
      </c>
    </row>
    <row r="192" spans="1:20" ht="15" customHeight="1" x14ac:dyDescent="0.25">
      <c r="A192" s="80">
        <f t="shared" ref="A192" si="32">A191+1</f>
        <v>7</v>
      </c>
      <c r="B192" s="80" t="s">
        <v>330</v>
      </c>
      <c r="C192" s="87" t="s">
        <v>339</v>
      </c>
      <c r="D192" s="82">
        <f>(41.83)*10.764</f>
        <v>450.25811999999996</v>
      </c>
      <c r="E192" s="87">
        <v>0</v>
      </c>
      <c r="F192" s="87">
        <f>D192+(IF(E192&lt;201,E192,IF(E192&lt;301,E192/2,E192/3)))</f>
        <v>450.25811999999996</v>
      </c>
      <c r="G192" s="69">
        <v>0</v>
      </c>
      <c r="H192" s="87">
        <f>(F192+(IF(G192&lt;101,G192,IF(G192&lt;201,G192/2,IF(G192&lt;=301,G192/3,G192/4)))))*(($H$136)+1)</f>
        <v>675.38717999999994</v>
      </c>
      <c r="L192" s="21">
        <f t="shared" si="29"/>
        <v>13507743.6</v>
      </c>
    </row>
    <row r="193" spans="1:12" x14ac:dyDescent="0.25">
      <c r="A193" s="80">
        <v>9</v>
      </c>
      <c r="B193" s="80" t="s">
        <v>330</v>
      </c>
      <c r="C193" s="74" t="s">
        <v>339</v>
      </c>
      <c r="D193" s="82">
        <f>(35.77)*10.764</f>
        <v>385.02828</v>
      </c>
      <c r="E193" s="74">
        <v>0</v>
      </c>
      <c r="F193" s="74">
        <f>D193+(IF(E193&lt;201,E193,IF(E193&lt;301,E193/2,E193/3)))</f>
        <v>385.02828</v>
      </c>
      <c r="G193" s="69">
        <v>0</v>
      </c>
      <c r="H193" s="74">
        <f t="shared" ref="H193:H195" si="33">(F193+(IF(G193&lt;101,G193,IF(G193&lt;201,G193/2,IF(G193&lt;=301,G193/3,G193/4)))))*(($H$136)+1)</f>
        <v>577.54241999999999</v>
      </c>
      <c r="L193" s="21">
        <f t="shared" si="29"/>
        <v>11550848.4</v>
      </c>
    </row>
    <row r="194" spans="1:12" x14ac:dyDescent="0.25">
      <c r="A194" s="80">
        <f t="shared" ref="A194" si="34">A193+1</f>
        <v>10</v>
      </c>
      <c r="B194" s="80" t="s">
        <v>330</v>
      </c>
      <c r="C194" s="74" t="s">
        <v>339</v>
      </c>
      <c r="D194" s="82">
        <f>(29.65)*10.764</f>
        <v>319.15259999999995</v>
      </c>
      <c r="E194" s="74">
        <v>0</v>
      </c>
      <c r="F194" s="74">
        <f t="shared" ref="F194:F195" si="35">D194+(IF(E194&lt;201,E194,IF(E194&lt;301,E194/2,E194/3)))</f>
        <v>319.15259999999995</v>
      </c>
      <c r="G194" s="74">
        <v>0</v>
      </c>
      <c r="H194" s="74">
        <f t="shared" si="33"/>
        <v>478.72889999999995</v>
      </c>
      <c r="J194" s="21">
        <f>9251000/H194</f>
        <v>19324.089270566288</v>
      </c>
      <c r="L194" s="21">
        <f t="shared" si="29"/>
        <v>9574577.9999999981</v>
      </c>
    </row>
    <row r="195" spans="1:12" x14ac:dyDescent="0.25">
      <c r="A195" s="80">
        <v>11</v>
      </c>
      <c r="B195" s="80" t="s">
        <v>330</v>
      </c>
      <c r="C195" s="74" t="s">
        <v>339</v>
      </c>
      <c r="D195" s="82">
        <f>(33.39)*10.764</f>
        <v>359.40996000000001</v>
      </c>
      <c r="E195" s="74">
        <v>0</v>
      </c>
      <c r="F195" s="74">
        <f t="shared" si="35"/>
        <v>359.40996000000001</v>
      </c>
      <c r="G195" s="74">
        <v>0</v>
      </c>
      <c r="H195" s="74">
        <f t="shared" si="33"/>
        <v>539.11494000000005</v>
      </c>
      <c r="L195" s="21">
        <f t="shared" si="29"/>
        <v>10782298.800000001</v>
      </c>
    </row>
    <row r="196" spans="1:12" x14ac:dyDescent="0.25">
      <c r="A196" s="80">
        <v>12</v>
      </c>
      <c r="B196" s="80" t="s">
        <v>330</v>
      </c>
      <c r="C196" s="74" t="s">
        <v>339</v>
      </c>
      <c r="D196" s="82">
        <f>(69.17)*10.764</f>
        <v>744.54588000000001</v>
      </c>
      <c r="E196" s="74">
        <v>0</v>
      </c>
      <c r="F196" s="74">
        <f>D196+(IF(E196&lt;201,E196,IF(E196&lt;301,E196/2,E196/3)))</f>
        <v>744.54588000000001</v>
      </c>
      <c r="G196" s="69">
        <v>0</v>
      </c>
      <c r="H196" s="74">
        <f>(F196+(IF(G196&lt;101,G196,IF(G196&lt;201,G196/2,IF(G196&lt;=301,G196/3,G196/4)))))*(($H$136)+1)</f>
        <v>1116.81882</v>
      </c>
      <c r="L196" s="21">
        <f t="shared" si="29"/>
        <v>22336376.399999999</v>
      </c>
    </row>
    <row r="197" spans="1:12" x14ac:dyDescent="0.25">
      <c r="A197" s="189" t="s">
        <v>340</v>
      </c>
      <c r="B197" s="190"/>
      <c r="C197" s="190"/>
      <c r="D197" s="190"/>
      <c r="E197" s="190"/>
      <c r="F197" s="190"/>
      <c r="G197" s="190"/>
      <c r="H197" s="191"/>
    </row>
    <row r="198" spans="1:12" x14ac:dyDescent="0.25">
      <c r="A198" s="189" t="s">
        <v>341</v>
      </c>
      <c r="B198" s="190"/>
      <c r="C198" s="190"/>
      <c r="D198" s="190"/>
      <c r="E198" s="190"/>
      <c r="F198" s="190"/>
      <c r="G198" s="190"/>
      <c r="H198" s="191"/>
    </row>
    <row r="199" spans="1:12" x14ac:dyDescent="0.25">
      <c r="A199" s="189" t="s">
        <v>342</v>
      </c>
      <c r="B199" s="190"/>
      <c r="C199" s="190"/>
      <c r="D199" s="190"/>
      <c r="E199" s="190"/>
      <c r="F199" s="190"/>
      <c r="G199" s="190"/>
      <c r="H199" s="191"/>
    </row>
    <row r="200" spans="1:12" x14ac:dyDescent="0.25">
      <c r="A200" s="189" t="s">
        <v>343</v>
      </c>
      <c r="B200" s="190"/>
      <c r="C200" s="190"/>
      <c r="D200" s="190"/>
      <c r="E200" s="190"/>
      <c r="F200" s="190"/>
      <c r="G200" s="190"/>
      <c r="H200" s="191"/>
    </row>
    <row r="201" spans="1:12" x14ac:dyDescent="0.25">
      <c r="A201" s="80">
        <v>1</v>
      </c>
      <c r="B201" s="80" t="s">
        <v>330</v>
      </c>
      <c r="C201" s="74" t="s">
        <v>339</v>
      </c>
      <c r="D201" s="82">
        <f>(48.95)*10.764</f>
        <v>526.89779999999996</v>
      </c>
      <c r="E201" s="74">
        <v>0</v>
      </c>
      <c r="F201" s="74">
        <f t="shared" ref="F201:F202" si="36">D201+(IF(E201&lt;201,E201,IF(E201&lt;301,E201/2,E201/3)))</f>
        <v>526.89779999999996</v>
      </c>
      <c r="G201" s="74">
        <v>0</v>
      </c>
      <c r="H201" s="74">
        <f t="shared" ref="H201:H202" si="37">(F201+(IF(G201&lt;101,G201,IF(G201&lt;201,G201/2,IF(G201&lt;=301,G201/3,G201/4)))))*(($H$136)+1)</f>
        <v>790.34669999999994</v>
      </c>
    </row>
    <row r="202" spans="1:12" x14ac:dyDescent="0.25">
      <c r="A202" s="80">
        <f>A201+1</f>
        <v>2</v>
      </c>
      <c r="B202" s="80" t="s">
        <v>330</v>
      </c>
      <c r="C202" s="74" t="s">
        <v>339</v>
      </c>
      <c r="D202" s="82">
        <f>(52.24)*10.764</f>
        <v>562.31136000000004</v>
      </c>
      <c r="E202" s="74">
        <v>0</v>
      </c>
      <c r="F202" s="74">
        <f t="shared" si="36"/>
        <v>562.31136000000004</v>
      </c>
      <c r="G202" s="74">
        <v>0</v>
      </c>
      <c r="H202" s="74">
        <f t="shared" si="37"/>
        <v>843.46704</v>
      </c>
    </row>
    <row r="203" spans="1:12" x14ac:dyDescent="0.25">
      <c r="A203" s="80">
        <v>3</v>
      </c>
      <c r="B203" s="80" t="s">
        <v>330</v>
      </c>
      <c r="C203" s="74" t="s">
        <v>339</v>
      </c>
      <c r="D203" s="82">
        <f>(51.73)*10.764</f>
        <v>556.82171999999991</v>
      </c>
      <c r="E203" s="74">
        <v>0</v>
      </c>
      <c r="F203" s="74">
        <f>D203+(IF(E203&lt;201,E203,IF(E203&lt;301,E203/2,E203/3)))</f>
        <v>556.82171999999991</v>
      </c>
      <c r="G203" s="69">
        <v>0</v>
      </c>
      <c r="H203" s="74">
        <f>(F203+(IF(G203&lt;101,G203,IF(G203&lt;201,G203/2,IF(G203&lt;=301,G203/3,G203/4)))))*(($H$136)+1)</f>
        <v>835.23257999999987</v>
      </c>
    </row>
    <row r="204" spans="1:12" x14ac:dyDescent="0.25">
      <c r="A204" s="80">
        <f>A203+1</f>
        <v>4</v>
      </c>
      <c r="B204" s="224" t="s">
        <v>344</v>
      </c>
      <c r="C204" s="225"/>
      <c r="D204" s="225"/>
      <c r="E204" s="225"/>
      <c r="F204" s="225"/>
      <c r="G204" s="225"/>
      <c r="H204" s="226"/>
    </row>
    <row r="205" spans="1:12" x14ac:dyDescent="0.25">
      <c r="A205" s="80">
        <v>5</v>
      </c>
      <c r="B205" s="227"/>
      <c r="C205" s="228"/>
      <c r="D205" s="228"/>
      <c r="E205" s="228"/>
      <c r="F205" s="228"/>
      <c r="G205" s="228"/>
      <c r="H205" s="229"/>
    </row>
    <row r="206" spans="1:12" x14ac:dyDescent="0.25">
      <c r="A206" s="80">
        <v>6</v>
      </c>
      <c r="B206" s="227"/>
      <c r="C206" s="228"/>
      <c r="D206" s="228"/>
      <c r="E206" s="228"/>
      <c r="F206" s="228"/>
      <c r="G206" s="228"/>
      <c r="H206" s="229"/>
    </row>
    <row r="207" spans="1:12" x14ac:dyDescent="0.25">
      <c r="A207" s="80">
        <f t="shared" ref="A207" si="38">A206+1</f>
        <v>7</v>
      </c>
      <c r="B207" s="230"/>
      <c r="C207" s="231"/>
      <c r="D207" s="231"/>
      <c r="E207" s="231"/>
      <c r="F207" s="231"/>
      <c r="G207" s="231"/>
      <c r="H207" s="232"/>
    </row>
    <row r="208" spans="1:12" x14ac:dyDescent="0.25">
      <c r="A208" s="81">
        <v>8</v>
      </c>
      <c r="B208" s="81" t="s">
        <v>330</v>
      </c>
      <c r="C208" s="81" t="s">
        <v>339</v>
      </c>
      <c r="D208" s="82">
        <f>(51.79)*10.764</f>
        <v>557.46755999999993</v>
      </c>
      <c r="E208" s="74">
        <v>0</v>
      </c>
      <c r="F208" s="74">
        <f>D208+(IF(E208&lt;201,E208,IF(E208&lt;301,E208/2,E208/3)))</f>
        <v>557.46755999999993</v>
      </c>
      <c r="G208" s="74">
        <v>0</v>
      </c>
      <c r="H208" s="74">
        <f>(F208+(IF(G208&lt;101,G208,IF(G208&lt;201,G208/2,IF(G208&lt;=301,G208/3,G208/4)))))*(($H$136)+1)</f>
        <v>836.20133999999985</v>
      </c>
    </row>
    <row r="209" spans="1:8" x14ac:dyDescent="0.25">
      <c r="A209" s="81">
        <v>9</v>
      </c>
      <c r="B209" s="81" t="s">
        <v>330</v>
      </c>
      <c r="C209" s="81" t="s">
        <v>339</v>
      </c>
      <c r="D209" s="82">
        <f>(29.65)*10.764</f>
        <v>319.15259999999995</v>
      </c>
      <c r="E209" s="74">
        <v>0</v>
      </c>
      <c r="F209" s="74">
        <f>D209+(IF(E209&lt;201,E209,IF(E209&lt;301,E209/2,E209/3)))</f>
        <v>319.15259999999995</v>
      </c>
      <c r="G209" s="69">
        <v>0</v>
      </c>
      <c r="H209" s="74">
        <f>(F209+(IF(G209&lt;101,G209,IF(G209&lt;201,G209/2,IF(G209&lt;=301,G209/3,G209/4)))))*(($H$136)+1)</f>
        <v>478.72889999999995</v>
      </c>
    </row>
    <row r="210" spans="1:8" x14ac:dyDescent="0.25">
      <c r="A210" s="80">
        <f t="shared" ref="A210" si="39">A209+1</f>
        <v>10</v>
      </c>
      <c r="B210" s="80" t="s">
        <v>330</v>
      </c>
      <c r="C210" s="74" t="s">
        <v>339</v>
      </c>
      <c r="D210" s="82">
        <f>(29.65)*10.764</f>
        <v>319.15259999999995</v>
      </c>
      <c r="E210" s="74">
        <v>0</v>
      </c>
      <c r="F210" s="74">
        <f t="shared" ref="F210:F211" si="40">D210+(IF(E210&lt;201,E210,IF(E210&lt;301,E210/2,E210/3)))</f>
        <v>319.15259999999995</v>
      </c>
      <c r="G210" s="74">
        <v>0</v>
      </c>
      <c r="H210" s="74">
        <f t="shared" ref="H210:H211" si="41">(F210+(IF(G210&lt;101,G210,IF(G210&lt;201,G210/2,IF(G210&lt;=301,G210/3,G210/4)))))*(($H$136)+1)</f>
        <v>478.72889999999995</v>
      </c>
    </row>
    <row r="211" spans="1:8" x14ac:dyDescent="0.25">
      <c r="A211" s="80">
        <v>11</v>
      </c>
      <c r="B211" s="80" t="s">
        <v>330</v>
      </c>
      <c r="C211" s="74" t="s">
        <v>339</v>
      </c>
      <c r="D211" s="82">
        <f>(33.39)*10.764</f>
        <v>359.40996000000001</v>
      </c>
      <c r="E211" s="74">
        <v>0</v>
      </c>
      <c r="F211" s="74">
        <f t="shared" si="40"/>
        <v>359.40996000000001</v>
      </c>
      <c r="G211" s="74">
        <v>0</v>
      </c>
      <c r="H211" s="74">
        <f t="shared" si="41"/>
        <v>539.11494000000005</v>
      </c>
    </row>
    <row r="212" spans="1:8" x14ac:dyDescent="0.25">
      <c r="A212" s="80">
        <v>12</v>
      </c>
      <c r="B212" s="80" t="s">
        <v>330</v>
      </c>
      <c r="C212" s="74" t="s">
        <v>339</v>
      </c>
      <c r="D212" s="82">
        <f>(69.17)*10.764</f>
        <v>744.54588000000001</v>
      </c>
      <c r="E212" s="74">
        <v>0</v>
      </c>
      <c r="F212" s="74">
        <f>D212+(IF(E212&lt;201,E212,IF(E212&lt;301,E212/2,E212/3)))</f>
        <v>744.54588000000001</v>
      </c>
      <c r="G212" s="69">
        <v>0</v>
      </c>
      <c r="H212" s="74">
        <f>(F212+(IF(G212&lt;101,G212,IF(G212&lt;201,G212/2,IF(G212&lt;=301,G212/3,G212/4)))))*(($H$136)+1)</f>
        <v>1116.81882</v>
      </c>
    </row>
    <row r="213" spans="1:8" x14ac:dyDescent="0.25">
      <c r="A213" s="189" t="s">
        <v>345</v>
      </c>
      <c r="B213" s="190"/>
      <c r="C213" s="190"/>
      <c r="D213" s="190"/>
      <c r="E213" s="190"/>
      <c r="F213" s="190"/>
      <c r="G213" s="190"/>
      <c r="H213" s="191"/>
    </row>
    <row r="214" spans="1:8" x14ac:dyDescent="0.25">
      <c r="A214" s="80">
        <v>1</v>
      </c>
      <c r="B214" s="80" t="s">
        <v>330</v>
      </c>
      <c r="C214" s="74" t="s">
        <v>339</v>
      </c>
      <c r="D214" s="82">
        <f>(50.05)*10.764</f>
        <v>538.73819999999989</v>
      </c>
      <c r="E214" s="74">
        <v>0</v>
      </c>
      <c r="F214" s="74">
        <f t="shared" ref="F214:F215" si="42">D214+(IF(E214&lt;201,E214,IF(E214&lt;301,E214/2,E214/3)))</f>
        <v>538.73819999999989</v>
      </c>
      <c r="G214" s="74">
        <v>0</v>
      </c>
      <c r="H214" s="74">
        <f t="shared" ref="H214:H215" si="43">(F214+(IF(G214&lt;101,G214,IF(G214&lt;201,G214/2,IF(G214&lt;=301,G214/3,G214/4)))))*(($H$136)+1)</f>
        <v>808.1072999999999</v>
      </c>
    </row>
    <row r="215" spans="1:8" x14ac:dyDescent="0.25">
      <c r="A215" s="80">
        <f>A214+1</f>
        <v>2</v>
      </c>
      <c r="B215" s="80" t="s">
        <v>330</v>
      </c>
      <c r="C215" s="74" t="s">
        <v>339</v>
      </c>
      <c r="D215" s="82">
        <f>(49.5)*10.764</f>
        <v>532.81799999999998</v>
      </c>
      <c r="E215" s="74">
        <v>0</v>
      </c>
      <c r="F215" s="74">
        <f t="shared" si="42"/>
        <v>532.81799999999998</v>
      </c>
      <c r="G215" s="74">
        <v>0</v>
      </c>
      <c r="H215" s="74">
        <f t="shared" si="43"/>
        <v>799.22699999999998</v>
      </c>
    </row>
    <row r="216" spans="1:8" x14ac:dyDescent="0.25">
      <c r="A216" s="80">
        <v>3</v>
      </c>
      <c r="B216" s="80" t="s">
        <v>330</v>
      </c>
      <c r="C216" s="74" t="s">
        <v>339</v>
      </c>
      <c r="D216" s="82">
        <f>(39.09)*10.764</f>
        <v>420.76476000000002</v>
      </c>
      <c r="E216" s="74">
        <v>0</v>
      </c>
      <c r="F216" s="74">
        <f>D216+(IF(E216&lt;201,E216,IF(E216&lt;301,E216/2,E216/3)))</f>
        <v>420.76476000000002</v>
      </c>
      <c r="G216" s="69">
        <v>0</v>
      </c>
      <c r="H216" s="74">
        <f>(F216+(IF(G216&lt;101,G216,IF(G216&lt;201,G216/2,IF(G216&lt;=301,G216/3,G216/4)))))*(($H$136)+1)</f>
        <v>631.14714000000004</v>
      </c>
    </row>
    <row r="217" spans="1:8" x14ac:dyDescent="0.25">
      <c r="A217" s="80">
        <f>A216+1</f>
        <v>4</v>
      </c>
      <c r="B217" s="80" t="s">
        <v>330</v>
      </c>
      <c r="C217" s="74" t="s">
        <v>339</v>
      </c>
      <c r="D217" s="82">
        <f>(39.09)*10.764</f>
        <v>420.76476000000002</v>
      </c>
      <c r="E217" s="74">
        <v>0</v>
      </c>
      <c r="F217" s="74">
        <f t="shared" ref="F217:F218" si="44">D217+(IF(E217&lt;201,E217,IF(E217&lt;301,E217/2,E217/3)))</f>
        <v>420.76476000000002</v>
      </c>
      <c r="G217" s="74">
        <v>0</v>
      </c>
      <c r="H217" s="74">
        <f t="shared" ref="H217:H218" si="45">(F217+(IF(G217&lt;101,G217,IF(G217&lt;201,G217/2,IF(G217&lt;=301,G217/3,G217/4)))))*(($H$136)+1)</f>
        <v>631.14714000000004</v>
      </c>
    </row>
    <row r="218" spans="1:8" x14ac:dyDescent="0.25">
      <c r="A218" s="80">
        <v>5</v>
      </c>
      <c r="B218" s="80" t="s">
        <v>330</v>
      </c>
      <c r="C218" s="74" t="s">
        <v>339</v>
      </c>
      <c r="D218" s="82">
        <f>(55.52)*10.764</f>
        <v>597.61728000000005</v>
      </c>
      <c r="E218" s="74">
        <v>0</v>
      </c>
      <c r="F218" s="74">
        <f t="shared" si="44"/>
        <v>597.61728000000005</v>
      </c>
      <c r="G218" s="74">
        <v>0</v>
      </c>
      <c r="H218" s="74">
        <f t="shared" si="45"/>
        <v>896.42592000000013</v>
      </c>
    </row>
    <row r="219" spans="1:8" x14ac:dyDescent="0.25">
      <c r="A219" s="81">
        <v>6</v>
      </c>
      <c r="B219" s="81" t="s">
        <v>330</v>
      </c>
      <c r="C219" s="81" t="s">
        <v>339</v>
      </c>
      <c r="D219" s="82">
        <f>(38.55)*10.764</f>
        <v>414.95219999999995</v>
      </c>
      <c r="E219" s="74">
        <v>0</v>
      </c>
      <c r="F219" s="74">
        <f>D219+(IF(E219&lt;201,E219,IF(E219&lt;301,E219/2,E219/3)))</f>
        <v>414.95219999999995</v>
      </c>
      <c r="G219" s="69">
        <v>0</v>
      </c>
      <c r="H219" s="74">
        <f>(F219+(IF(G219&lt;101,G219,IF(G219&lt;201,G219/2,IF(G219&lt;=301,G219/3,G219/4)))))*(($H$136)+1)</f>
        <v>622.42829999999992</v>
      </c>
    </row>
    <row r="220" spans="1:8" x14ac:dyDescent="0.25">
      <c r="A220" s="81">
        <f t="shared" ref="A220" si="46">A219+1</f>
        <v>7</v>
      </c>
      <c r="B220" s="81" t="s">
        <v>330</v>
      </c>
      <c r="C220" s="81" t="s">
        <v>339</v>
      </c>
      <c r="D220" s="82">
        <f>(37.46)*10.764</f>
        <v>403.21943999999996</v>
      </c>
      <c r="E220" s="74">
        <v>0</v>
      </c>
      <c r="F220" s="74">
        <f t="shared" ref="F220:F222" si="47">D220+(IF(E220&lt;201,E220,IF(E220&lt;301,E220/2,E220/3)))</f>
        <v>403.21943999999996</v>
      </c>
      <c r="G220" s="69">
        <v>0</v>
      </c>
      <c r="H220" s="74">
        <f t="shared" ref="H220:H222" si="48">(F220+(IF(G220&lt;101,G220,IF(G220&lt;201,G220/2,IF(G220&lt;=301,G220/3,G220/4)))))*(($H$136)+1)</f>
        <v>604.82916</v>
      </c>
    </row>
    <row r="221" spans="1:8" x14ac:dyDescent="0.25">
      <c r="A221" s="81">
        <v>8</v>
      </c>
      <c r="B221" s="81" t="s">
        <v>330</v>
      </c>
      <c r="C221" s="81" t="s">
        <v>339</v>
      </c>
      <c r="D221" s="82">
        <f>(51.79)*10.764</f>
        <v>557.46755999999993</v>
      </c>
      <c r="E221" s="74">
        <v>0</v>
      </c>
      <c r="F221" s="74">
        <f t="shared" si="47"/>
        <v>557.46755999999993</v>
      </c>
      <c r="G221" s="69">
        <v>0</v>
      </c>
      <c r="H221" s="74">
        <f t="shared" si="48"/>
        <v>836.20133999999985</v>
      </c>
    </row>
    <row r="222" spans="1:8" x14ac:dyDescent="0.25">
      <c r="A222" s="81">
        <v>9</v>
      </c>
      <c r="B222" s="81" t="s">
        <v>330</v>
      </c>
      <c r="C222" s="81" t="s">
        <v>339</v>
      </c>
      <c r="D222" s="82">
        <f>(29.65)*10.764</f>
        <v>319.15259999999995</v>
      </c>
      <c r="E222" s="74">
        <v>0</v>
      </c>
      <c r="F222" s="74">
        <f t="shared" si="47"/>
        <v>319.15259999999995</v>
      </c>
      <c r="G222" s="69">
        <v>0</v>
      </c>
      <c r="H222" s="74">
        <f t="shared" si="48"/>
        <v>478.72889999999995</v>
      </c>
    </row>
    <row r="223" spans="1:8" x14ac:dyDescent="0.25">
      <c r="A223" s="81">
        <f t="shared" ref="A223" si="49">A222+1</f>
        <v>10</v>
      </c>
      <c r="B223" s="81" t="s">
        <v>330</v>
      </c>
      <c r="C223" s="81" t="s">
        <v>339</v>
      </c>
      <c r="D223" s="82">
        <f>(29.65)*10.764</f>
        <v>319.15259999999995</v>
      </c>
      <c r="E223" s="74">
        <v>0</v>
      </c>
      <c r="F223" s="74">
        <f t="shared" ref="F223:F224" si="50">D223+(IF(E223&lt;201,E223,IF(E223&lt;301,E223/2,E223/3)))</f>
        <v>319.15259999999995</v>
      </c>
      <c r="G223" s="74">
        <v>0</v>
      </c>
      <c r="H223" s="74">
        <f t="shared" ref="H223:H224" si="51">(F223+(IF(G223&lt;101,G223,IF(G223&lt;201,G223/2,IF(G223&lt;=301,G223/3,G223/4)))))*(($H$136)+1)</f>
        <v>478.72889999999995</v>
      </c>
    </row>
    <row r="224" spans="1:8" x14ac:dyDescent="0.25">
      <c r="A224" s="80">
        <v>11</v>
      </c>
      <c r="B224" s="80" t="s">
        <v>330</v>
      </c>
      <c r="C224" s="74" t="s">
        <v>339</v>
      </c>
      <c r="D224" s="82">
        <f>(33.39)*10.764</f>
        <v>359.40996000000001</v>
      </c>
      <c r="E224" s="74">
        <v>0</v>
      </c>
      <c r="F224" s="74">
        <f t="shared" si="50"/>
        <v>359.40996000000001</v>
      </c>
      <c r="G224" s="74">
        <v>0</v>
      </c>
      <c r="H224" s="74">
        <f t="shared" si="51"/>
        <v>539.11494000000005</v>
      </c>
    </row>
    <row r="225" spans="1:10" x14ac:dyDescent="0.25">
      <c r="A225" s="80">
        <v>12</v>
      </c>
      <c r="B225" s="80" t="s">
        <v>330</v>
      </c>
      <c r="C225" s="74" t="s">
        <v>339</v>
      </c>
      <c r="D225" s="82">
        <f>(69.17)*10.764</f>
        <v>744.54588000000001</v>
      </c>
      <c r="E225" s="74">
        <v>0</v>
      </c>
      <c r="F225" s="74">
        <f>D225+(IF(E225&lt;201,E225,IF(E225&lt;301,E225/2,E225/3)))</f>
        <v>744.54588000000001</v>
      </c>
      <c r="G225" s="69">
        <v>0</v>
      </c>
      <c r="H225" s="74">
        <f>(F225+(IF(G225&lt;101,G225,IF(G225&lt;201,G225/2,IF(G225&lt;=301,G225/3,G225/4)))))*(($H$136)+1)</f>
        <v>1116.81882</v>
      </c>
    </row>
    <row r="226" spans="1:10" x14ac:dyDescent="0.25">
      <c r="A226" s="187" t="s">
        <v>346</v>
      </c>
      <c r="B226" s="187"/>
      <c r="C226" s="187"/>
      <c r="D226" s="187"/>
      <c r="E226" s="187"/>
      <c r="F226" s="187"/>
      <c r="G226" s="187"/>
      <c r="H226" s="187"/>
    </row>
    <row r="227" spans="1:10" x14ac:dyDescent="0.25">
      <c r="A227" s="80">
        <v>1</v>
      </c>
      <c r="B227" s="80" t="s">
        <v>330</v>
      </c>
      <c r="C227" s="87" t="s">
        <v>339</v>
      </c>
      <c r="D227" s="82">
        <f>(48.95)*10.764</f>
        <v>526.89779999999996</v>
      </c>
      <c r="E227" s="87">
        <v>0</v>
      </c>
      <c r="F227" s="87">
        <f t="shared" ref="F227:F228" si="52">D227+(IF(E227&lt;201,E227,IF(E227&lt;301,E227/2,E227/3)))</f>
        <v>526.89779999999996</v>
      </c>
      <c r="G227" s="87">
        <v>0</v>
      </c>
      <c r="H227" s="87">
        <f t="shared" ref="H227:H228" si="53">(F227+(IF(G227&lt;101,G227,IF(G227&lt;201,G227/2,IF(G227&lt;=301,G227/3,G227/4)))))*(($H$136)+1)</f>
        <v>790.34669999999994</v>
      </c>
    </row>
    <row r="228" spans="1:10" x14ac:dyDescent="0.25">
      <c r="A228" s="80">
        <f>A227+1</f>
        <v>2</v>
      </c>
      <c r="B228" s="80" t="s">
        <v>330</v>
      </c>
      <c r="C228" s="87" t="s">
        <v>339</v>
      </c>
      <c r="D228" s="82">
        <f>(52.24)*10.764</f>
        <v>562.31136000000004</v>
      </c>
      <c r="E228" s="87">
        <v>0</v>
      </c>
      <c r="F228" s="87">
        <f t="shared" si="52"/>
        <v>562.31136000000004</v>
      </c>
      <c r="G228" s="87">
        <v>0</v>
      </c>
      <c r="H228" s="87">
        <f t="shared" si="53"/>
        <v>843.46704</v>
      </c>
    </row>
    <row r="229" spans="1:10" x14ac:dyDescent="0.25">
      <c r="A229" s="80">
        <v>3</v>
      </c>
      <c r="B229" s="80" t="s">
        <v>330</v>
      </c>
      <c r="C229" s="87" t="s">
        <v>339</v>
      </c>
      <c r="D229" s="82">
        <f>(37.45)*10.764</f>
        <v>403.11180000000002</v>
      </c>
      <c r="E229" s="87">
        <v>0</v>
      </c>
      <c r="F229" s="87">
        <f>D229+(IF(E229&lt;201,E229,IF(E229&lt;301,E229/2,E229/3)))</f>
        <v>403.11180000000002</v>
      </c>
      <c r="G229" s="69">
        <v>0</v>
      </c>
      <c r="H229" s="87">
        <f>(F229+(IF(G229&lt;101,G229,IF(G229&lt;201,G229/2,IF(G229&lt;=301,G229/3,G229/4)))))*(($H$136)+1)</f>
        <v>604.66769999999997</v>
      </c>
    </row>
    <row r="230" spans="1:10" x14ac:dyDescent="0.25">
      <c r="A230" s="80">
        <f>A229+1</f>
        <v>4</v>
      </c>
      <c r="B230" s="80" t="s">
        <v>330</v>
      </c>
      <c r="C230" s="87" t="s">
        <v>339</v>
      </c>
      <c r="D230" s="82">
        <f>(39.65)*10.764</f>
        <v>426.79259999999994</v>
      </c>
      <c r="E230" s="87">
        <v>0</v>
      </c>
      <c r="F230" s="87">
        <f t="shared" ref="F230:F231" si="54">D230+(IF(E230&lt;201,E230,IF(E230&lt;301,E230/2,E230/3)))</f>
        <v>426.79259999999994</v>
      </c>
      <c r="G230" s="87">
        <v>0</v>
      </c>
      <c r="H230" s="87">
        <f t="shared" ref="H230:H231" si="55">(F230+(IF(G230&lt;101,G230,IF(G230&lt;201,G230/2,IF(G230&lt;=301,G230/3,G230/4)))))*(($H$136)+1)</f>
        <v>640.18889999999988</v>
      </c>
    </row>
    <row r="231" spans="1:10" x14ac:dyDescent="0.25">
      <c r="A231" s="80">
        <v>5</v>
      </c>
      <c r="B231" s="80" t="s">
        <v>330</v>
      </c>
      <c r="C231" s="87" t="s">
        <v>339</v>
      </c>
      <c r="D231" s="82">
        <f>(40.19)*10.764</f>
        <v>432.60515999999996</v>
      </c>
      <c r="E231" s="87">
        <v>0</v>
      </c>
      <c r="F231" s="87">
        <f t="shared" si="54"/>
        <v>432.60515999999996</v>
      </c>
      <c r="G231" s="87">
        <v>0</v>
      </c>
      <c r="H231" s="87">
        <f t="shared" si="55"/>
        <v>648.90773999999988</v>
      </c>
    </row>
    <row r="232" spans="1:10" x14ac:dyDescent="0.25">
      <c r="A232" s="81">
        <v>6</v>
      </c>
      <c r="B232" s="233" t="s">
        <v>344</v>
      </c>
      <c r="C232" s="233"/>
      <c r="D232" s="233"/>
      <c r="E232" s="233"/>
      <c r="F232" s="233"/>
      <c r="G232" s="233"/>
      <c r="H232" s="233"/>
    </row>
    <row r="233" spans="1:10" x14ac:dyDescent="0.25">
      <c r="A233" s="81">
        <f t="shared" ref="A233" si="56">A232+1</f>
        <v>7</v>
      </c>
      <c r="B233" s="233"/>
      <c r="C233" s="233"/>
      <c r="D233" s="233"/>
      <c r="E233" s="233"/>
      <c r="F233" s="233"/>
      <c r="G233" s="233"/>
      <c r="H233" s="233"/>
    </row>
    <row r="234" spans="1:10" x14ac:dyDescent="0.25">
      <c r="A234" s="81">
        <v>8</v>
      </c>
      <c r="B234" s="81" t="s">
        <v>330</v>
      </c>
      <c r="C234" s="81" t="s">
        <v>339</v>
      </c>
      <c r="D234" s="82">
        <f>(51.79)*10.764</f>
        <v>557.46755999999993</v>
      </c>
      <c r="E234" s="87">
        <v>0</v>
      </c>
      <c r="F234" s="87">
        <f t="shared" ref="F234:F237" si="57">D234+(IF(E234&lt;201,E234,IF(E234&lt;301,E234/2,E234/3)))</f>
        <v>557.46755999999993</v>
      </c>
      <c r="G234" s="69">
        <v>0</v>
      </c>
      <c r="H234" s="87">
        <f>(F234+(IF(G234&lt;101,G234,IF(G234&lt;201,G234/2,IF(G234&lt;=301,G234/3,G234/4)))))*(($H$136)+1)</f>
        <v>836.20133999999985</v>
      </c>
    </row>
    <row r="235" spans="1:10" x14ac:dyDescent="0.25">
      <c r="A235" s="81">
        <v>9</v>
      </c>
      <c r="B235" s="81" t="s">
        <v>330</v>
      </c>
      <c r="C235" s="81" t="s">
        <v>339</v>
      </c>
      <c r="D235" s="82">
        <f>(29.65)*10.764</f>
        <v>319.15259999999995</v>
      </c>
      <c r="E235" s="87">
        <v>0</v>
      </c>
      <c r="F235" s="87">
        <f t="shared" si="57"/>
        <v>319.15259999999995</v>
      </c>
      <c r="G235" s="69">
        <v>0</v>
      </c>
      <c r="H235" s="87">
        <f>(F235+(IF(G235&lt;101,G235,IF(G235&lt;201,G235/2,IF(G235&lt;=301,G235/3,G235/4)))))*(($H$136)+1)</f>
        <v>478.72889999999995</v>
      </c>
    </row>
    <row r="236" spans="1:10" x14ac:dyDescent="0.25">
      <c r="A236" s="81">
        <f t="shared" ref="A236" si="58">A235+1</f>
        <v>10</v>
      </c>
      <c r="B236" s="81" t="s">
        <v>330</v>
      </c>
      <c r="C236" s="81" t="s">
        <v>339</v>
      </c>
      <c r="D236" s="82">
        <f>(29.65)*10.764</f>
        <v>319.15259999999995</v>
      </c>
      <c r="E236" s="87">
        <v>0</v>
      </c>
      <c r="F236" s="87">
        <f t="shared" si="57"/>
        <v>319.15259999999995</v>
      </c>
      <c r="G236" s="87">
        <v>0</v>
      </c>
      <c r="H236" s="87">
        <f>(F236+(IF(G236&lt;101,G236,IF(G236&lt;201,G236/2,IF(G236&lt;=301,G236/3,G236/4)))))*(($H$136)+1)</f>
        <v>478.72889999999995</v>
      </c>
    </row>
    <row r="237" spans="1:10" x14ac:dyDescent="0.25">
      <c r="A237" s="80">
        <v>11</v>
      </c>
      <c r="B237" s="80" t="s">
        <v>330</v>
      </c>
      <c r="C237" s="87" t="s">
        <v>339</v>
      </c>
      <c r="D237" s="82">
        <f>(33.39)*10.764</f>
        <v>359.40996000000001</v>
      </c>
      <c r="E237" s="87">
        <v>0</v>
      </c>
      <c r="F237" s="87">
        <f t="shared" si="57"/>
        <v>359.40996000000001</v>
      </c>
      <c r="G237" s="87">
        <v>0</v>
      </c>
      <c r="H237" s="87">
        <f>(F237+(IF(G237&lt;101,G237,IF(G237&lt;201,G237/2,IF(G237&lt;=301,G237/3,G237/4)))))*(($H$136)+1)</f>
        <v>539.11494000000005</v>
      </c>
    </row>
    <row r="238" spans="1:10" x14ac:dyDescent="0.25">
      <c r="A238" s="80">
        <v>12</v>
      </c>
      <c r="B238" s="80" t="s">
        <v>330</v>
      </c>
      <c r="C238" s="74" t="s">
        <v>339</v>
      </c>
      <c r="D238" s="82">
        <f>(69.17)*10.764</f>
        <v>744.54588000000001</v>
      </c>
      <c r="E238" s="74">
        <v>0</v>
      </c>
      <c r="F238" s="74">
        <f>D238+(IF(E238&lt;201,E238,IF(E238&lt;301,E238/2,E238/3)))</f>
        <v>744.54588000000001</v>
      </c>
      <c r="G238" s="69">
        <v>0</v>
      </c>
      <c r="H238" s="74">
        <f>(F238+(IF(G238&lt;101,G238,IF(G238&lt;201,G238/2,IF(G238&lt;=301,G238/3,G238/4)))))*(($H$136)+1)</f>
        <v>1116.81882</v>
      </c>
      <c r="J238" s="21">
        <f>21600000/H238</f>
        <v>19340.64828886032</v>
      </c>
    </row>
    <row r="239" spans="1:10" x14ac:dyDescent="0.25">
      <c r="A239" s="98"/>
      <c r="B239" s="197"/>
      <c r="C239" s="197"/>
      <c r="D239" s="197"/>
      <c r="E239" s="197"/>
      <c r="F239" s="197"/>
      <c r="G239" s="197"/>
      <c r="H239" s="99"/>
    </row>
    <row r="240" spans="1:10" ht="47.25" hidden="1" x14ac:dyDescent="0.25">
      <c r="A240" s="198" t="s">
        <v>117</v>
      </c>
      <c r="B240" s="134" t="s">
        <v>177</v>
      </c>
      <c r="C240" s="134" t="s">
        <v>54</v>
      </c>
      <c r="D240" s="134" t="s">
        <v>233</v>
      </c>
      <c r="E240" s="134" t="s">
        <v>232</v>
      </c>
      <c r="F240" s="134" t="s">
        <v>55</v>
      </c>
      <c r="G240" s="136" t="s">
        <v>56</v>
      </c>
      <c r="H240" s="57" t="s">
        <v>149</v>
      </c>
    </row>
    <row r="241" spans="1:8" hidden="1" x14ac:dyDescent="0.25">
      <c r="A241" s="199"/>
      <c r="B241" s="135"/>
      <c r="C241" s="135"/>
      <c r="D241" s="135"/>
      <c r="E241" s="135"/>
      <c r="F241" s="135"/>
      <c r="G241" s="137"/>
      <c r="H241" s="59">
        <v>0.45</v>
      </c>
    </row>
    <row r="242" spans="1:8" hidden="1" x14ac:dyDescent="0.25">
      <c r="A242" s="189" t="s">
        <v>114</v>
      </c>
      <c r="B242" s="190"/>
      <c r="C242" s="190"/>
      <c r="D242" s="190"/>
      <c r="E242" s="190"/>
      <c r="F242" s="190"/>
      <c r="G242" s="190"/>
      <c r="H242" s="191"/>
    </row>
    <row r="243" spans="1:8" hidden="1" x14ac:dyDescent="0.25">
      <c r="A243" s="98">
        <v>1</v>
      </c>
      <c r="B243" s="99"/>
      <c r="C243" s="42"/>
      <c r="D243" s="42"/>
      <c r="E243" s="42">
        <v>0</v>
      </c>
      <c r="F243" s="42">
        <f>D243+E243</f>
        <v>0</v>
      </c>
      <c r="G243" s="56">
        <v>0</v>
      </c>
      <c r="H243" s="56">
        <f>F243*(($H$241)+1)+(IF(G243&lt;101,G243,IF(G243&lt;201,G243/2,IF(G243&lt;=301,G243/3,G243/4))))</f>
        <v>0</v>
      </c>
    </row>
    <row r="244" spans="1:8" hidden="1" x14ac:dyDescent="0.25">
      <c r="A244" s="98">
        <f>A243+1</f>
        <v>2</v>
      </c>
      <c r="B244" s="99"/>
      <c r="C244" s="42"/>
      <c r="D244" s="42"/>
      <c r="E244" s="42">
        <v>0</v>
      </c>
      <c r="F244" s="56">
        <f>D244+E244</f>
        <v>0</v>
      </c>
      <c r="G244" s="56">
        <v>0</v>
      </c>
      <c r="H244" s="56">
        <f>F244*(($H$241)+1)+(IF(G244&lt;101,G244,IF(G244&lt;201,G244/2,IF(G244&lt;=301,G244/3,G244/4))))</f>
        <v>0</v>
      </c>
    </row>
    <row r="245" spans="1:8" hidden="1" x14ac:dyDescent="0.25">
      <c r="A245" s="98">
        <f>A244+1</f>
        <v>3</v>
      </c>
      <c r="B245" s="99"/>
      <c r="C245" s="42"/>
      <c r="D245" s="42"/>
      <c r="E245" s="42">
        <v>0</v>
      </c>
      <c r="F245" s="56">
        <f>D245+E245</f>
        <v>0</v>
      </c>
      <c r="G245" s="56">
        <v>0</v>
      </c>
      <c r="H245" s="56">
        <f>F245*(($H$241)+1)+(IF(G245&lt;101,G245,IF(G245&lt;201,G245/2,IF(G245&lt;=301,G245/3,G245/4))))</f>
        <v>0</v>
      </c>
    </row>
    <row r="246" spans="1:8" hidden="1" x14ac:dyDescent="0.25">
      <c r="A246" s="98">
        <f>A245+1</f>
        <v>4</v>
      </c>
      <c r="B246" s="99"/>
      <c r="C246" s="42"/>
      <c r="D246" s="42"/>
      <c r="E246" s="42">
        <v>0</v>
      </c>
      <c r="F246" s="56">
        <f>D246+E246</f>
        <v>0</v>
      </c>
      <c r="G246" s="56">
        <v>0</v>
      </c>
      <c r="H246" s="56">
        <f>F246*(($H$241)+1)+(IF(G246&lt;101,G246,IF(G246&lt;201,G246/2,IF(G246&lt;=301,G246/3,G246/4))))</f>
        <v>0</v>
      </c>
    </row>
    <row r="247" spans="1:8" hidden="1" x14ac:dyDescent="0.25">
      <c r="A247" s="187" t="s">
        <v>115</v>
      </c>
      <c r="B247" s="187"/>
      <c r="C247" s="187"/>
      <c r="D247" s="187"/>
      <c r="E247" s="187"/>
      <c r="F247" s="187"/>
      <c r="G247" s="187"/>
      <c r="H247" s="187"/>
    </row>
    <row r="248" spans="1:8" hidden="1" x14ac:dyDescent="0.25">
      <c r="A248" s="119">
        <f>LEFT(A247,SUM(LEN(A247)-LEN(SUBSTITUTE(A247,{"0","1","2","3","4","5","6","7","8","9"},""))))*100+1</f>
        <v>201</v>
      </c>
      <c r="B248" s="119"/>
      <c r="C248" s="42"/>
      <c r="D248" s="42"/>
      <c r="E248" s="56">
        <v>0</v>
      </c>
      <c r="F248" s="56">
        <f>D248+E248</f>
        <v>0</v>
      </c>
      <c r="G248" s="56">
        <v>0</v>
      </c>
      <c r="H248" s="56">
        <f>F248*(($H$241)+1)+(IF(G248&lt;101,G248,IF(G248&lt;201,G248/2,IF(G248&lt;=301,G248/3,G248/4))))</f>
        <v>0</v>
      </c>
    </row>
    <row r="249" spans="1:8" hidden="1" x14ac:dyDescent="0.25">
      <c r="A249" s="119">
        <f>A248+1</f>
        <v>202</v>
      </c>
      <c r="B249" s="119"/>
      <c r="C249" s="42"/>
      <c r="D249" s="42"/>
      <c r="E249" s="56">
        <v>0</v>
      </c>
      <c r="F249" s="56">
        <f>D249+E249</f>
        <v>0</v>
      </c>
      <c r="G249" s="56">
        <v>0</v>
      </c>
      <c r="H249" s="56">
        <f>F249*(($H$241)+1)+(IF(G249&lt;101,G249,IF(G249&lt;201,G249/2,IF(G249&lt;=301,G249/3,G249/4))))</f>
        <v>0</v>
      </c>
    </row>
    <row r="250" spans="1:8" hidden="1" x14ac:dyDescent="0.25">
      <c r="A250" s="119">
        <f>A249+1</f>
        <v>203</v>
      </c>
      <c r="B250" s="119"/>
      <c r="C250" s="42"/>
      <c r="D250" s="42"/>
      <c r="E250" s="56">
        <v>0</v>
      </c>
      <c r="F250" s="56">
        <f>D250+E250</f>
        <v>0</v>
      </c>
      <c r="G250" s="56">
        <v>0</v>
      </c>
      <c r="H250" s="56">
        <f>F250*(($H$241)+1)+(IF(G250&lt;101,G250,IF(G250&lt;201,G250/2,IF(G250&lt;=301,G250/3,G250/4))))</f>
        <v>0</v>
      </c>
    </row>
    <row r="251" spans="1:8" hidden="1" x14ac:dyDescent="0.25">
      <c r="A251" s="119">
        <f>A250+1</f>
        <v>204</v>
      </c>
      <c r="B251" s="119"/>
      <c r="C251" s="42"/>
      <c r="D251" s="42"/>
      <c r="E251" s="56">
        <v>0</v>
      </c>
      <c r="F251" s="56">
        <f>D251+E251</f>
        <v>0</v>
      </c>
      <c r="G251" s="56">
        <v>0</v>
      </c>
      <c r="H251" s="56">
        <f>F251*(($H$241)+1)+(IF(G251&lt;101,G251,IF(G251&lt;201,G251/2,IF(G251&lt;=301,G251/3,G251/4))))</f>
        <v>0</v>
      </c>
    </row>
    <row r="252" spans="1:8" hidden="1" x14ac:dyDescent="0.25">
      <c r="A252" s="119">
        <f>A251+1</f>
        <v>205</v>
      </c>
      <c r="B252" s="119"/>
      <c r="C252" s="42"/>
      <c r="D252" s="42"/>
      <c r="E252" s="56">
        <v>0</v>
      </c>
      <c r="F252" s="56">
        <f>D252+E252</f>
        <v>0</v>
      </c>
      <c r="G252" s="56">
        <v>0</v>
      </c>
      <c r="H252" s="56">
        <f>F252*(($H$241)+1)+(IF(G252&lt;101,G252,IF(G252&lt;201,G252/2,IF(G252&lt;=301,G252/3,G252/4))))</f>
        <v>0</v>
      </c>
    </row>
    <row r="253" spans="1:8" hidden="1" x14ac:dyDescent="0.25">
      <c r="A253" s="189" t="s">
        <v>150</v>
      </c>
      <c r="B253" s="190"/>
      <c r="C253" s="190"/>
      <c r="D253" s="190"/>
      <c r="E253" s="190"/>
      <c r="F253" s="190"/>
      <c r="G253" s="190"/>
      <c r="H253" s="191"/>
    </row>
    <row r="254" spans="1:8" hidden="1" x14ac:dyDescent="0.25">
      <c r="A254" s="98"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10^ROW(INDIRECT("1:"&amp;LEN((LEFT(A253,SUM(LEN(A253)-LEN(SUBSTITUTE(A253,{"0","1","2"},""))))))))/10))*100+1&amp;""&amp;" ,..,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",LEN(A253))),LEN(A253)))))))/10))*100+1</f>
        <v>301 ,.., 1501</v>
      </c>
      <c r="B254" s="99"/>
      <c r="C254" s="42"/>
      <c r="D254" s="42"/>
      <c r="E254" s="56">
        <v>0</v>
      </c>
      <c r="F254" s="56">
        <f>D254+E254</f>
        <v>0</v>
      </c>
      <c r="G254" s="56">
        <v>0</v>
      </c>
      <c r="H254" s="56">
        <f>F254*(($H$241)+1)+(IF(G254&lt;101,G254,IF(G254&lt;201,G254/2,IF(G254&lt;=301,G254/3,G254/4))))</f>
        <v>0</v>
      </c>
    </row>
    <row r="255" spans="1:8" hidden="1" x14ac:dyDescent="0.25">
      <c r="A255" s="98"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302 ,.., 1502</v>
      </c>
      <c r="B255" s="99"/>
      <c r="C255" s="42"/>
      <c r="D255" s="42"/>
      <c r="E255" s="56">
        <v>0</v>
      </c>
      <c r="F255" s="56">
        <f>D255+E255</f>
        <v>0</v>
      </c>
      <c r="G255" s="56">
        <v>0</v>
      </c>
      <c r="H255" s="56">
        <f>F255*(($H$241)+1)+(IF(G255&lt;101,G255,IF(G255&lt;201,G255/2,IF(G255&lt;=301,G255/3,G255/4))))</f>
        <v>0</v>
      </c>
    </row>
    <row r="256" spans="1:8" hidden="1" x14ac:dyDescent="0.25">
      <c r="A256" s="98"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303 ,.., 1503</v>
      </c>
      <c r="B256" s="99"/>
      <c r="C256" s="42"/>
      <c r="D256" s="42"/>
      <c r="E256" s="56">
        <v>0</v>
      </c>
      <c r="F256" s="56">
        <f>D256+E256</f>
        <v>0</v>
      </c>
      <c r="G256" s="56">
        <v>0</v>
      </c>
      <c r="H256" s="56">
        <f>F256*(($H$241)+1)+(IF(G256&lt;101,G256,IF(G256&lt;201,G256/2,IF(G256&lt;=301,G256/3,G256/4))))</f>
        <v>0</v>
      </c>
    </row>
    <row r="257" spans="1:8" hidden="1" x14ac:dyDescent="0.25">
      <c r="A257" s="98"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304 ,.., 1504</v>
      </c>
      <c r="B257" s="99"/>
      <c r="C257" s="42"/>
      <c r="D257" s="42"/>
      <c r="E257" s="56">
        <v>0</v>
      </c>
      <c r="F257" s="56">
        <f>D257+E257</f>
        <v>0</v>
      </c>
      <c r="G257" s="56">
        <v>0</v>
      </c>
      <c r="H257" s="56">
        <f>F257*(($H$241)+1)+(IF(G257&lt;101,G257,IF(G257&lt;201,G257/2,IF(G257&lt;=301,G257/3,G257/4))))</f>
        <v>0</v>
      </c>
    </row>
    <row r="258" spans="1:8" hidden="1" x14ac:dyDescent="0.25">
      <c r="A258" s="98"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305 ,.., 1505</v>
      </c>
      <c r="B258" s="99"/>
      <c r="C258" s="42"/>
      <c r="D258" s="42"/>
      <c r="E258" s="56">
        <v>0</v>
      </c>
      <c r="F258" s="56">
        <f>D258+E258</f>
        <v>0</v>
      </c>
      <c r="G258" s="56">
        <v>0</v>
      </c>
      <c r="H258" s="56">
        <f>F258*(($H$241)+1)+(IF(G258&lt;101,G258,IF(G258&lt;201,G258/2,IF(G258&lt;=301,G258/3,G258/4))))</f>
        <v>0</v>
      </c>
    </row>
    <row r="259" spans="1:8" hidden="1" x14ac:dyDescent="0.25">
      <c r="A259" s="189" t="s">
        <v>144</v>
      </c>
      <c r="B259" s="190"/>
      <c r="C259" s="190"/>
      <c r="D259" s="190"/>
      <c r="E259" s="190"/>
      <c r="F259" s="190"/>
      <c r="G259" s="190"/>
      <c r="H259" s="191"/>
    </row>
    <row r="260" spans="1:8" hidden="1" x14ac:dyDescent="0.25">
      <c r="A260" s="98"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10^ROW(INDIRECT("1:"&amp;LEN((LEFT(A259,SUM(LEN(A259)-LEN(SUBSTITUTE(A259,{"0","1","2"},""))))))))/10))*100+1&amp;""&amp;" to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",LEN(A259))),LEN(A259)))))))/10))*100+1</f>
        <v>201 to 501</v>
      </c>
      <c r="B260" s="99"/>
      <c r="C260" s="42"/>
      <c r="D260" s="42"/>
      <c r="E260" s="56">
        <v>0</v>
      </c>
      <c r="F260" s="56">
        <f>D260+E260</f>
        <v>0</v>
      </c>
      <c r="G260" s="56">
        <v>0</v>
      </c>
      <c r="H260" s="56">
        <f>F260*(($H$241)+1)+(IF(G260&lt;101,G260,IF(G260&lt;201,G260/2,IF(G260&lt;=301,G260/3,G260/4))))</f>
        <v>0</v>
      </c>
    </row>
    <row r="261" spans="1:8" hidden="1" x14ac:dyDescent="0.25">
      <c r="A261" s="98"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10^ROW(INDIRECT("1:"&amp;LEN((LEFT(A260,SUM(LEN(A260)-LEN(SUBSTITUTE(A260,{"0","1","2"},""))))))))/10))*1+1&amp;""&amp;" to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",LEN(A260))),LEN(A260)))))))/10))*1+1</f>
        <v>202 to 502</v>
      </c>
      <c r="B261" s="99"/>
      <c r="C261" s="42"/>
      <c r="D261" s="42"/>
      <c r="E261" s="56">
        <v>0</v>
      </c>
      <c r="F261" s="56">
        <f>D261+E261</f>
        <v>0</v>
      </c>
      <c r="G261" s="56">
        <v>0</v>
      </c>
      <c r="H261" s="56">
        <f>F261*(($H$241)+1)+(IF(G261&lt;101,G261,IF(G261&lt;201,G261/2,IF(G261&lt;=301,G261/3,G261/4))))</f>
        <v>0</v>
      </c>
    </row>
    <row r="262" spans="1:8" hidden="1" x14ac:dyDescent="0.25">
      <c r="A262" s="98"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to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203 to 503</v>
      </c>
      <c r="B262" s="99"/>
      <c r="C262" s="42"/>
      <c r="D262" s="42"/>
      <c r="E262" s="56">
        <v>0</v>
      </c>
      <c r="F262" s="56">
        <f>D262+E262</f>
        <v>0</v>
      </c>
      <c r="G262" s="56">
        <v>0</v>
      </c>
      <c r="H262" s="56">
        <f>F262*(($H$241)+1)+(IF(G262&lt;101,G262,IF(G262&lt;201,G262/2,IF(G262&lt;=301,G262/3,G262/4))))</f>
        <v>0</v>
      </c>
    </row>
    <row r="263" spans="1:8" hidden="1" x14ac:dyDescent="0.25">
      <c r="A263" s="98"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to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204 to 504</v>
      </c>
      <c r="B263" s="99"/>
      <c r="C263" s="42"/>
      <c r="D263" s="42"/>
      <c r="E263" s="56">
        <v>0</v>
      </c>
      <c r="F263" s="56">
        <f>D263+E263</f>
        <v>0</v>
      </c>
      <c r="G263" s="56">
        <v>0</v>
      </c>
      <c r="H263" s="56">
        <f>F263*(($H$241)+1)+(IF(G263&lt;101,G263,IF(G263&lt;201,G263/2,IF(G263&lt;=301,G263/3,G263/4))))</f>
        <v>0</v>
      </c>
    </row>
    <row r="264" spans="1:8" hidden="1" x14ac:dyDescent="0.25">
      <c r="A264" s="98"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to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205 to 505</v>
      </c>
      <c r="B264" s="99"/>
      <c r="C264" s="42"/>
      <c r="D264" s="42"/>
      <c r="E264" s="56">
        <v>0</v>
      </c>
      <c r="F264" s="56">
        <f>D264+E264</f>
        <v>0</v>
      </c>
      <c r="G264" s="56">
        <v>0</v>
      </c>
      <c r="H264" s="56">
        <f>F264*(($H$241)+1)+(IF(G264&lt;101,G264,IF(G264&lt;201,G264/2,IF(G264&lt;=301,G264/3,G264/4))))</f>
        <v>0</v>
      </c>
    </row>
    <row r="265" spans="1:8" hidden="1" x14ac:dyDescent="0.25">
      <c r="A265" s="189" t="s">
        <v>145</v>
      </c>
      <c r="B265" s="190"/>
      <c r="C265" s="190"/>
      <c r="D265" s="190"/>
      <c r="E265" s="190"/>
      <c r="F265" s="190"/>
      <c r="G265" s="190"/>
      <c r="H265" s="191"/>
    </row>
    <row r="266" spans="1:8" hidden="1" x14ac:dyDescent="0.25">
      <c r="A266" s="98"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10^ROW(INDIRECT("1:"&amp;LEN((LEFT(A265,SUM(LEN(A265)-LEN(SUBSTITUTE(A265,{"0","1","2"},""))))))))/10))*100+1&amp;""&amp;" &amp;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",LEN(A265))),LEN(A265)))))))/10))*100+1</f>
        <v>201 &amp; 501</v>
      </c>
      <c r="B266" s="99"/>
      <c r="C266" s="42"/>
      <c r="D266" s="42"/>
      <c r="E266" s="56">
        <v>0</v>
      </c>
      <c r="F266" s="56">
        <f>D266+E266</f>
        <v>0</v>
      </c>
      <c r="G266" s="56">
        <v>0</v>
      </c>
      <c r="H266" s="56">
        <f>F266*(($H$241)+1)+(IF(G266&lt;101,G266,IF(G266&lt;201,G266/2,IF(G266&lt;=301,G266/3,G266/4))))</f>
        <v>0</v>
      </c>
    </row>
    <row r="267" spans="1:8" hidden="1" x14ac:dyDescent="0.25">
      <c r="A267" s="98"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10^ROW(INDIRECT("1:"&amp;LEN((LEFT(A266,SUM(LEN(A266)-LEN(SUBSTITUTE(A266,{"0","1","2"},""))))))))/10))*1+1&amp;""&amp;" &amp;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",LEN(A266))),LEN(A266)))))))/10))*1+1</f>
        <v>202 &amp; 502</v>
      </c>
      <c r="B267" s="99"/>
      <c r="C267" s="42"/>
      <c r="D267" s="42"/>
      <c r="E267" s="56">
        <v>0</v>
      </c>
      <c r="F267" s="56">
        <f>D267+E267</f>
        <v>0</v>
      </c>
      <c r="G267" s="56">
        <v>0</v>
      </c>
      <c r="H267" s="56">
        <f>F267*(($H$241)+1)+(IF(G267&lt;101,G267,IF(G267&lt;201,G267/2,IF(G267&lt;=301,G267/3,G267/4))))</f>
        <v>0</v>
      </c>
    </row>
    <row r="268" spans="1:8" hidden="1" x14ac:dyDescent="0.25">
      <c r="A268" s="98"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10^ROW(INDIRECT("1:"&amp;LEN((LEFT(A267,SUM(LEN(A267)-LEN(SUBSTITUTE(A267,{"0","1","2"},""))))))))/10))*1+1&amp;""&amp;" &amp;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",LEN(A267))),LEN(A267)))))))/10))*1+1</f>
        <v>203 &amp; 503</v>
      </c>
      <c r="B268" s="99"/>
      <c r="C268" s="42"/>
      <c r="D268" s="42"/>
      <c r="E268" s="56">
        <v>0</v>
      </c>
      <c r="F268" s="56">
        <f>D268+E268</f>
        <v>0</v>
      </c>
      <c r="G268" s="56">
        <v>0</v>
      </c>
      <c r="H268" s="56">
        <f>F268*(($H$241)+1)+(IF(G268&lt;101,G268,IF(G268&lt;201,G268/2,IF(G268&lt;=301,G268/3,G268/4))))</f>
        <v>0</v>
      </c>
    </row>
    <row r="269" spans="1:8" hidden="1" x14ac:dyDescent="0.25">
      <c r="A269" s="98"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&amp;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204 &amp; 504</v>
      </c>
      <c r="B269" s="99"/>
      <c r="C269" s="42"/>
      <c r="D269" s="42"/>
      <c r="E269" s="56">
        <v>0</v>
      </c>
      <c r="F269" s="56">
        <f>D269+E269</f>
        <v>0</v>
      </c>
      <c r="G269" s="56">
        <v>0</v>
      </c>
      <c r="H269" s="56">
        <f>F269*(($H$241)+1)+(IF(G269&lt;101,G269,IF(G269&lt;201,G269/2,IF(G269&lt;=301,G269/3,G269/4))))</f>
        <v>0</v>
      </c>
    </row>
    <row r="270" spans="1:8" hidden="1" x14ac:dyDescent="0.25">
      <c r="A270" s="98"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&amp;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205 &amp; 505</v>
      </c>
      <c r="B270" s="99"/>
      <c r="C270" s="42"/>
      <c r="D270" s="42"/>
      <c r="E270" s="56">
        <v>0</v>
      </c>
      <c r="F270" s="56">
        <f>D270+E270</f>
        <v>0</v>
      </c>
      <c r="G270" s="56">
        <v>0</v>
      </c>
      <c r="H270" s="56">
        <f>F270*(($H$241)+1)+(IF(G270&lt;101,G270,IF(G270&lt;201,G270/2,IF(G270&lt;=301,G270/3,G270/4))))</f>
        <v>0</v>
      </c>
    </row>
    <row r="271" spans="1:8" x14ac:dyDescent="0.25">
      <c r="A271" s="203" t="s">
        <v>64</v>
      </c>
      <c r="B271" s="203"/>
      <c r="C271" s="203"/>
      <c r="D271" s="203"/>
      <c r="E271" s="203"/>
      <c r="F271" s="203"/>
      <c r="G271" s="203"/>
      <c r="H271" s="203"/>
    </row>
    <row r="272" spans="1:8" x14ac:dyDescent="0.25">
      <c r="A272" s="45" t="s">
        <v>154</v>
      </c>
      <c r="B272" s="200" t="s">
        <v>380</v>
      </c>
      <c r="C272" s="201"/>
      <c r="D272" s="201"/>
      <c r="E272" s="201"/>
      <c r="F272" s="201"/>
      <c r="G272" s="201"/>
      <c r="H272" s="202"/>
    </row>
    <row r="273" spans="1:8" hidden="1" x14ac:dyDescent="0.25">
      <c r="A273" s="45" t="s">
        <v>154</v>
      </c>
      <c r="B273" s="200" t="str">
        <f>(IF(H240="Saleable area Loading :","We have considered Saleable area of Flats as per our Calculation.","We considered Saleable area of Flat as per Builder area Sheet."))</f>
        <v>We have considered Saleable area of Flats as per our Calculation.</v>
      </c>
      <c r="C273" s="201"/>
      <c r="D273" s="201"/>
      <c r="E273" s="201"/>
      <c r="F273" s="201"/>
      <c r="G273" s="201"/>
      <c r="H273" s="202"/>
    </row>
    <row r="274" spans="1:8" x14ac:dyDescent="0.25">
      <c r="A274" s="45" t="s">
        <v>154</v>
      </c>
      <c r="B274" s="200" t="str">
        <f>(IF(H135="Saleable area Loading :","We have considered Saleable area of Commercial as per our Calculation.","We considered Saleable area of Commercial as per Builder area Sheet."))</f>
        <v>We have considered Saleable area of Commercial as per our Calculation.</v>
      </c>
      <c r="C274" s="201"/>
      <c r="D274" s="201"/>
      <c r="E274" s="201"/>
      <c r="F274" s="201"/>
      <c r="G274" s="201"/>
      <c r="H274" s="202"/>
    </row>
    <row r="275" spans="1:8" x14ac:dyDescent="0.25">
      <c r="A275" s="45" t="s">
        <v>154</v>
      </c>
      <c r="B275" s="95" t="s">
        <v>121</v>
      </c>
      <c r="C275" s="96"/>
      <c r="D275" s="96"/>
      <c r="E275" s="96"/>
      <c r="F275" s="96"/>
      <c r="G275" s="96"/>
      <c r="H275" s="97"/>
    </row>
    <row r="276" spans="1:8" x14ac:dyDescent="0.25">
      <c r="A276" s="45" t="s">
        <v>154</v>
      </c>
      <c r="B276" s="95" t="s">
        <v>352</v>
      </c>
      <c r="C276" s="96"/>
      <c r="D276" s="96"/>
      <c r="E276" s="96"/>
      <c r="F276" s="96"/>
      <c r="G276" s="96"/>
      <c r="H276" s="97"/>
    </row>
    <row r="277" spans="1:8" x14ac:dyDescent="0.25">
      <c r="A277" s="45" t="s">
        <v>154</v>
      </c>
      <c r="B277" s="95" t="s">
        <v>153</v>
      </c>
      <c r="C277" s="96"/>
      <c r="D277" s="96"/>
      <c r="E277" s="96"/>
      <c r="F277" s="96"/>
      <c r="G277" s="96"/>
      <c r="H277" s="97"/>
    </row>
    <row r="278" spans="1:8" x14ac:dyDescent="0.25">
      <c r="A278" s="45" t="s">
        <v>154</v>
      </c>
      <c r="B278" s="95" t="s">
        <v>122</v>
      </c>
      <c r="C278" s="96"/>
      <c r="D278" s="96"/>
      <c r="E278" s="96"/>
      <c r="F278" s="96"/>
      <c r="G278" s="96"/>
      <c r="H278" s="97"/>
    </row>
    <row r="279" spans="1:8" ht="36" hidden="1" customHeight="1" x14ac:dyDescent="0.25">
      <c r="A279" s="45" t="s">
        <v>154</v>
      </c>
      <c r="B279" s="95" t="s">
        <v>155</v>
      </c>
      <c r="C279" s="96"/>
      <c r="D279" s="96"/>
      <c r="E279" s="96"/>
      <c r="F279" s="96"/>
      <c r="G279" s="96"/>
      <c r="H279" s="97"/>
    </row>
    <row r="280" spans="1:8" x14ac:dyDescent="0.25">
      <c r="A280" s="45" t="s">
        <v>154</v>
      </c>
      <c r="B280" s="95" t="s">
        <v>123</v>
      </c>
      <c r="C280" s="96"/>
      <c r="D280" s="96"/>
      <c r="E280" s="96"/>
      <c r="F280" s="96"/>
      <c r="G280" s="96"/>
      <c r="H280" s="97"/>
    </row>
    <row r="281" spans="1:8" x14ac:dyDescent="0.25">
      <c r="A281" s="73" t="s">
        <v>154</v>
      </c>
      <c r="B281" s="95" t="s">
        <v>356</v>
      </c>
      <c r="C281" s="96"/>
      <c r="D281" s="96"/>
      <c r="E281" s="96"/>
      <c r="F281" s="96"/>
      <c r="G281" s="96"/>
      <c r="H281" s="97"/>
    </row>
    <row r="282" spans="1:8" hidden="1" x14ac:dyDescent="0.25">
      <c r="A282" s="53" t="s">
        <v>154</v>
      </c>
      <c r="B282" s="102" t="s">
        <v>178</v>
      </c>
      <c r="C282" s="103"/>
      <c r="D282" s="103"/>
      <c r="E282" s="103"/>
      <c r="F282" s="103"/>
      <c r="G282" s="103"/>
      <c r="H282" s="104"/>
    </row>
    <row r="283" spans="1:8" hidden="1" x14ac:dyDescent="0.25">
      <c r="A283" s="58" t="s">
        <v>154</v>
      </c>
      <c r="B283" s="102" t="s">
        <v>234</v>
      </c>
      <c r="C283" s="103"/>
      <c r="D283" s="103"/>
      <c r="E283" s="103"/>
      <c r="F283" s="103"/>
      <c r="G283" s="103"/>
      <c r="H283" s="104"/>
    </row>
    <row r="284" spans="1:8" hidden="1" x14ac:dyDescent="0.25">
      <c r="A284" s="84" t="s">
        <v>154</v>
      </c>
      <c r="B284" s="95" t="s">
        <v>361</v>
      </c>
      <c r="C284" s="96"/>
      <c r="D284" s="96"/>
      <c r="E284" s="96"/>
      <c r="F284" s="96"/>
      <c r="G284" s="96"/>
      <c r="H284" s="97"/>
    </row>
    <row r="285" spans="1:8" x14ac:dyDescent="0.25">
      <c r="A285" s="85" t="s">
        <v>154</v>
      </c>
      <c r="B285" s="95" t="s">
        <v>367</v>
      </c>
      <c r="C285" s="96"/>
      <c r="D285" s="96"/>
      <c r="E285" s="96"/>
      <c r="F285" s="96"/>
      <c r="G285" s="96"/>
      <c r="H285" s="97"/>
    </row>
    <row r="286" spans="1:8" ht="48.95" customHeight="1" x14ac:dyDescent="0.25">
      <c r="A286" s="94" t="s">
        <v>154</v>
      </c>
      <c r="B286" s="95" t="s">
        <v>370</v>
      </c>
      <c r="C286" s="96"/>
      <c r="D286" s="96"/>
      <c r="E286" s="96"/>
      <c r="F286" s="96"/>
      <c r="G286" s="96"/>
      <c r="H286" s="97"/>
    </row>
    <row r="287" spans="1:8" x14ac:dyDescent="0.25">
      <c r="A287" s="94" t="s">
        <v>154</v>
      </c>
      <c r="B287" s="95" t="s">
        <v>378</v>
      </c>
      <c r="C287" s="96"/>
      <c r="D287" s="96"/>
      <c r="E287" s="96"/>
      <c r="F287" s="96"/>
      <c r="G287" s="96"/>
      <c r="H287" s="97"/>
    </row>
    <row r="288" spans="1:8" x14ac:dyDescent="0.25">
      <c r="A288" s="88" t="s">
        <v>154</v>
      </c>
      <c r="B288" s="95" t="s">
        <v>377</v>
      </c>
      <c r="C288" s="96"/>
      <c r="D288" s="96"/>
      <c r="E288" s="96"/>
      <c r="F288" s="96"/>
      <c r="G288" s="96"/>
      <c r="H288" s="97"/>
    </row>
    <row r="289" spans="1:8" x14ac:dyDescent="0.25">
      <c r="A289" s="188" t="s">
        <v>57</v>
      </c>
      <c r="B289" s="188"/>
      <c r="C289" s="188"/>
      <c r="D289" s="188"/>
      <c r="E289" s="188"/>
      <c r="F289" s="188"/>
      <c r="G289" s="188"/>
      <c r="H289" s="188"/>
    </row>
    <row r="290" spans="1:8" x14ac:dyDescent="0.25">
      <c r="A290" s="105" t="s">
        <v>58</v>
      </c>
      <c r="B290" s="105"/>
      <c r="C290" s="105"/>
      <c r="D290" s="105"/>
      <c r="E290" s="105"/>
      <c r="F290" s="105"/>
      <c r="G290" s="105"/>
      <c r="H290" s="105"/>
    </row>
    <row r="291" spans="1:8" x14ac:dyDescent="0.25">
      <c r="A291" s="204" t="s">
        <v>59</v>
      </c>
      <c r="B291" s="204"/>
      <c r="C291" s="204"/>
      <c r="D291" s="204"/>
      <c r="E291" s="204"/>
      <c r="F291" s="204"/>
      <c r="G291" s="204"/>
      <c r="H291" s="204"/>
    </row>
    <row r="292" spans="1:8" x14ac:dyDescent="0.25">
      <c r="A292" s="105" t="s">
        <v>60</v>
      </c>
      <c r="B292" s="105"/>
      <c r="C292" s="105"/>
      <c r="D292" s="105"/>
      <c r="E292" s="105"/>
      <c r="F292" s="105"/>
      <c r="G292" s="105"/>
      <c r="H292" s="105"/>
    </row>
    <row r="293" spans="1:8" x14ac:dyDescent="0.25">
      <c r="A293" s="105" t="s">
        <v>61</v>
      </c>
      <c r="B293" s="105"/>
      <c r="C293" s="105"/>
      <c r="D293" s="105"/>
      <c r="E293" s="105"/>
      <c r="F293" s="105"/>
      <c r="G293" s="105"/>
      <c r="H293" s="105"/>
    </row>
    <row r="294" spans="1:8" x14ac:dyDescent="0.25">
      <c r="A294" s="105" t="s">
        <v>124</v>
      </c>
      <c r="B294" s="105"/>
      <c r="C294" s="105"/>
      <c r="D294" s="105"/>
      <c r="E294" s="105"/>
      <c r="F294" s="105"/>
      <c r="G294" s="105"/>
      <c r="H294" s="105"/>
    </row>
    <row r="295" spans="1:8" x14ac:dyDescent="0.25">
      <c r="A295" s="155" t="s">
        <v>125</v>
      </c>
      <c r="B295" s="155"/>
      <c r="C295" s="155"/>
      <c r="D295" s="155"/>
      <c r="E295" s="155"/>
      <c r="F295" s="155"/>
      <c r="G295" s="155"/>
      <c r="H295" s="155"/>
    </row>
    <row r="296" spans="1:8" x14ac:dyDescent="0.25">
      <c r="A296" s="185" t="s">
        <v>72</v>
      </c>
      <c r="B296" s="185"/>
      <c r="C296" s="185" t="s">
        <v>368</v>
      </c>
      <c r="D296" s="185"/>
      <c r="E296" s="185" t="s">
        <v>101</v>
      </c>
      <c r="F296" s="185"/>
      <c r="G296" s="185" t="s">
        <v>379</v>
      </c>
      <c r="H296" s="185"/>
    </row>
    <row r="297" spans="1:8" x14ac:dyDescent="0.25">
      <c r="A297" s="184" t="s">
        <v>74</v>
      </c>
      <c r="B297" s="184"/>
      <c r="C297" s="184"/>
      <c r="D297" s="184"/>
      <c r="E297" s="184"/>
      <c r="F297" s="184"/>
      <c r="G297" s="184"/>
      <c r="H297" s="184"/>
    </row>
    <row r="298" spans="1:8" x14ac:dyDescent="0.25">
      <c r="A298" s="184"/>
      <c r="B298" s="184"/>
      <c r="C298" s="184"/>
      <c r="D298" s="184"/>
      <c r="E298" s="184"/>
      <c r="F298" s="184"/>
      <c r="G298" s="184"/>
      <c r="H298" s="184"/>
    </row>
    <row r="299" spans="1:8" x14ac:dyDescent="0.25">
      <c r="A299" s="184"/>
      <c r="B299" s="184"/>
      <c r="C299" s="184"/>
      <c r="D299" s="184"/>
      <c r="E299" s="184"/>
      <c r="F299" s="184"/>
      <c r="G299" s="184"/>
      <c r="H299" s="184"/>
    </row>
    <row r="300" spans="1:8" x14ac:dyDescent="0.25">
      <c r="A300" s="184"/>
      <c r="B300" s="184"/>
      <c r="C300" s="184"/>
      <c r="D300" s="184"/>
      <c r="E300" s="184"/>
      <c r="F300" s="184"/>
      <c r="G300" s="184"/>
      <c r="H300" s="184"/>
    </row>
    <row r="301" spans="1:8" x14ac:dyDescent="0.25">
      <c r="A301" s="38" t="s">
        <v>62</v>
      </c>
      <c r="B301" s="39"/>
      <c r="C301" s="39"/>
      <c r="D301" s="38" t="str">
        <f>E9</f>
        <v>Prime Square</v>
      </c>
      <c r="F301" s="39"/>
      <c r="G301" s="39"/>
      <c r="H301" s="39"/>
    </row>
    <row r="302" spans="1:8" x14ac:dyDescent="0.25">
      <c r="A302" s="39"/>
      <c r="B302" s="39"/>
      <c r="C302" s="39"/>
      <c r="D302" s="39"/>
      <c r="E302" s="39"/>
      <c r="F302" s="39"/>
      <c r="G302" s="39"/>
      <c r="H302" s="39"/>
    </row>
    <row r="303" spans="1:8" x14ac:dyDescent="0.25">
      <c r="A303" s="39"/>
      <c r="B303" s="39"/>
      <c r="C303" s="39"/>
      <c r="D303" s="39"/>
      <c r="E303" s="39"/>
      <c r="F303" s="39"/>
      <c r="G303" s="39"/>
      <c r="H303" s="39"/>
    </row>
    <row r="345" spans="1:1" x14ac:dyDescent="0.25">
      <c r="A345" s="41" t="s">
        <v>163</v>
      </c>
    </row>
    <row r="389" spans="1:1" x14ac:dyDescent="0.25">
      <c r="A389" s="41" t="s">
        <v>63</v>
      </c>
    </row>
  </sheetData>
  <mergeCells count="391">
    <mergeCell ref="B286:H286"/>
    <mergeCell ref="B287:H287"/>
    <mergeCell ref="C179:H179"/>
    <mergeCell ref="C180:H180"/>
    <mergeCell ref="C170:H170"/>
    <mergeCell ref="I67:M67"/>
    <mergeCell ref="B285:H285"/>
    <mergeCell ref="B284:H284"/>
    <mergeCell ref="B281:H281"/>
    <mergeCell ref="A125:B125"/>
    <mergeCell ref="C125:D125"/>
    <mergeCell ref="E125:F125"/>
    <mergeCell ref="G125:H125"/>
    <mergeCell ref="A126:B126"/>
    <mergeCell ref="C126:D126"/>
    <mergeCell ref="E126:F126"/>
    <mergeCell ref="G126:H126"/>
    <mergeCell ref="A197:H197"/>
    <mergeCell ref="A198:H198"/>
    <mergeCell ref="A199:H199"/>
    <mergeCell ref="A200:H200"/>
    <mergeCell ref="B204:H207"/>
    <mergeCell ref="A213:H213"/>
    <mergeCell ref="A226:H226"/>
    <mergeCell ref="B232:H233"/>
    <mergeCell ref="A138:H138"/>
    <mergeCell ref="C124:D124"/>
    <mergeCell ref="E124:F124"/>
    <mergeCell ref="G124:H124"/>
    <mergeCell ref="C165:H165"/>
    <mergeCell ref="C166:H166"/>
    <mergeCell ref="C171:H171"/>
    <mergeCell ref="C175:H175"/>
    <mergeCell ref="C176:H176"/>
    <mergeCell ref="C177:H177"/>
    <mergeCell ref="A162:H162"/>
    <mergeCell ref="C163:H163"/>
    <mergeCell ref="C164:H164"/>
    <mergeCell ref="I15:P15"/>
    <mergeCell ref="F113:H113"/>
    <mergeCell ref="F111:H111"/>
    <mergeCell ref="A255:B255"/>
    <mergeCell ref="A134:H134"/>
    <mergeCell ref="G118:H118"/>
    <mergeCell ref="A112:E112"/>
    <mergeCell ref="A60:B60"/>
    <mergeCell ref="C60:E60"/>
    <mergeCell ref="D62:H62"/>
    <mergeCell ref="F112:H112"/>
    <mergeCell ref="E118:F118"/>
    <mergeCell ref="A118:B118"/>
    <mergeCell ref="A120:B120"/>
    <mergeCell ref="C128:D128"/>
    <mergeCell ref="D70:H70"/>
    <mergeCell ref="A71:C71"/>
    <mergeCell ref="E43:H43"/>
    <mergeCell ref="A43:D43"/>
    <mergeCell ref="A87:B87"/>
    <mergeCell ref="C87:H87"/>
    <mergeCell ref="A82:B82"/>
    <mergeCell ref="A50:B50"/>
    <mergeCell ref="C172:H172"/>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2:E52"/>
    <mergeCell ref="A294:H294"/>
    <mergeCell ref="A291:H291"/>
    <mergeCell ref="A248:B248"/>
    <mergeCell ref="A128:B128"/>
    <mergeCell ref="D240:D241"/>
    <mergeCell ref="E240:E241"/>
    <mergeCell ref="A95:B95"/>
    <mergeCell ref="A96:B96"/>
    <mergeCell ref="A97:B97"/>
    <mergeCell ref="F102:H102"/>
    <mergeCell ref="G119:H119"/>
    <mergeCell ref="F110:H110"/>
    <mergeCell ref="C118:D118"/>
    <mergeCell ref="C131:D131"/>
    <mergeCell ref="A242:H242"/>
    <mergeCell ref="A257:B257"/>
    <mergeCell ref="A254:B254"/>
    <mergeCell ref="B282:H282"/>
    <mergeCell ref="A132:B132"/>
    <mergeCell ref="C132:D132"/>
    <mergeCell ref="E132:F132"/>
    <mergeCell ref="A185:H185"/>
    <mergeCell ref="C173:H173"/>
    <mergeCell ref="C174:H174"/>
    <mergeCell ref="B280:H280"/>
    <mergeCell ref="B278:H278"/>
    <mergeCell ref="B274:H274"/>
    <mergeCell ref="A268:B268"/>
    <mergeCell ref="A265:H265"/>
    <mergeCell ref="A266:B266"/>
    <mergeCell ref="A267:B267"/>
    <mergeCell ref="A270:B270"/>
    <mergeCell ref="A269:B269"/>
    <mergeCell ref="B272:H272"/>
    <mergeCell ref="B273:H273"/>
    <mergeCell ref="B275:H275"/>
    <mergeCell ref="B276:H276"/>
    <mergeCell ref="A271:H271"/>
    <mergeCell ref="B277:H277"/>
    <mergeCell ref="A263:B263"/>
    <mergeCell ref="A264:B264"/>
    <mergeCell ref="A259:H259"/>
    <mergeCell ref="A253:H253"/>
    <mergeCell ref="F101:H101"/>
    <mergeCell ref="F108:H108"/>
    <mergeCell ref="A243:B243"/>
    <mergeCell ref="E90:F90"/>
    <mergeCell ref="G90:H90"/>
    <mergeCell ref="A109:E109"/>
    <mergeCell ref="F109:H109"/>
    <mergeCell ref="A111:E111"/>
    <mergeCell ref="F106:H106"/>
    <mergeCell ref="A110:E110"/>
    <mergeCell ref="E91:F100"/>
    <mergeCell ref="A98:B98"/>
    <mergeCell ref="A99:B99"/>
    <mergeCell ref="A239:H239"/>
    <mergeCell ref="E128:F128"/>
    <mergeCell ref="A133:H133"/>
    <mergeCell ref="A240:A241"/>
    <mergeCell ref="F240:F241"/>
    <mergeCell ref="A90:B90"/>
    <mergeCell ref="A137:H137"/>
    <mergeCell ref="A297:H300"/>
    <mergeCell ref="A296:B296"/>
    <mergeCell ref="E296:F296"/>
    <mergeCell ref="C296:D296"/>
    <mergeCell ref="G296:H296"/>
    <mergeCell ref="A117:H117"/>
    <mergeCell ref="A115:E115"/>
    <mergeCell ref="F115:H115"/>
    <mergeCell ref="A116:E116"/>
    <mergeCell ref="F116:H116"/>
    <mergeCell ref="A247:H247"/>
    <mergeCell ref="A129:B129"/>
    <mergeCell ref="A256:B256"/>
    <mergeCell ref="A119:B119"/>
    <mergeCell ref="A292:H292"/>
    <mergeCell ref="A127:H127"/>
    <mergeCell ref="A295:H295"/>
    <mergeCell ref="A293:H293"/>
    <mergeCell ref="A289:H289"/>
    <mergeCell ref="G128:H128"/>
    <mergeCell ref="A258:B258"/>
    <mergeCell ref="C135:C136"/>
    <mergeCell ref="B240:B241"/>
    <mergeCell ref="A290:H290"/>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A65:C65"/>
    <mergeCell ref="D65:H65"/>
    <mergeCell ref="C51:E51"/>
    <mergeCell ref="C50:E50"/>
    <mergeCell ref="C53:E53"/>
    <mergeCell ref="G53:H53"/>
    <mergeCell ref="A89:B89"/>
    <mergeCell ref="A39:B39"/>
    <mergeCell ref="C39:H39"/>
    <mergeCell ref="A46:D46"/>
    <mergeCell ref="L136:M136"/>
    <mergeCell ref="L135:M135"/>
    <mergeCell ref="L134:M134"/>
    <mergeCell ref="L133:M133"/>
    <mergeCell ref="A84:B84"/>
    <mergeCell ref="C129:D129"/>
    <mergeCell ref="E129:F129"/>
    <mergeCell ref="G129:H129"/>
    <mergeCell ref="A102:E102"/>
    <mergeCell ref="E135:E136"/>
    <mergeCell ref="A91:B91"/>
    <mergeCell ref="A47:D47"/>
    <mergeCell ref="A48:H48"/>
    <mergeCell ref="D64:H64"/>
    <mergeCell ref="A64:C64"/>
    <mergeCell ref="A83:B83"/>
    <mergeCell ref="C89:H89"/>
    <mergeCell ref="A45:D45"/>
    <mergeCell ref="A49:B49"/>
    <mergeCell ref="C49:H49"/>
    <mergeCell ref="L145:M145"/>
    <mergeCell ref="A252:B252"/>
    <mergeCell ref="A249:B249"/>
    <mergeCell ref="A250:B250"/>
    <mergeCell ref="A260:B260"/>
    <mergeCell ref="A40:B40"/>
    <mergeCell ref="C40:H40"/>
    <mergeCell ref="F135:F136"/>
    <mergeCell ref="C119:D119"/>
    <mergeCell ref="E119:F119"/>
    <mergeCell ref="B135:B136"/>
    <mergeCell ref="A135:A136"/>
    <mergeCell ref="C240:C241"/>
    <mergeCell ref="G240:G241"/>
    <mergeCell ref="L144:M144"/>
    <mergeCell ref="L141:M141"/>
    <mergeCell ref="A244:B244"/>
    <mergeCell ref="G132:H132"/>
    <mergeCell ref="L142:M142"/>
    <mergeCell ref="A245:B245"/>
    <mergeCell ref="L143:M143"/>
    <mergeCell ref="C55:H55"/>
    <mergeCell ref="A246:B246"/>
    <mergeCell ref="A76:B76"/>
    <mergeCell ref="G91:H100"/>
    <mergeCell ref="A92:B92"/>
    <mergeCell ref="A93:B93"/>
    <mergeCell ref="A94:B94"/>
    <mergeCell ref="F103:H103"/>
    <mergeCell ref="A103:E103"/>
    <mergeCell ref="D135:D136"/>
    <mergeCell ref="A107:E107"/>
    <mergeCell ref="A106:E106"/>
    <mergeCell ref="A101:E101"/>
    <mergeCell ref="F107:H107"/>
    <mergeCell ref="G135:G136"/>
    <mergeCell ref="A114:E114"/>
    <mergeCell ref="F114:H114"/>
    <mergeCell ref="A105:E105"/>
    <mergeCell ref="F105:H105"/>
    <mergeCell ref="A104:E104"/>
    <mergeCell ref="F104:H104"/>
    <mergeCell ref="A122:H122"/>
    <mergeCell ref="A123:B123"/>
    <mergeCell ref="C123:D123"/>
    <mergeCell ref="E123:F123"/>
    <mergeCell ref="G123:H123"/>
    <mergeCell ref="A124:B124"/>
    <mergeCell ref="B288:H288"/>
    <mergeCell ref="A261:B261"/>
    <mergeCell ref="A79:B79"/>
    <mergeCell ref="B283:H283"/>
    <mergeCell ref="A108:E108"/>
    <mergeCell ref="A100:B100"/>
    <mergeCell ref="A131:B131"/>
    <mergeCell ref="E131:F131"/>
    <mergeCell ref="A113:E113"/>
    <mergeCell ref="G131:H131"/>
    <mergeCell ref="C120:D120"/>
    <mergeCell ref="E120:F120"/>
    <mergeCell ref="G120:H120"/>
    <mergeCell ref="A121:B121"/>
    <mergeCell ref="C121:D121"/>
    <mergeCell ref="E121:F121"/>
    <mergeCell ref="G121:H121"/>
    <mergeCell ref="A130:B130"/>
    <mergeCell ref="C130:D130"/>
    <mergeCell ref="E130:F130"/>
    <mergeCell ref="G130:H130"/>
    <mergeCell ref="B279:H279"/>
    <mergeCell ref="A262:B262"/>
    <mergeCell ref="A251:B251"/>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5:E136">
      <formula1>"Attached Loft area,Attached Otla area,Attached Mezzanine area"</formula1>
    </dataValidation>
    <dataValidation type="list" allowBlank="1" showInputMessage="1" showErrorMessage="1" sqref="G296:H296">
      <formula1>"Kunal Kadam,Pranita Mhatre,Shruti Fule,Pooja Kawale,Mansee Mohite,Shruti Tathare, Hitakshi Mhatre, Sachin Sawant"</formula1>
    </dataValidation>
    <dataValidation type="list" allowBlank="1" showInputMessage="1" showErrorMessage="1" sqref="F101:H101">
      <formula1>"On Saleable Area,On Builtup Area,On Carpet Area,On Plot Area"</formula1>
    </dataValidation>
    <dataValidation type="list" allowBlank="1" showInputMessage="1" showErrorMessage="1" sqref="F115:H115">
      <formula1>OFFSET($S$101,1,MATCH($G20,$S$101:$W$101,0)-1,15,1)</formula1>
    </dataValidation>
    <dataValidation type="list" allowBlank="1" showInputMessage="1" showErrorMessage="1" sqref="B135:B136">
      <formula1>"Shop No. (Sale Plan),Sale / Rehab,Sale / Mhada"</formula1>
    </dataValidation>
    <dataValidation type="list" allowBlank="1" showInputMessage="1" showErrorMessage="1" sqref="B240:B24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40:E241">
      <formula1>"Fungible area,Balcony Area,Chajja Area,Cornice Area,AP Area,WS Area"</formula1>
    </dataValidation>
    <dataValidation type="list" allowBlank="1" showInputMessage="1" showErrorMessage="1" sqref="H136 H24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6" orientation="portrait" r:id="rId2"/>
  <headerFooter>
    <oddHeader>&amp;C&amp;G</oddHeader>
    <oddFooter>&amp;L&amp;"Times New Roman,Bold"&amp;12Ref No: &amp;F&amp;C&amp;G&amp;R&amp;"Times New Roman,Bold"&amp;12&amp;P</oddFooter>
  </headerFooter>
  <rowBreaks count="3" manualBreakCount="3">
    <brk id="300" max="7" man="1"/>
    <brk id="344" max="7" man="1"/>
    <brk id="388"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4" t="s">
        <v>102</v>
      </c>
      <c r="C3" s="234"/>
      <c r="D3" s="234"/>
      <c r="E3" s="234"/>
      <c r="F3" s="234"/>
      <c r="G3" s="234"/>
      <c r="H3" s="234"/>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4"/>
      <c r="C4" s="54" t="s">
        <v>11</v>
      </c>
      <c r="D4" s="55" t="s">
        <v>179</v>
      </c>
      <c r="E4" s="55" t="s">
        <v>189</v>
      </c>
      <c r="F4" s="55" t="s">
        <v>172</v>
      </c>
      <c r="G4" s="55" t="s">
        <v>194</v>
      </c>
      <c r="H4" s="55" t="s">
        <v>212</v>
      </c>
      <c r="J4" t="s">
        <v>194</v>
      </c>
      <c r="K4" t="s">
        <v>210</v>
      </c>
    </row>
    <row r="5" spans="2:11" x14ac:dyDescent="0.25">
      <c r="B5" s="54"/>
      <c r="C5" s="54"/>
      <c r="D5" s="55" t="s">
        <v>180</v>
      </c>
      <c r="E5" s="55" t="s">
        <v>187</v>
      </c>
      <c r="F5" s="55" t="s">
        <v>209</v>
      </c>
      <c r="G5" s="55" t="s">
        <v>195</v>
      </c>
      <c r="H5" s="55" t="s">
        <v>213</v>
      </c>
    </row>
    <row r="6" spans="2:11" x14ac:dyDescent="0.25">
      <c r="B6" s="54"/>
      <c r="C6" s="54"/>
      <c r="D6" s="55" t="s">
        <v>181</v>
      </c>
      <c r="E6" s="55" t="s">
        <v>188</v>
      </c>
      <c r="F6" s="55" t="s">
        <v>210</v>
      </c>
      <c r="G6" s="55" t="s">
        <v>196</v>
      </c>
      <c r="H6" s="55" t="s">
        <v>226</v>
      </c>
    </row>
    <row r="7" spans="2:11" x14ac:dyDescent="0.25">
      <c r="B7" s="54"/>
      <c r="C7" s="54"/>
      <c r="D7" s="55" t="s">
        <v>182</v>
      </c>
      <c r="E7" s="55" t="s">
        <v>190</v>
      </c>
      <c r="F7" s="55" t="s">
        <v>211</v>
      </c>
      <c r="G7" s="55" t="s">
        <v>197</v>
      </c>
      <c r="H7" s="55" t="s">
        <v>214</v>
      </c>
    </row>
    <row r="8" spans="2:11" x14ac:dyDescent="0.25">
      <c r="B8" s="54"/>
      <c r="C8" s="54"/>
      <c r="D8" s="55" t="s">
        <v>183</v>
      </c>
      <c r="E8" s="55" t="s">
        <v>191</v>
      </c>
      <c r="F8" s="55"/>
      <c r="G8" s="55" t="s">
        <v>198</v>
      </c>
      <c r="H8" s="55" t="s">
        <v>215</v>
      </c>
    </row>
    <row r="9" spans="2:11" x14ac:dyDescent="0.25">
      <c r="B9" s="54"/>
      <c r="C9" s="54"/>
      <c r="D9" s="55" t="s">
        <v>184</v>
      </c>
      <c r="E9" s="55" t="s">
        <v>189</v>
      </c>
      <c r="F9" s="55"/>
      <c r="G9" s="55" t="s">
        <v>199</v>
      </c>
      <c r="H9" s="55" t="s">
        <v>216</v>
      </c>
    </row>
    <row r="10" spans="2:11" x14ac:dyDescent="0.25">
      <c r="B10" s="54"/>
      <c r="C10" s="54"/>
      <c r="D10" s="55" t="s">
        <v>185</v>
      </c>
      <c r="E10" s="55" t="s">
        <v>192</v>
      </c>
      <c r="F10" s="55"/>
      <c r="G10" s="55" t="s">
        <v>200</v>
      </c>
      <c r="H10" s="55" t="s">
        <v>217</v>
      </c>
    </row>
    <row r="11" spans="2:11" x14ac:dyDescent="0.25">
      <c r="B11" s="54"/>
      <c r="C11" s="54"/>
      <c r="D11" s="55" t="s">
        <v>186</v>
      </c>
      <c r="E11" s="55" t="s">
        <v>193</v>
      </c>
      <c r="F11" s="55"/>
      <c r="G11" s="55" t="s">
        <v>201</v>
      </c>
      <c r="H11" s="55" t="s">
        <v>218</v>
      </c>
    </row>
    <row r="12" spans="2:11" x14ac:dyDescent="0.25">
      <c r="B12" s="54"/>
      <c r="C12" s="54"/>
      <c r="D12" s="55"/>
      <c r="E12" s="55"/>
      <c r="F12" s="55"/>
      <c r="G12" s="55" t="s">
        <v>202</v>
      </c>
      <c r="H12" s="55" t="s">
        <v>219</v>
      </c>
    </row>
    <row r="13" spans="2:11" x14ac:dyDescent="0.25">
      <c r="B13" s="54"/>
      <c r="C13" s="54"/>
      <c r="D13" s="55"/>
      <c r="E13" s="55"/>
      <c r="F13" s="55"/>
      <c r="G13" s="55" t="s">
        <v>203</v>
      </c>
      <c r="H13" s="55" t="s">
        <v>220</v>
      </c>
    </row>
    <row r="14" spans="2:11" x14ac:dyDescent="0.25">
      <c r="B14" s="54"/>
      <c r="C14" s="54"/>
      <c r="D14" s="55"/>
      <c r="E14" s="55"/>
      <c r="F14" s="55"/>
      <c r="G14" s="55" t="s">
        <v>204</v>
      </c>
      <c r="H14" s="55" t="s">
        <v>221</v>
      </c>
    </row>
    <row r="15" spans="2:11" x14ac:dyDescent="0.25">
      <c r="B15" s="54"/>
      <c r="C15" s="54"/>
      <c r="D15" s="55"/>
      <c r="E15" s="55"/>
      <c r="F15" s="55"/>
      <c r="G15" s="55" t="s">
        <v>205</v>
      </c>
      <c r="H15" s="55" t="s">
        <v>222</v>
      </c>
    </row>
    <row r="16" spans="2:11" x14ac:dyDescent="0.25">
      <c r="B16" s="54"/>
      <c r="C16" s="54"/>
      <c r="D16" s="55"/>
      <c r="E16" s="55"/>
      <c r="F16" s="55"/>
      <c r="G16" s="55" t="s">
        <v>206</v>
      </c>
      <c r="H16" s="55" t="s">
        <v>223</v>
      </c>
    </row>
    <row r="17" spans="2:8" x14ac:dyDescent="0.25">
      <c r="B17" s="54"/>
      <c r="C17" s="54"/>
      <c r="D17" s="55"/>
      <c r="E17" s="55"/>
      <c r="F17" s="55"/>
      <c r="G17" s="55" t="s">
        <v>207</v>
      </c>
      <c r="H17" s="55" t="s">
        <v>224</v>
      </c>
    </row>
    <row r="18" spans="2:8" x14ac:dyDescent="0.25">
      <c r="B18" s="54"/>
      <c r="C18" s="54"/>
      <c r="D18" s="55"/>
      <c r="E18" s="55"/>
      <c r="F18" s="55"/>
      <c r="G18" s="55" t="s">
        <v>208</v>
      </c>
      <c r="H18" s="55" t="s">
        <v>225</v>
      </c>
    </row>
    <row r="24" spans="2:8" x14ac:dyDescent="0.25">
      <c r="C24" t="s">
        <v>169</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169</v>
      </c>
    </row>
    <row r="33" spans="3:11" x14ac:dyDescent="0.25">
      <c r="J33">
        <v>1</v>
      </c>
      <c r="K33">
        <v>2</v>
      </c>
    </row>
    <row r="34" spans="3:11" x14ac:dyDescent="0.25">
      <c r="C34" s="60" t="s">
        <v>238</v>
      </c>
      <c r="D34" s="55" t="s">
        <v>236</v>
      </c>
      <c r="E34" s="55" t="s">
        <v>241</v>
      </c>
      <c r="F34" s="55" t="s">
        <v>239</v>
      </c>
      <c r="G34" s="55" t="s">
        <v>240</v>
      </c>
      <c r="H34" s="55" t="s">
        <v>242</v>
      </c>
      <c r="J34" t="s">
        <v>194</v>
      </c>
      <c r="K34" t="s">
        <v>210</v>
      </c>
    </row>
    <row r="35" spans="3:11" x14ac:dyDescent="0.25">
      <c r="C35" s="54" t="s">
        <v>237</v>
      </c>
      <c r="D35" s="55" t="s">
        <v>170</v>
      </c>
      <c r="E35" s="55" t="s">
        <v>246</v>
      </c>
      <c r="F35" s="55" t="s">
        <v>248</v>
      </c>
      <c r="G35" s="55" t="s">
        <v>250</v>
      </c>
      <c r="H35" s="55"/>
    </row>
    <row r="36" spans="3:11" x14ac:dyDescent="0.25">
      <c r="C36" s="54"/>
      <c r="D36" s="55" t="s">
        <v>243</v>
      </c>
      <c r="E36" s="55" t="s">
        <v>247</v>
      </c>
      <c r="F36" s="55" t="s">
        <v>249</v>
      </c>
      <c r="G36" s="55" t="s">
        <v>251</v>
      </c>
      <c r="H36" s="55"/>
    </row>
    <row r="37" spans="3:11" x14ac:dyDescent="0.25">
      <c r="C37" s="54"/>
      <c r="D37" s="55" t="s">
        <v>244</v>
      </c>
      <c r="E37" s="55"/>
      <c r="F37" s="55"/>
      <c r="G37" s="55" t="s">
        <v>252</v>
      </c>
      <c r="H37" s="55"/>
    </row>
    <row r="38" spans="3:11" x14ac:dyDescent="0.25">
      <c r="C38" s="54"/>
      <c r="D38" s="55" t="s">
        <v>245</v>
      </c>
      <c r="E38" s="55"/>
      <c r="F38" s="55"/>
      <c r="G38" s="55" t="s">
        <v>252</v>
      </c>
      <c r="H38" s="55"/>
    </row>
    <row r="39" spans="3:11" x14ac:dyDescent="0.25">
      <c r="C39" s="54"/>
      <c r="D39" s="55"/>
      <c r="E39" s="55"/>
      <c r="F39" s="55"/>
      <c r="G39" s="55" t="s">
        <v>253</v>
      </c>
      <c r="H39" s="55"/>
    </row>
    <row r="40" spans="3:11" x14ac:dyDescent="0.25">
      <c r="C40" s="54"/>
      <c r="D40" s="55"/>
      <c r="E40" s="55"/>
      <c r="F40" s="55"/>
      <c r="G40" s="55" t="s">
        <v>254</v>
      </c>
      <c r="H40" s="55"/>
    </row>
    <row r="41" spans="3:11" x14ac:dyDescent="0.25">
      <c r="C41" s="54"/>
      <c r="D41" s="55"/>
      <c r="E41" s="55"/>
      <c r="F41" s="55"/>
      <c r="G41" s="55"/>
      <c r="H41" s="55"/>
    </row>
    <row r="43" spans="3:11" x14ac:dyDescent="0.25">
      <c r="C43" t="s">
        <v>255</v>
      </c>
    </row>
    <row r="44" spans="3:11" x14ac:dyDescent="0.25">
      <c r="C44" t="s">
        <v>172</v>
      </c>
      <c r="D44" t="s">
        <v>256</v>
      </c>
    </row>
    <row r="45" spans="3:11" x14ac:dyDescent="0.25">
      <c r="D45" t="s">
        <v>257</v>
      </c>
    </row>
    <row r="46" spans="3:11" x14ac:dyDescent="0.25">
      <c r="D46" t="s">
        <v>258</v>
      </c>
    </row>
    <row r="47" spans="3:11" x14ac:dyDescent="0.25">
      <c r="D47" t="s">
        <v>259</v>
      </c>
    </row>
    <row r="48" spans="3:11" x14ac:dyDescent="0.25">
      <c r="D48" t="s">
        <v>260</v>
      </c>
    </row>
    <row r="49" spans="3:4" x14ac:dyDescent="0.25">
      <c r="C49" t="s">
        <v>179</v>
      </c>
      <c r="D49" t="s">
        <v>261</v>
      </c>
    </row>
    <row r="50" spans="3:4" x14ac:dyDescent="0.25">
      <c r="D50" t="s">
        <v>262</v>
      </c>
    </row>
    <row r="51" spans="3:4" x14ac:dyDescent="0.25">
      <c r="D51" t="s">
        <v>263</v>
      </c>
    </row>
    <row r="52" spans="3:4" x14ac:dyDescent="0.25">
      <c r="D52" t="s">
        <v>266</v>
      </c>
    </row>
    <row r="53" spans="3:4" x14ac:dyDescent="0.25">
      <c r="D53" t="s">
        <v>264</v>
      </c>
    </row>
    <row r="54" spans="3:4" x14ac:dyDescent="0.25">
      <c r="D54" t="s">
        <v>265</v>
      </c>
    </row>
    <row r="55" spans="3:4" x14ac:dyDescent="0.25">
      <c r="D55" t="s">
        <v>267</v>
      </c>
    </row>
    <row r="56" spans="3:4" x14ac:dyDescent="0.25">
      <c r="D56" t="s">
        <v>268</v>
      </c>
    </row>
    <row r="57" spans="3:4" x14ac:dyDescent="0.25">
      <c r="D57" t="s">
        <v>269</v>
      </c>
    </row>
    <row r="58" spans="3:4" x14ac:dyDescent="0.25">
      <c r="D58" t="s">
        <v>271</v>
      </c>
    </row>
    <row r="59" spans="3:4" x14ac:dyDescent="0.25">
      <c r="D59" t="s">
        <v>280</v>
      </c>
    </row>
    <row r="60" spans="3:4" x14ac:dyDescent="0.25">
      <c r="C60" t="s">
        <v>194</v>
      </c>
      <c r="D60" t="s">
        <v>272</v>
      </c>
    </row>
    <row r="61" spans="3:4" x14ac:dyDescent="0.25">
      <c r="D61" t="s">
        <v>270</v>
      </c>
    </row>
    <row r="62" spans="3:4" x14ac:dyDescent="0.25">
      <c r="D62" t="s">
        <v>260</v>
      </c>
    </row>
    <row r="63" spans="3:4" x14ac:dyDescent="0.25">
      <c r="D63" t="s">
        <v>273</v>
      </c>
    </row>
    <row r="64" spans="3:4" x14ac:dyDescent="0.25">
      <c r="D64" t="s">
        <v>274</v>
      </c>
    </row>
    <row r="65" spans="3:4" x14ac:dyDescent="0.25">
      <c r="D65" t="s">
        <v>275</v>
      </c>
    </row>
    <row r="66" spans="3:4" x14ac:dyDescent="0.25">
      <c r="D66" t="s">
        <v>276</v>
      </c>
    </row>
    <row r="67" spans="3:4" x14ac:dyDescent="0.25">
      <c r="C67" t="s">
        <v>189</v>
      </c>
      <c r="D67" t="s">
        <v>277</v>
      </c>
    </row>
    <row r="68" spans="3:4" x14ac:dyDescent="0.25">
      <c r="D68" t="s">
        <v>278</v>
      </c>
    </row>
    <row r="69" spans="3:4" x14ac:dyDescent="0.2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61">
        <v>1</v>
      </c>
      <c r="C2" s="64" t="s">
        <v>286</v>
      </c>
    </row>
    <row r="3" spans="2:3" x14ac:dyDescent="0.25">
      <c r="B3" s="61">
        <v>2</v>
      </c>
      <c r="C3" s="62" t="s">
        <v>287</v>
      </c>
    </row>
    <row r="4" spans="2:3" x14ac:dyDescent="0.25">
      <c r="B4" s="61">
        <v>3</v>
      </c>
      <c r="C4" s="63" t="s">
        <v>288</v>
      </c>
    </row>
    <row r="5" spans="2:3" ht="30" x14ac:dyDescent="0.25">
      <c r="B5" s="61">
        <v>4</v>
      </c>
      <c r="C5" s="62" t="s">
        <v>289</v>
      </c>
    </row>
    <row r="6" spans="2:3" x14ac:dyDescent="0.25">
      <c r="B6" s="61">
        <v>5</v>
      </c>
      <c r="C6" s="63" t="s">
        <v>290</v>
      </c>
    </row>
    <row r="7" spans="2:3" ht="30" x14ac:dyDescent="0.25">
      <c r="B7" s="61">
        <v>6</v>
      </c>
      <c r="C7" s="62" t="s">
        <v>291</v>
      </c>
    </row>
    <row r="8" spans="2:3" ht="90" x14ac:dyDescent="0.25">
      <c r="B8" s="61">
        <v>7</v>
      </c>
      <c r="C8" s="62" t="s">
        <v>292</v>
      </c>
    </row>
    <row r="9" spans="2:3" x14ac:dyDescent="0.25">
      <c r="B9" s="61">
        <v>8</v>
      </c>
      <c r="C9" s="63" t="s">
        <v>293</v>
      </c>
    </row>
    <row r="10" spans="2:3" x14ac:dyDescent="0.25">
      <c r="B10" s="61">
        <v>9</v>
      </c>
      <c r="C10" s="63" t="s">
        <v>294</v>
      </c>
    </row>
    <row r="11" spans="2:3" x14ac:dyDescent="0.25">
      <c r="B11" s="61">
        <v>10</v>
      </c>
      <c r="C11" s="63" t="s">
        <v>295</v>
      </c>
    </row>
    <row r="12" spans="2:3" x14ac:dyDescent="0.25">
      <c r="B12" s="61">
        <v>11</v>
      </c>
      <c r="C12" s="63" t="s">
        <v>296</v>
      </c>
    </row>
    <row r="13" spans="2:3" x14ac:dyDescent="0.25">
      <c r="B13" s="61">
        <v>12</v>
      </c>
      <c r="C13" s="63" t="s">
        <v>297</v>
      </c>
    </row>
    <row r="14" spans="2:3" x14ac:dyDescent="0.25">
      <c r="B14" s="61">
        <v>13</v>
      </c>
      <c r="C14" s="63" t="s">
        <v>298</v>
      </c>
    </row>
    <row r="15" spans="2:3" x14ac:dyDescent="0.25">
      <c r="B15" s="61">
        <v>14</v>
      </c>
      <c r="C15" s="63"/>
    </row>
    <row r="16" spans="2:3" x14ac:dyDescent="0.25">
      <c r="B16" s="61">
        <v>15</v>
      </c>
      <c r="C16" s="6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2025-07-10T15:31:46Z</cp:lastPrinted>
  <dcterms:created xsi:type="dcterms:W3CDTF">2019-07-16T09:29:46Z</dcterms:created>
  <dcterms:modified xsi:type="dcterms:W3CDTF">2025-07-10T15:39:07Z</dcterms:modified>
</cp:coreProperties>
</file>