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July 25\Dump\New folder\"/>
    </mc:Choice>
  </mc:AlternateContent>
  <bookViews>
    <workbookView xWindow="0" yWindow="0" windowWidth="20490" windowHeight="7755" tabRatio="725"/>
  </bookViews>
  <sheets>
    <sheet name="Report" sheetId="1" r:id="rId1"/>
    <sheet name="valuation" sheetId="5" r:id="rId2"/>
    <sheet name="Research" sheetId="4" r:id="rId3"/>
  </sheets>
  <definedNames>
    <definedName name="_xlnm.Print_Area" localSheetId="0">Report!$A$1:$H$642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 l="1"/>
  <c r="C87" i="1" l="1"/>
  <c r="D372" i="1" l="1"/>
  <c r="F372" i="1" s="1"/>
  <c r="D371" i="1"/>
  <c r="F371" i="1" s="1"/>
  <c r="D370" i="1"/>
  <c r="F370" i="1" s="1"/>
  <c r="A370" i="1"/>
  <c r="A371" i="1" s="1"/>
  <c r="A372" i="1" s="1"/>
  <c r="G369" i="1"/>
  <c r="D369" i="1"/>
  <c r="F369" i="1" s="1"/>
  <c r="D367" i="1"/>
  <c r="F367" i="1" s="1"/>
  <c r="D366" i="1"/>
  <c r="F366" i="1" s="1"/>
  <c r="D365" i="1"/>
  <c r="F365" i="1" s="1"/>
  <c r="A365" i="1"/>
  <c r="A366" i="1" s="1"/>
  <c r="A367" i="1" s="1"/>
  <c r="G364" i="1"/>
  <c r="D364" i="1"/>
  <c r="F364" i="1" s="1"/>
  <c r="D286" i="1"/>
  <c r="F286" i="1" s="1"/>
  <c r="D285" i="1"/>
  <c r="F285" i="1" s="1"/>
  <c r="D284" i="1"/>
  <c r="F284" i="1" s="1"/>
  <c r="A284" i="1"/>
  <c r="A285" i="1" s="1"/>
  <c r="A286" i="1" s="1"/>
  <c r="G283" i="1"/>
  <c r="D283" i="1"/>
  <c r="F283" i="1" s="1"/>
  <c r="D281" i="1"/>
  <c r="F281" i="1" s="1"/>
  <c r="D280" i="1"/>
  <c r="F280" i="1" s="1"/>
  <c r="D279" i="1"/>
  <c r="F279" i="1" s="1"/>
  <c r="A279" i="1"/>
  <c r="A280" i="1" s="1"/>
  <c r="A281" i="1" s="1"/>
  <c r="I278" i="1"/>
  <c r="G278" i="1"/>
  <c r="D278" i="1"/>
  <c r="F278" i="1" s="1"/>
  <c r="G52" i="1"/>
  <c r="C52" i="1"/>
  <c r="C15" i="1" l="1"/>
  <c r="D290" i="1"/>
  <c r="F290" i="1" s="1"/>
  <c r="G288" i="1"/>
  <c r="A289" i="1"/>
  <c r="A290" i="1" s="1"/>
  <c r="A291" i="1" s="1"/>
  <c r="J103" i="1" l="1"/>
  <c r="E261" i="1" l="1"/>
  <c r="D261" i="1"/>
  <c r="E260" i="1"/>
  <c r="D260" i="1"/>
  <c r="E259" i="1"/>
  <c r="D259" i="1"/>
  <c r="E258" i="1"/>
  <c r="D258" i="1"/>
  <c r="E257" i="1"/>
  <c r="D257" i="1"/>
  <c r="E256" i="1"/>
  <c r="D256" i="1"/>
  <c r="E255" i="1"/>
  <c r="D255" i="1"/>
  <c r="E254" i="1"/>
  <c r="D254" i="1"/>
  <c r="E253" i="1"/>
  <c r="D253" i="1"/>
  <c r="E252" i="1"/>
  <c r="D252" i="1"/>
  <c r="D251" i="1"/>
  <c r="F251" i="1" s="1"/>
  <c r="E250" i="1"/>
  <c r="D250" i="1"/>
  <c r="E249" i="1"/>
  <c r="D249" i="1"/>
  <c r="E248" i="1"/>
  <c r="D248" i="1"/>
  <c r="E247" i="1"/>
  <c r="D247" i="1"/>
  <c r="D246" i="1"/>
  <c r="F246" i="1" s="1"/>
  <c r="E245" i="1"/>
  <c r="D245" i="1"/>
  <c r="E244" i="1"/>
  <c r="D244" i="1"/>
  <c r="F244" i="1" s="1"/>
  <c r="E243" i="1"/>
  <c r="D243" i="1"/>
  <c r="E242" i="1"/>
  <c r="D242" i="1"/>
  <c r="E241" i="1"/>
  <c r="D241" i="1"/>
  <c r="E240" i="1"/>
  <c r="D240" i="1"/>
  <c r="E239" i="1"/>
  <c r="D239" i="1"/>
  <c r="D238" i="1"/>
  <c r="F238" i="1" s="1"/>
  <c r="D237" i="1"/>
  <c r="F237" i="1" s="1"/>
  <c r="E236" i="1"/>
  <c r="D236" i="1"/>
  <c r="E235" i="1"/>
  <c r="D235" i="1"/>
  <c r="E234" i="1"/>
  <c r="D234" i="1"/>
  <c r="E233" i="1"/>
  <c r="D233" i="1"/>
  <c r="D232" i="1"/>
  <c r="F232" i="1" s="1"/>
  <c r="D231" i="1"/>
  <c r="F231" i="1" s="1"/>
  <c r="E230" i="1"/>
  <c r="D230" i="1"/>
  <c r="E229" i="1"/>
  <c r="D229" i="1"/>
  <c r="E228" i="1"/>
  <c r="D228" i="1"/>
  <c r="E227" i="1"/>
  <c r="D227" i="1"/>
  <c r="E226" i="1"/>
  <c r="D226" i="1"/>
  <c r="E225" i="1"/>
  <c r="D225" i="1"/>
  <c r="E224" i="1"/>
  <c r="D224" i="1"/>
  <c r="E223" i="1"/>
  <c r="D223" i="1"/>
  <c r="E222" i="1"/>
  <c r="D222" i="1"/>
  <c r="E221" i="1"/>
  <c r="D221" i="1"/>
  <c r="D220" i="1"/>
  <c r="E220" i="1"/>
  <c r="E219" i="1"/>
  <c r="F219" i="1" s="1"/>
  <c r="E218" i="1"/>
  <c r="F218" i="1" s="1"/>
  <c r="E216" i="1"/>
  <c r="D216" i="1"/>
  <c r="E215" i="1"/>
  <c r="D215" i="1"/>
  <c r="E214" i="1"/>
  <c r="D214" i="1"/>
  <c r="E213" i="1"/>
  <c r="D213" i="1"/>
  <c r="E212" i="1"/>
  <c r="D212" i="1"/>
  <c r="E211" i="1"/>
  <c r="D211" i="1"/>
  <c r="E210" i="1"/>
  <c r="D210" i="1"/>
  <c r="E209" i="1"/>
  <c r="D209" i="1"/>
  <c r="E208" i="1"/>
  <c r="D208" i="1"/>
  <c r="E207" i="1"/>
  <c r="D207" i="1"/>
  <c r="D206" i="1"/>
  <c r="F206" i="1" s="1"/>
  <c r="E205" i="1"/>
  <c r="D205" i="1"/>
  <c r="E204" i="1"/>
  <c r="D204" i="1"/>
  <c r="E203" i="1"/>
  <c r="D203" i="1"/>
  <c r="E202" i="1"/>
  <c r="D202" i="1"/>
  <c r="D201" i="1"/>
  <c r="F201" i="1" s="1"/>
  <c r="E200" i="1"/>
  <c r="D200" i="1"/>
  <c r="E199" i="1"/>
  <c r="D199" i="1"/>
  <c r="E198" i="1"/>
  <c r="D198" i="1"/>
  <c r="E197" i="1"/>
  <c r="D197" i="1"/>
  <c r="E196" i="1"/>
  <c r="D196" i="1"/>
  <c r="E195" i="1"/>
  <c r="D195" i="1"/>
  <c r="E194" i="1"/>
  <c r="D194" i="1"/>
  <c r="D193" i="1"/>
  <c r="F193" i="1" s="1"/>
  <c r="D192" i="1"/>
  <c r="F192" i="1" s="1"/>
  <c r="E191" i="1"/>
  <c r="D191" i="1"/>
  <c r="E190" i="1"/>
  <c r="D190" i="1"/>
  <c r="E189" i="1"/>
  <c r="D189" i="1"/>
  <c r="E188" i="1"/>
  <c r="D188" i="1"/>
  <c r="D187" i="1"/>
  <c r="F187" i="1" s="1"/>
  <c r="D186" i="1"/>
  <c r="F186" i="1" s="1"/>
  <c r="E185" i="1"/>
  <c r="D185" i="1"/>
  <c r="E184" i="1"/>
  <c r="D184" i="1"/>
  <c r="E183" i="1"/>
  <c r="D183" i="1"/>
  <c r="F183" i="1" s="1"/>
  <c r="E182" i="1"/>
  <c r="D182" i="1"/>
  <c r="E181" i="1"/>
  <c r="D181" i="1"/>
  <c r="E180" i="1"/>
  <c r="D180" i="1"/>
  <c r="E179" i="1"/>
  <c r="D179" i="1"/>
  <c r="E178" i="1"/>
  <c r="D178" i="1"/>
  <c r="E177" i="1"/>
  <c r="D177" i="1"/>
  <c r="E176" i="1"/>
  <c r="D176" i="1"/>
  <c r="E175" i="1"/>
  <c r="E174" i="1"/>
  <c r="F174" i="1" s="1"/>
  <c r="E173" i="1"/>
  <c r="F173" i="1" s="1"/>
  <c r="D171" i="1"/>
  <c r="F171" i="1" s="1"/>
  <c r="D170" i="1"/>
  <c r="F170" i="1" s="1"/>
  <c r="E169" i="1"/>
  <c r="D169" i="1"/>
  <c r="E168" i="1"/>
  <c r="D168" i="1"/>
  <c r="E167" i="1"/>
  <c r="D167" i="1"/>
  <c r="E166" i="1"/>
  <c r="D166" i="1"/>
  <c r="E165" i="1"/>
  <c r="D165" i="1"/>
  <c r="E164" i="1"/>
  <c r="D164" i="1"/>
  <c r="E163" i="1"/>
  <c r="D163" i="1"/>
  <c r="E162" i="1"/>
  <c r="D162" i="1"/>
  <c r="E161" i="1"/>
  <c r="D161" i="1"/>
  <c r="E160" i="1"/>
  <c r="D160" i="1"/>
  <c r="E159" i="1"/>
  <c r="D159" i="1"/>
  <c r="E158" i="1"/>
  <c r="D158" i="1"/>
  <c r="E157" i="1"/>
  <c r="D157" i="1"/>
  <c r="E156" i="1"/>
  <c r="D156" i="1"/>
  <c r="E155" i="1"/>
  <c r="D155" i="1"/>
  <c r="E154" i="1"/>
  <c r="D154" i="1"/>
  <c r="E153" i="1"/>
  <c r="D153" i="1"/>
  <c r="E152" i="1"/>
  <c r="D152" i="1"/>
  <c r="E151" i="1"/>
  <c r="D151" i="1"/>
  <c r="E150" i="1"/>
  <c r="D150" i="1"/>
  <c r="E149" i="1"/>
  <c r="D149" i="1"/>
  <c r="E148" i="1"/>
  <c r="D148" i="1"/>
  <c r="E147" i="1"/>
  <c r="D147" i="1"/>
  <c r="E146" i="1"/>
  <c r="D146" i="1"/>
  <c r="E145" i="1"/>
  <c r="D145" i="1"/>
  <c r="E144" i="1"/>
  <c r="D144" i="1"/>
  <c r="E143" i="1"/>
  <c r="D143" i="1"/>
  <c r="E142" i="1"/>
  <c r="D142" i="1"/>
  <c r="E141" i="1"/>
  <c r="D141" i="1"/>
  <c r="E140" i="1"/>
  <c r="D140" i="1"/>
  <c r="E139" i="1"/>
  <c r="D139" i="1"/>
  <c r="E138" i="1"/>
  <c r="D138" i="1"/>
  <c r="E137" i="1"/>
  <c r="D137" i="1"/>
  <c r="E136" i="1"/>
  <c r="E135" i="1"/>
  <c r="E134" i="1"/>
  <c r="A219" i="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G218" i="1"/>
  <c r="D338" i="1"/>
  <c r="F338" i="1" s="1"/>
  <c r="D337" i="1"/>
  <c r="F337" i="1" s="1"/>
  <c r="D336" i="1"/>
  <c r="F336" i="1" s="1"/>
  <c r="D335" i="1"/>
  <c r="F335" i="1" s="1"/>
  <c r="D333" i="1"/>
  <c r="F333" i="1" s="1"/>
  <c r="D332" i="1"/>
  <c r="F332" i="1" s="1"/>
  <c r="D331" i="1"/>
  <c r="F331" i="1" s="1"/>
  <c r="D330" i="1"/>
  <c r="D326" i="1"/>
  <c r="F326" i="1" s="1"/>
  <c r="D325" i="1"/>
  <c r="F325" i="1" s="1"/>
  <c r="D324" i="1"/>
  <c r="F324" i="1" s="1"/>
  <c r="D323" i="1"/>
  <c r="F323" i="1" s="1"/>
  <c r="D321" i="1"/>
  <c r="F321" i="1" s="1"/>
  <c r="D320" i="1"/>
  <c r="F320" i="1" s="1"/>
  <c r="D319" i="1"/>
  <c r="F319" i="1" s="1"/>
  <c r="D318" i="1"/>
  <c r="F318" i="1" s="1"/>
  <c r="D316" i="1"/>
  <c r="F316" i="1" s="1"/>
  <c r="D315" i="1"/>
  <c r="F315" i="1" s="1"/>
  <c r="D314" i="1"/>
  <c r="F314" i="1" s="1"/>
  <c r="D312" i="1"/>
  <c r="F312" i="1" s="1"/>
  <c r="D311" i="1"/>
  <c r="F311" i="1" s="1"/>
  <c r="D310" i="1"/>
  <c r="F310" i="1" s="1"/>
  <c r="D307" i="1"/>
  <c r="F307" i="1" s="1"/>
  <c r="D306" i="1"/>
  <c r="F306" i="1" s="1"/>
  <c r="D305" i="1"/>
  <c r="F305" i="1" s="1"/>
  <c r="D303" i="1"/>
  <c r="F303" i="1" s="1"/>
  <c r="D302" i="1"/>
  <c r="F302" i="1" s="1"/>
  <c r="D301" i="1"/>
  <c r="F301" i="1" s="1"/>
  <c r="D298" i="1"/>
  <c r="F298" i="1" s="1"/>
  <c r="D297" i="1"/>
  <c r="F297" i="1" s="1"/>
  <c r="D296" i="1"/>
  <c r="F296" i="1" s="1"/>
  <c r="D295" i="1"/>
  <c r="F295" i="1" s="1"/>
  <c r="D276" i="1"/>
  <c r="D275" i="1"/>
  <c r="D274" i="1"/>
  <c r="D273" i="1"/>
  <c r="D271" i="1"/>
  <c r="D270" i="1"/>
  <c r="D269" i="1"/>
  <c r="D268" i="1"/>
  <c r="F175" i="1"/>
  <c r="A174" i="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G173" i="1"/>
  <c r="I135" i="1"/>
  <c r="G134" i="1"/>
  <c r="A324" i="1"/>
  <c r="A325" i="1" s="1"/>
  <c r="A326" i="1" s="1"/>
  <c r="G323" i="1"/>
  <c r="A319" i="1"/>
  <c r="A320" i="1" s="1"/>
  <c r="A321" i="1" s="1"/>
  <c r="G318" i="1"/>
  <c r="A316" i="1"/>
  <c r="G314" i="1"/>
  <c r="A310" i="1"/>
  <c r="A311" i="1" s="1"/>
  <c r="A312" i="1" s="1"/>
  <c r="G309" i="1"/>
  <c r="A307" i="1"/>
  <c r="G305" i="1"/>
  <c r="A301" i="1"/>
  <c r="A302" i="1" s="1"/>
  <c r="A303" i="1" s="1"/>
  <c r="G300" i="1"/>
  <c r="A296" i="1"/>
  <c r="A297" i="1" s="1"/>
  <c r="A298" i="1" s="1"/>
  <c r="G295" i="1"/>
  <c r="A336" i="1"/>
  <c r="A337" i="1" s="1"/>
  <c r="A338" i="1" s="1"/>
  <c r="G335" i="1"/>
  <c r="A331" i="1"/>
  <c r="A332" i="1" s="1"/>
  <c r="A333" i="1" s="1"/>
  <c r="G330" i="1"/>
  <c r="F178" i="1" l="1"/>
  <c r="F182" i="1"/>
  <c r="F196" i="1"/>
  <c r="F200" i="1"/>
  <c r="F209" i="1"/>
  <c r="F213" i="1"/>
  <c r="F223" i="1"/>
  <c r="F227" i="1"/>
  <c r="F236" i="1"/>
  <c r="F241" i="1"/>
  <c r="F245" i="1"/>
  <c r="F197" i="1"/>
  <c r="F254" i="1"/>
  <c r="F141" i="1"/>
  <c r="F221" i="1"/>
  <c r="F258" i="1"/>
  <c r="F176" i="1"/>
  <c r="F180" i="1"/>
  <c r="F189" i="1"/>
  <c r="F194" i="1"/>
  <c r="F198" i="1"/>
  <c r="F207" i="1"/>
  <c r="F211" i="1"/>
  <c r="F215" i="1"/>
  <c r="F225" i="1"/>
  <c r="F229" i="1"/>
  <c r="F234" i="1"/>
  <c r="F239" i="1"/>
  <c r="F243" i="1"/>
  <c r="F252" i="1"/>
  <c r="F256" i="1"/>
  <c r="F149" i="1"/>
  <c r="F153" i="1"/>
  <c r="F157" i="1"/>
  <c r="F161" i="1"/>
  <c r="F165" i="1"/>
  <c r="F169" i="1"/>
  <c r="F216" i="1"/>
  <c r="F222" i="1"/>
  <c r="F230" i="1"/>
  <c r="F260" i="1"/>
  <c r="F261" i="1"/>
  <c r="F138" i="1"/>
  <c r="F205" i="1"/>
  <c r="F181" i="1"/>
  <c r="F185" i="1"/>
  <c r="F190" i="1"/>
  <c r="F195" i="1"/>
  <c r="F199" i="1"/>
  <c r="F203" i="1"/>
  <c r="F208" i="1"/>
  <c r="F212" i="1"/>
  <c r="F226" i="1"/>
  <c r="F235" i="1"/>
  <c r="F240" i="1"/>
  <c r="F253" i="1"/>
  <c r="F257" i="1"/>
  <c r="F139" i="1"/>
  <c r="F143" i="1"/>
  <c r="F155" i="1"/>
  <c r="F163" i="1"/>
  <c r="F167" i="1"/>
  <c r="F179" i="1"/>
  <c r="F188" i="1"/>
  <c r="F214" i="1"/>
  <c r="F220" i="1"/>
  <c r="F224" i="1"/>
  <c r="F228" i="1"/>
  <c r="F233" i="1"/>
  <c r="F242" i="1"/>
  <c r="F250" i="1"/>
  <c r="F255" i="1"/>
  <c r="F259" i="1"/>
  <c r="E122" i="1"/>
  <c r="C122" i="1"/>
  <c r="F330" i="1"/>
  <c r="C124" i="1"/>
  <c r="E124" i="1"/>
  <c r="F248" i="1"/>
  <c r="E118" i="1"/>
  <c r="E119" i="1" s="1"/>
  <c r="C118" i="1"/>
  <c r="C119" i="1" s="1"/>
  <c r="F177" i="1"/>
  <c r="F140" i="1"/>
  <c r="F142" i="1"/>
  <c r="F144" i="1"/>
  <c r="F146" i="1"/>
  <c r="F150" i="1"/>
  <c r="F152" i="1"/>
  <c r="F156" i="1"/>
  <c r="F158" i="1"/>
  <c r="F160" i="1"/>
  <c r="F164" i="1"/>
  <c r="F166" i="1"/>
  <c r="F168" i="1"/>
  <c r="F202" i="1"/>
  <c r="F204" i="1"/>
  <c r="F247" i="1"/>
  <c r="F249" i="1"/>
  <c r="G123" i="1"/>
  <c r="G124" i="1"/>
  <c r="E123" i="1"/>
  <c r="C123" i="1"/>
  <c r="F210" i="1"/>
  <c r="F191" i="1"/>
  <c r="F184" i="1"/>
  <c r="F148" i="1"/>
  <c r="F151" i="1"/>
  <c r="F154" i="1"/>
  <c r="F162" i="1"/>
  <c r="F145" i="1"/>
  <c r="F159" i="1"/>
  <c r="F147" i="1"/>
  <c r="F276" i="1"/>
  <c r="F275" i="1"/>
  <c r="F274" i="1"/>
  <c r="A274" i="1"/>
  <c r="A275" i="1" s="1"/>
  <c r="A276" i="1" s="1"/>
  <c r="G273" i="1"/>
  <c r="F273" i="1"/>
  <c r="I268" i="1"/>
  <c r="C125" i="1" l="1"/>
  <c r="E125" i="1"/>
  <c r="Z12" i="1"/>
  <c r="I14" i="1"/>
  <c r="F268" i="1" l="1"/>
  <c r="F134" i="1"/>
  <c r="E126" i="1" l="1"/>
  <c r="C126" i="1"/>
  <c r="E43" i="1" l="1"/>
  <c r="E44" i="1" s="1"/>
  <c r="E30" i="1" l="1"/>
  <c r="F269" i="1" l="1"/>
  <c r="F270" i="1"/>
  <c r="F271" i="1"/>
  <c r="A269" i="1"/>
  <c r="A270" i="1" s="1"/>
  <c r="A271" i="1" s="1"/>
  <c r="G268" i="1"/>
  <c r="G122" i="1" l="1"/>
  <c r="G125" i="1" s="1"/>
  <c r="F115" i="1"/>
  <c r="F135" i="1" l="1"/>
  <c r="F136" i="1"/>
  <c r="F137" i="1"/>
  <c r="G118" i="1" l="1"/>
  <c r="G119" i="1" s="1"/>
  <c r="G126" i="1" s="1"/>
  <c r="B375" i="1"/>
  <c r="A346" i="1"/>
  <c r="A352" i="1"/>
  <c r="A358" i="1"/>
  <c r="F362" i="1" l="1"/>
  <c r="F361" i="1"/>
  <c r="F360" i="1"/>
  <c r="F359" i="1"/>
  <c r="F358" i="1"/>
  <c r="F356" i="1"/>
  <c r="F355" i="1"/>
  <c r="F354" i="1"/>
  <c r="F353" i="1"/>
  <c r="F352" i="1"/>
  <c r="F350" i="1"/>
  <c r="F349" i="1"/>
  <c r="F348" i="1"/>
  <c r="F347" i="1"/>
  <c r="F346" i="1"/>
  <c r="F344" i="1"/>
  <c r="F343" i="1"/>
  <c r="F341" i="1"/>
  <c r="F340" i="1"/>
  <c r="F342" i="1"/>
  <c r="A359" i="1"/>
  <c r="A347" i="1"/>
  <c r="A353" i="1"/>
  <c r="B376" i="1" l="1"/>
  <c r="A348" i="1"/>
  <c r="A360" i="1"/>
  <c r="A354" i="1"/>
  <c r="F11" i="5" l="1"/>
  <c r="G11" i="5" s="1"/>
  <c r="F10" i="5"/>
  <c r="G10" i="5" s="1"/>
  <c r="F9" i="5"/>
  <c r="G9" i="5" s="1"/>
  <c r="F8" i="5"/>
  <c r="G8" i="5" s="1"/>
  <c r="F7" i="5"/>
  <c r="G7" i="5" s="1"/>
  <c r="F6" i="5"/>
  <c r="G6" i="5" s="1"/>
  <c r="F5" i="5"/>
  <c r="G5" i="5" s="1"/>
  <c r="G12" i="5" s="1"/>
  <c r="D403" i="1"/>
  <c r="G358" i="1"/>
  <c r="G359" i="1" s="1"/>
  <c r="G360" i="1" s="1"/>
  <c r="G361" i="1" s="1"/>
  <c r="G362" i="1" s="1"/>
  <c r="G352" i="1"/>
  <c r="G353" i="1" s="1"/>
  <c r="G354" i="1" s="1"/>
  <c r="G355" i="1" s="1"/>
  <c r="G356" i="1" s="1"/>
  <c r="G346" i="1"/>
  <c r="G347" i="1" s="1"/>
  <c r="G348" i="1" s="1"/>
  <c r="G349" i="1" s="1"/>
  <c r="G350" i="1" s="1"/>
  <c r="G340" i="1"/>
  <c r="G341" i="1" s="1"/>
  <c r="G342" i="1" s="1"/>
  <c r="G343" i="1" s="1"/>
  <c r="G344" i="1" s="1"/>
  <c r="A340" i="1"/>
  <c r="A341" i="1" s="1"/>
  <c r="A342" i="1" s="1"/>
  <c r="A343" i="1" s="1"/>
  <c r="A344" i="1" s="1"/>
  <c r="A135" i="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B88" i="1"/>
  <c r="C73" i="1"/>
  <c r="B74" i="1" s="1"/>
  <c r="D61" i="1"/>
  <c r="G50" i="1"/>
  <c r="C50" i="1"/>
  <c r="E27" i="1"/>
  <c r="E25" i="1"/>
  <c r="E3" i="1"/>
  <c r="A355" i="1"/>
  <c r="A349" i="1"/>
  <c r="A361" i="1"/>
  <c r="D67" i="1" l="1"/>
  <c r="A356" i="1"/>
  <c r="H88" i="1"/>
  <c r="H74" i="1"/>
  <c r="A362" i="1"/>
  <c r="A350" i="1"/>
  <c r="J92" i="1" l="1"/>
  <c r="C91" i="1" s="1"/>
  <c r="D91" i="1" s="1"/>
  <c r="J90" i="1"/>
  <c r="J93" i="1"/>
  <c r="J94" i="1" s="1"/>
  <c r="J99" i="1" s="1"/>
  <c r="J87" i="1"/>
  <c r="J89" i="1" s="1"/>
  <c r="D95" i="1"/>
  <c r="D97" i="1"/>
  <c r="D100" i="1"/>
  <c r="D94" i="1"/>
  <c r="D98" i="1"/>
  <c r="D99" i="1"/>
  <c r="D96" i="1"/>
  <c r="J91" i="1"/>
  <c r="D86" i="1"/>
  <c r="D84" i="1"/>
  <c r="D83" i="1"/>
  <c r="D80" i="1"/>
  <c r="D82" i="1"/>
  <c r="J79" i="1"/>
  <c r="J80" i="1" s="1"/>
  <c r="J85" i="1" s="1"/>
  <c r="D85" i="1"/>
  <c r="J73" i="1"/>
  <c r="J75" i="1" s="1"/>
  <c r="D81" i="1"/>
  <c r="J77" i="1"/>
  <c r="J78" i="1"/>
  <c r="C77" i="1" s="1"/>
  <c r="D77" i="1" s="1"/>
  <c r="J76" i="1"/>
  <c r="J95" i="1"/>
  <c r="J96" i="1" s="1"/>
  <c r="J97" i="1" s="1"/>
  <c r="J98" i="1" s="1"/>
  <c r="J81" i="1"/>
  <c r="J82" i="1" s="1"/>
  <c r="J83" i="1" s="1"/>
  <c r="J84" i="1" s="1"/>
  <c r="D93" i="1"/>
  <c r="D79" i="1"/>
  <c r="J86" i="1" l="1"/>
  <c r="C78" i="1" s="1"/>
  <c r="G77" i="1" s="1"/>
  <c r="D71" i="1" s="1"/>
  <c r="D72" i="1" s="1"/>
  <c r="J100" i="1"/>
  <c r="J101" i="1" s="1"/>
  <c r="C92" i="1" l="1"/>
  <c r="E91" i="1" s="1"/>
  <c r="C101" i="1" s="1"/>
  <c r="J74" i="1"/>
  <c r="D78" i="1"/>
  <c r="I74" i="1" s="1"/>
  <c r="I75" i="1" s="1"/>
  <c r="E77" i="1"/>
  <c r="F72" i="1"/>
  <c r="D92" i="1" l="1"/>
  <c r="I88" i="1" s="1"/>
  <c r="I89" i="1" s="1"/>
  <c r="J88" i="1"/>
  <c r="G91" i="1"/>
  <c r="G101" i="1" s="1"/>
  <c r="I73" i="1"/>
  <c r="C75" i="1" s="1"/>
  <c r="I87" i="1" l="1"/>
</calcChain>
</file>

<file path=xl/comments1.xml><?xml version="1.0" encoding="utf-8"?>
<comments xmlns="http://schemas.openxmlformats.org/spreadsheetml/2006/main">
  <authors>
    <author>Sachin</author>
  </authors>
  <commentList>
    <comment ref="E11" authorId="0" shapeId="0">
      <text>
        <r>
          <rPr>
            <b/>
            <sz val="9"/>
            <color indexed="81"/>
            <rFont val="Tahoma"/>
            <family val="2"/>
          </rPr>
          <t>Sachin:</t>
        </r>
        <r>
          <rPr>
            <sz val="9"/>
            <color indexed="81"/>
            <rFont val="Tahoma"/>
            <family val="2"/>
          </rPr>
          <t xml:space="preserve">
Building No. 
Tower No.
Wing 
Bunglow No., etc</t>
        </r>
      </text>
    </comment>
    <comment ref="E12" authorId="0" shapeId="0">
      <text>
        <r>
          <rPr>
            <b/>
            <sz val="9"/>
            <color indexed="81"/>
            <rFont val="Tahoma"/>
            <family val="2"/>
          </rPr>
          <t>Sachin:</t>
        </r>
        <r>
          <rPr>
            <sz val="9"/>
            <color indexed="81"/>
            <rFont val="Tahoma"/>
            <family val="2"/>
          </rPr>
          <t xml:space="preserve">
If exisiting Building is provided write it or else
NA</t>
        </r>
      </text>
    </comment>
    <comment ref="D61"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List>
</comments>
</file>

<file path=xl/sharedStrings.xml><?xml version="1.0" encoding="utf-8"?>
<sst xmlns="http://schemas.openxmlformats.org/spreadsheetml/2006/main" count="672" uniqueCount="330">
  <si>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</si>
  <si>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</si>
  <si>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</si>
  <si>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</si>
  <si>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</si>
  <si>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</si>
  <si>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</si>
  <si>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</si>
  <si>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</si>
  <si>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</si>
  <si>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</si>
  <si>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</si>
  <si>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</si>
  <si>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</si>
  <si>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</si>
  <si>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</si>
  <si>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</si>
  <si>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</si>
  <si>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</si>
  <si>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</si>
  <si>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</si>
  <si>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</si>
  <si>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</si>
  <si>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</si>
  <si>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</si>
  <si>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</si>
  <si>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</si>
  <si>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</si>
  <si>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</si>
  <si>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</si>
  <si>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</si>
  <si>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</si>
  <si>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</si>
  <si>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</si>
  <si>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</si>
  <si>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</si>
  <si>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</si>
  <si>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</si>
  <si>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</si>
  <si>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</si>
  <si>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</si>
  <si>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</si>
  <si>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</si>
  <si>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</si>
  <si>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</si>
  <si>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</si>
  <si>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</si>
  <si>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</si>
  <si>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</si>
  <si>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</si>
  <si>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</si>
  <si>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</si>
  <si>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</si>
  <si>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</si>
  <si>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</si>
  <si>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</si>
  <si>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</si>
  <si>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</si>
  <si>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</si>
  <si>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</si>
  <si>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</si>
  <si>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</si>
  <si>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</si>
  <si>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</si>
  <si>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</si>
  <si>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</si>
  <si>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</si>
  <si>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</si>
  <si>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</si>
  <si>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</si>
  <si>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</si>
  <si>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</si>
  <si>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</si>
  <si>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</si>
  <si>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</si>
  <si>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</si>
  <si>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</si>
  <si>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</si>
  <si>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</si>
  <si>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</si>
  <si>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</si>
  <si>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</si>
  <si>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</si>
  <si>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</si>
  <si>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</si>
  <si>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</si>
  <si>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</si>
  <si>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</si>
  <si>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</si>
  <si>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</si>
  <si>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</si>
  <si>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</si>
  <si>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</si>
  <si>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</si>
  <si>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</si>
  <si>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</si>
  <si>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</si>
  <si>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</si>
  <si>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</si>
  <si>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</si>
  <si>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</si>
  <si>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</si>
  <si>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</si>
  <si>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</si>
  <si>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</si>
  <si>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</si>
  <si>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</si>
  <si>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</si>
  <si>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</si>
  <si>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</si>
  <si>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</si>
  <si>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</si>
  <si>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</si>
  <si>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</si>
  <si>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</si>
  <si>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</si>
  <si>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</si>
  <si>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</si>
  <si>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</si>
  <si>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</si>
  <si>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</si>
  <si>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</si>
  <si>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</si>
  <si>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</si>
  <si>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</si>
  <si>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</si>
  <si>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</si>
  <si>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</si>
  <si>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</si>
  <si>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</si>
  <si>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</si>
  <si>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</si>
  <si>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</si>
  <si>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</si>
  <si>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</si>
  <si>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</si>
  <si>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</si>
  <si>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</si>
  <si>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</si>
  <si>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</si>
  <si>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</si>
  <si>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</si>
  <si>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</si>
  <si>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</si>
  <si>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</si>
  <si>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</si>
  <si>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</si>
  <si>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</si>
  <si>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</si>
  <si>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</si>
  <si>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</si>
  <si>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</si>
  <si>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</si>
  <si>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</si>
  <si>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</si>
  <si>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</si>
  <si>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</si>
  <si>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</si>
  <si>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</si>
  <si>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</si>
  <si>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</si>
  <si>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</si>
  <si>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</si>
  <si>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</si>
  <si>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Legal Charges</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</si>
  <si>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</si>
  <si>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</si>
  <si>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</si>
  <si>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</si>
  <si>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</si>
  <si>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</si>
  <si>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</si>
  <si>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</si>
  <si>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</si>
  <si>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</si>
  <si>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</si>
  <si>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</si>
  <si>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</si>
  <si>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</si>
  <si>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</si>
  <si>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</si>
  <si>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</si>
  <si>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</si>
  <si>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</si>
  <si>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</si>
  <si>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</si>
  <si>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</si>
  <si>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</si>
  <si>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</si>
  <si>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</si>
  <si>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</si>
  <si>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</si>
  <si>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</si>
  <si>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</si>
  <si>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</si>
  <si>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</si>
  <si>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</si>
  <si>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</si>
  <si>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</si>
  <si>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</si>
  <si>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</si>
  <si>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</si>
  <si>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</si>
  <si>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</si>
  <si>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</si>
  <si>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</si>
  <si>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</si>
  <si>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</si>
  <si>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</si>
  <si>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</si>
  <si>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</si>
  <si>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</si>
  <si>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</si>
  <si>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</si>
  <si>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</si>
  <si>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</si>
  <si>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</si>
  <si>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</si>
  <si>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</si>
  <si>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</si>
  <si>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</si>
  <si>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</si>
  <si>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</si>
  <si>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</si>
  <si>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</si>
  <si>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</si>
  <si>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</si>
  <si>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</si>
  <si>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</si>
  <si>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</si>
  <si>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</si>
  <si>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</si>
  <si>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</si>
  <si>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</si>
  <si>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</si>
  <si>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</si>
  <si>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K. R. Shoppers Private Limited</t>
  </si>
  <si>
    <t>Ms.Forum Gala : 9870660651 
Ms. Priti : 96193200510</t>
  </si>
  <si>
    <t>https://goo.gl/maps/ThggjVVp4HMThyeL9</t>
  </si>
  <si>
    <t>19.1647713,72.8477483</t>
  </si>
  <si>
    <t>0.45 KM from Goregaon  Railway Station</t>
  </si>
  <si>
    <t>Gaoregaon (West)</t>
  </si>
  <si>
    <t>Pahadi Goregaon</t>
  </si>
  <si>
    <t>Station Road</t>
  </si>
  <si>
    <t>Kakaji Nagar</t>
  </si>
  <si>
    <t>Baps Swaminarayan Mandir, Goregaon</t>
  </si>
  <si>
    <t>Internal Road</t>
  </si>
  <si>
    <t>Commercial Shops</t>
  </si>
  <si>
    <t>Baps Swaminarayan Mandir</t>
  </si>
  <si>
    <t>6.10M Wide Road</t>
  </si>
  <si>
    <t>Other Plot</t>
  </si>
  <si>
    <t>13.4M Wide Station Road</t>
  </si>
  <si>
    <t xml:space="preserve">Municipal Corporation of Greater Mumbai
</t>
  </si>
  <si>
    <t>CHE/9587/BP(WS)/AP</t>
  </si>
  <si>
    <t>CHE/9587/BP(WS)/AP/FCC/5/Amend</t>
  </si>
  <si>
    <t>This C.C is now extend CC for Wing ‘A’ – Basement (for parking) + Gr. + 1st &amp; 2nd (for shops) + 3rd and 4th podium floors (for parking) + 5th to 10th upper residential floor (by restricted for Wing ‘A’ of Flat No. 2 &amp; 3 on 10th upper floor), Wing’C’ – Basement(for parking) + Gr. + 1st &amp; 2nd (for shops) + 3rd and 4th podium floors (for parking) + 5th to 10th upper residential floor and Wing ‘B’ – Basement + Ground + 1st + 2nd + 3rd to 4th Podium + 5th to 21st upper floors as per approved amended plan dated 31.12.2021.</t>
  </si>
  <si>
    <t>Wing A, B &amp; C</t>
  </si>
  <si>
    <t>Kenorita Jewels</t>
  </si>
  <si>
    <t>Phase II = Wing A &amp; C = P51800046547
Wing B = P51800013176</t>
  </si>
  <si>
    <t>Godavari, Krishna, Kaveri, Bhima (Buildings nos. 1,2,3 &amp; 4)</t>
  </si>
  <si>
    <t>793, 793/1 to 11, 794, 794/1 to 9, 795, 796, 796/1 to 25 &amp; 819 &amp; Redevelopment of Buildings "Godavari, Krishna, Kaveri, Bhima (Buildings nos. 1,2,3 &amp; 4)"</t>
  </si>
  <si>
    <t>03 Wings</t>
  </si>
  <si>
    <t xml:space="preserve">Part O. Certificate No.: </t>
  </si>
  <si>
    <t>CHE/9587/BP(WS)/AP
Approved upto : Wing B = 1B + 4th Podium Floor + 5th to 21st Floor</t>
  </si>
  <si>
    <t>As per RERA - Wing A &amp; C = 31/12/2025
Wing B = Completed</t>
  </si>
  <si>
    <r>
      <t xml:space="preserve">Proposed Amenities :                                                                                                                                                                                                                         </t>
    </r>
    <r>
      <rPr>
        <b/>
        <sz val="12"/>
        <rFont val="Times New Roman"/>
        <family val="1"/>
      </rPr>
      <t xml:space="preserve">                                               </t>
    </r>
  </si>
  <si>
    <t>Wing A</t>
  </si>
  <si>
    <t>1BHK</t>
  </si>
  <si>
    <t>2BHK</t>
  </si>
  <si>
    <t>MP Room</t>
  </si>
  <si>
    <t>Wing C</t>
  </si>
  <si>
    <t>Wing B</t>
  </si>
  <si>
    <t>5th, 6th, 8th, 9th, 11th to 13th &amp; 16th to 18th Floor for Residential</t>
  </si>
  <si>
    <t>7th Floor (Part Refuge Area)</t>
  </si>
  <si>
    <t>Refuge Area</t>
  </si>
  <si>
    <t>10th Floor</t>
  </si>
  <si>
    <t>1 &amp; 2</t>
  </si>
  <si>
    <t>14th Floor (Part Refuge Area)</t>
  </si>
  <si>
    <t>15th Floor</t>
  </si>
  <si>
    <t>19th Floor</t>
  </si>
  <si>
    <t>20th &amp; 21st Floor</t>
  </si>
  <si>
    <t>We considered Gross carpet area = Net carpet.</t>
  </si>
  <si>
    <t>Basement Floor for Domestic Tank &amp; Parking</t>
  </si>
  <si>
    <t>Ground Floor for Commercial</t>
  </si>
  <si>
    <t>Shop</t>
  </si>
  <si>
    <t>Wing A + B + C</t>
  </si>
  <si>
    <t>1st Floor</t>
  </si>
  <si>
    <t>3rd &amp; 4th Podium Floor for Parking</t>
  </si>
  <si>
    <t>Shops</t>
  </si>
  <si>
    <t>Flats - 112, Shops - 126</t>
  </si>
  <si>
    <t>Approved Plans, CC, Sale Plans, Airport Noc, Part OC</t>
  </si>
  <si>
    <t xml:space="preserve">As the project is redevelopement project but rehab statement or rehab flats is not mentioned in approved layout plan &amp; floor plan.
</t>
  </si>
  <si>
    <t xml:space="preserve">Airport Authority of India
NOC No.
Valid Up to: </t>
  </si>
  <si>
    <t>JUHU/WEST/B/110821/633942</t>
  </si>
  <si>
    <t>156.33 M AMSL (Restricted)</t>
  </si>
  <si>
    <t>Jogging Track, Senior citizen lounge, Gym, Yoga &amp; Meditation, Childrens Play Area, Zen Garden, 24 hrs Water Supply, Security access, CCTV / Video Surveillance</t>
  </si>
  <si>
    <t>Inspection</t>
  </si>
  <si>
    <t>MIS</t>
  </si>
  <si>
    <t>Wing A &amp; C = 1B + Gr/Stilt + 1st to 4th Podium + 5th to 21st Floor</t>
  </si>
  <si>
    <t>Miss. Yashika 9892497784</t>
  </si>
  <si>
    <t>Terrace Area</t>
  </si>
  <si>
    <t>Wing A = 1B + Gr/Stilt + 1st to 4th Podium + 5th to 20th Floor
Wing B = 1B + Gr/Stilt + 1st to 4th Podium + 5th to 21st Floor
Wing C = 1B + Gr/Stilt + 1st to 4th Podium + 5th to 19th Floor</t>
  </si>
  <si>
    <t xml:space="preserve">Layout Approval No (Approved by EE)     </t>
  </si>
  <si>
    <t>5th, 7th, 9th Floor for Residential (Part Refuge Area At Mid-Landing)</t>
  </si>
  <si>
    <t>6th, 8th, 10th Floor</t>
  </si>
  <si>
    <t xml:space="preserve"> 11th, 13th, 15th, 17th &amp; 19th Floor (Part Refuge Area At Mid-Landing)  
(Plan Dtd:16/12/2021)</t>
  </si>
  <si>
    <t xml:space="preserve"> 12th, 14th, 16th &amp; 18th Floor (Plan Dtd:16/12/2021)</t>
  </si>
  <si>
    <t>20th Floor (Part Terrace Area) (Plan Dtd:16/12/2021)</t>
  </si>
  <si>
    <t>12th, 14th, 16th &amp; 18th Floor (Plan Dtd:16/12/2021)</t>
  </si>
  <si>
    <t>11th, 13th, 15th, 17th &amp; 19th Floor  (Plan Dtd:16/12/2021)</t>
  </si>
  <si>
    <t xml:space="preserve">Approved Floor plan No. (Approved by EE)  </t>
  </si>
  <si>
    <t>Approved Floor plan No. (Approved by SE) A Wing = 11th to 20th Floor &amp; C Wing = 11th to 19th Floor</t>
  </si>
  <si>
    <t xml:space="preserve">We have updated plan provided by bank dtd. 16/12/2021 approved only by SE &amp; AE for A Wing = 11th to 20th Floor &amp; C Wing = 11th to 19th Floor (on 12/04/2024).
</t>
  </si>
  <si>
    <t>Letter</t>
  </si>
  <si>
    <t>Please check floor plan from your end for plan approval for A Wing (11th to 20th Floor) and C Wing (11th to 19th Floor) prior to disbursement.</t>
  </si>
  <si>
    <t>We have considered plan Dtd 16/12/2021 as per the letters provided to us by bank officials, which are signed by Dy.Ch.Engr (BP) and Shri. A. P. Dhiwar (EE-WS 2) P ward. The letters are attached below.</t>
  </si>
  <si>
    <t>19000 to 19200</t>
  </si>
  <si>
    <t>smith</t>
  </si>
  <si>
    <t>In the A-wing two flats, as per the approved plan, Flat No. 1701 (1BHK) and Flat No. 1702 (2BHK), are merged and registered as Flat No. 1701 as per the documents provided by bank officials.</t>
  </si>
  <si>
    <t>Validity of CC is expired on 15/12/2022 for Wing A &amp; C. Please provide latest CC.</t>
  </si>
  <si>
    <t>Roshan Kudalkar</t>
  </si>
  <si>
    <t>Construction work is stopped. Work is same as last visit dtd. 4/4/2024.</t>
  </si>
  <si>
    <t>CHE/9587/BP(WS)/AP/FCC/6/Amend</t>
  </si>
  <si>
    <t>This CC is now granted for the work for building comprising of Wing ’A’ Basement (for parking) + Gr. +1st &amp; 2nd (for shops) + 3rd &amp; 4th Podium floors (for parking) + 5th to 13th upper residential floor and Wing ’C’ – Basement (for parking) + Gr. + 1st &amp; 2nd (for shops) + 3rd &amp; 4th Podium floors (for parking) + 5th to 13th upper residential
floor as per the approved amended plans dated 05.09.2024 by restricting 14th upper floor of Wing 'C'.</t>
  </si>
  <si>
    <t>We have updated Revised CC from MCGM Site on 11/04/2025.</t>
  </si>
  <si>
    <t>Shruti Tathare</t>
  </si>
  <si>
    <t>Wing B = 1B + Gr/Stilt + 1st to 4th Podium + 5th to 21st Floor</t>
  </si>
  <si>
    <t>All work Completed. OC Received.</t>
  </si>
  <si>
    <t>Please provide revised approved plans.</t>
  </si>
  <si>
    <t>Wing A &amp; C = Construction work is in process at the time of visit. (Slow Speed)
Wing B = All work completed. OC Received.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</si>
</sst>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s>
  <fills count="3">
    <fill>
      <patternFill patternType="none"/>
    </fill>
    <fill>
      <patternFill patternType="gray125"/>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06">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5" xfId="8" applyFont="1" applyFill="1" applyBorder="1" applyAlignment="1" applyProtection="1">
      <alignment horizontal="center" vertical="top" wrapText="1"/>
      <protection locked="0"/>
    </xf>
    <xf numFmtId="0" fontId="17" fillId="0" borderId="0" xfId="0" applyFont="1" applyProtection="1">
      <protection hidden="1"/>
    </xf>
    <xf numFmtId="0" fontId="17"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4" fillId="2" borderId="29" xfId="0" applyFont="1" applyFill="1" applyBorder="1"/>
    <xf numFmtId="0" fontId="25" fillId="0" borderId="30" xfId="0" applyFont="1" applyBorder="1"/>
    <xf numFmtId="0" fontId="25" fillId="0" borderId="1" xfId="0" applyFont="1" applyBorder="1"/>
    <xf numFmtId="0" fontId="25" fillId="0" borderId="4"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1" fontId="7" fillId="0" borderId="1" xfId="1" applyNumberFormat="1" applyFont="1" applyBorder="1" applyAlignment="1">
      <alignment horizontal="center" vertical="center"/>
    </xf>
    <xf numFmtId="0" fontId="15" fillId="0" borderId="0" xfId="1" applyFont="1" applyAlignment="1">
      <alignment horizontal="center" vertical="center"/>
    </xf>
    <xf numFmtId="0" fontId="29" fillId="0" borderId="0" xfId="1" applyFont="1" applyAlignment="1">
      <alignment horizontal="center" vertical="center"/>
    </xf>
    <xf numFmtId="0" fontId="15" fillId="0" borderId="0" xfId="2" applyFont="1" applyAlignment="1">
      <alignment horizontal="center" vertical="center"/>
    </xf>
    <xf numFmtId="1" fontId="15" fillId="0" borderId="0" xfId="1" applyNumberFormat="1" applyFont="1" applyAlignment="1">
      <alignment horizontal="center" vertical="center"/>
    </xf>
    <xf numFmtId="1" fontId="6" fillId="0" borderId="7" xfId="1" applyNumberFormat="1" applyFont="1" applyBorder="1" applyAlignment="1" applyProtection="1">
      <alignment horizontal="center" vertical="center" wrapText="1"/>
      <protection locked="0"/>
    </xf>
    <xf numFmtId="14" fontId="15" fillId="0" borderId="0" xfId="1" applyNumberFormat="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0" fontId="12" fillId="0" borderId="5" xfId="1" applyFont="1" applyBorder="1" applyAlignment="1" applyProtection="1">
      <alignment horizontal="center" vertical="center" wrapText="1"/>
      <protection locked="0"/>
    </xf>
    <xf numFmtId="0" fontId="12" fillId="0" borderId="6" xfId="1" applyFont="1" applyBorder="1" applyAlignment="1" applyProtection="1">
      <alignment horizontal="center" vertical="center" wrapText="1"/>
      <protection locked="0"/>
    </xf>
    <xf numFmtId="9" fontId="12" fillId="0" borderId="35" xfId="8" applyFont="1" applyFill="1" applyBorder="1" applyAlignment="1" applyProtection="1">
      <alignment horizontal="center" vertical="center" wrapText="1"/>
      <protection locked="0"/>
    </xf>
    <xf numFmtId="9" fontId="12" fillId="0" borderId="36" xfId="8" applyFont="1" applyFill="1" applyBorder="1" applyAlignment="1" applyProtection="1">
      <alignment horizontal="center" vertical="center" wrapText="1"/>
      <protection locked="0"/>
    </xf>
    <xf numFmtId="9" fontId="12" fillId="0" borderId="37" xfId="1" applyNumberFormat="1" applyFont="1" applyBorder="1" applyAlignment="1" applyProtection="1">
      <alignment horizontal="center" vertical="center" wrapText="1"/>
      <protection locked="0"/>
    </xf>
    <xf numFmtId="0" fontId="12" fillId="0" borderId="36" xfId="1" applyFont="1" applyBorder="1" applyAlignment="1" applyProtection="1">
      <alignment horizontal="center" vertical="center"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8" fillId="0" borderId="1"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34"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7" fillId="0" borderId="24"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8" fillId="0" borderId="15" xfId="1" applyFont="1" applyBorder="1" applyAlignment="1" applyProtection="1">
      <alignment horizontal="center" vertical="top"/>
      <protection locked="0"/>
    </xf>
    <xf numFmtId="0" fontId="6" fillId="0" borderId="1" xfId="1" applyFont="1" applyBorder="1" applyAlignment="1" applyProtection="1">
      <alignment vertical="top"/>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center" wrapText="1"/>
      <protection locked="0"/>
    </xf>
    <xf numFmtId="9" fontId="12" fillId="0" borderId="17"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0" fontId="10" fillId="0" borderId="32" xfId="0" applyFont="1" applyBorder="1" applyAlignment="1" applyProtection="1">
      <alignment horizontal="center" vertical="center"/>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21"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164" fontId="12" fillId="0" borderId="1" xfId="1" applyNumberFormat="1" applyFont="1" applyBorder="1" applyAlignment="1" applyProtection="1">
      <alignment horizontal="left" vertical="top"/>
      <protection locked="0"/>
    </xf>
    <xf numFmtId="2" fontId="12" fillId="0" borderId="1" xfId="1" applyNumberFormat="1" applyFont="1" applyBorder="1" applyAlignment="1" applyProtection="1">
      <alignment horizontal="left" vertical="top"/>
      <protection locked="0"/>
    </xf>
    <xf numFmtId="0" fontId="13" fillId="0" borderId="7" xfId="1" applyFont="1" applyBorder="1" applyAlignment="1" applyProtection="1">
      <alignment horizontal="left" vertical="top" wrapText="1"/>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14" fontId="8" fillId="0" borderId="7" xfId="1" applyNumberFormat="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0" fontId="12" fillId="0" borderId="24"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9" fontId="12" fillId="0" borderId="26" xfId="8" applyFont="1" applyFill="1" applyBorder="1" applyAlignment="1" applyProtection="1">
      <alignment horizontal="center" vertical="center" wrapText="1"/>
      <protection locked="0"/>
    </xf>
    <xf numFmtId="9" fontId="12" fillId="0" borderId="9"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1" fontId="12" fillId="0" borderId="1" xfId="1" applyNumberFormat="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8" fillId="0" borderId="15" xfId="1" applyFont="1" applyBorder="1" applyAlignment="1" applyProtection="1">
      <alignment horizontal="left" vertical="top"/>
      <protection locked="0"/>
    </xf>
    <xf numFmtId="1" fontId="10" fillId="0" borderId="32" xfId="0" applyNumberFormat="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424291</xdr:colOff>
      <xdr:row>601</xdr:row>
      <xdr:rowOff>51954</xdr:rowOff>
    </xdr:from>
    <xdr:to>
      <xdr:col>7</xdr:col>
      <xdr:colOff>374452</xdr:colOff>
      <xdr:row>621</xdr:row>
      <xdr:rowOff>14237</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24291" y="63142090"/>
          <a:ext cx="5621866" cy="3945466"/>
        </a:xfrm>
        <a:prstGeom prst="rect">
          <a:avLst/>
        </a:prstGeom>
        <a:ln>
          <a:solidFill>
            <a:schemeClr val="tx1"/>
          </a:solidFill>
        </a:ln>
      </xdr:spPr>
    </xdr:pic>
    <xdr:clientData/>
  </xdr:twoCellAnchor>
  <xdr:twoCellAnchor>
    <xdr:from>
      <xdr:col>1</xdr:col>
      <xdr:colOff>60225</xdr:colOff>
      <xdr:row>621</xdr:row>
      <xdr:rowOff>156055</xdr:rowOff>
    </xdr:from>
    <xdr:to>
      <xdr:col>6</xdr:col>
      <xdr:colOff>678181</xdr:colOff>
      <xdr:row>641</xdr:row>
      <xdr:rowOff>68580</xdr:rowOff>
    </xdr:to>
    <xdr:grpSp>
      <xdr:nvGrpSpPr>
        <xdr:cNvPr id="48" name="Group 47">
          <a:extLst>
            <a:ext uri="{FF2B5EF4-FFF2-40B4-BE49-F238E27FC236}">
              <a16:creationId xmlns="" xmlns:a16="http://schemas.microsoft.com/office/drawing/2014/main" id="{3785F88C-8604-A708-AC3A-A4D445BD7C5B}"/>
            </a:ext>
          </a:extLst>
        </xdr:cNvPr>
        <xdr:cNvGrpSpPr/>
      </xdr:nvGrpSpPr>
      <xdr:grpSpPr>
        <a:xfrm>
          <a:off x="822225" y="130343755"/>
          <a:ext cx="4770856" cy="3913025"/>
          <a:chOff x="845084" y="129063595"/>
          <a:chExt cx="4937875" cy="4261274"/>
        </a:xfrm>
      </xdr:grpSpPr>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845084" y="129063595"/>
            <a:ext cx="4937875" cy="4261274"/>
          </a:xfrm>
          <a:prstGeom prst="rect">
            <a:avLst/>
          </a:prstGeom>
          <a:ln>
            <a:solidFill>
              <a:schemeClr val="tx1"/>
            </a:solidFill>
          </a:ln>
        </xdr:spPr>
      </xdr:pic>
      <xdr:sp macro="" textlink="">
        <xdr:nvSpPr>
          <xdr:cNvPr id="4" name="Rectangle 3">
            <a:extLst>
              <a:ext uri="{FF2B5EF4-FFF2-40B4-BE49-F238E27FC236}">
                <a16:creationId xmlns="" xmlns:a16="http://schemas.microsoft.com/office/drawing/2014/main" id="{00000000-0008-0000-0000-000004000000}"/>
              </a:ext>
            </a:extLst>
          </xdr:cNvPr>
          <xdr:cNvSpPr/>
        </xdr:nvSpPr>
        <xdr:spPr>
          <a:xfrm rot="20806041">
            <a:off x="3103911" y="130227778"/>
            <a:ext cx="1097144" cy="1147206"/>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 name="Rectangle 4">
            <a:extLst>
              <a:ext uri="{FF2B5EF4-FFF2-40B4-BE49-F238E27FC236}">
                <a16:creationId xmlns="" xmlns:a16="http://schemas.microsoft.com/office/drawing/2014/main" id="{00000000-0008-0000-0000-000005000000}"/>
              </a:ext>
            </a:extLst>
          </xdr:cNvPr>
          <xdr:cNvSpPr/>
        </xdr:nvSpPr>
        <xdr:spPr>
          <a:xfrm rot="20806041">
            <a:off x="2896858" y="131360290"/>
            <a:ext cx="1836359" cy="1031528"/>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 name="TextBox 5">
            <a:extLst>
              <a:ext uri="{FF2B5EF4-FFF2-40B4-BE49-F238E27FC236}">
                <a16:creationId xmlns="" xmlns:a16="http://schemas.microsoft.com/office/drawing/2014/main" id="{00000000-0008-0000-0000-000006000000}"/>
              </a:ext>
            </a:extLst>
          </xdr:cNvPr>
          <xdr:cNvSpPr txBox="1"/>
        </xdr:nvSpPr>
        <xdr:spPr>
          <a:xfrm>
            <a:off x="2606386" y="129321098"/>
            <a:ext cx="708912" cy="311496"/>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400" b="0" cap="none" spc="0">
                <a:ln w="0"/>
                <a:solidFill>
                  <a:schemeClr val="tx1"/>
                </a:solidFill>
                <a:effectLst>
                  <a:outerShdw blurRad="38100" dist="19050" dir="2700000" algn="tl" rotWithShape="0">
                    <a:schemeClr val="dk1">
                      <a:alpha val="40000"/>
                    </a:schemeClr>
                  </a:outerShdw>
                </a:effectLst>
              </a:rPr>
              <a:t>Wing A</a:t>
            </a:r>
          </a:p>
        </xdr:txBody>
      </xdr:sp>
      <xdr:cxnSp macro="">
        <xdr:nvCxnSpPr>
          <xdr:cNvPr id="8" name="Straight Arrow Connector 7">
            <a:extLst>
              <a:ext uri="{FF2B5EF4-FFF2-40B4-BE49-F238E27FC236}">
                <a16:creationId xmlns="" xmlns:a16="http://schemas.microsoft.com/office/drawing/2014/main" id="{00000000-0008-0000-0000-000008000000}"/>
              </a:ext>
            </a:extLst>
          </xdr:cNvPr>
          <xdr:cNvCxnSpPr>
            <a:stCxn id="6" idx="2"/>
          </xdr:cNvCxnSpPr>
        </xdr:nvCxnSpPr>
        <xdr:spPr>
          <a:xfrm>
            <a:off x="2960842" y="129631555"/>
            <a:ext cx="552671" cy="637887"/>
          </a:xfrm>
          <a:prstGeom prst="straightConnector1">
            <a:avLst/>
          </a:prstGeom>
          <a:ln w="38100">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TextBox 12">
            <a:extLst>
              <a:ext uri="{FF2B5EF4-FFF2-40B4-BE49-F238E27FC236}">
                <a16:creationId xmlns="" xmlns:a16="http://schemas.microsoft.com/office/drawing/2014/main" id="{00000000-0008-0000-0000-00000D000000}"/>
              </a:ext>
            </a:extLst>
          </xdr:cNvPr>
          <xdr:cNvSpPr txBox="1"/>
        </xdr:nvSpPr>
        <xdr:spPr>
          <a:xfrm>
            <a:off x="1846338" y="131222784"/>
            <a:ext cx="708912" cy="311496"/>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400" b="0" cap="none" spc="0">
                <a:ln w="0"/>
                <a:solidFill>
                  <a:schemeClr val="tx1"/>
                </a:solidFill>
                <a:effectLst>
                  <a:outerShdw blurRad="38100" dist="19050" dir="2700000" algn="tl" rotWithShape="0">
                    <a:schemeClr val="dk1">
                      <a:alpha val="40000"/>
                    </a:schemeClr>
                  </a:outerShdw>
                </a:effectLst>
              </a:rPr>
              <a:t>Wing B</a:t>
            </a:r>
          </a:p>
        </xdr:txBody>
      </xdr:sp>
      <xdr:cxnSp macro="">
        <xdr:nvCxnSpPr>
          <xdr:cNvPr id="14" name="Straight Arrow Connector 13">
            <a:extLst>
              <a:ext uri="{FF2B5EF4-FFF2-40B4-BE49-F238E27FC236}">
                <a16:creationId xmlns="" xmlns:a16="http://schemas.microsoft.com/office/drawing/2014/main" id="{00000000-0008-0000-0000-00000E000000}"/>
              </a:ext>
            </a:extLst>
          </xdr:cNvPr>
          <xdr:cNvCxnSpPr>
            <a:stCxn id="13" idx="3"/>
          </xdr:cNvCxnSpPr>
        </xdr:nvCxnSpPr>
        <xdr:spPr>
          <a:xfrm>
            <a:off x="2575339" y="131377493"/>
            <a:ext cx="386070" cy="218176"/>
          </a:xfrm>
          <a:prstGeom prst="straightConnector1">
            <a:avLst/>
          </a:prstGeom>
          <a:ln w="38100">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9</xdr:col>
      <xdr:colOff>744682</xdr:colOff>
      <xdr:row>3</xdr:row>
      <xdr:rowOff>65810</xdr:rowOff>
    </xdr:from>
    <xdr:to>
      <xdr:col>16</xdr:col>
      <xdr:colOff>195457</xdr:colOff>
      <xdr:row>14</xdr:row>
      <xdr:rowOff>619695</xdr:rowOff>
    </xdr:to>
    <xdr:pic>
      <xdr:nvPicPr>
        <xdr:cNvPr id="17" name="Picture 16">
          <a:extLst>
            <a:ext uri="{FF2B5EF4-FFF2-40B4-BE49-F238E27FC236}">
              <a16:creationId xmlns="" xmlns:a16="http://schemas.microsoft.com/office/drawing/2014/main" id="{00000000-0008-0000-0000-000011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8288482" y="1065935"/>
          <a:ext cx="4689525" cy="3573310"/>
        </a:xfrm>
        <a:prstGeom prst="rect">
          <a:avLst/>
        </a:prstGeom>
        <a:ln>
          <a:solidFill>
            <a:schemeClr val="tx1"/>
          </a:solidFill>
        </a:ln>
      </xdr:spPr>
    </xdr:pic>
    <xdr:clientData/>
  </xdr:twoCellAnchor>
  <xdr:twoCellAnchor editAs="oneCell">
    <xdr:from>
      <xdr:col>1</xdr:col>
      <xdr:colOff>692727</xdr:colOff>
      <xdr:row>559</xdr:row>
      <xdr:rowOff>69272</xdr:rowOff>
    </xdr:from>
    <xdr:to>
      <xdr:col>6</xdr:col>
      <xdr:colOff>84089</xdr:colOff>
      <xdr:row>582</xdr:row>
      <xdr:rowOff>9813</xdr:rowOff>
    </xdr:to>
    <xdr:pic>
      <xdr:nvPicPr>
        <xdr:cNvPr id="20" name="Picture 19">
          <a:extLst>
            <a:ext uri="{FF2B5EF4-FFF2-40B4-BE49-F238E27FC236}">
              <a16:creationId xmlns="" xmlns:a16="http://schemas.microsoft.com/office/drawing/2014/main" id="{00000000-0008-0000-0000-000014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454727" y="58925113"/>
          <a:ext cx="3539067" cy="4521200"/>
        </a:xfrm>
        <a:prstGeom prst="rect">
          <a:avLst/>
        </a:prstGeom>
        <a:ln>
          <a:solidFill>
            <a:schemeClr val="tx1"/>
          </a:solidFill>
        </a:ln>
      </xdr:spPr>
    </xdr:pic>
    <xdr:clientData/>
  </xdr:twoCellAnchor>
  <xdr:twoCellAnchor>
    <xdr:from>
      <xdr:col>2</xdr:col>
      <xdr:colOff>133157</xdr:colOff>
      <xdr:row>582</xdr:row>
      <xdr:rowOff>177606</xdr:rowOff>
    </xdr:from>
    <xdr:to>
      <xdr:col>5</xdr:col>
      <xdr:colOff>571500</xdr:colOff>
      <xdr:row>598</xdr:row>
      <xdr:rowOff>175260</xdr:rowOff>
    </xdr:to>
    <xdr:grpSp>
      <xdr:nvGrpSpPr>
        <xdr:cNvPr id="47" name="Group 46">
          <a:extLst>
            <a:ext uri="{FF2B5EF4-FFF2-40B4-BE49-F238E27FC236}">
              <a16:creationId xmlns="" xmlns:a16="http://schemas.microsoft.com/office/drawing/2014/main" id="{61BA89AF-BED3-067C-6FA0-1C99216F5874}"/>
            </a:ext>
          </a:extLst>
        </xdr:cNvPr>
        <xdr:cNvGrpSpPr/>
      </xdr:nvGrpSpPr>
      <xdr:grpSpPr>
        <a:xfrm>
          <a:off x="1695257" y="122564331"/>
          <a:ext cx="3010093" cy="3198054"/>
          <a:chOff x="1740977" y="121358466"/>
          <a:chExt cx="3129703" cy="3603990"/>
        </a:xfrm>
      </xdr:grpSpPr>
      <xdr:pic>
        <xdr:nvPicPr>
          <xdr:cNvPr id="21" name="Picture 20">
            <a:extLst>
              <a:ext uri="{FF2B5EF4-FFF2-40B4-BE49-F238E27FC236}">
                <a16:creationId xmlns="" xmlns:a16="http://schemas.microsoft.com/office/drawing/2014/main" id="{00000000-0008-0000-0000-000015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1740977" y="121358466"/>
            <a:ext cx="3129703" cy="3603990"/>
          </a:xfrm>
          <a:prstGeom prst="rect">
            <a:avLst/>
          </a:prstGeom>
          <a:ln>
            <a:solidFill>
              <a:schemeClr val="tx1"/>
            </a:solidFill>
          </a:ln>
        </xdr:spPr>
      </xdr:pic>
      <xdr:sp macro="" textlink="">
        <xdr:nvSpPr>
          <xdr:cNvPr id="22" name="Rectangle 21">
            <a:extLst>
              <a:ext uri="{FF2B5EF4-FFF2-40B4-BE49-F238E27FC236}">
                <a16:creationId xmlns="" xmlns:a16="http://schemas.microsoft.com/office/drawing/2014/main" id="{00000000-0008-0000-0000-000016000000}"/>
              </a:ext>
            </a:extLst>
          </xdr:cNvPr>
          <xdr:cNvSpPr/>
        </xdr:nvSpPr>
        <xdr:spPr>
          <a:xfrm>
            <a:off x="3669377" y="122943427"/>
            <a:ext cx="314515" cy="40913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oneCellAnchor>
    <xdr:from>
      <xdr:col>3</xdr:col>
      <xdr:colOff>762000</xdr:colOff>
      <xdr:row>562</xdr:row>
      <xdr:rowOff>164522</xdr:rowOff>
    </xdr:from>
    <xdr:ext cx="1013114" cy="311496"/>
    <xdr:sp macro="" textlink="">
      <xdr:nvSpPr>
        <xdr:cNvPr id="23" name="TextBox 22">
          <a:extLst>
            <a:ext uri="{FF2B5EF4-FFF2-40B4-BE49-F238E27FC236}">
              <a16:creationId xmlns="" xmlns:a16="http://schemas.microsoft.com/office/drawing/2014/main" id="{00000000-0008-0000-0000-000017000000}"/>
            </a:ext>
          </a:extLst>
        </xdr:cNvPr>
        <xdr:cNvSpPr txBox="1"/>
      </xdr:nvSpPr>
      <xdr:spPr>
        <a:xfrm>
          <a:off x="3169227" y="59617840"/>
          <a:ext cx="1013114" cy="311496"/>
        </a:xfrm>
        <a:prstGeom prst="rect">
          <a:avLst/>
        </a:prstGeom>
        <a:solidFill>
          <a:srgbClr val="FFFF00"/>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400" b="0" cap="none" spc="0">
              <a:ln w="0"/>
              <a:solidFill>
                <a:schemeClr val="tx1"/>
              </a:solidFill>
              <a:effectLst>
                <a:outerShdw blurRad="38100" dist="19050" dir="2700000" algn="tl" rotWithShape="0">
                  <a:schemeClr val="dk1">
                    <a:alpha val="40000"/>
                  </a:schemeClr>
                </a:outerShdw>
              </a:effectLst>
            </a:rPr>
            <a:t>Wing A &amp; C</a:t>
          </a:r>
        </a:p>
      </xdr:txBody>
    </xdr:sp>
    <xdr:clientData/>
  </xdr:oneCellAnchor>
  <xdr:twoCellAnchor>
    <xdr:from>
      <xdr:col>4</xdr:col>
      <xdr:colOff>95252</xdr:colOff>
      <xdr:row>564</xdr:row>
      <xdr:rowOff>77700</xdr:rowOff>
    </xdr:from>
    <xdr:to>
      <xdr:col>4</xdr:col>
      <xdr:colOff>324716</xdr:colOff>
      <xdr:row>567</xdr:row>
      <xdr:rowOff>69272</xdr:rowOff>
    </xdr:to>
    <xdr:cxnSp macro="">
      <xdr:nvCxnSpPr>
        <xdr:cNvPr id="24" name="Straight Arrow Connector 23">
          <a:extLst>
            <a:ext uri="{FF2B5EF4-FFF2-40B4-BE49-F238E27FC236}">
              <a16:creationId xmlns="" xmlns:a16="http://schemas.microsoft.com/office/drawing/2014/main" id="{00000000-0008-0000-0000-000018000000}"/>
            </a:ext>
          </a:extLst>
        </xdr:cNvPr>
        <xdr:cNvCxnSpPr>
          <a:stCxn id="23" idx="2"/>
        </xdr:cNvCxnSpPr>
      </xdr:nvCxnSpPr>
      <xdr:spPr>
        <a:xfrm flipH="1">
          <a:off x="3446320" y="59929336"/>
          <a:ext cx="229464" cy="58905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264968</xdr:colOff>
      <xdr:row>573</xdr:row>
      <xdr:rowOff>195694</xdr:rowOff>
    </xdr:from>
    <xdr:ext cx="722169" cy="311496"/>
    <xdr:sp macro="" textlink="">
      <xdr:nvSpPr>
        <xdr:cNvPr id="27" name="TextBox 26">
          <a:extLst>
            <a:ext uri="{FF2B5EF4-FFF2-40B4-BE49-F238E27FC236}">
              <a16:creationId xmlns="" xmlns:a16="http://schemas.microsoft.com/office/drawing/2014/main" id="{00000000-0008-0000-0000-00001B000000}"/>
            </a:ext>
          </a:extLst>
        </xdr:cNvPr>
        <xdr:cNvSpPr txBox="1"/>
      </xdr:nvSpPr>
      <xdr:spPr>
        <a:xfrm>
          <a:off x="1823604" y="61839762"/>
          <a:ext cx="722169" cy="311496"/>
        </a:xfrm>
        <a:prstGeom prst="rect">
          <a:avLst/>
        </a:prstGeom>
        <a:solidFill>
          <a:srgbClr val="FFFF00"/>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400" b="0" cap="none" spc="0">
              <a:ln w="0"/>
              <a:solidFill>
                <a:schemeClr val="tx1"/>
              </a:solidFill>
              <a:effectLst>
                <a:outerShdw blurRad="38100" dist="19050" dir="2700000" algn="tl" rotWithShape="0">
                  <a:schemeClr val="dk1">
                    <a:alpha val="40000"/>
                  </a:schemeClr>
                </a:outerShdw>
              </a:effectLst>
            </a:rPr>
            <a:t>Wing B</a:t>
          </a:r>
        </a:p>
      </xdr:txBody>
    </xdr:sp>
    <xdr:clientData/>
  </xdr:oneCellAnchor>
  <xdr:twoCellAnchor>
    <xdr:from>
      <xdr:col>3</xdr:col>
      <xdr:colOff>138546</xdr:colOff>
      <xdr:row>574</xdr:row>
      <xdr:rowOff>152283</xdr:rowOff>
    </xdr:from>
    <xdr:to>
      <xdr:col>3</xdr:col>
      <xdr:colOff>848591</xdr:colOff>
      <xdr:row>574</xdr:row>
      <xdr:rowOff>155865</xdr:rowOff>
    </xdr:to>
    <xdr:cxnSp macro="">
      <xdr:nvCxnSpPr>
        <xdr:cNvPr id="28" name="Straight Arrow Connector 27">
          <a:extLst>
            <a:ext uri="{FF2B5EF4-FFF2-40B4-BE49-F238E27FC236}">
              <a16:creationId xmlns="" xmlns:a16="http://schemas.microsoft.com/office/drawing/2014/main" id="{00000000-0008-0000-0000-00001C000000}"/>
            </a:ext>
          </a:extLst>
        </xdr:cNvPr>
        <xdr:cNvCxnSpPr>
          <a:stCxn id="27" idx="3"/>
        </xdr:cNvCxnSpPr>
      </xdr:nvCxnSpPr>
      <xdr:spPr>
        <a:xfrm>
          <a:off x="2545773" y="61995510"/>
          <a:ext cx="710045" cy="3582"/>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153741</xdr:colOff>
      <xdr:row>40</xdr:row>
      <xdr:rowOff>35543</xdr:rowOff>
    </xdr:from>
    <xdr:to>
      <xdr:col>14</xdr:col>
      <xdr:colOff>565479</xdr:colOff>
      <xdr:row>53</xdr:row>
      <xdr:rowOff>369050</xdr:rowOff>
    </xdr:to>
    <xdr:pic>
      <xdr:nvPicPr>
        <xdr:cNvPr id="7" name="Picture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7690915" y="10488195"/>
          <a:ext cx="4205173" cy="4300877"/>
        </a:xfrm>
        <a:prstGeom prst="rect">
          <a:avLst/>
        </a:prstGeom>
      </xdr:spPr>
    </xdr:pic>
    <xdr:clientData/>
  </xdr:twoCellAnchor>
  <xdr:twoCellAnchor editAs="oneCell">
    <xdr:from>
      <xdr:col>1</xdr:col>
      <xdr:colOff>605119</xdr:colOff>
      <xdr:row>444</xdr:row>
      <xdr:rowOff>85614</xdr:rowOff>
    </xdr:from>
    <xdr:to>
      <xdr:col>5</xdr:col>
      <xdr:colOff>632461</xdr:colOff>
      <xdr:row>470</xdr:row>
      <xdr:rowOff>102596</xdr:rowOff>
    </xdr:to>
    <xdr:pic>
      <xdr:nvPicPr>
        <xdr:cNvPr id="55" name="Picture 54">
          <a:extLst>
            <a:ext uri="{FF2B5EF4-FFF2-40B4-BE49-F238E27FC236}">
              <a16:creationId xmlns="" xmlns:a16="http://schemas.microsoft.com/office/drawing/2014/main" id="{00000000-0008-0000-0000-000037000000}"/>
            </a:ext>
          </a:extLst>
        </xdr:cNvPr>
        <xdr:cNvPicPr>
          <a:picLocks noChangeAspect="1"/>
        </xdr:cNvPicPr>
      </xdr:nvPicPr>
      <xdr:blipFill>
        <a:blip xmlns:r="http://schemas.openxmlformats.org/officeDocument/2006/relationships" r:embed="rId7"/>
        <a:stretch>
          <a:fillRect/>
        </a:stretch>
      </xdr:blipFill>
      <xdr:spPr>
        <a:xfrm>
          <a:off x="1389979" y="94322154"/>
          <a:ext cx="3486822" cy="5168102"/>
        </a:xfrm>
        <a:prstGeom prst="rect">
          <a:avLst/>
        </a:prstGeom>
        <a:ln>
          <a:solidFill>
            <a:schemeClr val="tx1"/>
          </a:solidFill>
        </a:ln>
      </xdr:spPr>
    </xdr:pic>
    <xdr:clientData/>
  </xdr:twoCellAnchor>
  <xdr:twoCellAnchor editAs="oneCell">
    <xdr:from>
      <xdr:col>1</xdr:col>
      <xdr:colOff>575031</xdr:colOff>
      <xdr:row>471</xdr:row>
      <xdr:rowOff>19008</xdr:rowOff>
    </xdr:from>
    <xdr:to>
      <xdr:col>5</xdr:col>
      <xdr:colOff>708660</xdr:colOff>
      <xdr:row>482</xdr:row>
      <xdr:rowOff>70086</xdr:rowOff>
    </xdr:to>
    <xdr:pic>
      <xdr:nvPicPr>
        <xdr:cNvPr id="56" name="Picture 55">
          <a:extLst>
            <a:ext uri="{FF2B5EF4-FFF2-40B4-BE49-F238E27FC236}">
              <a16:creationId xmlns="" xmlns:a16="http://schemas.microsoft.com/office/drawing/2014/main" id="{00000000-0008-0000-0000-000038000000}"/>
            </a:ext>
          </a:extLst>
        </xdr:cNvPr>
        <xdr:cNvPicPr>
          <a:picLocks noChangeAspect="1"/>
        </xdr:cNvPicPr>
      </xdr:nvPicPr>
      <xdr:blipFill>
        <a:blip xmlns:r="http://schemas.openxmlformats.org/officeDocument/2006/relationships" r:embed="rId8"/>
        <a:stretch>
          <a:fillRect/>
        </a:stretch>
      </xdr:blipFill>
      <xdr:spPr>
        <a:xfrm>
          <a:off x="1359891" y="99604788"/>
          <a:ext cx="3593109" cy="2230397"/>
        </a:xfrm>
        <a:prstGeom prst="rect">
          <a:avLst/>
        </a:prstGeom>
        <a:ln>
          <a:solidFill>
            <a:schemeClr val="tx1"/>
          </a:solidFill>
        </a:ln>
      </xdr:spPr>
    </xdr:pic>
    <xdr:clientData/>
  </xdr:twoCellAnchor>
  <xdr:oneCellAnchor>
    <xdr:from>
      <xdr:col>1</xdr:col>
      <xdr:colOff>257736</xdr:colOff>
      <xdr:row>484</xdr:row>
      <xdr:rowOff>89647</xdr:rowOff>
    </xdr:from>
    <xdr:ext cx="4115374" cy="6697010"/>
    <xdr:pic>
      <xdr:nvPicPr>
        <xdr:cNvPr id="58" name="Picture 57">
          <a:extLst>
            <a:ext uri="{FF2B5EF4-FFF2-40B4-BE49-F238E27FC236}">
              <a16:creationId xmlns="" xmlns:a16="http://schemas.microsoft.com/office/drawing/2014/main" id="{00000000-0008-0000-0000-00003A000000}"/>
            </a:ext>
          </a:extLst>
        </xdr:cNvPr>
        <xdr:cNvPicPr>
          <a:picLocks noChangeAspect="1"/>
        </xdr:cNvPicPr>
      </xdr:nvPicPr>
      <xdr:blipFill>
        <a:blip xmlns:r="http://schemas.openxmlformats.org/officeDocument/2006/relationships" r:embed="rId9"/>
        <a:stretch>
          <a:fillRect/>
        </a:stretch>
      </xdr:blipFill>
      <xdr:spPr>
        <a:xfrm>
          <a:off x="1019736" y="113717294"/>
          <a:ext cx="4115374" cy="6697010"/>
        </a:xfrm>
        <a:prstGeom prst="rect">
          <a:avLst/>
        </a:prstGeom>
        <a:ln>
          <a:solidFill>
            <a:schemeClr val="tx1"/>
          </a:solidFill>
        </a:ln>
      </xdr:spPr>
    </xdr:pic>
    <xdr:clientData/>
  </xdr:oneCellAnchor>
  <xdr:twoCellAnchor editAs="oneCell">
    <xdr:from>
      <xdr:col>1</xdr:col>
      <xdr:colOff>231913</xdr:colOff>
      <xdr:row>522</xdr:row>
      <xdr:rowOff>66260</xdr:rowOff>
    </xdr:from>
    <xdr:to>
      <xdr:col>6</xdr:col>
      <xdr:colOff>578753</xdr:colOff>
      <xdr:row>556</xdr:row>
      <xdr:rowOff>61819</xdr:rowOff>
    </xdr:to>
    <xdr:pic>
      <xdr:nvPicPr>
        <xdr:cNvPr id="60" name="Picture 59">
          <a:extLst>
            <a:ext uri="{FF2B5EF4-FFF2-40B4-BE49-F238E27FC236}">
              <a16:creationId xmlns="" xmlns:a16="http://schemas.microsoft.com/office/drawing/2014/main" id="{00000000-0008-0000-0000-00003C000000}"/>
            </a:ext>
          </a:extLst>
        </xdr:cNvPr>
        <xdr:cNvPicPr>
          <a:picLocks noChangeAspect="1"/>
        </xdr:cNvPicPr>
      </xdr:nvPicPr>
      <xdr:blipFill>
        <a:blip xmlns:r="http://schemas.openxmlformats.org/officeDocument/2006/relationships" r:embed="rId10"/>
        <a:stretch>
          <a:fillRect/>
        </a:stretch>
      </xdr:blipFill>
      <xdr:spPr>
        <a:xfrm>
          <a:off x="993913" y="112254195"/>
          <a:ext cx="4496427" cy="6754168"/>
        </a:xfrm>
        <a:prstGeom prst="rect">
          <a:avLst/>
        </a:prstGeom>
        <a:ln>
          <a:solidFill>
            <a:schemeClr val="tx1"/>
          </a:solidFill>
        </a:ln>
      </xdr:spPr>
    </xdr:pic>
    <xdr:clientData/>
  </xdr:twoCellAnchor>
  <xdr:twoCellAnchor editAs="oneCell">
    <xdr:from>
      <xdr:col>8</xdr:col>
      <xdr:colOff>352425</xdr:colOff>
      <xdr:row>53</xdr:row>
      <xdr:rowOff>2200669</xdr:rowOff>
    </xdr:from>
    <xdr:to>
      <xdr:col>17</xdr:col>
      <xdr:colOff>189523</xdr:colOff>
      <xdr:row>55</xdr:row>
      <xdr:rowOff>1590349</xdr:rowOff>
    </xdr:to>
    <xdr:pic>
      <xdr:nvPicPr>
        <xdr:cNvPr id="9" name="Picture 8"/>
        <xdr:cNvPicPr>
          <a:picLocks noChangeAspect="1"/>
        </xdr:cNvPicPr>
      </xdr:nvPicPr>
      <xdr:blipFill>
        <a:blip xmlns:r="http://schemas.openxmlformats.org/officeDocument/2006/relationships" r:embed="rId11"/>
        <a:stretch>
          <a:fillRect/>
        </a:stretch>
      </xdr:blipFill>
      <xdr:spPr>
        <a:xfrm>
          <a:off x="6734175" y="17069194"/>
          <a:ext cx="6847498" cy="2285280"/>
        </a:xfrm>
        <a:prstGeom prst="rect">
          <a:avLst/>
        </a:prstGeom>
      </xdr:spPr>
    </xdr:pic>
    <xdr:clientData/>
  </xdr:twoCellAnchor>
  <xdr:twoCellAnchor>
    <xdr:from>
      <xdr:col>0</xdr:col>
      <xdr:colOff>250136</xdr:colOff>
      <xdr:row>403</xdr:row>
      <xdr:rowOff>26504</xdr:rowOff>
    </xdr:from>
    <xdr:to>
      <xdr:col>7</xdr:col>
      <xdr:colOff>331305</xdr:colOff>
      <xdr:row>443</xdr:row>
      <xdr:rowOff>132522</xdr:rowOff>
    </xdr:to>
    <xdr:grpSp>
      <xdr:nvGrpSpPr>
        <xdr:cNvPr id="10" name="Group 9"/>
        <xdr:cNvGrpSpPr/>
      </xdr:nvGrpSpPr>
      <xdr:grpSpPr>
        <a:xfrm>
          <a:off x="250136" y="86618279"/>
          <a:ext cx="5758069" cy="8097493"/>
          <a:chOff x="316396" y="87971243"/>
          <a:chExt cx="5754756" cy="8049040"/>
        </a:xfrm>
      </xdr:grpSpPr>
      <xdr:pic>
        <xdr:nvPicPr>
          <xdr:cNvPr id="37" name="Picture 36" descr="https://vsjcllp.vsjadon.com/upload/insp-240153-1525.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4605131" y="94289218"/>
            <a:ext cx="1296977" cy="17293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40153-845.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4131362" y="91852471"/>
            <a:ext cx="1784075" cy="23787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0153-844.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316396" y="87971243"/>
            <a:ext cx="2837621" cy="378349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0153-849.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1843707" y="94285907"/>
            <a:ext cx="1296977" cy="17293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40153-850.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3221935" y="94289222"/>
            <a:ext cx="1296977" cy="17293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40153-851.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3233531" y="87972899"/>
            <a:ext cx="2837621" cy="378349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40153-852.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2276058" y="91852472"/>
            <a:ext cx="1784075" cy="23787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40153-861.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473687" y="94290873"/>
            <a:ext cx="1297058" cy="17294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40153-1046.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422410" y="91842534"/>
            <a:ext cx="1784075" cy="23787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250136</xdr:colOff>
      <xdr:row>403</xdr:row>
      <xdr:rowOff>26504</xdr:rowOff>
    </xdr:from>
    <xdr:to>
      <xdr:col>1</xdr:col>
      <xdr:colOff>484117</xdr:colOff>
      <xdr:row>404</xdr:row>
      <xdr:rowOff>126037</xdr:rowOff>
    </xdr:to>
    <xdr:sp macro="" textlink="">
      <xdr:nvSpPr>
        <xdr:cNvPr id="51" name="TextBox 50"/>
        <xdr:cNvSpPr txBox="1"/>
      </xdr:nvSpPr>
      <xdr:spPr>
        <a:xfrm>
          <a:off x="250136" y="87971243"/>
          <a:ext cx="995981" cy="298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t>Wing A &amp; C</a:t>
          </a:r>
        </a:p>
      </xdr:txBody>
    </xdr:sp>
    <xdr:clientData/>
  </xdr:twoCellAnchor>
  <xdr:twoCellAnchor>
    <xdr:from>
      <xdr:col>4</xdr:col>
      <xdr:colOff>327992</xdr:colOff>
      <xdr:row>403</xdr:row>
      <xdr:rowOff>38100</xdr:rowOff>
    </xdr:from>
    <xdr:to>
      <xdr:col>5</xdr:col>
      <xdr:colOff>545408</xdr:colOff>
      <xdr:row>404</xdr:row>
      <xdr:rowOff>137633</xdr:rowOff>
    </xdr:to>
    <xdr:sp macro="" textlink="">
      <xdr:nvSpPr>
        <xdr:cNvPr id="52" name="TextBox 51"/>
        <xdr:cNvSpPr txBox="1"/>
      </xdr:nvSpPr>
      <xdr:spPr>
        <a:xfrm>
          <a:off x="3682449" y="87982839"/>
          <a:ext cx="995981" cy="298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t>Wing B</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ThggjVVp4HMThyeL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601"/>
  <sheetViews>
    <sheetView tabSelected="1" view="pageBreakPreview" topLeftCell="A387" zoomScaleNormal="100" zoomScaleSheetLayoutView="100" zoomScalePageLayoutView="85" workbookViewId="0">
      <selection activeCell="J401" sqref="J401"/>
    </sheetView>
  </sheetViews>
  <sheetFormatPr defaultColWidth="9.140625" defaultRowHeight="15.75" x14ac:dyDescent="0.25"/>
  <cols>
    <col min="1" max="1" width="11.42578125" style="38" customWidth="1"/>
    <col min="2" max="2" width="12" style="38" customWidth="1"/>
    <col min="3" max="3" width="12.7109375" style="38" customWidth="1"/>
    <col min="4" max="4" width="14.140625" style="38" customWidth="1"/>
    <col min="5" max="6" width="11.7109375" style="38" customWidth="1"/>
    <col min="7" max="7" width="11.42578125" style="38" customWidth="1"/>
    <col min="8" max="8" width="10.5703125" style="38" customWidth="1"/>
    <col min="9" max="9" width="17.42578125" style="19" customWidth="1"/>
    <col min="10" max="10" width="11.42578125" style="19" customWidth="1"/>
    <col min="11" max="11" width="10.5703125" style="19" bestFit="1" customWidth="1"/>
    <col min="12" max="12" width="10.5703125" style="19" customWidth="1"/>
    <col min="13" max="13" width="11.85546875" style="19" customWidth="1"/>
    <col min="14" max="14" width="12.5703125" style="19" customWidth="1"/>
    <col min="15" max="15" width="9.85546875" style="19" customWidth="1"/>
    <col min="16" max="16" width="11.7109375" style="19" customWidth="1"/>
    <col min="17" max="247" width="9.140625" style="19"/>
    <col min="248" max="248" width="8.7109375" style="19" customWidth="1"/>
    <col min="249" max="249" width="9.85546875" style="19" customWidth="1"/>
    <col min="250" max="250" width="14.42578125" style="19" customWidth="1"/>
    <col min="251" max="251" width="7.28515625" style="19" customWidth="1"/>
    <col min="252" max="252" width="5.5703125" style="19" customWidth="1"/>
    <col min="253" max="253" width="9" style="19" customWidth="1"/>
    <col min="254" max="255" width="9.85546875" style="19" customWidth="1"/>
    <col min="256" max="256" width="11.140625" style="19" customWidth="1"/>
    <col min="257" max="257" width="2.85546875" style="19" customWidth="1"/>
    <col min="258" max="258" width="3.5703125" style="19" customWidth="1"/>
    <col min="259" max="503" width="9.140625" style="19"/>
    <col min="504" max="504" width="8.7109375" style="19" customWidth="1"/>
    <col min="505" max="505" width="9.85546875" style="19" customWidth="1"/>
    <col min="506" max="506" width="14.42578125" style="19" customWidth="1"/>
    <col min="507" max="507" width="7.28515625" style="19" customWidth="1"/>
    <col min="508" max="508" width="5.5703125" style="19" customWidth="1"/>
    <col min="509" max="509" width="9" style="19" customWidth="1"/>
    <col min="510" max="511" width="9.85546875" style="19" customWidth="1"/>
    <col min="512" max="512" width="11.140625" style="19" customWidth="1"/>
    <col min="513" max="513" width="2.85546875" style="19" customWidth="1"/>
    <col min="514" max="514" width="3.5703125" style="19" customWidth="1"/>
    <col min="515" max="759" width="9.140625" style="19"/>
    <col min="760" max="760" width="8.7109375" style="19" customWidth="1"/>
    <col min="761" max="761" width="9.85546875" style="19" customWidth="1"/>
    <col min="762" max="762" width="14.42578125" style="19" customWidth="1"/>
    <col min="763" max="763" width="7.28515625" style="19" customWidth="1"/>
    <col min="764" max="764" width="5.5703125" style="19" customWidth="1"/>
    <col min="765" max="765" width="9" style="19" customWidth="1"/>
    <col min="766" max="767" width="9.85546875" style="19" customWidth="1"/>
    <col min="768" max="768" width="11.140625" style="19" customWidth="1"/>
    <col min="769" max="769" width="2.85546875" style="19" customWidth="1"/>
    <col min="770" max="770" width="3.5703125" style="19" customWidth="1"/>
    <col min="771" max="1015" width="9.140625" style="19"/>
    <col min="1016" max="1016" width="8.7109375" style="19" customWidth="1"/>
    <col min="1017" max="1017" width="9.85546875" style="19" customWidth="1"/>
    <col min="1018" max="1018" width="14.42578125" style="19" customWidth="1"/>
    <col min="1019" max="1019" width="7.28515625" style="19" customWidth="1"/>
    <col min="1020" max="1020" width="5.5703125" style="19" customWidth="1"/>
    <col min="1021" max="1021" width="9" style="19" customWidth="1"/>
    <col min="1022" max="1023" width="9.85546875" style="19" customWidth="1"/>
    <col min="1024" max="1024" width="11.140625" style="19" customWidth="1"/>
    <col min="1025" max="1025" width="2.85546875" style="19" customWidth="1"/>
    <col min="1026" max="1026" width="3.5703125" style="19" customWidth="1"/>
    <col min="1027" max="1271" width="9.140625" style="19"/>
    <col min="1272" max="1272" width="8.7109375" style="19" customWidth="1"/>
    <col min="1273" max="1273" width="9.85546875" style="19" customWidth="1"/>
    <col min="1274" max="1274" width="14.42578125" style="19" customWidth="1"/>
    <col min="1275" max="1275" width="7.28515625" style="19" customWidth="1"/>
    <col min="1276" max="1276" width="5.5703125" style="19" customWidth="1"/>
    <col min="1277" max="1277" width="9" style="19" customWidth="1"/>
    <col min="1278" max="1279" width="9.85546875" style="19" customWidth="1"/>
    <col min="1280" max="1280" width="11.140625" style="19" customWidth="1"/>
    <col min="1281" max="1281" width="2.85546875" style="19" customWidth="1"/>
    <col min="1282" max="1282" width="3.5703125" style="19" customWidth="1"/>
    <col min="1283" max="1527" width="9.140625" style="19"/>
    <col min="1528" max="1528" width="8.7109375" style="19" customWidth="1"/>
    <col min="1529" max="1529" width="9.85546875" style="19" customWidth="1"/>
    <col min="1530" max="1530" width="14.42578125" style="19" customWidth="1"/>
    <col min="1531" max="1531" width="7.28515625" style="19" customWidth="1"/>
    <col min="1532" max="1532" width="5.5703125" style="19" customWidth="1"/>
    <col min="1533" max="1533" width="9" style="19" customWidth="1"/>
    <col min="1534" max="1535" width="9.85546875" style="19" customWidth="1"/>
    <col min="1536" max="1536" width="11.140625" style="19" customWidth="1"/>
    <col min="1537" max="1537" width="2.85546875" style="19" customWidth="1"/>
    <col min="1538" max="1538" width="3.5703125" style="19" customWidth="1"/>
    <col min="1539" max="1783" width="9.140625" style="19"/>
    <col min="1784" max="1784" width="8.7109375" style="19" customWidth="1"/>
    <col min="1785" max="1785" width="9.85546875" style="19" customWidth="1"/>
    <col min="1786" max="1786" width="14.42578125" style="19" customWidth="1"/>
    <col min="1787" max="1787" width="7.28515625" style="19" customWidth="1"/>
    <col min="1788" max="1788" width="5.5703125" style="19" customWidth="1"/>
    <col min="1789" max="1789" width="9" style="19" customWidth="1"/>
    <col min="1790" max="1791" width="9.85546875" style="19" customWidth="1"/>
    <col min="1792" max="1792" width="11.140625" style="19" customWidth="1"/>
    <col min="1793" max="1793" width="2.85546875" style="19" customWidth="1"/>
    <col min="1794" max="1794" width="3.5703125" style="19" customWidth="1"/>
    <col min="1795" max="2039" width="9.140625" style="19"/>
    <col min="2040" max="2040" width="8.7109375" style="19" customWidth="1"/>
    <col min="2041" max="2041" width="9.85546875" style="19" customWidth="1"/>
    <col min="2042" max="2042" width="14.42578125" style="19" customWidth="1"/>
    <col min="2043" max="2043" width="7.28515625" style="19" customWidth="1"/>
    <col min="2044" max="2044" width="5.5703125" style="19" customWidth="1"/>
    <col min="2045" max="2045" width="9" style="19" customWidth="1"/>
    <col min="2046" max="2047" width="9.85546875" style="19" customWidth="1"/>
    <col min="2048" max="2048" width="11.140625" style="19" customWidth="1"/>
    <col min="2049" max="2049" width="2.85546875" style="19" customWidth="1"/>
    <col min="2050" max="2050" width="3.5703125" style="19" customWidth="1"/>
    <col min="2051" max="2295" width="9.140625" style="19"/>
    <col min="2296" max="2296" width="8.7109375" style="19" customWidth="1"/>
    <col min="2297" max="2297" width="9.85546875" style="19" customWidth="1"/>
    <col min="2298" max="2298" width="14.42578125" style="19" customWidth="1"/>
    <col min="2299" max="2299" width="7.28515625" style="19" customWidth="1"/>
    <col min="2300" max="2300" width="5.5703125" style="19" customWidth="1"/>
    <col min="2301" max="2301" width="9" style="19" customWidth="1"/>
    <col min="2302" max="2303" width="9.85546875" style="19" customWidth="1"/>
    <col min="2304" max="2304" width="11.140625" style="19" customWidth="1"/>
    <col min="2305" max="2305" width="2.85546875" style="19" customWidth="1"/>
    <col min="2306" max="2306" width="3.5703125" style="19" customWidth="1"/>
    <col min="2307" max="2551" width="9.140625" style="19"/>
    <col min="2552" max="2552" width="8.7109375" style="19" customWidth="1"/>
    <col min="2553" max="2553" width="9.85546875" style="19" customWidth="1"/>
    <col min="2554" max="2554" width="14.42578125" style="19" customWidth="1"/>
    <col min="2555" max="2555" width="7.28515625" style="19" customWidth="1"/>
    <col min="2556" max="2556" width="5.5703125" style="19" customWidth="1"/>
    <col min="2557" max="2557" width="9" style="19" customWidth="1"/>
    <col min="2558" max="2559" width="9.85546875" style="19" customWidth="1"/>
    <col min="2560" max="2560" width="11.140625" style="19" customWidth="1"/>
    <col min="2561" max="2561" width="2.85546875" style="19" customWidth="1"/>
    <col min="2562" max="2562" width="3.5703125" style="19" customWidth="1"/>
    <col min="2563" max="2807" width="9.140625" style="19"/>
    <col min="2808" max="2808" width="8.7109375" style="19" customWidth="1"/>
    <col min="2809" max="2809" width="9.85546875" style="19" customWidth="1"/>
    <col min="2810" max="2810" width="14.42578125" style="19" customWidth="1"/>
    <col min="2811" max="2811" width="7.28515625" style="19" customWidth="1"/>
    <col min="2812" max="2812" width="5.5703125" style="19" customWidth="1"/>
    <col min="2813" max="2813" width="9" style="19" customWidth="1"/>
    <col min="2814" max="2815" width="9.85546875" style="19" customWidth="1"/>
    <col min="2816" max="2816" width="11.140625" style="19" customWidth="1"/>
    <col min="2817" max="2817" width="2.85546875" style="19" customWidth="1"/>
    <col min="2818" max="2818" width="3.5703125" style="19" customWidth="1"/>
    <col min="2819" max="3063" width="9.140625" style="19"/>
    <col min="3064" max="3064" width="8.7109375" style="19" customWidth="1"/>
    <col min="3065" max="3065" width="9.85546875" style="19" customWidth="1"/>
    <col min="3066" max="3066" width="14.42578125" style="19" customWidth="1"/>
    <col min="3067" max="3067" width="7.28515625" style="19" customWidth="1"/>
    <col min="3068" max="3068" width="5.5703125" style="19" customWidth="1"/>
    <col min="3069" max="3069" width="9" style="19" customWidth="1"/>
    <col min="3070" max="3071" width="9.85546875" style="19" customWidth="1"/>
    <col min="3072" max="3072" width="11.140625" style="19" customWidth="1"/>
    <col min="3073" max="3073" width="2.85546875" style="19" customWidth="1"/>
    <col min="3074" max="3074" width="3.5703125" style="19" customWidth="1"/>
    <col min="3075" max="3319" width="9.140625" style="19"/>
    <col min="3320" max="3320" width="8.7109375" style="19" customWidth="1"/>
    <col min="3321" max="3321" width="9.85546875" style="19" customWidth="1"/>
    <col min="3322" max="3322" width="14.42578125" style="19" customWidth="1"/>
    <col min="3323" max="3323" width="7.28515625" style="19" customWidth="1"/>
    <col min="3324" max="3324" width="5.5703125" style="19" customWidth="1"/>
    <col min="3325" max="3325" width="9" style="19" customWidth="1"/>
    <col min="3326" max="3327" width="9.85546875" style="19" customWidth="1"/>
    <col min="3328" max="3328" width="11.140625" style="19" customWidth="1"/>
    <col min="3329" max="3329" width="2.85546875" style="19" customWidth="1"/>
    <col min="3330" max="3330" width="3.5703125" style="19" customWidth="1"/>
    <col min="3331" max="3575" width="9.140625" style="19"/>
    <col min="3576" max="3576" width="8.7109375" style="19" customWidth="1"/>
    <col min="3577" max="3577" width="9.85546875" style="19" customWidth="1"/>
    <col min="3578" max="3578" width="14.42578125" style="19" customWidth="1"/>
    <col min="3579" max="3579" width="7.28515625" style="19" customWidth="1"/>
    <col min="3580" max="3580" width="5.5703125" style="19" customWidth="1"/>
    <col min="3581" max="3581" width="9" style="19" customWidth="1"/>
    <col min="3582" max="3583" width="9.85546875" style="19" customWidth="1"/>
    <col min="3584" max="3584" width="11.140625" style="19" customWidth="1"/>
    <col min="3585" max="3585" width="2.85546875" style="19" customWidth="1"/>
    <col min="3586" max="3586" width="3.5703125" style="19" customWidth="1"/>
    <col min="3587" max="3831" width="9.140625" style="19"/>
    <col min="3832" max="3832" width="8.7109375" style="19" customWidth="1"/>
    <col min="3833" max="3833" width="9.85546875" style="19" customWidth="1"/>
    <col min="3834" max="3834" width="14.42578125" style="19" customWidth="1"/>
    <col min="3835" max="3835" width="7.28515625" style="19" customWidth="1"/>
    <col min="3836" max="3836" width="5.5703125" style="19" customWidth="1"/>
    <col min="3837" max="3837" width="9" style="19" customWidth="1"/>
    <col min="3838" max="3839" width="9.85546875" style="19" customWidth="1"/>
    <col min="3840" max="3840" width="11.140625" style="19" customWidth="1"/>
    <col min="3841" max="3841" width="2.85546875" style="19" customWidth="1"/>
    <col min="3842" max="3842" width="3.5703125" style="19" customWidth="1"/>
    <col min="3843" max="4087" width="9.140625" style="19"/>
    <col min="4088" max="4088" width="8.7109375" style="19" customWidth="1"/>
    <col min="4089" max="4089" width="9.85546875" style="19" customWidth="1"/>
    <col min="4090" max="4090" width="14.42578125" style="19" customWidth="1"/>
    <col min="4091" max="4091" width="7.28515625" style="19" customWidth="1"/>
    <col min="4092" max="4092" width="5.5703125" style="19" customWidth="1"/>
    <col min="4093" max="4093" width="9" style="19" customWidth="1"/>
    <col min="4094" max="4095" width="9.85546875" style="19" customWidth="1"/>
    <col min="4096" max="4096" width="11.140625" style="19" customWidth="1"/>
    <col min="4097" max="4097" width="2.85546875" style="19" customWidth="1"/>
    <col min="4098" max="4098" width="3.5703125" style="19" customWidth="1"/>
    <col min="4099" max="4343" width="9.140625" style="19"/>
    <col min="4344" max="4344" width="8.7109375" style="19" customWidth="1"/>
    <col min="4345" max="4345" width="9.85546875" style="19" customWidth="1"/>
    <col min="4346" max="4346" width="14.42578125" style="19" customWidth="1"/>
    <col min="4347" max="4347" width="7.28515625" style="19" customWidth="1"/>
    <col min="4348" max="4348" width="5.5703125" style="19" customWidth="1"/>
    <col min="4349" max="4349" width="9" style="19" customWidth="1"/>
    <col min="4350" max="4351" width="9.85546875" style="19" customWidth="1"/>
    <col min="4352" max="4352" width="11.140625" style="19" customWidth="1"/>
    <col min="4353" max="4353" width="2.85546875" style="19" customWidth="1"/>
    <col min="4354" max="4354" width="3.5703125" style="19" customWidth="1"/>
    <col min="4355" max="4599" width="9.140625" style="19"/>
    <col min="4600" max="4600" width="8.7109375" style="19" customWidth="1"/>
    <col min="4601" max="4601" width="9.85546875" style="19" customWidth="1"/>
    <col min="4602" max="4602" width="14.42578125" style="19" customWidth="1"/>
    <col min="4603" max="4603" width="7.28515625" style="19" customWidth="1"/>
    <col min="4604" max="4604" width="5.5703125" style="19" customWidth="1"/>
    <col min="4605" max="4605" width="9" style="19" customWidth="1"/>
    <col min="4606" max="4607" width="9.85546875" style="19" customWidth="1"/>
    <col min="4608" max="4608" width="11.140625" style="19" customWidth="1"/>
    <col min="4609" max="4609" width="2.85546875" style="19" customWidth="1"/>
    <col min="4610" max="4610" width="3.5703125" style="19" customWidth="1"/>
    <col min="4611" max="4855" width="9.140625" style="19"/>
    <col min="4856" max="4856" width="8.7109375" style="19" customWidth="1"/>
    <col min="4857" max="4857" width="9.85546875" style="19" customWidth="1"/>
    <col min="4858" max="4858" width="14.42578125" style="19" customWidth="1"/>
    <col min="4859" max="4859" width="7.28515625" style="19" customWidth="1"/>
    <col min="4860" max="4860" width="5.5703125" style="19" customWidth="1"/>
    <col min="4861" max="4861" width="9" style="19" customWidth="1"/>
    <col min="4862" max="4863" width="9.85546875" style="19" customWidth="1"/>
    <col min="4864" max="4864" width="11.140625" style="19" customWidth="1"/>
    <col min="4865" max="4865" width="2.85546875" style="19" customWidth="1"/>
    <col min="4866" max="4866" width="3.5703125" style="19" customWidth="1"/>
    <col min="4867" max="5111" width="9.140625" style="19"/>
    <col min="5112" max="5112" width="8.7109375" style="19" customWidth="1"/>
    <col min="5113" max="5113" width="9.85546875" style="19" customWidth="1"/>
    <col min="5114" max="5114" width="14.42578125" style="19" customWidth="1"/>
    <col min="5115" max="5115" width="7.28515625" style="19" customWidth="1"/>
    <col min="5116" max="5116" width="5.5703125" style="19" customWidth="1"/>
    <col min="5117" max="5117" width="9" style="19" customWidth="1"/>
    <col min="5118" max="5119" width="9.85546875" style="19" customWidth="1"/>
    <col min="5120" max="5120" width="11.140625" style="19" customWidth="1"/>
    <col min="5121" max="5121" width="2.85546875" style="19" customWidth="1"/>
    <col min="5122" max="5122" width="3.5703125" style="19" customWidth="1"/>
    <col min="5123" max="5367" width="9.140625" style="19"/>
    <col min="5368" max="5368" width="8.7109375" style="19" customWidth="1"/>
    <col min="5369" max="5369" width="9.85546875" style="19" customWidth="1"/>
    <col min="5370" max="5370" width="14.42578125" style="19" customWidth="1"/>
    <col min="5371" max="5371" width="7.28515625" style="19" customWidth="1"/>
    <col min="5372" max="5372" width="5.5703125" style="19" customWidth="1"/>
    <col min="5373" max="5373" width="9" style="19" customWidth="1"/>
    <col min="5374" max="5375" width="9.85546875" style="19" customWidth="1"/>
    <col min="5376" max="5376" width="11.140625" style="19" customWidth="1"/>
    <col min="5377" max="5377" width="2.85546875" style="19" customWidth="1"/>
    <col min="5378" max="5378" width="3.5703125" style="19" customWidth="1"/>
    <col min="5379" max="5623" width="9.140625" style="19"/>
    <col min="5624" max="5624" width="8.7109375" style="19" customWidth="1"/>
    <col min="5625" max="5625" width="9.85546875" style="19" customWidth="1"/>
    <col min="5626" max="5626" width="14.42578125" style="19" customWidth="1"/>
    <col min="5627" max="5627" width="7.28515625" style="19" customWidth="1"/>
    <col min="5628" max="5628" width="5.5703125" style="19" customWidth="1"/>
    <col min="5629" max="5629" width="9" style="19" customWidth="1"/>
    <col min="5630" max="5631" width="9.85546875" style="19" customWidth="1"/>
    <col min="5632" max="5632" width="11.140625" style="19" customWidth="1"/>
    <col min="5633" max="5633" width="2.85546875" style="19" customWidth="1"/>
    <col min="5634" max="5634" width="3.5703125" style="19" customWidth="1"/>
    <col min="5635" max="5879" width="9.140625" style="19"/>
    <col min="5880" max="5880" width="8.7109375" style="19" customWidth="1"/>
    <col min="5881" max="5881" width="9.85546875" style="19" customWidth="1"/>
    <col min="5882" max="5882" width="14.42578125" style="19" customWidth="1"/>
    <col min="5883" max="5883" width="7.28515625" style="19" customWidth="1"/>
    <col min="5884" max="5884" width="5.5703125" style="19" customWidth="1"/>
    <col min="5885" max="5885" width="9" style="19" customWidth="1"/>
    <col min="5886" max="5887" width="9.85546875" style="19" customWidth="1"/>
    <col min="5888" max="5888" width="11.140625" style="19" customWidth="1"/>
    <col min="5889" max="5889" width="2.85546875" style="19" customWidth="1"/>
    <col min="5890" max="5890" width="3.5703125" style="19" customWidth="1"/>
    <col min="5891" max="6135" width="9.140625" style="19"/>
    <col min="6136" max="6136" width="8.7109375" style="19" customWidth="1"/>
    <col min="6137" max="6137" width="9.85546875" style="19" customWidth="1"/>
    <col min="6138" max="6138" width="14.42578125" style="19" customWidth="1"/>
    <col min="6139" max="6139" width="7.28515625" style="19" customWidth="1"/>
    <col min="6140" max="6140" width="5.5703125" style="19" customWidth="1"/>
    <col min="6141" max="6141" width="9" style="19" customWidth="1"/>
    <col min="6142" max="6143" width="9.85546875" style="19" customWidth="1"/>
    <col min="6144" max="6144" width="11.140625" style="19" customWidth="1"/>
    <col min="6145" max="6145" width="2.85546875" style="19" customWidth="1"/>
    <col min="6146" max="6146" width="3.5703125" style="19" customWidth="1"/>
    <col min="6147" max="6391" width="9.140625" style="19"/>
    <col min="6392" max="6392" width="8.7109375" style="19" customWidth="1"/>
    <col min="6393" max="6393" width="9.85546875" style="19" customWidth="1"/>
    <col min="6394" max="6394" width="14.42578125" style="19" customWidth="1"/>
    <col min="6395" max="6395" width="7.28515625" style="19" customWidth="1"/>
    <col min="6396" max="6396" width="5.5703125" style="19" customWidth="1"/>
    <col min="6397" max="6397" width="9" style="19" customWidth="1"/>
    <col min="6398" max="6399" width="9.85546875" style="19" customWidth="1"/>
    <col min="6400" max="6400" width="11.140625" style="19" customWidth="1"/>
    <col min="6401" max="6401" width="2.85546875" style="19" customWidth="1"/>
    <col min="6402" max="6402" width="3.5703125" style="19" customWidth="1"/>
    <col min="6403" max="6647" width="9.140625" style="19"/>
    <col min="6648" max="6648" width="8.7109375" style="19" customWidth="1"/>
    <col min="6649" max="6649" width="9.85546875" style="19" customWidth="1"/>
    <col min="6650" max="6650" width="14.42578125" style="19" customWidth="1"/>
    <col min="6651" max="6651" width="7.28515625" style="19" customWidth="1"/>
    <col min="6652" max="6652" width="5.5703125" style="19" customWidth="1"/>
    <col min="6653" max="6653" width="9" style="19" customWidth="1"/>
    <col min="6654" max="6655" width="9.85546875" style="19" customWidth="1"/>
    <col min="6656" max="6656" width="11.140625" style="19" customWidth="1"/>
    <col min="6657" max="6657" width="2.85546875" style="19" customWidth="1"/>
    <col min="6658" max="6658" width="3.5703125" style="19" customWidth="1"/>
    <col min="6659" max="6903" width="9.140625" style="19"/>
    <col min="6904" max="6904" width="8.7109375" style="19" customWidth="1"/>
    <col min="6905" max="6905" width="9.85546875" style="19" customWidth="1"/>
    <col min="6906" max="6906" width="14.42578125" style="19" customWidth="1"/>
    <col min="6907" max="6907" width="7.28515625" style="19" customWidth="1"/>
    <col min="6908" max="6908" width="5.5703125" style="19" customWidth="1"/>
    <col min="6909" max="6909" width="9" style="19" customWidth="1"/>
    <col min="6910" max="6911" width="9.85546875" style="19" customWidth="1"/>
    <col min="6912" max="6912" width="11.140625" style="19" customWidth="1"/>
    <col min="6913" max="6913" width="2.85546875" style="19" customWidth="1"/>
    <col min="6914" max="6914" width="3.5703125" style="19" customWidth="1"/>
    <col min="6915" max="7159" width="9.140625" style="19"/>
    <col min="7160" max="7160" width="8.7109375" style="19" customWidth="1"/>
    <col min="7161" max="7161" width="9.85546875" style="19" customWidth="1"/>
    <col min="7162" max="7162" width="14.42578125" style="19" customWidth="1"/>
    <col min="7163" max="7163" width="7.28515625" style="19" customWidth="1"/>
    <col min="7164" max="7164" width="5.5703125" style="19" customWidth="1"/>
    <col min="7165" max="7165" width="9" style="19" customWidth="1"/>
    <col min="7166" max="7167" width="9.85546875" style="19" customWidth="1"/>
    <col min="7168" max="7168" width="11.140625" style="19" customWidth="1"/>
    <col min="7169" max="7169" width="2.85546875" style="19" customWidth="1"/>
    <col min="7170" max="7170" width="3.5703125" style="19" customWidth="1"/>
    <col min="7171" max="7415" width="9.140625" style="19"/>
    <col min="7416" max="7416" width="8.7109375" style="19" customWidth="1"/>
    <col min="7417" max="7417" width="9.85546875" style="19" customWidth="1"/>
    <col min="7418" max="7418" width="14.42578125" style="19" customWidth="1"/>
    <col min="7419" max="7419" width="7.28515625" style="19" customWidth="1"/>
    <col min="7420" max="7420" width="5.5703125" style="19" customWidth="1"/>
    <col min="7421" max="7421" width="9" style="19" customWidth="1"/>
    <col min="7422" max="7423" width="9.85546875" style="19" customWidth="1"/>
    <col min="7424" max="7424" width="11.140625" style="19" customWidth="1"/>
    <col min="7425" max="7425" width="2.85546875" style="19" customWidth="1"/>
    <col min="7426" max="7426" width="3.5703125" style="19" customWidth="1"/>
    <col min="7427" max="7671" width="9.140625" style="19"/>
    <col min="7672" max="7672" width="8.7109375" style="19" customWidth="1"/>
    <col min="7673" max="7673" width="9.85546875" style="19" customWidth="1"/>
    <col min="7674" max="7674" width="14.42578125" style="19" customWidth="1"/>
    <col min="7675" max="7675" width="7.28515625" style="19" customWidth="1"/>
    <col min="7676" max="7676" width="5.5703125" style="19" customWidth="1"/>
    <col min="7677" max="7677" width="9" style="19" customWidth="1"/>
    <col min="7678" max="7679" width="9.85546875" style="19" customWidth="1"/>
    <col min="7680" max="7680" width="11.140625" style="19" customWidth="1"/>
    <col min="7681" max="7681" width="2.85546875" style="19" customWidth="1"/>
    <col min="7682" max="7682" width="3.5703125" style="19" customWidth="1"/>
    <col min="7683" max="7927" width="9.140625" style="19"/>
    <col min="7928" max="7928" width="8.7109375" style="19" customWidth="1"/>
    <col min="7929" max="7929" width="9.85546875" style="19" customWidth="1"/>
    <col min="7930" max="7930" width="14.42578125" style="19" customWidth="1"/>
    <col min="7931" max="7931" width="7.28515625" style="19" customWidth="1"/>
    <col min="7932" max="7932" width="5.5703125" style="19" customWidth="1"/>
    <col min="7933" max="7933" width="9" style="19" customWidth="1"/>
    <col min="7934" max="7935" width="9.85546875" style="19" customWidth="1"/>
    <col min="7936" max="7936" width="11.140625" style="19" customWidth="1"/>
    <col min="7937" max="7937" width="2.85546875" style="19" customWidth="1"/>
    <col min="7938" max="7938" width="3.5703125" style="19" customWidth="1"/>
    <col min="7939" max="8183" width="9.140625" style="19"/>
    <col min="8184" max="8184" width="8.7109375" style="19" customWidth="1"/>
    <col min="8185" max="8185" width="9.85546875" style="19" customWidth="1"/>
    <col min="8186" max="8186" width="14.42578125" style="19" customWidth="1"/>
    <col min="8187" max="8187" width="7.28515625" style="19" customWidth="1"/>
    <col min="8188" max="8188" width="5.5703125" style="19" customWidth="1"/>
    <col min="8189" max="8189" width="9" style="19" customWidth="1"/>
    <col min="8190" max="8191" width="9.85546875" style="19" customWidth="1"/>
    <col min="8192" max="8192" width="11.140625" style="19" customWidth="1"/>
    <col min="8193" max="8193" width="2.85546875" style="19" customWidth="1"/>
    <col min="8194" max="8194" width="3.5703125" style="19" customWidth="1"/>
    <col min="8195" max="8439" width="9.140625" style="19"/>
    <col min="8440" max="8440" width="8.7109375" style="19" customWidth="1"/>
    <col min="8441" max="8441" width="9.85546875" style="19" customWidth="1"/>
    <col min="8442" max="8442" width="14.42578125" style="19" customWidth="1"/>
    <col min="8443" max="8443" width="7.28515625" style="19" customWidth="1"/>
    <col min="8444" max="8444" width="5.5703125" style="19" customWidth="1"/>
    <col min="8445" max="8445" width="9" style="19" customWidth="1"/>
    <col min="8446" max="8447" width="9.85546875" style="19" customWidth="1"/>
    <col min="8448" max="8448" width="11.140625" style="19" customWidth="1"/>
    <col min="8449" max="8449" width="2.85546875" style="19" customWidth="1"/>
    <col min="8450" max="8450" width="3.5703125" style="19" customWidth="1"/>
    <col min="8451" max="8695" width="9.140625" style="19"/>
    <col min="8696" max="8696" width="8.7109375" style="19" customWidth="1"/>
    <col min="8697" max="8697" width="9.85546875" style="19" customWidth="1"/>
    <col min="8698" max="8698" width="14.42578125" style="19" customWidth="1"/>
    <col min="8699" max="8699" width="7.28515625" style="19" customWidth="1"/>
    <col min="8700" max="8700" width="5.5703125" style="19" customWidth="1"/>
    <col min="8701" max="8701" width="9" style="19" customWidth="1"/>
    <col min="8702" max="8703" width="9.85546875" style="19" customWidth="1"/>
    <col min="8704" max="8704" width="11.140625" style="19" customWidth="1"/>
    <col min="8705" max="8705" width="2.85546875" style="19" customWidth="1"/>
    <col min="8706" max="8706" width="3.5703125" style="19" customWidth="1"/>
    <col min="8707" max="8951" width="9.140625" style="19"/>
    <col min="8952" max="8952" width="8.7109375" style="19" customWidth="1"/>
    <col min="8953" max="8953" width="9.85546875" style="19" customWidth="1"/>
    <col min="8954" max="8954" width="14.42578125" style="19" customWidth="1"/>
    <col min="8955" max="8955" width="7.28515625" style="19" customWidth="1"/>
    <col min="8956" max="8956" width="5.5703125" style="19" customWidth="1"/>
    <col min="8957" max="8957" width="9" style="19" customWidth="1"/>
    <col min="8958" max="8959" width="9.85546875" style="19" customWidth="1"/>
    <col min="8960" max="8960" width="11.140625" style="19" customWidth="1"/>
    <col min="8961" max="8961" width="2.85546875" style="19" customWidth="1"/>
    <col min="8962" max="8962" width="3.5703125" style="19" customWidth="1"/>
    <col min="8963" max="9207" width="9.140625" style="19"/>
    <col min="9208" max="9208" width="8.7109375" style="19" customWidth="1"/>
    <col min="9209" max="9209" width="9.85546875" style="19" customWidth="1"/>
    <col min="9210" max="9210" width="14.42578125" style="19" customWidth="1"/>
    <col min="9211" max="9211" width="7.28515625" style="19" customWidth="1"/>
    <col min="9212" max="9212" width="5.5703125" style="19" customWidth="1"/>
    <col min="9213" max="9213" width="9" style="19" customWidth="1"/>
    <col min="9214" max="9215" width="9.85546875" style="19" customWidth="1"/>
    <col min="9216" max="9216" width="11.140625" style="19" customWidth="1"/>
    <col min="9217" max="9217" width="2.85546875" style="19" customWidth="1"/>
    <col min="9218" max="9218" width="3.5703125" style="19" customWidth="1"/>
    <col min="9219" max="9463" width="9.140625" style="19"/>
    <col min="9464" max="9464" width="8.7109375" style="19" customWidth="1"/>
    <col min="9465" max="9465" width="9.85546875" style="19" customWidth="1"/>
    <col min="9466" max="9466" width="14.42578125" style="19" customWidth="1"/>
    <col min="9467" max="9467" width="7.28515625" style="19" customWidth="1"/>
    <col min="9468" max="9468" width="5.5703125" style="19" customWidth="1"/>
    <col min="9469" max="9469" width="9" style="19" customWidth="1"/>
    <col min="9470" max="9471" width="9.85546875" style="19" customWidth="1"/>
    <col min="9472" max="9472" width="11.140625" style="19" customWidth="1"/>
    <col min="9473" max="9473" width="2.85546875" style="19" customWidth="1"/>
    <col min="9474" max="9474" width="3.5703125" style="19" customWidth="1"/>
    <col min="9475" max="9719" width="9.140625" style="19"/>
    <col min="9720" max="9720" width="8.7109375" style="19" customWidth="1"/>
    <col min="9721" max="9721" width="9.85546875" style="19" customWidth="1"/>
    <col min="9722" max="9722" width="14.42578125" style="19" customWidth="1"/>
    <col min="9723" max="9723" width="7.28515625" style="19" customWidth="1"/>
    <col min="9724" max="9724" width="5.5703125" style="19" customWidth="1"/>
    <col min="9725" max="9725" width="9" style="19" customWidth="1"/>
    <col min="9726" max="9727" width="9.85546875" style="19" customWidth="1"/>
    <col min="9728" max="9728" width="11.140625" style="19" customWidth="1"/>
    <col min="9729" max="9729" width="2.85546875" style="19" customWidth="1"/>
    <col min="9730" max="9730" width="3.5703125" style="19" customWidth="1"/>
    <col min="9731" max="9975" width="9.140625" style="19"/>
    <col min="9976" max="9976" width="8.7109375" style="19" customWidth="1"/>
    <col min="9977" max="9977" width="9.85546875" style="19" customWidth="1"/>
    <col min="9978" max="9978" width="14.42578125" style="19" customWidth="1"/>
    <col min="9979" max="9979" width="7.28515625" style="19" customWidth="1"/>
    <col min="9980" max="9980" width="5.5703125" style="19" customWidth="1"/>
    <col min="9981" max="9981" width="9" style="19" customWidth="1"/>
    <col min="9982" max="9983" width="9.85546875" style="19" customWidth="1"/>
    <col min="9984" max="9984" width="11.140625" style="19" customWidth="1"/>
    <col min="9985" max="9985" width="2.85546875" style="19" customWidth="1"/>
    <col min="9986" max="9986" width="3.5703125" style="19" customWidth="1"/>
    <col min="9987" max="10231" width="9.140625" style="19"/>
    <col min="10232" max="10232" width="8.7109375" style="19" customWidth="1"/>
    <col min="10233" max="10233" width="9.85546875" style="19" customWidth="1"/>
    <col min="10234" max="10234" width="14.42578125" style="19" customWidth="1"/>
    <col min="10235" max="10235" width="7.28515625" style="19" customWidth="1"/>
    <col min="10236" max="10236" width="5.5703125" style="19" customWidth="1"/>
    <col min="10237" max="10237" width="9" style="19" customWidth="1"/>
    <col min="10238" max="10239" width="9.85546875" style="19" customWidth="1"/>
    <col min="10240" max="10240" width="11.140625" style="19" customWidth="1"/>
    <col min="10241" max="10241" width="2.85546875" style="19" customWidth="1"/>
    <col min="10242" max="10242" width="3.5703125" style="19" customWidth="1"/>
    <col min="10243" max="10487" width="9.140625" style="19"/>
    <col min="10488" max="10488" width="8.7109375" style="19" customWidth="1"/>
    <col min="10489" max="10489" width="9.85546875" style="19" customWidth="1"/>
    <col min="10490" max="10490" width="14.42578125" style="19" customWidth="1"/>
    <col min="10491" max="10491" width="7.28515625" style="19" customWidth="1"/>
    <col min="10492" max="10492" width="5.5703125" style="19" customWidth="1"/>
    <col min="10493" max="10493" width="9" style="19" customWidth="1"/>
    <col min="10494" max="10495" width="9.85546875" style="19" customWidth="1"/>
    <col min="10496" max="10496" width="11.140625" style="19" customWidth="1"/>
    <col min="10497" max="10497" width="2.85546875" style="19" customWidth="1"/>
    <col min="10498" max="10498" width="3.5703125" style="19" customWidth="1"/>
    <col min="10499" max="10743" width="9.140625" style="19"/>
    <col min="10744" max="10744" width="8.7109375" style="19" customWidth="1"/>
    <col min="10745" max="10745" width="9.85546875" style="19" customWidth="1"/>
    <col min="10746" max="10746" width="14.42578125" style="19" customWidth="1"/>
    <col min="10747" max="10747" width="7.28515625" style="19" customWidth="1"/>
    <col min="10748" max="10748" width="5.5703125" style="19" customWidth="1"/>
    <col min="10749" max="10749" width="9" style="19" customWidth="1"/>
    <col min="10750" max="10751" width="9.85546875" style="19" customWidth="1"/>
    <col min="10752" max="10752" width="11.140625" style="19" customWidth="1"/>
    <col min="10753" max="10753" width="2.85546875" style="19" customWidth="1"/>
    <col min="10754" max="10754" width="3.5703125" style="19" customWidth="1"/>
    <col min="10755" max="10999" width="9.140625" style="19"/>
    <col min="11000" max="11000" width="8.7109375" style="19" customWidth="1"/>
    <col min="11001" max="11001" width="9.85546875" style="19" customWidth="1"/>
    <col min="11002" max="11002" width="14.42578125" style="19" customWidth="1"/>
    <col min="11003" max="11003" width="7.28515625" style="19" customWidth="1"/>
    <col min="11004" max="11004" width="5.5703125" style="19" customWidth="1"/>
    <col min="11005" max="11005" width="9" style="19" customWidth="1"/>
    <col min="11006" max="11007" width="9.85546875" style="19" customWidth="1"/>
    <col min="11008" max="11008" width="11.140625" style="19" customWidth="1"/>
    <col min="11009" max="11009" width="2.85546875" style="19" customWidth="1"/>
    <col min="11010" max="11010" width="3.5703125" style="19" customWidth="1"/>
    <col min="11011" max="11255" width="9.140625" style="19"/>
    <col min="11256" max="11256" width="8.7109375" style="19" customWidth="1"/>
    <col min="11257" max="11257" width="9.85546875" style="19" customWidth="1"/>
    <col min="11258" max="11258" width="14.42578125" style="19" customWidth="1"/>
    <col min="11259" max="11259" width="7.28515625" style="19" customWidth="1"/>
    <col min="11260" max="11260" width="5.5703125" style="19" customWidth="1"/>
    <col min="11261" max="11261" width="9" style="19" customWidth="1"/>
    <col min="11262" max="11263" width="9.85546875" style="19" customWidth="1"/>
    <col min="11264" max="11264" width="11.140625" style="19" customWidth="1"/>
    <col min="11265" max="11265" width="2.85546875" style="19" customWidth="1"/>
    <col min="11266" max="11266" width="3.5703125" style="19" customWidth="1"/>
    <col min="11267" max="11511" width="9.140625" style="19"/>
    <col min="11512" max="11512" width="8.7109375" style="19" customWidth="1"/>
    <col min="11513" max="11513" width="9.85546875" style="19" customWidth="1"/>
    <col min="11514" max="11514" width="14.42578125" style="19" customWidth="1"/>
    <col min="11515" max="11515" width="7.28515625" style="19" customWidth="1"/>
    <col min="11516" max="11516" width="5.5703125" style="19" customWidth="1"/>
    <col min="11517" max="11517" width="9" style="19" customWidth="1"/>
    <col min="11518" max="11519" width="9.85546875" style="19" customWidth="1"/>
    <col min="11520" max="11520" width="11.140625" style="19" customWidth="1"/>
    <col min="11521" max="11521" width="2.85546875" style="19" customWidth="1"/>
    <col min="11522" max="11522" width="3.5703125" style="19" customWidth="1"/>
    <col min="11523" max="11767" width="9.140625" style="19"/>
    <col min="11768" max="11768" width="8.7109375" style="19" customWidth="1"/>
    <col min="11769" max="11769" width="9.85546875" style="19" customWidth="1"/>
    <col min="11770" max="11770" width="14.42578125" style="19" customWidth="1"/>
    <col min="11771" max="11771" width="7.28515625" style="19" customWidth="1"/>
    <col min="11772" max="11772" width="5.5703125" style="19" customWidth="1"/>
    <col min="11773" max="11773" width="9" style="19" customWidth="1"/>
    <col min="11774" max="11775" width="9.85546875" style="19" customWidth="1"/>
    <col min="11776" max="11776" width="11.140625" style="19" customWidth="1"/>
    <col min="11777" max="11777" width="2.85546875" style="19" customWidth="1"/>
    <col min="11778" max="11778" width="3.5703125" style="19" customWidth="1"/>
    <col min="11779" max="12023" width="9.140625" style="19"/>
    <col min="12024" max="12024" width="8.7109375" style="19" customWidth="1"/>
    <col min="12025" max="12025" width="9.85546875" style="19" customWidth="1"/>
    <col min="12026" max="12026" width="14.42578125" style="19" customWidth="1"/>
    <col min="12027" max="12027" width="7.28515625" style="19" customWidth="1"/>
    <col min="12028" max="12028" width="5.5703125" style="19" customWidth="1"/>
    <col min="12029" max="12029" width="9" style="19" customWidth="1"/>
    <col min="12030" max="12031" width="9.85546875" style="19" customWidth="1"/>
    <col min="12032" max="12032" width="11.140625" style="19" customWidth="1"/>
    <col min="12033" max="12033" width="2.85546875" style="19" customWidth="1"/>
    <col min="12034" max="12034" width="3.5703125" style="19" customWidth="1"/>
    <col min="12035" max="12279" width="9.140625" style="19"/>
    <col min="12280" max="12280" width="8.7109375" style="19" customWidth="1"/>
    <col min="12281" max="12281" width="9.85546875" style="19" customWidth="1"/>
    <col min="12282" max="12282" width="14.42578125" style="19" customWidth="1"/>
    <col min="12283" max="12283" width="7.28515625" style="19" customWidth="1"/>
    <col min="12284" max="12284" width="5.5703125" style="19" customWidth="1"/>
    <col min="12285" max="12285" width="9" style="19" customWidth="1"/>
    <col min="12286" max="12287" width="9.85546875" style="19" customWidth="1"/>
    <col min="12288" max="12288" width="11.140625" style="19" customWidth="1"/>
    <col min="12289" max="12289" width="2.85546875" style="19" customWidth="1"/>
    <col min="12290" max="12290" width="3.5703125" style="19" customWidth="1"/>
    <col min="12291" max="12535" width="9.140625" style="19"/>
    <col min="12536" max="12536" width="8.7109375" style="19" customWidth="1"/>
    <col min="12537" max="12537" width="9.85546875" style="19" customWidth="1"/>
    <col min="12538" max="12538" width="14.42578125" style="19" customWidth="1"/>
    <col min="12539" max="12539" width="7.28515625" style="19" customWidth="1"/>
    <col min="12540" max="12540" width="5.5703125" style="19" customWidth="1"/>
    <col min="12541" max="12541" width="9" style="19" customWidth="1"/>
    <col min="12542" max="12543" width="9.85546875" style="19" customWidth="1"/>
    <col min="12544" max="12544" width="11.140625" style="19" customWidth="1"/>
    <col min="12545" max="12545" width="2.85546875" style="19" customWidth="1"/>
    <col min="12546" max="12546" width="3.5703125" style="19" customWidth="1"/>
    <col min="12547" max="12791" width="9.140625" style="19"/>
    <col min="12792" max="12792" width="8.7109375" style="19" customWidth="1"/>
    <col min="12793" max="12793" width="9.85546875" style="19" customWidth="1"/>
    <col min="12794" max="12794" width="14.42578125" style="19" customWidth="1"/>
    <col min="12795" max="12795" width="7.28515625" style="19" customWidth="1"/>
    <col min="12796" max="12796" width="5.5703125" style="19" customWidth="1"/>
    <col min="12797" max="12797" width="9" style="19" customWidth="1"/>
    <col min="12798" max="12799" width="9.85546875" style="19" customWidth="1"/>
    <col min="12800" max="12800" width="11.140625" style="19" customWidth="1"/>
    <col min="12801" max="12801" width="2.85546875" style="19" customWidth="1"/>
    <col min="12802" max="12802" width="3.5703125" style="19" customWidth="1"/>
    <col min="12803" max="13047" width="9.140625" style="19"/>
    <col min="13048" max="13048" width="8.7109375" style="19" customWidth="1"/>
    <col min="13049" max="13049" width="9.85546875" style="19" customWidth="1"/>
    <col min="13050" max="13050" width="14.42578125" style="19" customWidth="1"/>
    <col min="13051" max="13051" width="7.28515625" style="19" customWidth="1"/>
    <col min="13052" max="13052" width="5.5703125" style="19" customWidth="1"/>
    <col min="13053" max="13053" width="9" style="19" customWidth="1"/>
    <col min="13054" max="13055" width="9.85546875" style="19" customWidth="1"/>
    <col min="13056" max="13056" width="11.140625" style="19" customWidth="1"/>
    <col min="13057" max="13057" width="2.85546875" style="19" customWidth="1"/>
    <col min="13058" max="13058" width="3.5703125" style="19" customWidth="1"/>
    <col min="13059" max="13303" width="9.140625" style="19"/>
    <col min="13304" max="13304" width="8.7109375" style="19" customWidth="1"/>
    <col min="13305" max="13305" width="9.85546875" style="19" customWidth="1"/>
    <col min="13306" max="13306" width="14.42578125" style="19" customWidth="1"/>
    <col min="13307" max="13307" width="7.28515625" style="19" customWidth="1"/>
    <col min="13308" max="13308" width="5.5703125" style="19" customWidth="1"/>
    <col min="13309" max="13309" width="9" style="19" customWidth="1"/>
    <col min="13310" max="13311" width="9.85546875" style="19" customWidth="1"/>
    <col min="13312" max="13312" width="11.140625" style="19" customWidth="1"/>
    <col min="13313" max="13313" width="2.85546875" style="19" customWidth="1"/>
    <col min="13314" max="13314" width="3.5703125" style="19" customWidth="1"/>
    <col min="13315" max="13559" width="9.140625" style="19"/>
    <col min="13560" max="13560" width="8.7109375" style="19" customWidth="1"/>
    <col min="13561" max="13561" width="9.85546875" style="19" customWidth="1"/>
    <col min="13562" max="13562" width="14.42578125" style="19" customWidth="1"/>
    <col min="13563" max="13563" width="7.28515625" style="19" customWidth="1"/>
    <col min="13564" max="13564" width="5.5703125" style="19" customWidth="1"/>
    <col min="13565" max="13565" width="9" style="19" customWidth="1"/>
    <col min="13566" max="13567" width="9.85546875" style="19" customWidth="1"/>
    <col min="13568" max="13568" width="11.140625" style="19" customWidth="1"/>
    <col min="13569" max="13569" width="2.85546875" style="19" customWidth="1"/>
    <col min="13570" max="13570" width="3.5703125" style="19" customWidth="1"/>
    <col min="13571" max="13815" width="9.140625" style="19"/>
    <col min="13816" max="13816" width="8.7109375" style="19" customWidth="1"/>
    <col min="13817" max="13817" width="9.85546875" style="19" customWidth="1"/>
    <col min="13818" max="13818" width="14.42578125" style="19" customWidth="1"/>
    <col min="13819" max="13819" width="7.28515625" style="19" customWidth="1"/>
    <col min="13820" max="13820" width="5.5703125" style="19" customWidth="1"/>
    <col min="13821" max="13821" width="9" style="19" customWidth="1"/>
    <col min="13822" max="13823" width="9.85546875" style="19" customWidth="1"/>
    <col min="13824" max="13824" width="11.140625" style="19" customWidth="1"/>
    <col min="13825" max="13825" width="2.85546875" style="19" customWidth="1"/>
    <col min="13826" max="13826" width="3.5703125" style="19" customWidth="1"/>
    <col min="13827" max="14071" width="9.140625" style="19"/>
    <col min="14072" max="14072" width="8.7109375" style="19" customWidth="1"/>
    <col min="14073" max="14073" width="9.85546875" style="19" customWidth="1"/>
    <col min="14074" max="14074" width="14.42578125" style="19" customWidth="1"/>
    <col min="14075" max="14075" width="7.28515625" style="19" customWidth="1"/>
    <col min="14076" max="14076" width="5.5703125" style="19" customWidth="1"/>
    <col min="14077" max="14077" width="9" style="19" customWidth="1"/>
    <col min="14078" max="14079" width="9.85546875" style="19" customWidth="1"/>
    <col min="14080" max="14080" width="11.140625" style="19" customWidth="1"/>
    <col min="14081" max="14081" width="2.85546875" style="19" customWidth="1"/>
    <col min="14082" max="14082" width="3.5703125" style="19" customWidth="1"/>
    <col min="14083" max="14327" width="9.140625" style="19"/>
    <col min="14328" max="14328" width="8.7109375" style="19" customWidth="1"/>
    <col min="14329" max="14329" width="9.85546875" style="19" customWidth="1"/>
    <col min="14330" max="14330" width="14.42578125" style="19" customWidth="1"/>
    <col min="14331" max="14331" width="7.28515625" style="19" customWidth="1"/>
    <col min="14332" max="14332" width="5.5703125" style="19" customWidth="1"/>
    <col min="14333" max="14333" width="9" style="19" customWidth="1"/>
    <col min="14334" max="14335" width="9.85546875" style="19" customWidth="1"/>
    <col min="14336" max="14336" width="11.140625" style="19" customWidth="1"/>
    <col min="14337" max="14337" width="2.85546875" style="19" customWidth="1"/>
    <col min="14338" max="14338" width="3.5703125" style="19" customWidth="1"/>
    <col min="14339" max="14583" width="9.140625" style="19"/>
    <col min="14584" max="14584" width="8.7109375" style="19" customWidth="1"/>
    <col min="14585" max="14585" width="9.85546875" style="19" customWidth="1"/>
    <col min="14586" max="14586" width="14.42578125" style="19" customWidth="1"/>
    <col min="14587" max="14587" width="7.28515625" style="19" customWidth="1"/>
    <col min="14588" max="14588" width="5.5703125" style="19" customWidth="1"/>
    <col min="14589" max="14589" width="9" style="19" customWidth="1"/>
    <col min="14590" max="14591" width="9.85546875" style="19" customWidth="1"/>
    <col min="14592" max="14592" width="11.140625" style="19" customWidth="1"/>
    <col min="14593" max="14593" width="2.85546875" style="19" customWidth="1"/>
    <col min="14594" max="14594" width="3.5703125" style="19" customWidth="1"/>
    <col min="14595" max="14839" width="9.140625" style="19"/>
    <col min="14840" max="14840" width="8.7109375" style="19" customWidth="1"/>
    <col min="14841" max="14841" width="9.85546875" style="19" customWidth="1"/>
    <col min="14842" max="14842" width="14.42578125" style="19" customWidth="1"/>
    <col min="14843" max="14843" width="7.28515625" style="19" customWidth="1"/>
    <col min="14844" max="14844" width="5.5703125" style="19" customWidth="1"/>
    <col min="14845" max="14845" width="9" style="19" customWidth="1"/>
    <col min="14846" max="14847" width="9.85546875" style="19" customWidth="1"/>
    <col min="14848" max="14848" width="11.140625" style="19" customWidth="1"/>
    <col min="14849" max="14849" width="2.85546875" style="19" customWidth="1"/>
    <col min="14850" max="14850" width="3.5703125" style="19" customWidth="1"/>
    <col min="14851" max="15095" width="9.140625" style="19"/>
    <col min="15096" max="15096" width="8.7109375" style="19" customWidth="1"/>
    <col min="15097" max="15097" width="9.85546875" style="19" customWidth="1"/>
    <col min="15098" max="15098" width="14.42578125" style="19" customWidth="1"/>
    <col min="15099" max="15099" width="7.28515625" style="19" customWidth="1"/>
    <col min="15100" max="15100" width="5.5703125" style="19" customWidth="1"/>
    <col min="15101" max="15101" width="9" style="19" customWidth="1"/>
    <col min="15102" max="15103" width="9.85546875" style="19" customWidth="1"/>
    <col min="15104" max="15104" width="11.140625" style="19" customWidth="1"/>
    <col min="15105" max="15105" width="2.85546875" style="19" customWidth="1"/>
    <col min="15106" max="15106" width="3.5703125" style="19" customWidth="1"/>
    <col min="15107" max="15351" width="9.140625" style="19"/>
    <col min="15352" max="15352" width="8.7109375" style="19" customWidth="1"/>
    <col min="15353" max="15353" width="9.85546875" style="19" customWidth="1"/>
    <col min="15354" max="15354" width="14.42578125" style="19" customWidth="1"/>
    <col min="15355" max="15355" width="7.28515625" style="19" customWidth="1"/>
    <col min="15356" max="15356" width="5.5703125" style="19" customWidth="1"/>
    <col min="15357" max="15357" width="9" style="19" customWidth="1"/>
    <col min="15358" max="15359" width="9.85546875" style="19" customWidth="1"/>
    <col min="15360" max="15360" width="11.140625" style="19" customWidth="1"/>
    <col min="15361" max="15361" width="2.85546875" style="19" customWidth="1"/>
    <col min="15362" max="15362" width="3.5703125" style="19" customWidth="1"/>
    <col min="15363" max="15607" width="9.140625" style="19"/>
    <col min="15608" max="15608" width="8.7109375" style="19" customWidth="1"/>
    <col min="15609" max="15609" width="9.85546875" style="19" customWidth="1"/>
    <col min="15610" max="15610" width="14.42578125" style="19" customWidth="1"/>
    <col min="15611" max="15611" width="7.28515625" style="19" customWidth="1"/>
    <col min="15612" max="15612" width="5.5703125" style="19" customWidth="1"/>
    <col min="15613" max="15613" width="9" style="19" customWidth="1"/>
    <col min="15614" max="15615" width="9.85546875" style="19" customWidth="1"/>
    <col min="15616" max="15616" width="11.140625" style="19" customWidth="1"/>
    <col min="15617" max="15617" width="2.85546875" style="19" customWidth="1"/>
    <col min="15618" max="15618" width="3.5703125" style="19" customWidth="1"/>
    <col min="15619" max="15863" width="9.140625" style="19"/>
    <col min="15864" max="15864" width="8.7109375" style="19" customWidth="1"/>
    <col min="15865" max="15865" width="9.85546875" style="19" customWidth="1"/>
    <col min="15866" max="15866" width="14.42578125" style="19" customWidth="1"/>
    <col min="15867" max="15867" width="7.28515625" style="19" customWidth="1"/>
    <col min="15868" max="15868" width="5.5703125" style="19" customWidth="1"/>
    <col min="15869" max="15869" width="9" style="19" customWidth="1"/>
    <col min="15870" max="15871" width="9.85546875" style="19" customWidth="1"/>
    <col min="15872" max="15872" width="11.140625" style="19" customWidth="1"/>
    <col min="15873" max="15873" width="2.85546875" style="19" customWidth="1"/>
    <col min="15874" max="15874" width="3.5703125" style="19" customWidth="1"/>
    <col min="15875" max="16119" width="9.140625" style="19"/>
    <col min="16120" max="16120" width="8.7109375" style="19" customWidth="1"/>
    <col min="16121" max="16121" width="9.85546875" style="19" customWidth="1"/>
    <col min="16122" max="16122" width="14.42578125" style="19" customWidth="1"/>
    <col min="16123" max="16123" width="7.28515625" style="19" customWidth="1"/>
    <col min="16124" max="16124" width="5.5703125" style="19" customWidth="1"/>
    <col min="16125" max="16125" width="9" style="19" customWidth="1"/>
    <col min="16126" max="16127" width="9.85546875" style="19" customWidth="1"/>
    <col min="16128" max="16128" width="11.140625" style="19" customWidth="1"/>
    <col min="16129" max="16129" width="2.85546875" style="19" customWidth="1"/>
    <col min="16130" max="16130" width="3.5703125" style="19" customWidth="1"/>
    <col min="16131" max="16384" width="9.140625" style="19"/>
  </cols>
  <sheetData>
    <row r="1" spans="1:26" ht="46.5" customHeight="1" x14ac:dyDescent="0.25">
      <c r="A1" s="168" t="s">
        <v>168</v>
      </c>
      <c r="B1" s="168"/>
      <c r="C1" s="168"/>
      <c r="D1" s="168"/>
      <c r="E1" s="168"/>
      <c r="F1" s="168"/>
      <c r="G1" s="168"/>
      <c r="H1" s="168"/>
    </row>
    <row r="2" spans="1:26" ht="16.5" customHeight="1" x14ac:dyDescent="0.25">
      <c r="A2" s="110" t="s">
        <v>0</v>
      </c>
      <c r="B2" s="110"/>
      <c r="C2" s="110"/>
      <c r="D2" s="110"/>
      <c r="E2" s="110"/>
      <c r="F2" s="110"/>
      <c r="G2" s="110"/>
      <c r="H2" s="110"/>
    </row>
    <row r="3" spans="1:26" x14ac:dyDescent="0.25">
      <c r="A3" s="116" t="s">
        <v>1</v>
      </c>
      <c r="B3" s="116"/>
      <c r="C3" s="116"/>
      <c r="D3" s="116"/>
      <c r="E3" s="116" t="str">
        <f ca="1">TEXT(TODAY(),"DD/MM/YYYY")</f>
        <v>15/07/2025</v>
      </c>
      <c r="F3" s="116"/>
      <c r="G3" s="116"/>
      <c r="H3" s="116"/>
    </row>
    <row r="4" spans="1:26" ht="15" customHeight="1" x14ac:dyDescent="0.25">
      <c r="A4" s="116" t="s">
        <v>2</v>
      </c>
      <c r="B4" s="116"/>
      <c r="C4" s="116"/>
      <c r="D4" s="116"/>
      <c r="E4" s="116" t="s">
        <v>174</v>
      </c>
      <c r="F4" s="116"/>
      <c r="G4" s="116"/>
      <c r="H4" s="116"/>
    </row>
    <row r="5" spans="1:26" x14ac:dyDescent="0.25">
      <c r="A5" s="116" t="s">
        <v>3</v>
      </c>
      <c r="B5" s="116"/>
      <c r="C5" s="116"/>
      <c r="D5" s="116"/>
      <c r="E5" s="169">
        <v>45853</v>
      </c>
      <c r="F5" s="116"/>
      <c r="G5" s="116"/>
      <c r="H5" s="116"/>
    </row>
    <row r="6" spans="1:26" ht="16.5" customHeight="1" x14ac:dyDescent="0.25">
      <c r="A6" s="116" t="s">
        <v>4</v>
      </c>
      <c r="B6" s="116"/>
      <c r="C6" s="116"/>
      <c r="D6" s="116"/>
      <c r="E6" s="116" t="s">
        <v>236</v>
      </c>
      <c r="F6" s="116"/>
      <c r="G6" s="116"/>
      <c r="H6" s="116"/>
    </row>
    <row r="7" spans="1:26" ht="15" customHeight="1" x14ac:dyDescent="0.25">
      <c r="A7" s="116" t="s">
        <v>5</v>
      </c>
      <c r="B7" s="116"/>
      <c r="C7" s="116"/>
      <c r="D7" s="116"/>
      <c r="E7" s="116" t="str">
        <f>E6</f>
        <v>K. R. Shoppers Private Limited</v>
      </c>
      <c r="F7" s="116"/>
      <c r="G7" s="116"/>
      <c r="H7" s="116"/>
    </row>
    <row r="8" spans="1:26" x14ac:dyDescent="0.25">
      <c r="A8" s="116" t="s">
        <v>6</v>
      </c>
      <c r="B8" s="116"/>
      <c r="C8" s="116"/>
      <c r="D8" s="116"/>
      <c r="E8" s="158" t="s">
        <v>257</v>
      </c>
      <c r="F8" s="158"/>
      <c r="G8" s="158"/>
      <c r="H8" s="158"/>
    </row>
    <row r="9" spans="1:26" ht="31.5" customHeight="1" x14ac:dyDescent="0.25">
      <c r="A9" s="116" t="s">
        <v>171</v>
      </c>
      <c r="B9" s="116"/>
      <c r="C9" s="116"/>
      <c r="D9" s="116"/>
      <c r="E9" s="164" t="s">
        <v>237</v>
      </c>
      <c r="F9" s="164"/>
      <c r="G9" s="164"/>
      <c r="H9" s="164"/>
    </row>
    <row r="10" spans="1:26" x14ac:dyDescent="0.25">
      <c r="A10" s="116" t="s">
        <v>172</v>
      </c>
      <c r="B10" s="116"/>
      <c r="C10" s="116"/>
      <c r="D10" s="116"/>
      <c r="E10" s="116" t="s">
        <v>299</v>
      </c>
      <c r="F10" s="116"/>
      <c r="G10" s="116"/>
      <c r="H10" s="116"/>
    </row>
    <row r="11" spans="1:26" x14ac:dyDescent="0.25">
      <c r="A11" s="116" t="s">
        <v>7</v>
      </c>
      <c r="B11" s="116"/>
      <c r="C11" s="116"/>
      <c r="D11" s="116"/>
      <c r="E11" s="116" t="s">
        <v>256</v>
      </c>
      <c r="F11" s="116"/>
      <c r="G11" s="116"/>
      <c r="H11" s="116"/>
    </row>
    <row r="12" spans="1:26" ht="30.75" customHeight="1" x14ac:dyDescent="0.25">
      <c r="A12" s="116" t="s">
        <v>175</v>
      </c>
      <c r="B12" s="116"/>
      <c r="C12" s="116"/>
      <c r="D12" s="116"/>
      <c r="E12" s="164" t="s">
        <v>259</v>
      </c>
      <c r="F12" s="164"/>
      <c r="G12" s="164"/>
      <c r="H12" s="164"/>
      <c r="S12" s="50" t="s">
        <v>183</v>
      </c>
      <c r="T12" s="50" t="s">
        <v>193</v>
      </c>
      <c r="U12" s="50" t="s">
        <v>176</v>
      </c>
      <c r="V12" s="50" t="s">
        <v>198</v>
      </c>
      <c r="W12" s="50" t="s">
        <v>216</v>
      </c>
      <c r="X12"/>
      <c r="Y12" t="s">
        <v>198</v>
      </c>
      <c r="Z12" t="e">
        <f ca="1">OFFSET($S$12,1,MATCH($G19,$S$12:$W$12,0)-1,15,1)</f>
        <v>#VALUE!</v>
      </c>
    </row>
    <row r="13" spans="1:26" ht="32.25" customHeight="1" x14ac:dyDescent="0.25">
      <c r="A13" s="112" t="s">
        <v>8</v>
      </c>
      <c r="B13" s="112"/>
      <c r="C13" s="112"/>
      <c r="D13" s="112"/>
      <c r="E13" s="164" t="s">
        <v>290</v>
      </c>
      <c r="F13" s="164"/>
      <c r="G13" s="164"/>
      <c r="H13" s="164"/>
      <c r="S13" s="50" t="s">
        <v>184</v>
      </c>
      <c r="T13" s="50" t="s">
        <v>191</v>
      </c>
      <c r="U13" s="50" t="s">
        <v>213</v>
      </c>
      <c r="V13" s="50" t="s">
        <v>199</v>
      </c>
      <c r="W13" s="50" t="s">
        <v>217</v>
      </c>
      <c r="X13"/>
      <c r="Y13"/>
      <c r="Z13"/>
    </row>
    <row r="14" spans="1:26" ht="33.75" customHeight="1" x14ac:dyDescent="0.25">
      <c r="A14" s="112" t="s">
        <v>9</v>
      </c>
      <c r="B14" s="112"/>
      <c r="C14" s="112"/>
      <c r="D14" s="112"/>
      <c r="E14" s="164" t="s">
        <v>258</v>
      </c>
      <c r="F14" s="116"/>
      <c r="G14" s="116"/>
      <c r="H14" s="116"/>
      <c r="I14" s="107" t="e">
        <f ca="1">OFFSET($D$4,1,MATCH($J12,$D$4:$H$4,0)-1,15,1)</f>
        <v>#N/A</v>
      </c>
      <c r="J14" s="108"/>
      <c r="K14" s="108"/>
      <c r="L14" s="108"/>
      <c r="M14" s="108"/>
      <c r="N14" s="108"/>
      <c r="O14" s="108"/>
      <c r="P14" s="108"/>
      <c r="S14" s="50" t="s">
        <v>185</v>
      </c>
      <c r="T14" s="50" t="s">
        <v>192</v>
      </c>
      <c r="U14" s="50" t="s">
        <v>214</v>
      </c>
      <c r="V14" s="50" t="s">
        <v>200</v>
      </c>
      <c r="W14" s="50" t="s">
        <v>230</v>
      </c>
      <c r="X14"/>
      <c r="Y14"/>
      <c r="Z14"/>
    </row>
    <row r="15" spans="1:26" ht="63.75" customHeight="1" x14ac:dyDescent="0.25">
      <c r="A15" s="164" t="s">
        <v>10</v>
      </c>
      <c r="B15" s="164"/>
      <c r="C15" s="164" t="str">
        <f>CONCATENATE((IF(OR(E8="",E8="NA"),"",E8)),", ",(IF(OR(A16="",A16="NA"),"",A16)),".",(IF(OR(C16="",C16="NA"),"",C16)),", near ",(IF(OR(C21="",C21="NA"),"",C21)),", ",(IF(OR(C18="",C18="NA"),"",C18)),", ",(IF(OR(C17="",C17="NA"),"",C17)),", ",(IF(OR(G18="",G18="NA"),"",G18)),", ",(IF(OR(C19="",C19="NA"),"",C19)),", ",(IF(OR(C20="",C20="NA"),"",C20)),", ",(IF(OR(G19="",G19="NA"),"",G19))," - ",(IF(OR(G20="",G20="NA"),"",G20)),".")</f>
        <v>Kenorita Jewels, CTS No.793, 793/1 to 11, 794, 794/1 to 9, 795, 796, 796/1 to 25 &amp; 819 &amp; Redevelopment of Buildings "Godavari, Krishna, Kaveri, Bhima (Buildings nos. 1,2,3 &amp; 4)", near Baps Swaminarayan Mandir, Goregaon, Station Road, Kakaji Nagar, Pahadi Goregaon, Gaoregaon (West), Borivali, Mumbai - 400104.</v>
      </c>
      <c r="D15" s="164"/>
      <c r="E15" s="164"/>
      <c r="F15" s="164"/>
      <c r="G15" s="164"/>
      <c r="H15" s="164"/>
      <c r="S15" s="50" t="s">
        <v>186</v>
      </c>
      <c r="T15" s="50" t="s">
        <v>194</v>
      </c>
      <c r="U15" s="50" t="s">
        <v>215</v>
      </c>
      <c r="V15" s="50" t="s">
        <v>201</v>
      </c>
      <c r="W15" s="50" t="s">
        <v>218</v>
      </c>
      <c r="X15"/>
      <c r="Y15"/>
      <c r="Z15"/>
    </row>
    <row r="16" spans="1:26" ht="33" customHeight="1" x14ac:dyDescent="0.25">
      <c r="A16" s="164" t="s">
        <v>180</v>
      </c>
      <c r="B16" s="164"/>
      <c r="C16" s="164" t="s">
        <v>260</v>
      </c>
      <c r="D16" s="164"/>
      <c r="E16" s="164"/>
      <c r="F16" s="164"/>
      <c r="G16" s="164"/>
      <c r="H16" s="164"/>
      <c r="S16" s="50" t="s">
        <v>187</v>
      </c>
      <c r="T16" s="50" t="s">
        <v>195</v>
      </c>
      <c r="U16" s="50"/>
      <c r="V16" s="50" t="s">
        <v>202</v>
      </c>
      <c r="W16" s="50" t="s">
        <v>219</v>
      </c>
      <c r="X16"/>
      <c r="Y16"/>
      <c r="Z16"/>
    </row>
    <row r="17" spans="1:26" ht="15.75" customHeight="1" x14ac:dyDescent="0.25">
      <c r="A17" s="164" t="s">
        <v>166</v>
      </c>
      <c r="B17" s="164"/>
      <c r="C17" s="164" t="s">
        <v>244</v>
      </c>
      <c r="D17" s="164"/>
      <c r="E17" s="164"/>
      <c r="F17" s="164"/>
      <c r="G17" s="164"/>
      <c r="H17" s="164"/>
      <c r="S17" s="50" t="s">
        <v>188</v>
      </c>
      <c r="T17" s="50" t="s">
        <v>193</v>
      </c>
      <c r="U17" s="50"/>
      <c r="V17" s="50" t="s">
        <v>203</v>
      </c>
      <c r="W17" s="50" t="s">
        <v>220</v>
      </c>
      <c r="X17"/>
      <c r="Y17"/>
      <c r="Z17"/>
    </row>
    <row r="18" spans="1:26" ht="15.75" customHeight="1" x14ac:dyDescent="0.25">
      <c r="A18" s="119" t="s">
        <v>11</v>
      </c>
      <c r="B18" s="119"/>
      <c r="C18" s="116" t="s">
        <v>243</v>
      </c>
      <c r="D18" s="116"/>
      <c r="E18" s="164" t="s">
        <v>71</v>
      </c>
      <c r="F18" s="164"/>
      <c r="G18" s="164" t="s">
        <v>242</v>
      </c>
      <c r="H18" s="164"/>
      <c r="S18" s="50" t="s">
        <v>189</v>
      </c>
      <c r="T18" s="50" t="s">
        <v>196</v>
      </c>
      <c r="U18" s="50"/>
      <c r="V18" s="50" t="s">
        <v>204</v>
      </c>
      <c r="W18" s="50" t="s">
        <v>221</v>
      </c>
      <c r="X18"/>
      <c r="Y18"/>
      <c r="Z18"/>
    </row>
    <row r="19" spans="1:26" x14ac:dyDescent="0.25">
      <c r="A19" s="112" t="s">
        <v>13</v>
      </c>
      <c r="B19" s="112"/>
      <c r="C19" s="164" t="s">
        <v>241</v>
      </c>
      <c r="D19" s="164"/>
      <c r="E19" s="164" t="s">
        <v>12</v>
      </c>
      <c r="F19" s="164"/>
      <c r="G19" s="170" t="s">
        <v>176</v>
      </c>
      <c r="H19" s="170"/>
      <c r="S19" s="50" t="s">
        <v>190</v>
      </c>
      <c r="T19" s="50" t="s">
        <v>197</v>
      </c>
      <c r="U19" s="50"/>
      <c r="V19" s="50" t="s">
        <v>205</v>
      </c>
      <c r="W19" s="50" t="s">
        <v>222</v>
      </c>
      <c r="X19"/>
      <c r="Y19"/>
      <c r="Z19"/>
    </row>
    <row r="20" spans="1:26" x14ac:dyDescent="0.25">
      <c r="A20" s="112" t="s">
        <v>72</v>
      </c>
      <c r="B20" s="112"/>
      <c r="C20" s="164" t="s">
        <v>214</v>
      </c>
      <c r="D20" s="164"/>
      <c r="E20" s="164" t="s">
        <v>14</v>
      </c>
      <c r="F20" s="164"/>
      <c r="G20" s="164">
        <v>400104</v>
      </c>
      <c r="H20" s="164"/>
      <c r="S20" s="50"/>
      <c r="T20" s="50"/>
      <c r="U20" s="50"/>
      <c r="V20" s="50" t="s">
        <v>206</v>
      </c>
      <c r="W20" s="50" t="s">
        <v>223</v>
      </c>
      <c r="X20"/>
      <c r="Y20"/>
      <c r="Z20"/>
    </row>
    <row r="21" spans="1:26" ht="50.25" customHeight="1" x14ac:dyDescent="0.25">
      <c r="A21" s="112" t="s">
        <v>121</v>
      </c>
      <c r="B21" s="112"/>
      <c r="C21" s="164" t="s">
        <v>245</v>
      </c>
      <c r="D21" s="164"/>
      <c r="E21" s="164" t="s">
        <v>15</v>
      </c>
      <c r="F21" s="164"/>
      <c r="G21" s="164" t="s">
        <v>240</v>
      </c>
      <c r="H21" s="164"/>
      <c r="S21" s="50"/>
      <c r="T21" s="50"/>
      <c r="U21" s="50"/>
      <c r="V21" s="50" t="s">
        <v>207</v>
      </c>
      <c r="W21" s="50" t="s">
        <v>224</v>
      </c>
      <c r="X21"/>
      <c r="Y21"/>
      <c r="Z21"/>
    </row>
    <row r="22" spans="1:26" ht="15" customHeight="1" x14ac:dyDescent="0.25">
      <c r="A22" s="119" t="s">
        <v>74</v>
      </c>
      <c r="B22" s="119"/>
      <c r="C22" s="119"/>
      <c r="D22" s="119"/>
      <c r="E22" s="116" t="s">
        <v>16</v>
      </c>
      <c r="F22" s="116"/>
      <c r="G22" s="116"/>
      <c r="H22" s="116"/>
      <c r="S22" s="50"/>
      <c r="T22" s="50"/>
      <c r="U22" s="50"/>
      <c r="V22" s="50" t="s">
        <v>208</v>
      </c>
      <c r="W22" s="50" t="s">
        <v>225</v>
      </c>
      <c r="X22"/>
      <c r="Y22"/>
      <c r="Z22"/>
    </row>
    <row r="23" spans="1:26" ht="18.75" customHeight="1" x14ac:dyDescent="0.25">
      <c r="A23" s="119"/>
      <c r="B23" s="119"/>
      <c r="C23" s="119"/>
      <c r="D23" s="119"/>
      <c r="E23" s="116"/>
      <c r="F23" s="116"/>
      <c r="G23" s="116"/>
      <c r="H23" s="116"/>
      <c r="S23" s="50"/>
      <c r="T23" s="50"/>
      <c r="U23" s="50"/>
      <c r="V23" s="50" t="s">
        <v>209</v>
      </c>
      <c r="W23" s="50" t="s">
        <v>226</v>
      </c>
      <c r="X23"/>
      <c r="Y23"/>
      <c r="Z23"/>
    </row>
    <row r="24" spans="1:26" ht="15" customHeight="1" x14ac:dyDescent="0.25">
      <c r="A24" s="119" t="s">
        <v>17</v>
      </c>
      <c r="B24" s="119"/>
      <c r="C24" s="119"/>
      <c r="D24" s="119"/>
      <c r="E24" s="164" t="s">
        <v>18</v>
      </c>
      <c r="F24" s="164"/>
      <c r="G24" s="164"/>
      <c r="H24" s="164"/>
      <c r="S24" s="50"/>
      <c r="T24" s="50"/>
      <c r="U24" s="50"/>
      <c r="V24" s="50" t="s">
        <v>210</v>
      </c>
      <c r="W24" s="50" t="s">
        <v>227</v>
      </c>
      <c r="X24"/>
      <c r="Y24"/>
      <c r="Z24"/>
    </row>
    <row r="25" spans="1:26" ht="15" customHeight="1" x14ac:dyDescent="0.25">
      <c r="A25" s="112" t="s">
        <v>19</v>
      </c>
      <c r="B25" s="112"/>
      <c r="C25" s="112"/>
      <c r="D25" s="112"/>
      <c r="E25" s="164" t="str">
        <f>IF(AND(G19="Mumbai"),"Upper Class","Middle Class")</f>
        <v>Upper Class</v>
      </c>
      <c r="F25" s="164"/>
      <c r="G25" s="164"/>
      <c r="H25" s="164"/>
      <c r="S25" s="50"/>
      <c r="T25" s="50"/>
      <c r="U25" s="50"/>
      <c r="V25" s="50" t="s">
        <v>211</v>
      </c>
      <c r="W25" s="50" t="s">
        <v>228</v>
      </c>
      <c r="X25"/>
      <c r="Y25"/>
      <c r="Z25"/>
    </row>
    <row r="26" spans="1:26" x14ac:dyDescent="0.25">
      <c r="A26" s="112" t="s">
        <v>20</v>
      </c>
      <c r="B26" s="112"/>
      <c r="C26" s="112"/>
      <c r="D26" s="112"/>
      <c r="E26" s="164" t="s">
        <v>21</v>
      </c>
      <c r="F26" s="164"/>
      <c r="G26" s="164"/>
      <c r="H26" s="164"/>
      <c r="S26" s="50"/>
      <c r="T26" s="50"/>
      <c r="U26" s="50"/>
      <c r="V26" s="50" t="s">
        <v>212</v>
      </c>
      <c r="W26" s="50" t="s">
        <v>229</v>
      </c>
      <c r="X26"/>
      <c r="Y26"/>
      <c r="Z26"/>
    </row>
    <row r="27" spans="1:26" ht="15.75" customHeight="1" x14ac:dyDescent="0.25">
      <c r="A27" s="112" t="s">
        <v>22</v>
      </c>
      <c r="B27" s="112"/>
      <c r="C27" s="112"/>
      <c r="D27" s="112"/>
      <c r="E27" s="164" t="str">
        <f>IF(AND(G19="Mumbai"),"Developed","Developing")</f>
        <v>Developed</v>
      </c>
      <c r="F27" s="164"/>
      <c r="G27" s="164"/>
      <c r="H27" s="164"/>
    </row>
    <row r="28" spans="1:26" x14ac:dyDescent="0.25">
      <c r="A28" s="112" t="s">
        <v>23</v>
      </c>
      <c r="B28" s="112"/>
      <c r="C28" s="112"/>
      <c r="D28" s="112"/>
      <c r="E28" s="164" t="s">
        <v>24</v>
      </c>
      <c r="F28" s="164"/>
      <c r="G28" s="164"/>
      <c r="H28" s="164"/>
    </row>
    <row r="29" spans="1:26" ht="15.75" customHeight="1" x14ac:dyDescent="0.25">
      <c r="A29" s="112" t="s">
        <v>79</v>
      </c>
      <c r="B29" s="112"/>
      <c r="C29" s="112"/>
      <c r="D29" s="112"/>
      <c r="E29" s="164" t="s">
        <v>80</v>
      </c>
      <c r="F29" s="164"/>
      <c r="G29" s="164"/>
      <c r="H29" s="164"/>
    </row>
    <row r="30" spans="1:26" ht="15" customHeight="1" x14ac:dyDescent="0.25">
      <c r="A30" s="112" t="s">
        <v>32</v>
      </c>
      <c r="B30" s="112"/>
      <c r="C30" s="112"/>
      <c r="D30" s="112"/>
      <c r="E30" s="164" t="str">
        <f>IF(AND(ISNUMBER(SEARCH("Flat",D62)),ISNUMBER(SEARCH("Shop",D62)),ISNUMBER(SEARCH("Office",D62))),"Residential + Commercial",IF(AND(ISNUMBER(SEARCH("Flat",D62)),ISNUMBER(SEARCH("Shop",D62))),"Residential + Commercial",IF(AND(ISNUMBER(SEARCH("Flat",D62)),ISNUMBER(SEARCH("Office",D62))),"Residential + Commercial",IF(AND(ISNUMBER(SEARCH("Shop",D62)),ISNUMBER(SEARCH("Office",D62))),"Commercial",IF(ISNUMBER(SEARCH("Shop",D62)),"Commercial",IF(ISNUMBER(SEARCH("Office",D62)),"Commercial",IF(ISNUMBER(SEARCH("Flat",D62)),"Residential")))))))</f>
        <v>Residential + Commercial</v>
      </c>
      <c r="F30" s="164"/>
      <c r="G30" s="164"/>
      <c r="H30" s="164"/>
    </row>
    <row r="31" spans="1:26" ht="15.75" customHeight="1" x14ac:dyDescent="0.25">
      <c r="A31" s="112" t="s">
        <v>91</v>
      </c>
      <c r="B31" s="112"/>
      <c r="C31" s="112"/>
      <c r="D31" s="112"/>
      <c r="E31" s="164" t="s">
        <v>33</v>
      </c>
      <c r="F31" s="164"/>
      <c r="G31" s="164"/>
      <c r="H31" s="164"/>
    </row>
    <row r="32" spans="1:26" s="20" customFormat="1" x14ac:dyDescent="0.25">
      <c r="A32" s="178" t="s">
        <v>92</v>
      </c>
      <c r="B32" s="178"/>
      <c r="C32" s="175" t="s">
        <v>177</v>
      </c>
      <c r="D32" s="176"/>
      <c r="E32" s="177"/>
      <c r="F32" s="175" t="s">
        <v>30</v>
      </c>
      <c r="G32" s="176"/>
      <c r="H32" s="177"/>
    </row>
    <row r="33" spans="1:8" s="20" customFormat="1" x14ac:dyDescent="0.25">
      <c r="A33" s="171" t="s">
        <v>25</v>
      </c>
      <c r="B33" s="171" t="s">
        <v>29</v>
      </c>
      <c r="C33" s="172" t="s">
        <v>249</v>
      </c>
      <c r="D33" s="173"/>
      <c r="E33" s="174"/>
      <c r="F33" s="172" t="s">
        <v>246</v>
      </c>
      <c r="G33" s="173"/>
      <c r="H33" s="174"/>
    </row>
    <row r="34" spans="1:8" x14ac:dyDescent="0.25">
      <c r="A34" s="171" t="s">
        <v>26</v>
      </c>
      <c r="B34" s="171" t="s">
        <v>29</v>
      </c>
      <c r="C34" s="172" t="s">
        <v>250</v>
      </c>
      <c r="D34" s="173"/>
      <c r="E34" s="174"/>
      <c r="F34" s="172" t="s">
        <v>246</v>
      </c>
      <c r="G34" s="173"/>
      <c r="H34" s="174"/>
    </row>
    <row r="35" spans="1:8" s="20" customFormat="1" x14ac:dyDescent="0.25">
      <c r="A35" s="171" t="s">
        <v>28</v>
      </c>
      <c r="B35" s="171" t="s">
        <v>29</v>
      </c>
      <c r="C35" s="172" t="s">
        <v>251</v>
      </c>
      <c r="D35" s="173"/>
      <c r="E35" s="174"/>
      <c r="F35" s="172" t="s">
        <v>247</v>
      </c>
      <c r="G35" s="173"/>
      <c r="H35" s="174"/>
    </row>
    <row r="36" spans="1:8" x14ac:dyDescent="0.25">
      <c r="A36" s="171" t="s">
        <v>27</v>
      </c>
      <c r="B36" s="171" t="s">
        <v>29</v>
      </c>
      <c r="C36" s="172" t="s">
        <v>250</v>
      </c>
      <c r="D36" s="173"/>
      <c r="E36" s="174"/>
      <c r="F36" s="172" t="s">
        <v>248</v>
      </c>
      <c r="G36" s="173"/>
      <c r="H36" s="174"/>
    </row>
    <row r="37" spans="1:8" x14ac:dyDescent="0.25">
      <c r="A37" s="112" t="s">
        <v>31</v>
      </c>
      <c r="B37" s="112"/>
      <c r="C37" s="112"/>
      <c r="D37" s="112"/>
      <c r="E37" s="112"/>
      <c r="F37" s="112"/>
      <c r="G37" s="112"/>
      <c r="H37" s="112"/>
    </row>
    <row r="38" spans="1:8" ht="15.75" customHeight="1" x14ac:dyDescent="0.25">
      <c r="A38" s="112" t="s">
        <v>169</v>
      </c>
      <c r="B38" s="112"/>
      <c r="C38" s="150" t="s">
        <v>239</v>
      </c>
      <c r="D38" s="150"/>
      <c r="E38" s="150"/>
      <c r="F38" s="150"/>
      <c r="G38" s="150"/>
      <c r="H38" s="150"/>
    </row>
    <row r="39" spans="1:8" x14ac:dyDescent="0.25">
      <c r="A39" s="112" t="s">
        <v>165</v>
      </c>
      <c r="B39" s="112"/>
      <c r="C39" s="181" t="s">
        <v>238</v>
      </c>
      <c r="D39" s="164"/>
      <c r="E39" s="164"/>
      <c r="F39" s="164"/>
      <c r="G39" s="164"/>
      <c r="H39" s="164"/>
    </row>
    <row r="40" spans="1:8" x14ac:dyDescent="0.25">
      <c r="A40" s="150" t="s">
        <v>34</v>
      </c>
      <c r="B40" s="150"/>
      <c r="C40" s="150"/>
      <c r="D40" s="150"/>
      <c r="E40" s="150"/>
      <c r="F40" s="150"/>
      <c r="G40" s="150"/>
      <c r="H40" s="150"/>
    </row>
    <row r="41" spans="1:8" x14ac:dyDescent="0.25">
      <c r="A41" s="112" t="s">
        <v>35</v>
      </c>
      <c r="B41" s="112"/>
      <c r="C41" s="112"/>
      <c r="D41" s="112"/>
      <c r="E41" s="179">
        <v>4112.59</v>
      </c>
      <c r="F41" s="179"/>
      <c r="G41" s="179"/>
      <c r="H41" s="179"/>
    </row>
    <row r="42" spans="1:8" x14ac:dyDescent="0.25">
      <c r="A42" s="116" t="s">
        <v>36</v>
      </c>
      <c r="B42" s="116"/>
      <c r="C42" s="116"/>
      <c r="D42" s="116"/>
      <c r="E42" s="182">
        <v>1</v>
      </c>
      <c r="F42" s="182"/>
      <c r="G42" s="182"/>
      <c r="H42" s="182"/>
    </row>
    <row r="43" spans="1:8" x14ac:dyDescent="0.25">
      <c r="A43" s="116" t="s">
        <v>37</v>
      </c>
      <c r="B43" s="116"/>
      <c r="C43" s="116"/>
      <c r="D43" s="116"/>
      <c r="E43" s="182">
        <f>E45/E41-E42</f>
        <v>1.3577380677383353</v>
      </c>
      <c r="F43" s="182"/>
      <c r="G43" s="182"/>
      <c r="H43" s="182"/>
    </row>
    <row r="44" spans="1:8" x14ac:dyDescent="0.25">
      <c r="A44" s="116" t="s">
        <v>38</v>
      </c>
      <c r="B44" s="116"/>
      <c r="C44" s="116"/>
      <c r="D44" s="116"/>
      <c r="E44" s="182">
        <f>E42+E43</f>
        <v>2.3577380677383353</v>
      </c>
      <c r="F44" s="182"/>
      <c r="G44" s="182"/>
      <c r="H44" s="182"/>
    </row>
    <row r="45" spans="1:8" x14ac:dyDescent="0.25">
      <c r="A45" s="116" t="s">
        <v>90</v>
      </c>
      <c r="B45" s="116"/>
      <c r="C45" s="116"/>
      <c r="D45" s="116"/>
      <c r="E45" s="183">
        <v>9696.41</v>
      </c>
      <c r="F45" s="183"/>
      <c r="G45" s="183"/>
      <c r="H45" s="183"/>
    </row>
    <row r="46" spans="1:8" x14ac:dyDescent="0.25">
      <c r="A46" s="116" t="s">
        <v>39</v>
      </c>
      <c r="B46" s="116"/>
      <c r="C46" s="116"/>
      <c r="D46" s="116"/>
      <c r="E46" s="116" t="s">
        <v>261</v>
      </c>
      <c r="F46" s="116"/>
      <c r="G46" s="116"/>
      <c r="H46" s="116"/>
    </row>
    <row r="47" spans="1:8" x14ac:dyDescent="0.25">
      <c r="A47" s="158" t="s">
        <v>40</v>
      </c>
      <c r="B47" s="158"/>
      <c r="C47" s="158"/>
      <c r="D47" s="158"/>
      <c r="E47" s="158"/>
      <c r="F47" s="158"/>
      <c r="G47" s="158"/>
      <c r="H47" s="158"/>
    </row>
    <row r="48" spans="1:8" ht="33.75" customHeight="1" x14ac:dyDescent="0.25">
      <c r="A48" s="78" t="s">
        <v>153</v>
      </c>
      <c r="B48" s="80"/>
      <c r="C48" s="184" t="s">
        <v>252</v>
      </c>
      <c r="D48" s="185"/>
      <c r="E48" s="185"/>
      <c r="F48" s="185"/>
      <c r="G48" s="185"/>
      <c r="H48" s="186"/>
    </row>
    <row r="49" spans="1:9" ht="35.25" customHeight="1" x14ac:dyDescent="0.25">
      <c r="A49" s="78" t="s">
        <v>302</v>
      </c>
      <c r="B49" s="80"/>
      <c r="C49" s="78" t="s">
        <v>253</v>
      </c>
      <c r="D49" s="79"/>
      <c r="E49" s="80"/>
      <c r="F49" s="18" t="s">
        <v>42</v>
      </c>
      <c r="G49" s="81">
        <v>44561</v>
      </c>
      <c r="H49" s="82"/>
    </row>
    <row r="50" spans="1:9" ht="36.75" customHeight="1" x14ac:dyDescent="0.25">
      <c r="A50" s="78" t="s">
        <v>310</v>
      </c>
      <c r="B50" s="80"/>
      <c r="C50" s="78" t="str">
        <f>C49</f>
        <v>CHE/9587/BP(WS)/AP</v>
      </c>
      <c r="D50" s="79"/>
      <c r="E50" s="80"/>
      <c r="F50" s="18" t="s">
        <v>42</v>
      </c>
      <c r="G50" s="81">
        <f>G49</f>
        <v>44561</v>
      </c>
      <c r="H50" s="82"/>
    </row>
    <row r="51" spans="1:9" ht="15.75" hidden="1" customHeight="1" x14ac:dyDescent="0.25">
      <c r="A51" s="78" t="s">
        <v>41</v>
      </c>
      <c r="B51" s="80"/>
      <c r="C51" s="78" t="s">
        <v>253</v>
      </c>
      <c r="D51" s="79"/>
      <c r="E51" s="80"/>
      <c r="F51" s="18" t="s">
        <v>42</v>
      </c>
      <c r="G51" s="81">
        <v>44546</v>
      </c>
      <c r="H51" s="82"/>
    </row>
    <row r="52" spans="1:9" ht="81.75" customHeight="1" x14ac:dyDescent="0.25">
      <c r="A52" s="78" t="s">
        <v>311</v>
      </c>
      <c r="B52" s="80"/>
      <c r="C52" s="78" t="str">
        <f>C51</f>
        <v>CHE/9587/BP(WS)/AP</v>
      </c>
      <c r="D52" s="79"/>
      <c r="E52" s="80"/>
      <c r="F52" s="18" t="s">
        <v>42</v>
      </c>
      <c r="G52" s="81">
        <f>G51</f>
        <v>44546</v>
      </c>
      <c r="H52" s="82"/>
    </row>
    <row r="53" spans="1:9" s="21" customFormat="1" ht="15.75" customHeight="1" x14ac:dyDescent="0.25">
      <c r="A53" s="74" t="s">
        <v>157</v>
      </c>
      <c r="B53" s="75"/>
      <c r="C53" s="78" t="s">
        <v>254</v>
      </c>
      <c r="D53" s="79"/>
      <c r="E53" s="80"/>
      <c r="F53" s="18" t="s">
        <v>42</v>
      </c>
      <c r="G53" s="81">
        <v>44861</v>
      </c>
      <c r="H53" s="82"/>
    </row>
    <row r="54" spans="1:9" s="21" customFormat="1" ht="212.25" customHeight="1" x14ac:dyDescent="0.25">
      <c r="A54" s="76"/>
      <c r="B54" s="77"/>
      <c r="C54" s="78" t="s">
        <v>255</v>
      </c>
      <c r="D54" s="79"/>
      <c r="E54" s="80"/>
      <c r="F54" s="18" t="s">
        <v>120</v>
      </c>
      <c r="G54" s="81">
        <v>44910</v>
      </c>
      <c r="H54" s="82"/>
    </row>
    <row r="55" spans="1:9" s="21" customFormat="1" ht="15.75" customHeight="1" x14ac:dyDescent="0.25">
      <c r="A55" s="74" t="s">
        <v>157</v>
      </c>
      <c r="B55" s="75"/>
      <c r="C55" s="78" t="s">
        <v>322</v>
      </c>
      <c r="D55" s="79"/>
      <c r="E55" s="80"/>
      <c r="F55" s="18" t="s">
        <v>42</v>
      </c>
      <c r="G55" s="81">
        <v>45671</v>
      </c>
      <c r="H55" s="82"/>
    </row>
    <row r="56" spans="1:9" s="21" customFormat="1" ht="179.25" customHeight="1" x14ac:dyDescent="0.25">
      <c r="A56" s="76"/>
      <c r="B56" s="77"/>
      <c r="C56" s="78" t="s">
        <v>323</v>
      </c>
      <c r="D56" s="79"/>
      <c r="E56" s="80"/>
      <c r="F56" s="18" t="s">
        <v>120</v>
      </c>
      <c r="G56" s="81">
        <v>46006</v>
      </c>
      <c r="H56" s="82"/>
    </row>
    <row r="57" spans="1:9" ht="51.75" customHeight="1" x14ac:dyDescent="0.25">
      <c r="A57" s="113" t="s">
        <v>262</v>
      </c>
      <c r="B57" s="114"/>
      <c r="C57" s="113" t="s">
        <v>263</v>
      </c>
      <c r="D57" s="115"/>
      <c r="E57" s="114"/>
      <c r="F57" s="42" t="s">
        <v>42</v>
      </c>
      <c r="G57" s="187">
        <v>42947</v>
      </c>
      <c r="H57" s="188"/>
    </row>
    <row r="58" spans="1:9" s="21" customFormat="1" ht="32.25" customHeight="1" x14ac:dyDescent="0.25">
      <c r="A58" s="74" t="s">
        <v>292</v>
      </c>
      <c r="B58" s="75"/>
      <c r="C58" s="78" t="s">
        <v>293</v>
      </c>
      <c r="D58" s="79"/>
      <c r="E58" s="80"/>
      <c r="F58" s="18" t="s">
        <v>42</v>
      </c>
      <c r="G58" s="81">
        <v>44545</v>
      </c>
      <c r="H58" s="82"/>
    </row>
    <row r="59" spans="1:9" s="21" customFormat="1" ht="31.5" x14ac:dyDescent="0.25">
      <c r="A59" s="76"/>
      <c r="B59" s="77"/>
      <c r="C59" s="78" t="s">
        <v>294</v>
      </c>
      <c r="D59" s="79"/>
      <c r="E59" s="80"/>
      <c r="F59" s="18" t="s">
        <v>120</v>
      </c>
      <c r="G59" s="81">
        <v>47466</v>
      </c>
      <c r="H59" s="82"/>
    </row>
    <row r="60" spans="1:9" x14ac:dyDescent="0.25">
      <c r="A60" s="151" t="s">
        <v>44</v>
      </c>
      <c r="B60" s="151"/>
      <c r="C60" s="151"/>
      <c r="D60" s="151"/>
      <c r="E60" s="151"/>
      <c r="F60" s="151"/>
      <c r="G60" s="151"/>
      <c r="H60" s="151"/>
    </row>
    <row r="61" spans="1:9" x14ac:dyDescent="0.25">
      <c r="A61" s="164" t="s">
        <v>89</v>
      </c>
      <c r="B61" s="164"/>
      <c r="C61" s="164"/>
      <c r="D61" s="116">
        <f>E45</f>
        <v>9696.41</v>
      </c>
      <c r="E61" s="116"/>
      <c r="F61" s="116"/>
      <c r="G61" s="116"/>
      <c r="H61" s="116"/>
    </row>
    <row r="62" spans="1:9" x14ac:dyDescent="0.25">
      <c r="A62" s="164" t="s">
        <v>45</v>
      </c>
      <c r="B62" s="116"/>
      <c r="C62" s="116"/>
      <c r="D62" s="116" t="s">
        <v>289</v>
      </c>
      <c r="E62" s="116"/>
      <c r="F62" s="116"/>
      <c r="G62" s="116"/>
      <c r="H62" s="116"/>
      <c r="I62" s="22"/>
    </row>
    <row r="63" spans="1:9" ht="51" customHeight="1" x14ac:dyDescent="0.25">
      <c r="A63" s="154" t="s">
        <v>46</v>
      </c>
      <c r="B63" s="155"/>
      <c r="C63" s="156"/>
      <c r="D63" s="152" t="s">
        <v>301</v>
      </c>
      <c r="E63" s="153"/>
      <c r="F63" s="153"/>
      <c r="G63" s="153"/>
      <c r="H63" s="153"/>
    </row>
    <row r="64" spans="1:9" ht="35.25" customHeight="1" x14ac:dyDescent="0.25">
      <c r="A64" s="154" t="s">
        <v>87</v>
      </c>
      <c r="B64" s="155"/>
      <c r="C64" s="155"/>
      <c r="D64" s="164" t="s">
        <v>298</v>
      </c>
      <c r="E64" s="164"/>
      <c r="F64" s="164"/>
      <c r="G64" s="164"/>
      <c r="H64" s="164"/>
    </row>
    <row r="65" spans="1:14" x14ac:dyDescent="0.25">
      <c r="A65" s="189"/>
      <c r="B65" s="190"/>
      <c r="C65" s="190"/>
      <c r="D65" s="164" t="s">
        <v>326</v>
      </c>
      <c r="E65" s="164"/>
      <c r="F65" s="164"/>
      <c r="G65" s="164"/>
      <c r="H65" s="164"/>
    </row>
    <row r="66" spans="1:14" ht="31.5" customHeight="1" x14ac:dyDescent="0.25">
      <c r="A66" s="112" t="s">
        <v>43</v>
      </c>
      <c r="B66" s="112"/>
      <c r="C66" s="112"/>
      <c r="D66" s="180" t="s">
        <v>264</v>
      </c>
      <c r="E66" s="180"/>
      <c r="F66" s="180"/>
      <c r="G66" s="180"/>
      <c r="H66" s="180"/>
      <c r="J66" s="23"/>
      <c r="K66" s="22"/>
      <c r="N66" s="22"/>
    </row>
    <row r="67" spans="1:14" ht="15.75" customHeight="1" x14ac:dyDescent="0.25">
      <c r="A67" s="116" t="s">
        <v>85</v>
      </c>
      <c r="B67" s="116"/>
      <c r="C67" s="116"/>
      <c r="D67" s="196" t="str">
        <f ca="1">(IF(G57="NA","60 Years After Completion",IF(G57&lt;&gt;"NA",""&amp;60-ROUNDDOWN((E3-G57)/360,0)&amp;" Years"," ")))</f>
        <v>52 Years</v>
      </c>
      <c r="E67" s="196"/>
      <c r="F67" s="196"/>
      <c r="G67" s="196"/>
      <c r="H67" s="196"/>
      <c r="N67" s="22"/>
    </row>
    <row r="68" spans="1:14" ht="15.75" customHeight="1" x14ac:dyDescent="0.25">
      <c r="A68" s="116" t="s">
        <v>86</v>
      </c>
      <c r="B68" s="116"/>
      <c r="C68" s="116"/>
      <c r="D68" s="164" t="s">
        <v>24</v>
      </c>
      <c r="E68" s="164"/>
      <c r="F68" s="164"/>
      <c r="G68" s="164"/>
      <c r="H68" s="164"/>
      <c r="J68" s="24"/>
      <c r="K68" s="24"/>
    </row>
    <row r="69" spans="1:14" ht="51" customHeight="1" x14ac:dyDescent="0.25">
      <c r="A69" s="116" t="s">
        <v>265</v>
      </c>
      <c r="B69" s="116"/>
      <c r="C69" s="116"/>
      <c r="D69" s="164" t="s">
        <v>295</v>
      </c>
      <c r="E69" s="164"/>
      <c r="F69" s="164"/>
      <c r="G69" s="164"/>
      <c r="H69" s="164"/>
    </row>
    <row r="70" spans="1:14" x14ac:dyDescent="0.25">
      <c r="A70" s="119" t="s">
        <v>149</v>
      </c>
      <c r="B70" s="119"/>
      <c r="C70" s="119"/>
      <c r="D70" s="119" t="s">
        <v>29</v>
      </c>
      <c r="E70" s="119"/>
      <c r="F70" s="119"/>
      <c r="G70" s="119"/>
      <c r="H70" s="119"/>
      <c r="I70" s="25"/>
      <c r="J70" s="25"/>
      <c r="K70" s="25"/>
      <c r="L70" s="25"/>
      <c r="M70" s="25"/>
      <c r="N70" s="25"/>
    </row>
    <row r="71" spans="1:14" ht="15.75" customHeight="1" x14ac:dyDescent="0.25">
      <c r="A71" s="120" t="s">
        <v>84</v>
      </c>
      <c r="B71" s="120"/>
      <c r="C71" s="120"/>
      <c r="D71" s="152" t="str">
        <f ca="1">(IF(G77&gt;95%,"Nothing",IF(G77&gt;0%,"Cement, Aggregate, Steel, etc",IF(G77=0%,"Work not yet Started"))))</f>
        <v>Cement, Aggregate, Steel, etc</v>
      </c>
      <c r="E71" s="152"/>
      <c r="F71" s="152"/>
      <c r="G71" s="152"/>
      <c r="H71" s="152"/>
      <c r="J71" s="24"/>
    </row>
    <row r="72" spans="1:14" ht="33.75" customHeight="1" thickBot="1" x14ac:dyDescent="0.3">
      <c r="A72" s="167" t="s">
        <v>116</v>
      </c>
      <c r="B72" s="167"/>
      <c r="C72" s="167"/>
      <c r="D72" s="152" t="str">
        <f ca="1">(IF(D71="Nothing","Yes",IF(D71="Cement, Aggregate, Steel, etc","Under Construction",IF(D71="Work not yet Started","Work not yet Started"))))</f>
        <v>Under Construction</v>
      </c>
      <c r="E72" s="152"/>
      <c r="F72" s="152" t="str">
        <f ca="1">(IF(D71="Nothing","Yes",IF(D71="Cement, Aggregate, Steel, etc","Under Construction",IF(D71="Work not yet Started","Work not yet Started"))))</f>
        <v>Under Construction</v>
      </c>
      <c r="G72" s="152"/>
      <c r="H72" s="152"/>
    </row>
    <row r="73" spans="1:14" ht="15.75" customHeight="1" x14ac:dyDescent="0.25">
      <c r="A73" s="159" t="s">
        <v>139</v>
      </c>
      <c r="B73" s="160"/>
      <c r="C73" s="161" t="str">
        <f>D64</f>
        <v>Wing A &amp; C = 1B + Gr/Stilt + 1st to 4th Podium + 5th to 21st Floor</v>
      </c>
      <c r="D73" s="162"/>
      <c r="E73" s="162"/>
      <c r="F73" s="162"/>
      <c r="G73" s="162"/>
      <c r="H73" s="163"/>
      <c r="I73" s="44" t="str">
        <f ca="1">IF(D86=100%,"All work Completed. Possession granted to the Building.",IF(D85=100%,"All work Completed, Waiting for OC",I74&amp;""&amp;I75&amp;""&amp;J74&amp;""&amp;J73&amp;" "&amp;J75))</f>
        <v>Excavation, Plinth Completed, RCC upto 13 Slab, Brickwork upto 10 Floor, Internal Plaster upto 9 Floor, External Plaster upto 9 Floor, Flooring upto 6 Floor, Painting upto 3 Floor Completed</v>
      </c>
      <c r="J73" s="45"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13 Slab, Brickwork upto 10 Floor, Internal Plaster upto 9 Floor, External Plaster upto 9 Floor, Flooring upto 6 Floor, Painting upto 3 Floor</v>
      </c>
    </row>
    <row r="74" spans="1:14" x14ac:dyDescent="0.25">
      <c r="A74" s="16" t="s">
        <v>141</v>
      </c>
      <c r="B74" s="48">
        <f>IF(AND(ISNUMBER(SEARCH("1B",C73))),1,IF(AND(ISNUMBER(SEARCH("2B",C73))),2,IF(AND(ISNUMBER(SEARCH("3B",C73))),3,IF(AND(ISNUMBER(SEARCH("4B",C73))),4,IF(ISNUMBER(SEARCH("5B",C73)),5,0)))))</f>
        <v>1</v>
      </c>
      <c r="C74" s="48" t="s">
        <v>70</v>
      </c>
      <c r="D74" s="48">
        <v>1</v>
      </c>
      <c r="E74" s="48" t="s">
        <v>69</v>
      </c>
      <c r="F74" s="48">
        <v>0</v>
      </c>
      <c r="G74" s="48" t="s">
        <v>78</v>
      </c>
      <c r="H74" s="17">
        <f ca="1">--TRIM(RIGHT(SUBSTITUTE(LEFT(C73,_xlfn.AGGREGATE(16,6,FIND({0,1,2,3,4,5,6,7,8,9},C73,ROW(INDIRECT("1:"&amp;LEN(C73)))),1))," ",REPT(" ",LEN(C73))),LEN(C73)))</f>
        <v>21</v>
      </c>
      <c r="I74" s="46" t="str">
        <f ca="1">IF(D77=100%,"Excavation","")&amp;IF(D78=100%,", Plinth","")&amp;IF(D79=100%,", RCC Slab","")&amp;IF(D80=100%,", Brickwork","")&amp;IF(D81=100%,", Internal Plaster","")&amp;IF(D82=100%,", External Plaster","")&amp;IF(D83=100%,", Flooring","")&amp;IF(D84=100%,", Painting","")&amp;IF(D85=100%,", Building common Amenities","")</f>
        <v>Excavation, Plinth</v>
      </c>
      <c r="J74" s="47"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row>
    <row r="75" spans="1:14" ht="48" customHeight="1" x14ac:dyDescent="0.25">
      <c r="A75" s="157" t="s">
        <v>88</v>
      </c>
      <c r="B75" s="158"/>
      <c r="C75" s="165" t="str">
        <f ca="1">I73</f>
        <v>Excavation, Plinth Completed, RCC upto 13 Slab, Brickwork upto 10 Floor, Internal Plaster upto 9 Floor, External Plaster upto 9 Floor, Flooring upto 6 Floor, Painting upto 3 Floor Completed</v>
      </c>
      <c r="D75" s="165"/>
      <c r="E75" s="165"/>
      <c r="F75" s="165"/>
      <c r="G75" s="165"/>
      <c r="H75" s="166"/>
      <c r="I75" s="46" t="str">
        <f ca="1">IF(I74&lt;&gt;""," Completed","")</f>
        <v xml:space="preserve"> Completed</v>
      </c>
      <c r="J75" s="47" t="str">
        <f ca="1">IF(J73&lt;&gt;"","Completed","")</f>
        <v>Completed</v>
      </c>
    </row>
    <row r="76" spans="1:14" ht="15.75" customHeight="1" x14ac:dyDescent="0.25">
      <c r="A76" s="105" t="s">
        <v>47</v>
      </c>
      <c r="B76" s="106"/>
      <c r="C76" s="51" t="s">
        <v>138</v>
      </c>
      <c r="D76" s="51" t="s">
        <v>81</v>
      </c>
      <c r="E76" s="106" t="s">
        <v>83</v>
      </c>
      <c r="F76" s="106"/>
      <c r="G76" s="106" t="s">
        <v>82</v>
      </c>
      <c r="H76" s="137"/>
      <c r="I76" s="14" t="s">
        <v>140</v>
      </c>
      <c r="J76" s="26">
        <f ca="1">H74*25%</f>
        <v>5.25</v>
      </c>
    </row>
    <row r="77" spans="1:14" x14ac:dyDescent="0.25">
      <c r="A77" s="105" t="s">
        <v>127</v>
      </c>
      <c r="B77" s="106"/>
      <c r="C77" s="51">
        <f ca="1">J78</f>
        <v>21</v>
      </c>
      <c r="D77" s="52">
        <f ca="1">((100/H74)*C77)/100</f>
        <v>1</v>
      </c>
      <c r="E77" s="138">
        <f ca="1">(((C78/H74*10)+(40/(D74+F74+H74)*C79)+(7.5/(H74)*C80)+(7.5/(H74)*C81)+(10/H74*C82)+(10/H74*C83)+(5/H74*C84)+(5/H74*C85)+(5/H74*C86))/100)</f>
        <v>0.48279220779220777</v>
      </c>
      <c r="F77" s="139"/>
      <c r="G77" s="138">
        <f ca="1">((((C77/H74)*20)+((C78/H74)*25)+(30/(H74+F74+D74)*C79)+(5/H74*C80)+(5/H74*C81)+(5/H74*C82)+(5/H74*C83)+(0/H74*C84)+(0/H74*C85)+(5/H74*C86))/100)</f>
        <v>0.7082251082251082</v>
      </c>
      <c r="H77" s="191"/>
      <c r="I77" s="14" t="s">
        <v>99</v>
      </c>
      <c r="J77" s="27">
        <f ca="1">H74*50%</f>
        <v>10.5</v>
      </c>
    </row>
    <row r="78" spans="1:14" x14ac:dyDescent="0.25">
      <c r="A78" s="105" t="s">
        <v>48</v>
      </c>
      <c r="B78" s="106"/>
      <c r="C78" s="51">
        <f ca="1">J86</f>
        <v>21</v>
      </c>
      <c r="D78" s="52">
        <f ca="1">((100/H74)*C78)/100</f>
        <v>1</v>
      </c>
      <c r="E78" s="140"/>
      <c r="F78" s="141"/>
      <c r="G78" s="140"/>
      <c r="H78" s="192"/>
      <c r="I78" s="14" t="s">
        <v>100</v>
      </c>
      <c r="J78" s="27">
        <f ca="1">H74</f>
        <v>21</v>
      </c>
    </row>
    <row r="79" spans="1:14" ht="15.75" customHeight="1" x14ac:dyDescent="0.25">
      <c r="A79" s="105" t="s">
        <v>128</v>
      </c>
      <c r="B79" s="106"/>
      <c r="C79" s="51">
        <v>13</v>
      </c>
      <c r="D79" s="52">
        <f ca="1">((100/(D74+F74+H74))*C79)/100</f>
        <v>0.59090909090909094</v>
      </c>
      <c r="E79" s="140"/>
      <c r="F79" s="141"/>
      <c r="G79" s="140"/>
      <c r="H79" s="192"/>
      <c r="I79" s="14" t="s">
        <v>101</v>
      </c>
      <c r="J79" s="28">
        <f ca="1">(IF(B74&gt;1,(H74/(B74+2)),H74/4))</f>
        <v>5.25</v>
      </c>
    </row>
    <row r="80" spans="1:14" ht="15.75" customHeight="1" x14ac:dyDescent="0.25">
      <c r="A80" s="105" t="s">
        <v>135</v>
      </c>
      <c r="B80" s="106" t="s">
        <v>129</v>
      </c>
      <c r="C80" s="51">
        <v>10</v>
      </c>
      <c r="D80" s="52">
        <f ca="1">((100/H74)*C80)/100</f>
        <v>0.47619047619047622</v>
      </c>
      <c r="E80" s="140"/>
      <c r="F80" s="141"/>
      <c r="G80" s="140"/>
      <c r="H80" s="192"/>
      <c r="I80" s="14" t="s">
        <v>102</v>
      </c>
      <c r="J80" s="28">
        <f ca="1">(IF(B74&gt;1,(H74/(B74+2)+J79),H74/4+J79))</f>
        <v>10.5</v>
      </c>
    </row>
    <row r="81" spans="1:10" ht="15.75" customHeight="1" x14ac:dyDescent="0.25">
      <c r="A81" s="105" t="s">
        <v>136</v>
      </c>
      <c r="B81" s="106" t="s">
        <v>129</v>
      </c>
      <c r="C81" s="51">
        <v>9</v>
      </c>
      <c r="D81" s="52">
        <f ca="1">((100/H74)*C81)/100</f>
        <v>0.42857142857142855</v>
      </c>
      <c r="E81" s="140"/>
      <c r="F81" s="141"/>
      <c r="G81" s="140"/>
      <c r="H81" s="192"/>
      <c r="I81" s="14" t="s">
        <v>147</v>
      </c>
      <c r="J81" s="28">
        <f>(IF(B74&gt;1,(H74/(B74+2)+J80),0))</f>
        <v>0</v>
      </c>
    </row>
    <row r="82" spans="1:10" ht="15" customHeight="1" x14ac:dyDescent="0.25">
      <c r="A82" s="105" t="s">
        <v>134</v>
      </c>
      <c r="B82" s="106" t="s">
        <v>131</v>
      </c>
      <c r="C82" s="51">
        <v>9</v>
      </c>
      <c r="D82" s="52">
        <f ca="1">((100/(H74))*C82)/100</f>
        <v>0.42857142857142855</v>
      </c>
      <c r="E82" s="140"/>
      <c r="F82" s="141"/>
      <c r="G82" s="140"/>
      <c r="H82" s="192"/>
      <c r="I82" s="14" t="s">
        <v>142</v>
      </c>
      <c r="J82" s="28">
        <f>(IF(B74&gt;2,(H74/(B74+2)+J81),0))</f>
        <v>0</v>
      </c>
    </row>
    <row r="83" spans="1:10" ht="15.75" customHeight="1" x14ac:dyDescent="0.25">
      <c r="A83" s="105" t="s">
        <v>130</v>
      </c>
      <c r="B83" s="106" t="s">
        <v>130</v>
      </c>
      <c r="C83" s="51">
        <v>6</v>
      </c>
      <c r="D83" s="52">
        <f ca="1">((100/H74)*C83)/100</f>
        <v>0.2857142857142857</v>
      </c>
      <c r="E83" s="140"/>
      <c r="F83" s="141"/>
      <c r="G83" s="140"/>
      <c r="H83" s="192"/>
      <c r="I83" s="14" t="s">
        <v>143</v>
      </c>
      <c r="J83" s="29">
        <f>(IF(B74&gt;3,(H74/(B74+2)+J82),0))</f>
        <v>0</v>
      </c>
    </row>
    <row r="84" spans="1:10" ht="15.75" customHeight="1" x14ac:dyDescent="0.25">
      <c r="A84" s="105" t="s">
        <v>137</v>
      </c>
      <c r="B84" s="106"/>
      <c r="C84" s="51">
        <v>3</v>
      </c>
      <c r="D84" s="52">
        <f ca="1">((100/H74)*C84)/100</f>
        <v>0.14285714285714285</v>
      </c>
      <c r="E84" s="140"/>
      <c r="F84" s="141"/>
      <c r="G84" s="140"/>
      <c r="H84" s="192"/>
      <c r="I84" s="14" t="s">
        <v>144</v>
      </c>
      <c r="J84" s="28">
        <f>(IF(B74&gt;4,(H74/(B74+2)+J83),0))</f>
        <v>0</v>
      </c>
    </row>
    <row r="85" spans="1:10" ht="15.75" customHeight="1" x14ac:dyDescent="0.25">
      <c r="A85" s="105" t="s">
        <v>132</v>
      </c>
      <c r="B85" s="106" t="s">
        <v>132</v>
      </c>
      <c r="C85" s="51">
        <v>0</v>
      </c>
      <c r="D85" s="52">
        <f ca="1">((100/(H74))*C85)/100</f>
        <v>0</v>
      </c>
      <c r="E85" s="140"/>
      <c r="F85" s="141"/>
      <c r="G85" s="140"/>
      <c r="H85" s="192"/>
      <c r="I85" s="14" t="s">
        <v>148</v>
      </c>
      <c r="J85" s="28">
        <f ca="1">(IF(B74=1,(H74/(B74+3)+J80),IF(B74=0,(H74/4+J80),IF(B74&gt;1,0))))</f>
        <v>15.75</v>
      </c>
    </row>
    <row r="86" spans="1:10" ht="16.5" thickBot="1" x14ac:dyDescent="0.3">
      <c r="A86" s="194" t="s">
        <v>133</v>
      </c>
      <c r="B86" s="195"/>
      <c r="C86" s="55">
        <v>0</v>
      </c>
      <c r="D86" s="54">
        <f ca="1">((100/(H74))*C86)/100</f>
        <v>0</v>
      </c>
      <c r="E86" s="142"/>
      <c r="F86" s="143"/>
      <c r="G86" s="142"/>
      <c r="H86" s="193"/>
      <c r="I86" s="15" t="s">
        <v>103</v>
      </c>
      <c r="J86" s="30">
        <f ca="1">(IF(B74&gt;1.5,(H74/(B74+2)+J80+MAX(0,J81-J80)+MAX(0,J82-J81)+MAX(0,J83-J82)+MAX(0,J84-J83)+MAX(0,J85-J84)),IF(B74=1,(H74/(B74+3)+J85),IF(B74=0,H74/4+J85))))</f>
        <v>21</v>
      </c>
    </row>
    <row r="87" spans="1:10" ht="15.75" customHeight="1" x14ac:dyDescent="0.25">
      <c r="A87" s="159" t="s">
        <v>139</v>
      </c>
      <c r="B87" s="160"/>
      <c r="C87" s="161" t="str">
        <f>D65</f>
        <v>Wing B = 1B + Gr/Stilt + 1st to 4th Podium + 5th to 21st Floor</v>
      </c>
      <c r="D87" s="162"/>
      <c r="E87" s="162"/>
      <c r="F87" s="162"/>
      <c r="G87" s="162"/>
      <c r="H87" s="163"/>
      <c r="I87" s="44" t="str">
        <f ca="1">IF(D100=100%,"All work Completed. Possession granted to the Building.",IF(D99=100%,"All work Completed, Waiting for OC",I88&amp;""&amp;I89&amp;""&amp;J88&amp;""&amp;J87&amp;" "&amp;J89))</f>
        <v>All work Completed. Possession granted to the Building.</v>
      </c>
      <c r="J87" s="45" t="str">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
      </c>
    </row>
    <row r="88" spans="1:10" x14ac:dyDescent="0.25">
      <c r="A88" s="16" t="s">
        <v>141</v>
      </c>
      <c r="B88" s="48">
        <f>IF(AND(ISNUMBER(SEARCH("1B",C87))),1,IF(AND(ISNUMBER(SEARCH("2B",C87))),2,IF(AND(ISNUMBER(SEARCH("3B",C87))),3,IF(AND(ISNUMBER(SEARCH("4B",C87))),4,IF(ISNUMBER(SEARCH("5B",C87)),5,0)))))</f>
        <v>1</v>
      </c>
      <c r="C88" s="48" t="s">
        <v>70</v>
      </c>
      <c r="D88" s="48">
        <v>1</v>
      </c>
      <c r="E88" s="48" t="s">
        <v>69</v>
      </c>
      <c r="F88" s="48">
        <v>0</v>
      </c>
      <c r="G88" s="48" t="s">
        <v>78</v>
      </c>
      <c r="H88" s="17">
        <f ca="1">--TRIM(RIGHT(SUBSTITUTE(LEFT(C87,_xlfn.AGGREGATE(16,6,FIND({0,1,2,3,4,5,6,7,8,9},C87,ROW(INDIRECT("1:"&amp;LEN(C87)))),1))," ",REPT(" ",LEN(C87))),LEN(C87)))</f>
        <v>21</v>
      </c>
      <c r="I88" s="46" t="str">
        <f ca="1">IF(D91=100%,"Excavation","")&amp;IF(D92=100%,", Plinth","")&amp;IF(D93=100%,", RCC Slab","")&amp;IF(D94=100%,", Brickwork","")&amp;IF(D95=100%,", Internal Plaster","")&amp;IF(D96=100%,", External Plaster","")&amp;IF(D97=100%,", Flooring","")&amp;IF(D98=100%,", Painting","")&amp;IF(D99=100%,", Building common Amenities","")</f>
        <v>Excavation, Plinth, RCC Slab, Brickwork, Internal Plaster, External Plaster, Flooring, Painting, Building common Amenities</v>
      </c>
      <c r="J88" s="47" t="str">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
      </c>
    </row>
    <row r="89" spans="1:10" ht="16.5" thickBot="1" x14ac:dyDescent="0.3">
      <c r="A89" s="157" t="s">
        <v>88</v>
      </c>
      <c r="B89" s="158"/>
      <c r="C89" s="165" t="s">
        <v>327</v>
      </c>
      <c r="D89" s="165"/>
      <c r="E89" s="165"/>
      <c r="F89" s="165"/>
      <c r="G89" s="165"/>
      <c r="H89" s="166"/>
      <c r="I89" s="46" t="str">
        <f ca="1">IF(I88&lt;&gt;""," Completed","")</f>
        <v xml:space="preserve"> Completed</v>
      </c>
      <c r="J89" s="47" t="str">
        <f ca="1">IF(J87&lt;&gt;"","Completed","")</f>
        <v/>
      </c>
    </row>
    <row r="90" spans="1:10" ht="15.75" hidden="1" customHeight="1" x14ac:dyDescent="0.25">
      <c r="A90" s="105" t="s">
        <v>47</v>
      </c>
      <c r="B90" s="106"/>
      <c r="C90" s="51" t="s">
        <v>138</v>
      </c>
      <c r="D90" s="51" t="s">
        <v>81</v>
      </c>
      <c r="E90" s="106" t="s">
        <v>83</v>
      </c>
      <c r="F90" s="106"/>
      <c r="G90" s="106" t="s">
        <v>82</v>
      </c>
      <c r="H90" s="137"/>
      <c r="I90" s="14" t="s">
        <v>140</v>
      </c>
      <c r="J90" s="26">
        <f ca="1">H88*25%</f>
        <v>5.25</v>
      </c>
    </row>
    <row r="91" spans="1:10" hidden="1" x14ac:dyDescent="0.25">
      <c r="A91" s="105" t="s">
        <v>127</v>
      </c>
      <c r="B91" s="106"/>
      <c r="C91" s="51">
        <f ca="1">J92</f>
        <v>21</v>
      </c>
      <c r="D91" s="52">
        <f ca="1">((100/H88)*C91)/100</f>
        <v>1</v>
      </c>
      <c r="E91" s="138">
        <f ca="1">(((C92/H88*10)+(40/(D88+F88+H88)*C93)+(7.5/(H88)*C94)+(7.5/(H88)*C95)+(10/H88*C96)+(10/H88*C97)+(5/H88*C98)+(5/H88*C99)+(5/H88*C100))/100)</f>
        <v>1</v>
      </c>
      <c r="F91" s="139"/>
      <c r="G91" s="138">
        <f ca="1">((((C91/H88)*20)+((C92/H88)*25)+(30/(H88+F88+D88)*C93)+(5/H88*C94)+(5/H88*C95)+(5/H88*C96)+(5/H88*C97)+(0/H88*C98)+(0/H88*C99)+(5/H88*C100))/100)</f>
        <v>1</v>
      </c>
      <c r="H91" s="191"/>
      <c r="I91" s="14" t="s">
        <v>99</v>
      </c>
      <c r="J91" s="27">
        <f ca="1">H88*50%</f>
        <v>10.5</v>
      </c>
    </row>
    <row r="92" spans="1:10" hidden="1" x14ac:dyDescent="0.25">
      <c r="A92" s="105" t="s">
        <v>48</v>
      </c>
      <c r="B92" s="106"/>
      <c r="C92" s="53">
        <f ca="1">J100</f>
        <v>21</v>
      </c>
      <c r="D92" s="52">
        <f ca="1">((100/H88)*C92)/100</f>
        <v>1</v>
      </c>
      <c r="E92" s="140"/>
      <c r="F92" s="141"/>
      <c r="G92" s="140"/>
      <c r="H92" s="192"/>
      <c r="I92" s="14" t="s">
        <v>100</v>
      </c>
      <c r="J92" s="27">
        <f ca="1">H88</f>
        <v>21</v>
      </c>
    </row>
    <row r="93" spans="1:10" ht="15.75" hidden="1" customHeight="1" x14ac:dyDescent="0.25">
      <c r="A93" s="105" t="s">
        <v>128</v>
      </c>
      <c r="B93" s="106"/>
      <c r="C93" s="51">
        <v>22</v>
      </c>
      <c r="D93" s="52">
        <f ca="1">((100/(D88+F88+H88))*C93)/100</f>
        <v>1.0000000000000002</v>
      </c>
      <c r="E93" s="140"/>
      <c r="F93" s="141"/>
      <c r="G93" s="140"/>
      <c r="H93" s="192"/>
      <c r="I93" s="14" t="s">
        <v>101</v>
      </c>
      <c r="J93" s="28">
        <f ca="1">(IF(B88&gt;1,(H88/(B88+2)),H88/4))</f>
        <v>5.25</v>
      </c>
    </row>
    <row r="94" spans="1:10" ht="15.75" hidden="1" customHeight="1" x14ac:dyDescent="0.25">
      <c r="A94" s="105" t="s">
        <v>135</v>
      </c>
      <c r="B94" s="106" t="s">
        <v>129</v>
      </c>
      <c r="C94" s="51">
        <v>21</v>
      </c>
      <c r="D94" s="52">
        <f ca="1">((100/H88)*C94)/100</f>
        <v>1</v>
      </c>
      <c r="E94" s="140"/>
      <c r="F94" s="141"/>
      <c r="G94" s="140"/>
      <c r="H94" s="192"/>
      <c r="I94" s="14" t="s">
        <v>102</v>
      </c>
      <c r="J94" s="28">
        <f ca="1">(IF(B88&gt;1,(H88/(B88+2)+J93),H88/4+J93))</f>
        <v>10.5</v>
      </c>
    </row>
    <row r="95" spans="1:10" ht="15.75" hidden="1" customHeight="1" x14ac:dyDescent="0.25">
      <c r="A95" s="105" t="s">
        <v>136</v>
      </c>
      <c r="B95" s="106" t="s">
        <v>129</v>
      </c>
      <c r="C95" s="64">
        <v>21</v>
      </c>
      <c r="D95" s="52">
        <f ca="1">((100/H88)*C95)/100</f>
        <v>1</v>
      </c>
      <c r="E95" s="140"/>
      <c r="F95" s="141"/>
      <c r="G95" s="140"/>
      <c r="H95" s="192"/>
      <c r="I95" s="14" t="s">
        <v>147</v>
      </c>
      <c r="J95" s="28">
        <f>(IF(B88&gt;1,(H88/(B88+2)+J94),0))</f>
        <v>0</v>
      </c>
    </row>
    <row r="96" spans="1:10" ht="15" hidden="1" customHeight="1" x14ac:dyDescent="0.25">
      <c r="A96" s="105" t="s">
        <v>134</v>
      </c>
      <c r="B96" s="106" t="s">
        <v>131</v>
      </c>
      <c r="C96" s="64">
        <v>21</v>
      </c>
      <c r="D96" s="52">
        <f ca="1">((100/(H88))*C96)/100</f>
        <v>1</v>
      </c>
      <c r="E96" s="140"/>
      <c r="F96" s="141"/>
      <c r="G96" s="140"/>
      <c r="H96" s="192"/>
      <c r="I96" s="14" t="s">
        <v>142</v>
      </c>
      <c r="J96" s="28">
        <f>(IF(B88&gt;2,(H88/(B88+2)+J95),0))</f>
        <v>0</v>
      </c>
    </row>
    <row r="97" spans="1:15" ht="15.75" hidden="1" customHeight="1" x14ac:dyDescent="0.25">
      <c r="A97" s="105" t="s">
        <v>130</v>
      </c>
      <c r="B97" s="106" t="s">
        <v>130</v>
      </c>
      <c r="C97" s="64">
        <v>21</v>
      </c>
      <c r="D97" s="52">
        <f ca="1">((100/H88)*C97)/100</f>
        <v>1</v>
      </c>
      <c r="E97" s="140"/>
      <c r="F97" s="141"/>
      <c r="G97" s="140"/>
      <c r="H97" s="192"/>
      <c r="I97" s="14" t="s">
        <v>143</v>
      </c>
      <c r="J97" s="29">
        <f>(IF(B88&gt;3,(H88/(B88+2)+J96),0))</f>
        <v>0</v>
      </c>
    </row>
    <row r="98" spans="1:15" ht="15.75" hidden="1" customHeight="1" x14ac:dyDescent="0.25">
      <c r="A98" s="105" t="s">
        <v>137</v>
      </c>
      <c r="B98" s="106"/>
      <c r="C98" s="64">
        <v>21</v>
      </c>
      <c r="D98" s="52">
        <f ca="1">((100/H88)*C98)/100</f>
        <v>1</v>
      </c>
      <c r="E98" s="140"/>
      <c r="F98" s="141"/>
      <c r="G98" s="140"/>
      <c r="H98" s="192"/>
      <c r="I98" s="14" t="s">
        <v>144</v>
      </c>
      <c r="J98" s="28">
        <f>(IF(B88&gt;4,(H88/(B88+2)+J97),0))</f>
        <v>0</v>
      </c>
    </row>
    <row r="99" spans="1:15" ht="15.75" hidden="1" customHeight="1" x14ac:dyDescent="0.25">
      <c r="A99" s="105" t="s">
        <v>132</v>
      </c>
      <c r="B99" s="106" t="s">
        <v>132</v>
      </c>
      <c r="C99" s="64">
        <v>21</v>
      </c>
      <c r="D99" s="52">
        <f ca="1">((100/(H88))*C99)/100</f>
        <v>1</v>
      </c>
      <c r="E99" s="140"/>
      <c r="F99" s="141"/>
      <c r="G99" s="140"/>
      <c r="H99" s="192"/>
      <c r="I99" s="14" t="s">
        <v>148</v>
      </c>
      <c r="J99" s="28">
        <f ca="1">(IF(B88=1,(H88/(B88+3)+J94),IF(B88=0,(H88/4+J94),IF(B88&gt;1,0))))</f>
        <v>15.75</v>
      </c>
    </row>
    <row r="100" spans="1:15" ht="16.5" hidden="1" thickBot="1" x14ac:dyDescent="0.3">
      <c r="A100" s="194" t="s">
        <v>133</v>
      </c>
      <c r="B100" s="195"/>
      <c r="C100" s="64">
        <v>21</v>
      </c>
      <c r="D100" s="54">
        <f ca="1">((100/(H88))*C100)/100</f>
        <v>1</v>
      </c>
      <c r="E100" s="142"/>
      <c r="F100" s="143"/>
      <c r="G100" s="142"/>
      <c r="H100" s="193"/>
      <c r="I100" s="15" t="s">
        <v>103</v>
      </c>
      <c r="J100" s="30">
        <f ca="1">(IF(B88&gt;1.5,(H88/(B88+2)+J94+MAX(0,J95-J94)+MAX(0,J96-J95)+MAX(0,J97-J96)+MAX(0,J98-J97)+MAX(0,J99-J98)),IF(B88=1,(H88/(B88+3)+J99),IF(B88=0,H88/4+J99))))</f>
        <v>21</v>
      </c>
    </row>
    <row r="101" spans="1:15" ht="32.25" customHeight="1" thickBot="1" x14ac:dyDescent="0.3">
      <c r="A101" s="68" t="s">
        <v>83</v>
      </c>
      <c r="B101" s="69"/>
      <c r="C101" s="72">
        <f ca="1">E91</f>
        <v>1</v>
      </c>
      <c r="D101" s="73"/>
      <c r="E101" s="70" t="s">
        <v>82</v>
      </c>
      <c r="F101" s="71"/>
      <c r="G101" s="70">
        <f ca="1">G91</f>
        <v>1</v>
      </c>
      <c r="H101" s="71"/>
      <c r="I101" s="15" t="s">
        <v>103</v>
      </c>
      <c r="J101" s="30">
        <f ca="1">(IF(B89&gt;1.5,(H89/(B89+2)+J95+MAX(0,J96-J95)+MAX(0,J97-J96)+MAX(0,J98-J97)+MAX(0,J99-J98)+MAX(0,J100-J99)),IF(B89=1,(H89/(B89+3)+J100),IF(B89=0,H89/4+J100))))</f>
        <v>21</v>
      </c>
    </row>
    <row r="102" spans="1:15" x14ac:dyDescent="0.25">
      <c r="A102" s="198" t="s">
        <v>159</v>
      </c>
      <c r="B102" s="198"/>
      <c r="C102" s="198"/>
      <c r="D102" s="198"/>
      <c r="E102" s="198"/>
      <c r="F102" s="127" t="s">
        <v>163</v>
      </c>
      <c r="G102" s="127"/>
      <c r="H102" s="127"/>
      <c r="I102" s="57"/>
      <c r="J102" s="57" t="s">
        <v>296</v>
      </c>
      <c r="K102" s="57" t="s">
        <v>297</v>
      </c>
      <c r="L102" s="57"/>
      <c r="M102" s="57"/>
      <c r="N102" s="57"/>
      <c r="O102" s="57"/>
    </row>
    <row r="103" spans="1:15" x14ac:dyDescent="0.25">
      <c r="A103" s="112" t="s">
        <v>161</v>
      </c>
      <c r="B103" s="112"/>
      <c r="C103" s="112"/>
      <c r="D103" s="112"/>
      <c r="E103" s="112"/>
      <c r="F103" s="109">
        <v>19200</v>
      </c>
      <c r="G103" s="109"/>
      <c r="H103" s="109"/>
      <c r="I103" s="57"/>
      <c r="J103" s="60">
        <f>30000/1.55</f>
        <v>19354.83870967742</v>
      </c>
      <c r="K103" s="57">
        <v>19000</v>
      </c>
      <c r="L103" s="57"/>
      <c r="M103" s="57"/>
      <c r="N103" s="57"/>
      <c r="O103" s="57"/>
    </row>
    <row r="104" spans="1:15" x14ac:dyDescent="0.25">
      <c r="A104" s="112" t="s">
        <v>160</v>
      </c>
      <c r="B104" s="112"/>
      <c r="C104" s="112"/>
      <c r="D104" s="112"/>
      <c r="E104" s="112"/>
      <c r="F104" s="109">
        <v>45000</v>
      </c>
      <c r="G104" s="109"/>
      <c r="H104" s="109"/>
      <c r="I104" s="57"/>
      <c r="J104" s="57"/>
      <c r="K104" s="57">
        <v>32000</v>
      </c>
      <c r="L104" s="57"/>
      <c r="M104" s="57"/>
      <c r="N104" s="57"/>
      <c r="O104" s="57"/>
    </row>
    <row r="105" spans="1:15" hidden="1" x14ac:dyDescent="0.25">
      <c r="A105" s="112" t="s">
        <v>162</v>
      </c>
      <c r="B105" s="112"/>
      <c r="C105" s="112"/>
      <c r="D105" s="112"/>
      <c r="E105" s="112"/>
      <c r="F105" s="109"/>
      <c r="G105" s="109"/>
      <c r="H105" s="109"/>
      <c r="I105" s="57"/>
      <c r="J105" s="57"/>
      <c r="K105" s="57"/>
      <c r="L105" s="57"/>
      <c r="M105" s="57"/>
      <c r="N105" s="57"/>
      <c r="O105" s="57"/>
    </row>
    <row r="106" spans="1:15" s="31" customFormat="1" hidden="1" x14ac:dyDescent="0.25">
      <c r="A106" s="112" t="s">
        <v>179</v>
      </c>
      <c r="B106" s="112"/>
      <c r="C106" s="112"/>
      <c r="D106" s="112"/>
      <c r="E106" s="112"/>
      <c r="F106" s="109"/>
      <c r="G106" s="109"/>
      <c r="H106" s="109"/>
      <c r="I106" s="58"/>
      <c r="J106" s="58"/>
      <c r="K106" s="58"/>
      <c r="L106" s="58"/>
      <c r="M106" s="58"/>
      <c r="N106" s="58"/>
      <c r="O106" s="58"/>
    </row>
    <row r="107" spans="1:15" s="31" customFormat="1" hidden="1" x14ac:dyDescent="0.25">
      <c r="A107" s="112" t="s">
        <v>93</v>
      </c>
      <c r="B107" s="112"/>
      <c r="C107" s="112"/>
      <c r="D107" s="112"/>
      <c r="E107" s="112"/>
      <c r="F107" s="109"/>
      <c r="G107" s="109"/>
      <c r="H107" s="109"/>
      <c r="I107" s="58"/>
      <c r="J107" s="58"/>
      <c r="K107" s="58"/>
      <c r="L107" s="58"/>
      <c r="M107" s="58"/>
      <c r="N107" s="58"/>
      <c r="O107" s="58"/>
    </row>
    <row r="108" spans="1:15" s="31" customFormat="1" hidden="1" x14ac:dyDescent="0.25">
      <c r="A108" s="112" t="s">
        <v>94</v>
      </c>
      <c r="B108" s="112"/>
      <c r="C108" s="112"/>
      <c r="D108" s="112"/>
      <c r="E108" s="112"/>
      <c r="F108" s="109"/>
      <c r="G108" s="109"/>
      <c r="H108" s="109"/>
      <c r="I108" s="58"/>
      <c r="J108" s="58"/>
      <c r="K108" s="58"/>
      <c r="L108" s="58"/>
      <c r="M108" s="58"/>
      <c r="N108" s="58"/>
      <c r="O108" s="58"/>
    </row>
    <row r="109" spans="1:15" s="31" customFormat="1" hidden="1" x14ac:dyDescent="0.25">
      <c r="A109" s="112" t="s">
        <v>164</v>
      </c>
      <c r="B109" s="112"/>
      <c r="C109" s="112"/>
      <c r="D109" s="112"/>
      <c r="E109" s="112"/>
      <c r="F109" s="109"/>
      <c r="G109" s="109"/>
      <c r="H109" s="109"/>
      <c r="I109" s="58"/>
      <c r="J109" s="58"/>
      <c r="K109" s="58"/>
      <c r="L109" s="58"/>
      <c r="M109" s="58"/>
      <c r="N109" s="58"/>
      <c r="O109" s="58"/>
    </row>
    <row r="110" spans="1:15" s="31" customFormat="1" hidden="1" x14ac:dyDescent="0.25">
      <c r="A110" s="112" t="s">
        <v>95</v>
      </c>
      <c r="B110" s="112"/>
      <c r="C110" s="112"/>
      <c r="D110" s="112"/>
      <c r="E110" s="112"/>
      <c r="F110" s="109"/>
      <c r="G110" s="109"/>
      <c r="H110" s="109"/>
      <c r="I110" s="58"/>
      <c r="J110" s="58"/>
      <c r="K110" s="58"/>
      <c r="L110" s="58"/>
      <c r="M110" s="58"/>
      <c r="N110" s="58"/>
      <c r="O110" s="58"/>
    </row>
    <row r="111" spans="1:15" s="31" customFormat="1" hidden="1" x14ac:dyDescent="0.25">
      <c r="A111" s="112" t="s">
        <v>96</v>
      </c>
      <c r="B111" s="112"/>
      <c r="C111" s="112"/>
      <c r="D111" s="112"/>
      <c r="E111" s="112"/>
      <c r="F111" s="109"/>
      <c r="G111" s="109"/>
      <c r="H111" s="109"/>
      <c r="I111" s="58"/>
      <c r="J111" s="58"/>
      <c r="K111" s="58"/>
      <c r="L111" s="58"/>
      <c r="M111" s="58"/>
      <c r="N111" s="58"/>
      <c r="O111" s="58"/>
    </row>
    <row r="112" spans="1:15" s="31" customFormat="1" hidden="1" x14ac:dyDescent="0.25">
      <c r="A112" s="112" t="s">
        <v>97</v>
      </c>
      <c r="B112" s="112"/>
      <c r="C112" s="112"/>
      <c r="D112" s="112"/>
      <c r="E112" s="112"/>
      <c r="F112" s="109"/>
      <c r="G112" s="109"/>
      <c r="H112" s="109"/>
      <c r="I112" s="58"/>
      <c r="J112" s="58"/>
      <c r="K112" s="58"/>
      <c r="L112" s="58"/>
      <c r="M112" s="58"/>
      <c r="N112" s="58"/>
      <c r="O112" s="58"/>
    </row>
    <row r="113" spans="1:15" s="31" customFormat="1" hidden="1" x14ac:dyDescent="0.25">
      <c r="A113" s="112" t="s">
        <v>98</v>
      </c>
      <c r="B113" s="112"/>
      <c r="C113" s="112"/>
      <c r="D113" s="112"/>
      <c r="E113" s="112"/>
      <c r="F113" s="109"/>
      <c r="G113" s="109"/>
      <c r="H113" s="109"/>
      <c r="I113" s="58"/>
      <c r="J113" s="58"/>
      <c r="K113" s="58"/>
      <c r="L113" s="58"/>
      <c r="M113" s="58"/>
      <c r="N113" s="58"/>
      <c r="O113" s="58"/>
    </row>
    <row r="114" spans="1:15" x14ac:dyDescent="0.25">
      <c r="A114" s="112" t="s">
        <v>49</v>
      </c>
      <c r="B114" s="112"/>
      <c r="C114" s="112"/>
      <c r="D114" s="112"/>
      <c r="E114" s="112"/>
      <c r="F114" s="109">
        <v>800000</v>
      </c>
      <c r="G114" s="109"/>
      <c r="H114" s="109"/>
      <c r="I114" s="57"/>
      <c r="J114" s="57"/>
      <c r="K114" s="57" t="s">
        <v>316</v>
      </c>
      <c r="L114" s="62">
        <v>45400</v>
      </c>
      <c r="M114" s="57" t="s">
        <v>317</v>
      </c>
      <c r="N114" s="57"/>
      <c r="O114" s="57"/>
    </row>
    <row r="115" spans="1:15" s="32" customFormat="1" x14ac:dyDescent="0.25">
      <c r="A115" s="150" t="s">
        <v>50</v>
      </c>
      <c r="B115" s="150"/>
      <c r="C115" s="150"/>
      <c r="D115" s="150"/>
      <c r="E115" s="150"/>
      <c r="F115" s="109">
        <f>F103*0.8</f>
        <v>15360</v>
      </c>
      <c r="G115" s="109"/>
      <c r="H115" s="109"/>
      <c r="I115" s="59"/>
      <c r="J115" s="59"/>
      <c r="K115" s="59"/>
      <c r="L115" s="59"/>
      <c r="M115" s="59"/>
      <c r="N115" s="59"/>
      <c r="O115" s="59"/>
    </row>
    <row r="116" spans="1:15" s="33" customFormat="1" ht="15.75" customHeight="1" x14ac:dyDescent="0.25">
      <c r="A116" s="149" t="s">
        <v>73</v>
      </c>
      <c r="B116" s="149"/>
      <c r="C116" s="149"/>
      <c r="D116" s="149"/>
      <c r="E116" s="149"/>
      <c r="F116" s="149"/>
      <c r="G116" s="149"/>
      <c r="H116" s="149"/>
    </row>
    <row r="117" spans="1:15" s="33" customFormat="1" ht="15.75" customHeight="1" x14ac:dyDescent="0.25">
      <c r="A117" s="111" t="s">
        <v>51</v>
      </c>
      <c r="B117" s="111"/>
      <c r="C117" s="118" t="s">
        <v>76</v>
      </c>
      <c r="D117" s="118"/>
      <c r="E117" s="117" t="s">
        <v>52</v>
      </c>
      <c r="F117" s="117"/>
      <c r="G117" s="111" t="s">
        <v>53</v>
      </c>
      <c r="H117" s="111"/>
    </row>
    <row r="118" spans="1:15" s="33" customFormat="1" ht="31.5" x14ac:dyDescent="0.25">
      <c r="A118" s="43" t="s">
        <v>285</v>
      </c>
      <c r="B118" s="43" t="s">
        <v>288</v>
      </c>
      <c r="C118" s="123">
        <f>COUNT(D134:D171)+COUNT(D173:D216)+COUNT(D218:D261)</f>
        <v>126</v>
      </c>
      <c r="D118" s="124"/>
      <c r="E118" s="123">
        <f>SUM(D134:D171)+SUM(D173:D216)+SUM(D218:D261)</f>
        <v>29463.142680000012</v>
      </c>
      <c r="F118" s="124"/>
      <c r="G118" s="123">
        <f>SUM(F134:F171)+SUM(F173:F216)+SUM(F218:F261)</f>
        <v>78756.654695040022</v>
      </c>
      <c r="H118" s="124"/>
    </row>
    <row r="119" spans="1:15" s="33" customFormat="1" x14ac:dyDescent="0.25">
      <c r="A119" s="149" t="s">
        <v>152</v>
      </c>
      <c r="B119" s="149"/>
      <c r="C119" s="203">
        <f>SUM(C118)</f>
        <v>126</v>
      </c>
      <c r="D119" s="118"/>
      <c r="E119" s="204">
        <f>SUM(E118)</f>
        <v>29463.142680000012</v>
      </c>
      <c r="F119" s="117"/>
      <c r="G119" s="111">
        <f>SUM(G118)</f>
        <v>78756.654695040022</v>
      </c>
      <c r="H119" s="111"/>
    </row>
    <row r="120" spans="1:15" s="33" customFormat="1" x14ac:dyDescent="0.25">
      <c r="A120" s="149" t="s">
        <v>68</v>
      </c>
      <c r="B120" s="149"/>
      <c r="C120" s="149"/>
      <c r="D120" s="149"/>
      <c r="E120" s="149"/>
      <c r="F120" s="149"/>
      <c r="G120" s="149"/>
      <c r="H120" s="149"/>
    </row>
    <row r="121" spans="1:15" s="33" customFormat="1" ht="15.75" customHeight="1" x14ac:dyDescent="0.25">
      <c r="A121" s="111" t="s">
        <v>51</v>
      </c>
      <c r="B121" s="111"/>
      <c r="C121" s="118" t="s">
        <v>76</v>
      </c>
      <c r="D121" s="118"/>
      <c r="E121" s="117" t="s">
        <v>52</v>
      </c>
      <c r="F121" s="117"/>
      <c r="G121" s="111" t="s">
        <v>53</v>
      </c>
      <c r="H121" s="111"/>
    </row>
    <row r="122" spans="1:15" s="33" customFormat="1" x14ac:dyDescent="0.25">
      <c r="A122" s="103" t="s">
        <v>266</v>
      </c>
      <c r="B122" s="103"/>
      <c r="C122" s="104">
        <f>COUNT(D268:D271)*8+COUNT(D273:D276)*7+COUNT(D290)</f>
        <v>61</v>
      </c>
      <c r="D122" s="104"/>
      <c r="E122" s="104">
        <f>SUM(D268:D271)*8+SUM(D273:D276)*7+SUM(D290)</f>
        <v>32713.24914</v>
      </c>
      <c r="F122" s="104"/>
      <c r="G122" s="104">
        <f>SUM(F268:F271)*3+SUM(F273:F276)*3</f>
        <v>19940.955839999999</v>
      </c>
      <c r="H122" s="104"/>
    </row>
    <row r="123" spans="1:15" s="33" customFormat="1" x14ac:dyDescent="0.25">
      <c r="A123" s="103" t="s">
        <v>271</v>
      </c>
      <c r="B123" s="103"/>
      <c r="C123" s="104">
        <f>COUNT(D295:D298)*10+COUNT(D301:D303)+COUNT(D305:D307)+COUNT(D310:D312)+COUNT(D314:D316)+COUNT(D318:D321)+COUNT(D323:D326)*2</f>
        <v>64</v>
      </c>
      <c r="D123" s="104"/>
      <c r="E123" s="104">
        <f>SUM(D295:D298)*10+SUM(D301:D303)+SUM(D305:D307)+SUM(D310:D312)+SUM(D314:D316)+SUM(D318:D321)+SUM(D323:D326)*2</f>
        <v>25879.45464</v>
      </c>
      <c r="F123" s="104"/>
      <c r="G123" s="104">
        <f>SUM(F295:F298)*10+SUM(F301:F303)+SUM(F305:F307)+SUM(F310:F312)+SUM(F314:F316)+SUM(F318:F321)+SUM(F323:F326)*2</f>
        <v>40113.154692000004</v>
      </c>
      <c r="H123" s="104"/>
    </row>
    <row r="124" spans="1:15" s="33" customFormat="1" x14ac:dyDescent="0.25">
      <c r="A124" s="103" t="s">
        <v>270</v>
      </c>
      <c r="B124" s="103"/>
      <c r="C124" s="104">
        <f>COUNT(D330:D333)*8+COUNT(D335:D338)*7</f>
        <v>60</v>
      </c>
      <c r="D124" s="104"/>
      <c r="E124" s="104">
        <f>SUM(D330:D333)*8+SUM(D335:D338)*7</f>
        <v>32162.831999999991</v>
      </c>
      <c r="F124" s="104"/>
      <c r="G124" s="104">
        <f>SUM(F330:F333)*3+SUM(F335:F338)*3</f>
        <v>19940.955839999999</v>
      </c>
      <c r="H124" s="104"/>
    </row>
    <row r="125" spans="1:15" s="33" customFormat="1" ht="16.5" thickBot="1" x14ac:dyDescent="0.3">
      <c r="A125" s="200" t="s">
        <v>152</v>
      </c>
      <c r="B125" s="200"/>
      <c r="C125" s="125">
        <f>SUM(C122:C124)</f>
        <v>185</v>
      </c>
      <c r="D125" s="126"/>
      <c r="E125" s="201">
        <f>SUM(E122:E124)</f>
        <v>90755.535779999991</v>
      </c>
      <c r="F125" s="201"/>
      <c r="G125" s="202">
        <f>SUM(G122:G124)</f>
        <v>79995.066372000001</v>
      </c>
      <c r="H125" s="202"/>
    </row>
    <row r="126" spans="1:15" s="33" customFormat="1" ht="16.5" thickBot="1" x14ac:dyDescent="0.3">
      <c r="A126" s="144" t="s">
        <v>170</v>
      </c>
      <c r="B126" s="145"/>
      <c r="C126" s="146">
        <f>C119+C125</f>
        <v>311</v>
      </c>
      <c r="D126" s="146"/>
      <c r="E126" s="199">
        <f>E119+E125</f>
        <v>120218.67846</v>
      </c>
      <c r="F126" s="199"/>
      <c r="G126" s="121">
        <f>G119+G125</f>
        <v>158751.72106704002</v>
      </c>
      <c r="H126" s="122"/>
    </row>
    <row r="127" spans="1:15" s="32" customFormat="1" x14ac:dyDescent="0.25">
      <c r="A127" s="127" t="s">
        <v>54</v>
      </c>
      <c r="B127" s="127"/>
      <c r="C127" s="127"/>
      <c r="D127" s="127"/>
      <c r="E127" s="127"/>
      <c r="F127" s="127"/>
      <c r="G127" s="127"/>
      <c r="H127" s="127"/>
    </row>
    <row r="128" spans="1:15" x14ac:dyDescent="0.25">
      <c r="A128" s="110" t="s">
        <v>178</v>
      </c>
      <c r="B128" s="110"/>
      <c r="C128" s="110"/>
      <c r="D128" s="110"/>
      <c r="E128" s="110"/>
      <c r="F128" s="110"/>
      <c r="G128" s="110"/>
      <c r="H128" s="110"/>
    </row>
    <row r="129" spans="1:14" ht="47.25" customHeight="1" x14ac:dyDescent="0.25">
      <c r="A129" s="129" t="s">
        <v>118</v>
      </c>
      <c r="B129" s="129" t="s">
        <v>181</v>
      </c>
      <c r="C129" s="129" t="s">
        <v>55</v>
      </c>
      <c r="D129" s="129" t="s">
        <v>56</v>
      </c>
      <c r="E129" s="131" t="s">
        <v>158</v>
      </c>
      <c r="F129" s="41" t="s">
        <v>150</v>
      </c>
      <c r="G129" s="133" t="s">
        <v>58</v>
      </c>
      <c r="H129" s="134"/>
    </row>
    <row r="130" spans="1:14" s="35" customFormat="1" x14ac:dyDescent="0.25">
      <c r="A130" s="130"/>
      <c r="B130" s="130"/>
      <c r="C130" s="130"/>
      <c r="D130" s="130"/>
      <c r="E130" s="132"/>
      <c r="F130" s="13">
        <v>0.6</v>
      </c>
      <c r="G130" s="135"/>
      <c r="H130" s="136"/>
    </row>
    <row r="131" spans="1:14" s="35" customFormat="1" x14ac:dyDescent="0.25">
      <c r="A131" s="100" t="s">
        <v>285</v>
      </c>
      <c r="B131" s="101"/>
      <c r="C131" s="101"/>
      <c r="D131" s="101"/>
      <c r="E131" s="101"/>
      <c r="F131" s="101"/>
      <c r="G131" s="101"/>
      <c r="H131" s="102"/>
      <c r="J131" s="34"/>
    </row>
    <row r="132" spans="1:14" s="35" customFormat="1" x14ac:dyDescent="0.25">
      <c r="A132" s="100" t="s">
        <v>282</v>
      </c>
      <c r="B132" s="101"/>
      <c r="C132" s="101"/>
      <c r="D132" s="101"/>
      <c r="E132" s="101"/>
      <c r="F132" s="101"/>
      <c r="G132" s="101"/>
      <c r="H132" s="102"/>
      <c r="J132" s="34"/>
    </row>
    <row r="133" spans="1:14" s="35" customFormat="1" x14ac:dyDescent="0.25">
      <c r="A133" s="100" t="s">
        <v>283</v>
      </c>
      <c r="B133" s="101"/>
      <c r="C133" s="101"/>
      <c r="D133" s="101"/>
      <c r="E133" s="101"/>
      <c r="F133" s="101"/>
      <c r="G133" s="101"/>
      <c r="H133" s="102"/>
      <c r="J133" s="34"/>
    </row>
    <row r="134" spans="1:14" s="35" customFormat="1" x14ac:dyDescent="0.25">
      <c r="A134" s="87">
        <v>1</v>
      </c>
      <c r="B134" s="88"/>
      <c r="C134" s="40" t="s">
        <v>284</v>
      </c>
      <c r="D134" s="40">
        <v>342</v>
      </c>
      <c r="E134" s="56">
        <f>(2.9*6.86+1.3*4.2)*10.764</f>
        <v>272.91045600000001</v>
      </c>
      <c r="F134" s="40">
        <f>(D134+E134)*(($F$130)+1)</f>
        <v>983.85672960000011</v>
      </c>
      <c r="G134" s="91" t="str">
        <f>A133</f>
        <v>Ground Floor for Commercial</v>
      </c>
      <c r="H134" s="96"/>
      <c r="I134" s="34"/>
      <c r="L134" s="89"/>
      <c r="M134" s="89"/>
      <c r="N134" s="34"/>
    </row>
    <row r="135" spans="1:14" s="35" customFormat="1" x14ac:dyDescent="0.25">
      <c r="A135" s="87">
        <f t="shared" ref="A135:A171" si="0">A134+1</f>
        <v>2</v>
      </c>
      <c r="B135" s="88"/>
      <c r="C135" s="40" t="s">
        <v>284</v>
      </c>
      <c r="D135" s="40">
        <v>478</v>
      </c>
      <c r="E135" s="56">
        <f>(6.86*5.02)*10.764</f>
        <v>370.68202079999992</v>
      </c>
      <c r="F135" s="40">
        <f t="shared" ref="F135:F137" si="1">(D135+E135)*(($F$130)+1)</f>
        <v>1357.8912332800001</v>
      </c>
      <c r="G135" s="97"/>
      <c r="H135" s="98"/>
      <c r="I135" s="34">
        <f>(5.02*8.86)*10.764</f>
        <v>478.75258079999992</v>
      </c>
      <c r="L135" s="89"/>
      <c r="M135" s="89"/>
      <c r="N135" s="34"/>
    </row>
    <row r="136" spans="1:14" s="35" customFormat="1" x14ac:dyDescent="0.25">
      <c r="A136" s="87">
        <f t="shared" si="0"/>
        <v>3</v>
      </c>
      <c r="B136" s="88"/>
      <c r="C136" s="40" t="s">
        <v>284</v>
      </c>
      <c r="D136" s="40">
        <v>320</v>
      </c>
      <c r="E136" s="56">
        <f>(3.3*6.86)*10.764</f>
        <v>243.67543199999997</v>
      </c>
      <c r="F136" s="40">
        <f t="shared" si="1"/>
        <v>901.8806912</v>
      </c>
      <c r="G136" s="97"/>
      <c r="H136" s="98"/>
      <c r="I136" s="34"/>
      <c r="L136" s="89"/>
      <c r="M136" s="89"/>
      <c r="N136" s="34"/>
    </row>
    <row r="137" spans="1:14" s="35" customFormat="1" x14ac:dyDescent="0.25">
      <c r="A137" s="87">
        <f t="shared" si="0"/>
        <v>4</v>
      </c>
      <c r="B137" s="88"/>
      <c r="C137" s="40" t="s">
        <v>284</v>
      </c>
      <c r="D137" s="56">
        <f>(6.2*4.84)*10.764</f>
        <v>323.00611199999997</v>
      </c>
      <c r="E137" s="56">
        <f>(4.2*4.84)*10.764</f>
        <v>218.81059199999999</v>
      </c>
      <c r="F137" s="40">
        <f t="shared" si="1"/>
        <v>866.90672640000003</v>
      </c>
      <c r="G137" s="97"/>
      <c r="H137" s="98"/>
      <c r="I137" s="34"/>
      <c r="L137" s="89"/>
      <c r="M137" s="89"/>
      <c r="N137" s="34"/>
    </row>
    <row r="138" spans="1:14" s="35" customFormat="1" x14ac:dyDescent="0.25">
      <c r="A138" s="87">
        <f t="shared" si="0"/>
        <v>5</v>
      </c>
      <c r="B138" s="88"/>
      <c r="C138" s="40" t="s">
        <v>284</v>
      </c>
      <c r="D138" s="56">
        <f>(6.2*3.05)*10.764</f>
        <v>203.54723999999999</v>
      </c>
      <c r="E138" s="56">
        <f>(4.2*3.05)*10.764</f>
        <v>137.88684000000001</v>
      </c>
      <c r="F138" s="40">
        <f>(D138+E138)*(($F$130)+1)</f>
        <v>546.29452800000001</v>
      </c>
      <c r="G138" s="97"/>
      <c r="H138" s="98"/>
      <c r="I138" s="34"/>
      <c r="L138" s="89"/>
      <c r="M138" s="89"/>
      <c r="N138" s="34"/>
    </row>
    <row r="139" spans="1:14" s="35" customFormat="1" x14ac:dyDescent="0.25">
      <c r="A139" s="87">
        <f t="shared" si="0"/>
        <v>6</v>
      </c>
      <c r="B139" s="88"/>
      <c r="C139" s="40" t="s">
        <v>284</v>
      </c>
      <c r="D139" s="56">
        <f>(6.2*3.05)*10.764</f>
        <v>203.54723999999999</v>
      </c>
      <c r="E139" s="56">
        <f>(4.2*3.05)*10.764</f>
        <v>137.88684000000001</v>
      </c>
      <c r="F139" s="40">
        <f t="shared" ref="F139:F141" si="2">(D139+E139)*(($F$130)+1)</f>
        <v>546.29452800000001</v>
      </c>
      <c r="G139" s="97"/>
      <c r="H139" s="98"/>
      <c r="I139" s="34"/>
      <c r="L139" s="89"/>
      <c r="M139" s="89"/>
      <c r="N139" s="34"/>
    </row>
    <row r="140" spans="1:14" s="35" customFormat="1" x14ac:dyDescent="0.25">
      <c r="A140" s="87">
        <f t="shared" si="0"/>
        <v>7</v>
      </c>
      <c r="B140" s="88"/>
      <c r="C140" s="40" t="s">
        <v>284</v>
      </c>
      <c r="D140" s="56">
        <f>(6.2*2.75)*10.764</f>
        <v>183.52619999999999</v>
      </c>
      <c r="E140" s="56">
        <f>(4.2*2.75)*10.764</f>
        <v>124.3242</v>
      </c>
      <c r="F140" s="40">
        <f t="shared" si="2"/>
        <v>492.56063999999998</v>
      </c>
      <c r="G140" s="97"/>
      <c r="H140" s="98"/>
      <c r="I140" s="34"/>
      <c r="L140" s="89"/>
      <c r="M140" s="89"/>
      <c r="N140" s="34"/>
    </row>
    <row r="141" spans="1:14" s="35" customFormat="1" x14ac:dyDescent="0.25">
      <c r="A141" s="87">
        <f t="shared" si="0"/>
        <v>8</v>
      </c>
      <c r="B141" s="88"/>
      <c r="C141" s="40" t="s">
        <v>284</v>
      </c>
      <c r="D141" s="56">
        <f>(6.2*2.75)*10.764</f>
        <v>183.52619999999999</v>
      </c>
      <c r="E141" s="56">
        <f>(4.2*2.75)*10.764</f>
        <v>124.3242</v>
      </c>
      <c r="F141" s="40">
        <f t="shared" si="2"/>
        <v>492.56063999999998</v>
      </c>
      <c r="G141" s="97"/>
      <c r="H141" s="98"/>
      <c r="I141" s="34"/>
      <c r="L141" s="89"/>
      <c r="M141" s="89"/>
      <c r="N141" s="34"/>
    </row>
    <row r="142" spans="1:14" s="35" customFormat="1" x14ac:dyDescent="0.25">
      <c r="A142" s="87">
        <f t="shared" si="0"/>
        <v>9</v>
      </c>
      <c r="B142" s="88"/>
      <c r="C142" s="40" t="s">
        <v>284</v>
      </c>
      <c r="D142" s="56">
        <f>(6.2*2.75)*10.764</f>
        <v>183.52619999999999</v>
      </c>
      <c r="E142" s="56">
        <f>(4.2*2.75)*10.764</f>
        <v>124.3242</v>
      </c>
      <c r="F142" s="40">
        <f>(D142+E142)*(($F$130)+1)</f>
        <v>492.56063999999998</v>
      </c>
      <c r="G142" s="97"/>
      <c r="H142" s="98"/>
      <c r="I142" s="34"/>
      <c r="L142" s="89"/>
      <c r="M142" s="89"/>
      <c r="N142" s="34"/>
    </row>
    <row r="143" spans="1:14" s="35" customFormat="1" x14ac:dyDescent="0.25">
      <c r="A143" s="87">
        <f t="shared" si="0"/>
        <v>10</v>
      </c>
      <c r="B143" s="88"/>
      <c r="C143" s="40" t="s">
        <v>284</v>
      </c>
      <c r="D143" s="56">
        <f>(6.2*2.75)*10.764</f>
        <v>183.52619999999999</v>
      </c>
      <c r="E143" s="56">
        <f>(4.2*2.75)*10.764</f>
        <v>124.3242</v>
      </c>
      <c r="F143" s="40">
        <f t="shared" ref="F143:F145" si="3">(D143+E143)*(($F$130)+1)</f>
        <v>492.56063999999998</v>
      </c>
      <c r="G143" s="97"/>
      <c r="H143" s="98"/>
      <c r="I143" s="34"/>
      <c r="L143" s="89"/>
      <c r="M143" s="89"/>
      <c r="N143" s="34"/>
    </row>
    <row r="144" spans="1:14" s="35" customFormat="1" x14ac:dyDescent="0.25">
      <c r="A144" s="87">
        <f t="shared" si="0"/>
        <v>11</v>
      </c>
      <c r="B144" s="88"/>
      <c r="C144" s="40" t="s">
        <v>284</v>
      </c>
      <c r="D144" s="56">
        <f>(6.2*2.75+3.5*2.3)*10.764</f>
        <v>270.1764</v>
      </c>
      <c r="E144" s="56">
        <f>(4.2*2.75)*10.764</f>
        <v>124.3242</v>
      </c>
      <c r="F144" s="40">
        <f t="shared" si="3"/>
        <v>631.20096000000012</v>
      </c>
      <c r="G144" s="97"/>
      <c r="H144" s="98"/>
      <c r="I144" s="34"/>
      <c r="L144" s="89"/>
      <c r="M144" s="89"/>
      <c r="N144" s="34"/>
    </row>
    <row r="145" spans="1:14" s="35" customFormat="1" x14ac:dyDescent="0.25">
      <c r="A145" s="87">
        <f t="shared" si="0"/>
        <v>12</v>
      </c>
      <c r="B145" s="88"/>
      <c r="C145" s="40" t="s">
        <v>284</v>
      </c>
      <c r="D145" s="56">
        <f>(3.45*5.35)*10.764</f>
        <v>198.67652999999999</v>
      </c>
      <c r="E145" s="56">
        <f>(1.45*5.35)*10.764</f>
        <v>83.501729999999995</v>
      </c>
      <c r="F145" s="40">
        <f t="shared" si="3"/>
        <v>451.48521599999998</v>
      </c>
      <c r="G145" s="97"/>
      <c r="H145" s="98"/>
      <c r="I145" s="34"/>
      <c r="L145" s="89"/>
      <c r="M145" s="89"/>
      <c r="N145" s="34"/>
    </row>
    <row r="146" spans="1:14" s="35" customFormat="1" x14ac:dyDescent="0.25">
      <c r="A146" s="87">
        <f t="shared" si="0"/>
        <v>13</v>
      </c>
      <c r="B146" s="88"/>
      <c r="C146" s="40" t="s">
        <v>284</v>
      </c>
      <c r="D146" s="56">
        <f>(5*3.8)*10.764</f>
        <v>204.51599999999999</v>
      </c>
      <c r="E146" s="56">
        <f>(3*3.8)*10.764</f>
        <v>122.70959999999998</v>
      </c>
      <c r="F146" s="40">
        <f>(D146+E146)*(($F$130)+1)</f>
        <v>523.56096000000002</v>
      </c>
      <c r="G146" s="97"/>
      <c r="H146" s="98"/>
      <c r="I146" s="34"/>
      <c r="L146" s="89"/>
      <c r="M146" s="89"/>
      <c r="N146" s="34"/>
    </row>
    <row r="147" spans="1:14" s="35" customFormat="1" x14ac:dyDescent="0.25">
      <c r="A147" s="87">
        <f t="shared" si="0"/>
        <v>14</v>
      </c>
      <c r="B147" s="88"/>
      <c r="C147" s="40" t="s">
        <v>284</v>
      </c>
      <c r="D147" s="56">
        <f>(5*3.2)*10.764</f>
        <v>172.22399999999999</v>
      </c>
      <c r="E147" s="56">
        <f>(3*3.2)*10.764</f>
        <v>103.3344</v>
      </c>
      <c r="F147" s="40">
        <f t="shared" ref="F147:F149" si="4">(D147+E147)*(($F$130)+1)</f>
        <v>440.89344000000006</v>
      </c>
      <c r="G147" s="97"/>
      <c r="H147" s="98"/>
      <c r="I147" s="34"/>
      <c r="L147" s="89"/>
      <c r="M147" s="89"/>
      <c r="N147" s="34"/>
    </row>
    <row r="148" spans="1:14" s="35" customFormat="1" x14ac:dyDescent="0.25">
      <c r="A148" s="87">
        <f t="shared" si="0"/>
        <v>15</v>
      </c>
      <c r="B148" s="88"/>
      <c r="C148" s="40" t="s">
        <v>284</v>
      </c>
      <c r="D148" s="56">
        <f>(5*3.2)*10.764</f>
        <v>172.22399999999999</v>
      </c>
      <c r="E148" s="56">
        <f>(3*3.2)*10.764</f>
        <v>103.3344</v>
      </c>
      <c r="F148" s="40">
        <f t="shared" si="4"/>
        <v>440.89344000000006</v>
      </c>
      <c r="G148" s="97"/>
      <c r="H148" s="98"/>
      <c r="I148" s="34"/>
      <c r="L148" s="89"/>
      <c r="M148" s="89"/>
      <c r="N148" s="34"/>
    </row>
    <row r="149" spans="1:14" s="35" customFormat="1" x14ac:dyDescent="0.25">
      <c r="A149" s="87">
        <f t="shared" si="0"/>
        <v>16</v>
      </c>
      <c r="B149" s="88"/>
      <c r="C149" s="40" t="s">
        <v>284</v>
      </c>
      <c r="D149" s="56">
        <f>(9.3*2.75)*10.764</f>
        <v>275.28930000000003</v>
      </c>
      <c r="E149" s="56">
        <f>(7.3*2.75)*10.764</f>
        <v>216.08729999999997</v>
      </c>
      <c r="F149" s="40">
        <f t="shared" si="4"/>
        <v>786.20256000000006</v>
      </c>
      <c r="G149" s="97"/>
      <c r="H149" s="98"/>
      <c r="I149" s="34"/>
      <c r="L149" s="89"/>
      <c r="M149" s="89"/>
      <c r="N149" s="34"/>
    </row>
    <row r="150" spans="1:14" s="35" customFormat="1" x14ac:dyDescent="0.25">
      <c r="A150" s="87">
        <f t="shared" si="0"/>
        <v>17</v>
      </c>
      <c r="B150" s="88"/>
      <c r="C150" s="40" t="s">
        <v>284</v>
      </c>
      <c r="D150" s="56">
        <f>(9.3*2.75)*10.764</f>
        <v>275.28930000000003</v>
      </c>
      <c r="E150" s="56">
        <f>(7.3*2.75)*10.764</f>
        <v>216.08729999999997</v>
      </c>
      <c r="F150" s="40">
        <f>(D150+E150)*(($F$130)+1)</f>
        <v>786.20256000000006</v>
      </c>
      <c r="G150" s="97"/>
      <c r="H150" s="98"/>
      <c r="I150" s="34"/>
      <c r="L150" s="89"/>
      <c r="M150" s="89"/>
      <c r="N150" s="34"/>
    </row>
    <row r="151" spans="1:14" s="35" customFormat="1" x14ac:dyDescent="0.25">
      <c r="A151" s="87">
        <f t="shared" si="0"/>
        <v>18</v>
      </c>
      <c r="B151" s="88"/>
      <c r="C151" s="40" t="s">
        <v>284</v>
      </c>
      <c r="D151" s="56">
        <f>(9.3*2.75)*10.764</f>
        <v>275.28930000000003</v>
      </c>
      <c r="E151" s="56">
        <f>(7.3*2.75)*10.764</f>
        <v>216.08729999999997</v>
      </c>
      <c r="F151" s="40">
        <f t="shared" ref="F151:F153" si="5">(D151+E151)*(($F$130)+1)</f>
        <v>786.20256000000006</v>
      </c>
      <c r="G151" s="97"/>
      <c r="H151" s="98"/>
      <c r="I151" s="34"/>
      <c r="L151" s="89"/>
      <c r="M151" s="89"/>
      <c r="N151" s="34"/>
    </row>
    <row r="152" spans="1:14" s="35" customFormat="1" x14ac:dyDescent="0.25">
      <c r="A152" s="87">
        <f t="shared" si="0"/>
        <v>19</v>
      </c>
      <c r="B152" s="88"/>
      <c r="C152" s="40" t="s">
        <v>284</v>
      </c>
      <c r="D152" s="56">
        <f>(9.3*2.75)*10.764</f>
        <v>275.28930000000003</v>
      </c>
      <c r="E152" s="56">
        <f>(7.3*2.75)*10.764</f>
        <v>216.08729999999997</v>
      </c>
      <c r="F152" s="40">
        <f t="shared" si="5"/>
        <v>786.20256000000006</v>
      </c>
      <c r="G152" s="97"/>
      <c r="H152" s="98"/>
      <c r="I152" s="34"/>
      <c r="L152" s="89"/>
      <c r="M152" s="89"/>
      <c r="N152" s="34"/>
    </row>
    <row r="153" spans="1:14" s="35" customFormat="1" x14ac:dyDescent="0.25">
      <c r="A153" s="87">
        <f t="shared" si="0"/>
        <v>20</v>
      </c>
      <c r="B153" s="88"/>
      <c r="C153" s="40" t="s">
        <v>284</v>
      </c>
      <c r="D153" s="56">
        <f>(5*3.2)*10.764</f>
        <v>172.22399999999999</v>
      </c>
      <c r="E153" s="56">
        <f>(3*3.2)*10.764</f>
        <v>103.3344</v>
      </c>
      <c r="F153" s="40">
        <f t="shared" si="5"/>
        <v>440.89344000000006</v>
      </c>
      <c r="G153" s="97"/>
      <c r="H153" s="98"/>
      <c r="I153" s="34"/>
      <c r="L153" s="89"/>
      <c r="M153" s="89"/>
      <c r="N153" s="34"/>
    </row>
    <row r="154" spans="1:14" s="35" customFormat="1" x14ac:dyDescent="0.25">
      <c r="A154" s="87">
        <f t="shared" si="0"/>
        <v>21</v>
      </c>
      <c r="B154" s="88"/>
      <c r="C154" s="40" t="s">
        <v>284</v>
      </c>
      <c r="D154" s="56">
        <f>(5*3.2)*10.764</f>
        <v>172.22399999999999</v>
      </c>
      <c r="E154" s="56">
        <f>(3*3.2)*10.764</f>
        <v>103.3344</v>
      </c>
      <c r="F154" s="40">
        <f>(D154+E154)*(($F$130)+1)</f>
        <v>440.89344000000006</v>
      </c>
      <c r="G154" s="97"/>
      <c r="H154" s="98"/>
      <c r="I154" s="34"/>
      <c r="L154" s="89"/>
      <c r="M154" s="89"/>
      <c r="N154" s="34"/>
    </row>
    <row r="155" spans="1:14" s="35" customFormat="1" x14ac:dyDescent="0.25">
      <c r="A155" s="87">
        <f t="shared" si="0"/>
        <v>22</v>
      </c>
      <c r="B155" s="88"/>
      <c r="C155" s="40" t="s">
        <v>284</v>
      </c>
      <c r="D155" s="56">
        <f>(3.58*3.65)*10.764</f>
        <v>140.653188</v>
      </c>
      <c r="E155" s="56">
        <f>(1.58*3.65)*10.764</f>
        <v>62.075988000000002</v>
      </c>
      <c r="F155" s="40">
        <f t="shared" ref="F155:F157" si="6">(D155+E155)*(($F$130)+1)</f>
        <v>324.36668159999999</v>
      </c>
      <c r="G155" s="97"/>
      <c r="H155" s="98"/>
      <c r="I155" s="34"/>
      <c r="L155" s="89"/>
      <c r="M155" s="89"/>
      <c r="N155" s="34"/>
    </row>
    <row r="156" spans="1:14" s="35" customFormat="1" x14ac:dyDescent="0.25">
      <c r="A156" s="87">
        <f t="shared" si="0"/>
        <v>23</v>
      </c>
      <c r="B156" s="88"/>
      <c r="C156" s="40" t="s">
        <v>284</v>
      </c>
      <c r="D156" s="56">
        <f>(3.58*3.65)*10.764</f>
        <v>140.653188</v>
      </c>
      <c r="E156" s="56">
        <f>(1.58*3.65)*10.764</f>
        <v>62.075988000000002</v>
      </c>
      <c r="F156" s="40">
        <f t="shared" si="6"/>
        <v>324.36668159999999</v>
      </c>
      <c r="G156" s="97"/>
      <c r="H156" s="98"/>
      <c r="I156" s="34"/>
      <c r="L156" s="89"/>
      <c r="M156" s="89"/>
      <c r="N156" s="34"/>
    </row>
    <row r="157" spans="1:14" s="35" customFormat="1" x14ac:dyDescent="0.25">
      <c r="A157" s="87">
        <f t="shared" si="0"/>
        <v>24</v>
      </c>
      <c r="B157" s="88"/>
      <c r="C157" s="40" t="s">
        <v>284</v>
      </c>
      <c r="D157" s="56">
        <f>(3.58*5.51)*10.764</f>
        <v>212.32851119999998</v>
      </c>
      <c r="E157" s="56">
        <f>(1.58*5.51)*10.764</f>
        <v>93.709231199999991</v>
      </c>
      <c r="F157" s="40">
        <f t="shared" si="6"/>
        <v>489.66038783999994</v>
      </c>
      <c r="G157" s="97"/>
      <c r="H157" s="98"/>
      <c r="I157" s="34"/>
      <c r="L157" s="89"/>
      <c r="M157" s="89"/>
      <c r="N157" s="34"/>
    </row>
    <row r="158" spans="1:14" s="35" customFormat="1" x14ac:dyDescent="0.25">
      <c r="A158" s="87">
        <f t="shared" si="0"/>
        <v>25</v>
      </c>
      <c r="B158" s="88"/>
      <c r="C158" s="40" t="s">
        <v>284</v>
      </c>
      <c r="D158" s="56">
        <f>(3.58*2.67)*10.764</f>
        <v>102.8887704</v>
      </c>
      <c r="E158" s="56">
        <f>(1.58*2.67)*10.764</f>
        <v>45.4090104</v>
      </c>
      <c r="F158" s="40">
        <f>(D158+E158)*(($F$130)+1)</f>
        <v>237.27644928000001</v>
      </c>
      <c r="G158" s="97"/>
      <c r="H158" s="98"/>
      <c r="I158" s="34"/>
      <c r="L158" s="89"/>
      <c r="M158" s="89"/>
      <c r="N158" s="34"/>
    </row>
    <row r="159" spans="1:14" s="35" customFormat="1" x14ac:dyDescent="0.25">
      <c r="A159" s="87">
        <f t="shared" si="0"/>
        <v>26</v>
      </c>
      <c r="B159" s="88"/>
      <c r="C159" s="40" t="s">
        <v>284</v>
      </c>
      <c r="D159" s="56">
        <f>(3.58*3.65)*10.764</f>
        <v>140.653188</v>
      </c>
      <c r="E159" s="56">
        <f>(1.58*3.65)*10.764</f>
        <v>62.075988000000002</v>
      </c>
      <c r="F159" s="40">
        <f t="shared" ref="F159:F161" si="7">(D159+E159)*(($F$130)+1)</f>
        <v>324.36668159999999</v>
      </c>
      <c r="G159" s="97"/>
      <c r="H159" s="98"/>
      <c r="I159" s="34"/>
      <c r="L159" s="89"/>
      <c r="M159" s="89"/>
      <c r="N159" s="34"/>
    </row>
    <row r="160" spans="1:14" s="35" customFormat="1" x14ac:dyDescent="0.25">
      <c r="A160" s="87">
        <f t="shared" si="0"/>
        <v>27</v>
      </c>
      <c r="B160" s="88"/>
      <c r="C160" s="40" t="s">
        <v>284</v>
      </c>
      <c r="D160" s="56">
        <f>(3.58*3.65)*10.764</f>
        <v>140.653188</v>
      </c>
      <c r="E160" s="56">
        <f>(1.58*3.65)*10.764</f>
        <v>62.075988000000002</v>
      </c>
      <c r="F160" s="40">
        <f t="shared" si="7"/>
        <v>324.36668159999999</v>
      </c>
      <c r="G160" s="97"/>
      <c r="H160" s="98"/>
      <c r="I160" s="34"/>
      <c r="L160" s="89"/>
      <c r="M160" s="89"/>
      <c r="N160" s="34"/>
    </row>
    <row r="161" spans="1:14" s="35" customFormat="1" x14ac:dyDescent="0.25">
      <c r="A161" s="87">
        <f t="shared" si="0"/>
        <v>28</v>
      </c>
      <c r="B161" s="88"/>
      <c r="C161" s="40" t="s">
        <v>284</v>
      </c>
      <c r="D161" s="56">
        <f>(3.58*3.65)*10.764</f>
        <v>140.653188</v>
      </c>
      <c r="E161" s="56">
        <f>(1.58*3.65)*10.764</f>
        <v>62.075988000000002</v>
      </c>
      <c r="F161" s="40">
        <f t="shared" si="7"/>
        <v>324.36668159999999</v>
      </c>
      <c r="G161" s="97"/>
      <c r="H161" s="98"/>
      <c r="I161" s="34"/>
      <c r="L161" s="89"/>
      <c r="M161" s="89"/>
      <c r="N161" s="34"/>
    </row>
    <row r="162" spans="1:14" s="35" customFormat="1" x14ac:dyDescent="0.25">
      <c r="A162" s="87">
        <f t="shared" si="0"/>
        <v>29</v>
      </c>
      <c r="B162" s="88"/>
      <c r="C162" s="40" t="s">
        <v>284</v>
      </c>
      <c r="D162" s="56">
        <f>(8.84*3.48)*10.764</f>
        <v>331.13508479999996</v>
      </c>
      <c r="E162" s="56">
        <f>(6.84*3.48)*10.764</f>
        <v>256.21764480000002</v>
      </c>
      <c r="F162" s="40">
        <f>(D162+E162)*(($F$130)+1)</f>
        <v>939.76436736000005</v>
      </c>
      <c r="G162" s="97"/>
      <c r="H162" s="98"/>
      <c r="I162" s="34"/>
      <c r="L162" s="89"/>
      <c r="M162" s="89"/>
      <c r="N162" s="34"/>
    </row>
    <row r="163" spans="1:14" s="35" customFormat="1" x14ac:dyDescent="0.25">
      <c r="A163" s="87">
        <f t="shared" si="0"/>
        <v>30</v>
      </c>
      <c r="B163" s="88"/>
      <c r="C163" s="40" t="s">
        <v>284</v>
      </c>
      <c r="D163" s="56">
        <f>(9.1*3.05)*10.764</f>
        <v>298.75482</v>
      </c>
      <c r="E163" s="56">
        <f>(7.1*3.05)*10.764</f>
        <v>233.09441999999996</v>
      </c>
      <c r="F163" s="40">
        <f t="shared" ref="F163:F165" si="8">(D163+E163)*(($F$130)+1)</f>
        <v>850.95878400000004</v>
      </c>
      <c r="G163" s="97"/>
      <c r="H163" s="98"/>
      <c r="I163" s="34"/>
      <c r="L163" s="89"/>
      <c r="M163" s="89"/>
      <c r="N163" s="34"/>
    </row>
    <row r="164" spans="1:14" s="35" customFormat="1" x14ac:dyDescent="0.25">
      <c r="A164" s="87">
        <f t="shared" si="0"/>
        <v>31</v>
      </c>
      <c r="B164" s="88"/>
      <c r="C164" s="40" t="s">
        <v>284</v>
      </c>
      <c r="D164" s="56">
        <f>(9.1*3.05)*10.764</f>
        <v>298.75482</v>
      </c>
      <c r="E164" s="56">
        <f>(7.1*3.05)*10.764</f>
        <v>233.09441999999996</v>
      </c>
      <c r="F164" s="40">
        <f t="shared" si="8"/>
        <v>850.95878400000004</v>
      </c>
      <c r="G164" s="97"/>
      <c r="H164" s="98"/>
      <c r="I164" s="34"/>
      <c r="L164" s="89"/>
      <c r="M164" s="89"/>
      <c r="N164" s="34"/>
    </row>
    <row r="165" spans="1:14" s="35" customFormat="1" x14ac:dyDescent="0.25">
      <c r="A165" s="87">
        <f t="shared" si="0"/>
        <v>32</v>
      </c>
      <c r="B165" s="88"/>
      <c r="C165" s="40" t="s">
        <v>284</v>
      </c>
      <c r="D165" s="56">
        <f>(9.1*3.65)*10.764</f>
        <v>357.52625999999992</v>
      </c>
      <c r="E165" s="56">
        <f>(7.1*3.65)*10.764</f>
        <v>278.94905999999997</v>
      </c>
      <c r="F165" s="40">
        <f t="shared" si="8"/>
        <v>1018.3605119999999</v>
      </c>
      <c r="G165" s="97"/>
      <c r="H165" s="98"/>
      <c r="I165" s="34"/>
      <c r="L165" s="89"/>
      <c r="M165" s="89"/>
      <c r="N165" s="34"/>
    </row>
    <row r="166" spans="1:14" s="35" customFormat="1" x14ac:dyDescent="0.25">
      <c r="A166" s="87">
        <f t="shared" si="0"/>
        <v>33</v>
      </c>
      <c r="B166" s="88"/>
      <c r="C166" s="40" t="s">
        <v>284</v>
      </c>
      <c r="D166" s="56">
        <f>(6.85*2.8+2.25*0.9)*10.764</f>
        <v>228.25061999999994</v>
      </c>
      <c r="E166" s="56">
        <f>(4.85*2.8+2.25*0.9)*10.764</f>
        <v>167.97221999999996</v>
      </c>
      <c r="F166" s="40">
        <f>(D166+E166)*(($F$130)+1)</f>
        <v>633.95654399999989</v>
      </c>
      <c r="G166" s="97"/>
      <c r="H166" s="98"/>
      <c r="I166" s="34"/>
      <c r="L166" s="89"/>
      <c r="M166" s="89"/>
      <c r="N166" s="34"/>
    </row>
    <row r="167" spans="1:14" s="35" customFormat="1" x14ac:dyDescent="0.25">
      <c r="A167" s="87">
        <f t="shared" si="0"/>
        <v>34</v>
      </c>
      <c r="B167" s="88"/>
      <c r="C167" s="40" t="s">
        <v>284</v>
      </c>
      <c r="D167" s="56">
        <f>(9.1*2.6)*10.764</f>
        <v>254.67623999999998</v>
      </c>
      <c r="E167" s="56">
        <f>(7.1*2.6)*10.764</f>
        <v>198.70344</v>
      </c>
      <c r="F167" s="40">
        <f t="shared" ref="F167:F169" si="9">(D167+E167)*(($F$130)+1)</f>
        <v>725.40748800000006</v>
      </c>
      <c r="G167" s="97"/>
      <c r="H167" s="98"/>
      <c r="I167" s="34"/>
      <c r="L167" s="89"/>
      <c r="M167" s="89"/>
      <c r="N167" s="34"/>
    </row>
    <row r="168" spans="1:14" s="35" customFormat="1" x14ac:dyDescent="0.25">
      <c r="A168" s="87">
        <f t="shared" si="0"/>
        <v>35</v>
      </c>
      <c r="B168" s="88"/>
      <c r="C168" s="40" t="s">
        <v>284</v>
      </c>
      <c r="D168" s="56">
        <f>(9.1*2.6)*10.764</f>
        <v>254.67623999999998</v>
      </c>
      <c r="E168" s="56">
        <f>(7.1*2.6)*10.764</f>
        <v>198.70344</v>
      </c>
      <c r="F168" s="40">
        <f t="shared" si="9"/>
        <v>725.40748800000006</v>
      </c>
      <c r="G168" s="97"/>
      <c r="H168" s="98"/>
      <c r="I168" s="34"/>
      <c r="L168" s="89"/>
      <c r="M168" s="89"/>
      <c r="N168" s="34"/>
    </row>
    <row r="169" spans="1:14" s="35" customFormat="1" x14ac:dyDescent="0.25">
      <c r="A169" s="87">
        <f t="shared" si="0"/>
        <v>36</v>
      </c>
      <c r="B169" s="88"/>
      <c r="C169" s="40" t="s">
        <v>284</v>
      </c>
      <c r="D169" s="56">
        <f>(6.85*2.8+2.25*0.9)*10.764</f>
        <v>228.25061999999994</v>
      </c>
      <c r="E169" s="56">
        <f>(4.85*2.8+2.25*0.9)*10.764</f>
        <v>167.97221999999996</v>
      </c>
      <c r="F169" s="40">
        <f t="shared" si="9"/>
        <v>633.95654399999989</v>
      </c>
      <c r="G169" s="97"/>
      <c r="H169" s="98"/>
      <c r="I169" s="34"/>
      <c r="L169" s="89"/>
      <c r="M169" s="89"/>
      <c r="N169" s="34"/>
    </row>
    <row r="170" spans="1:14" s="35" customFormat="1" x14ac:dyDescent="0.25">
      <c r="A170" s="87">
        <f t="shared" si="0"/>
        <v>37</v>
      </c>
      <c r="B170" s="88"/>
      <c r="C170" s="40" t="s">
        <v>284</v>
      </c>
      <c r="D170" s="56">
        <f>(7*3.8)*10.764</f>
        <v>286.32239999999996</v>
      </c>
      <c r="E170" s="56">
        <v>0</v>
      </c>
      <c r="F170" s="40">
        <f>(D170+E170)*(($F$130)+1)</f>
        <v>458.11583999999993</v>
      </c>
      <c r="G170" s="97"/>
      <c r="H170" s="98"/>
      <c r="I170" s="34"/>
      <c r="L170" s="89"/>
      <c r="M170" s="89"/>
      <c r="N170" s="34"/>
    </row>
    <row r="171" spans="1:14" s="35" customFormat="1" x14ac:dyDescent="0.25">
      <c r="A171" s="87">
        <f t="shared" si="0"/>
        <v>38</v>
      </c>
      <c r="B171" s="88"/>
      <c r="C171" s="40" t="s">
        <v>284</v>
      </c>
      <c r="D171" s="56">
        <f>(6.25*3.8)*10.764</f>
        <v>255.64499999999998</v>
      </c>
      <c r="E171" s="56">
        <v>0</v>
      </c>
      <c r="F171" s="40">
        <f>(D171+E171)*(($F$130)+1)</f>
        <v>409.03199999999998</v>
      </c>
      <c r="G171" s="97"/>
      <c r="H171" s="98"/>
      <c r="I171" s="34"/>
      <c r="L171" s="89"/>
      <c r="M171" s="89"/>
      <c r="N171" s="34"/>
    </row>
    <row r="172" spans="1:14" s="35" customFormat="1" x14ac:dyDescent="0.25">
      <c r="A172" s="100" t="s">
        <v>286</v>
      </c>
      <c r="B172" s="101"/>
      <c r="C172" s="101"/>
      <c r="D172" s="101"/>
      <c r="E172" s="101"/>
      <c r="F172" s="101"/>
      <c r="G172" s="101"/>
      <c r="H172" s="102"/>
      <c r="J172" s="34"/>
    </row>
    <row r="173" spans="1:14" s="35" customFormat="1" x14ac:dyDescent="0.25">
      <c r="A173" s="87">
        <v>1</v>
      </c>
      <c r="B173" s="88"/>
      <c r="C173" s="40" t="s">
        <v>284</v>
      </c>
      <c r="D173" s="40">
        <v>342</v>
      </c>
      <c r="E173" s="56">
        <f>(2.9*6.86+1.3*4.2)*10.764</f>
        <v>272.91045600000001</v>
      </c>
      <c r="F173" s="40">
        <f>(D173+E173)*(($F$130)+1)</f>
        <v>983.85672960000011</v>
      </c>
      <c r="G173" s="91" t="str">
        <f>A172</f>
        <v>1st Floor</v>
      </c>
      <c r="H173" s="96"/>
      <c r="I173" s="34"/>
      <c r="L173" s="89"/>
      <c r="M173" s="89"/>
      <c r="N173" s="34"/>
    </row>
    <row r="174" spans="1:14" s="35" customFormat="1" x14ac:dyDescent="0.25">
      <c r="A174" s="87">
        <f t="shared" ref="A174:A216" si="10">A173+1</f>
        <v>2</v>
      </c>
      <c r="B174" s="88"/>
      <c r="C174" s="40" t="s">
        <v>284</v>
      </c>
      <c r="D174" s="40">
        <v>478</v>
      </c>
      <c r="E174" s="56">
        <f>(6.86*5.02)*10.764</f>
        <v>370.68202079999992</v>
      </c>
      <c r="F174" s="40">
        <f t="shared" ref="F174:F176" si="11">(D174+E174)*(($F$130)+1)</f>
        <v>1357.8912332800001</v>
      </c>
      <c r="G174" s="97"/>
      <c r="H174" s="98"/>
      <c r="I174" s="34"/>
      <c r="L174" s="89"/>
      <c r="M174" s="89"/>
      <c r="N174" s="34"/>
    </row>
    <row r="175" spans="1:14" s="35" customFormat="1" x14ac:dyDescent="0.25">
      <c r="A175" s="87">
        <f t="shared" si="10"/>
        <v>3</v>
      </c>
      <c r="B175" s="88"/>
      <c r="C175" s="40" t="s">
        <v>284</v>
      </c>
      <c r="D175" s="40">
        <v>320</v>
      </c>
      <c r="E175" s="56">
        <f>(3.3*6.86)*10.764</f>
        <v>243.67543199999997</v>
      </c>
      <c r="F175" s="40">
        <f t="shared" si="11"/>
        <v>901.8806912</v>
      </c>
      <c r="G175" s="97"/>
      <c r="H175" s="98"/>
      <c r="I175" s="34"/>
      <c r="L175" s="89"/>
      <c r="M175" s="89"/>
      <c r="N175" s="34"/>
    </row>
    <row r="176" spans="1:14" s="35" customFormat="1" x14ac:dyDescent="0.25">
      <c r="A176" s="87">
        <f t="shared" si="10"/>
        <v>4</v>
      </c>
      <c r="B176" s="88"/>
      <c r="C176" s="40" t="s">
        <v>284</v>
      </c>
      <c r="D176" s="56">
        <f>(6.2*4.84)*10.764</f>
        <v>323.00611199999997</v>
      </c>
      <c r="E176" s="56">
        <f>(4.2*4.84)*10.764</f>
        <v>218.81059199999999</v>
      </c>
      <c r="F176" s="40">
        <f t="shared" si="11"/>
        <v>866.90672640000003</v>
      </c>
      <c r="G176" s="97"/>
      <c r="H176" s="98"/>
      <c r="I176" s="34"/>
      <c r="L176" s="89"/>
      <c r="M176" s="89"/>
      <c r="N176" s="34"/>
    </row>
    <row r="177" spans="1:14" s="35" customFormat="1" x14ac:dyDescent="0.25">
      <c r="A177" s="87">
        <f t="shared" si="10"/>
        <v>5</v>
      </c>
      <c r="B177" s="88"/>
      <c r="C177" s="40" t="s">
        <v>284</v>
      </c>
      <c r="D177" s="56">
        <f>(6.2*3.05)*10.764</f>
        <v>203.54723999999999</v>
      </c>
      <c r="E177" s="56">
        <f>(4.2*3.05)*10.764</f>
        <v>137.88684000000001</v>
      </c>
      <c r="F177" s="40">
        <f>(D177+E177)*(($F$130)+1)</f>
        <v>546.29452800000001</v>
      </c>
      <c r="G177" s="97"/>
      <c r="H177" s="98"/>
      <c r="I177" s="34"/>
      <c r="L177" s="89"/>
      <c r="M177" s="89"/>
      <c r="N177" s="34"/>
    </row>
    <row r="178" spans="1:14" s="35" customFormat="1" x14ac:dyDescent="0.25">
      <c r="A178" s="87">
        <f t="shared" si="10"/>
        <v>6</v>
      </c>
      <c r="B178" s="88"/>
      <c r="C178" s="40" t="s">
        <v>284</v>
      </c>
      <c r="D178" s="56">
        <f>(6.2*3.05)*10.764</f>
        <v>203.54723999999999</v>
      </c>
      <c r="E178" s="56">
        <f>(4.2*3.05)*10.764</f>
        <v>137.88684000000001</v>
      </c>
      <c r="F178" s="40">
        <f t="shared" ref="F178:F180" si="12">(D178+E178)*(($F$130)+1)</f>
        <v>546.29452800000001</v>
      </c>
      <c r="G178" s="97"/>
      <c r="H178" s="98"/>
      <c r="I178" s="34"/>
      <c r="L178" s="89"/>
      <c r="M178" s="89"/>
      <c r="N178" s="34"/>
    </row>
    <row r="179" spans="1:14" s="35" customFormat="1" x14ac:dyDescent="0.25">
      <c r="A179" s="87">
        <f t="shared" si="10"/>
        <v>7</v>
      </c>
      <c r="B179" s="88"/>
      <c r="C179" s="40" t="s">
        <v>284</v>
      </c>
      <c r="D179" s="56">
        <f>(6.2*2.75)*10.764</f>
        <v>183.52619999999999</v>
      </c>
      <c r="E179" s="56">
        <f>(4.2*2.75)*10.764</f>
        <v>124.3242</v>
      </c>
      <c r="F179" s="40">
        <f t="shared" si="12"/>
        <v>492.56063999999998</v>
      </c>
      <c r="G179" s="97"/>
      <c r="H179" s="98"/>
      <c r="I179" s="34"/>
      <c r="L179" s="89"/>
      <c r="M179" s="89"/>
      <c r="N179" s="34"/>
    </row>
    <row r="180" spans="1:14" s="35" customFormat="1" x14ac:dyDescent="0.25">
      <c r="A180" s="87">
        <f t="shared" si="10"/>
        <v>8</v>
      </c>
      <c r="B180" s="88"/>
      <c r="C180" s="40" t="s">
        <v>284</v>
      </c>
      <c r="D180" s="56">
        <f>(6.2*2.75)*10.764</f>
        <v>183.52619999999999</v>
      </c>
      <c r="E180" s="56">
        <f>(4.2*2.75)*10.764</f>
        <v>124.3242</v>
      </c>
      <c r="F180" s="40">
        <f t="shared" si="12"/>
        <v>492.56063999999998</v>
      </c>
      <c r="G180" s="97"/>
      <c r="H180" s="98"/>
      <c r="I180" s="34"/>
      <c r="L180" s="89"/>
      <c r="M180" s="89"/>
      <c r="N180" s="34"/>
    </row>
    <row r="181" spans="1:14" s="35" customFormat="1" x14ac:dyDescent="0.25">
      <c r="A181" s="87">
        <f t="shared" si="10"/>
        <v>9</v>
      </c>
      <c r="B181" s="88"/>
      <c r="C181" s="40" t="s">
        <v>284</v>
      </c>
      <c r="D181" s="56">
        <f>(6.2*2.75)*10.764</f>
        <v>183.52619999999999</v>
      </c>
      <c r="E181" s="56">
        <f>(4.2*2.75)*10.764</f>
        <v>124.3242</v>
      </c>
      <c r="F181" s="40">
        <f>(D181+E181)*(($F$130)+1)</f>
        <v>492.56063999999998</v>
      </c>
      <c r="G181" s="97"/>
      <c r="H181" s="98"/>
      <c r="I181" s="34"/>
      <c r="L181" s="89"/>
      <c r="M181" s="89"/>
      <c r="N181" s="34"/>
    </row>
    <row r="182" spans="1:14" s="35" customFormat="1" x14ac:dyDescent="0.25">
      <c r="A182" s="87">
        <f t="shared" si="10"/>
        <v>10</v>
      </c>
      <c r="B182" s="88"/>
      <c r="C182" s="40" t="s">
        <v>284</v>
      </c>
      <c r="D182" s="56">
        <f>(6.2*2.75)*10.764</f>
        <v>183.52619999999999</v>
      </c>
      <c r="E182" s="56">
        <f>(4.2*2.75)*10.764</f>
        <v>124.3242</v>
      </c>
      <c r="F182" s="40">
        <f t="shared" ref="F182:F184" si="13">(D182+E182)*(($F$130)+1)</f>
        <v>492.56063999999998</v>
      </c>
      <c r="G182" s="97"/>
      <c r="H182" s="98"/>
      <c r="I182" s="34"/>
      <c r="L182" s="89"/>
      <c r="M182" s="89"/>
      <c r="N182" s="34"/>
    </row>
    <row r="183" spans="1:14" s="35" customFormat="1" x14ac:dyDescent="0.25">
      <c r="A183" s="87">
        <f t="shared" si="10"/>
        <v>11</v>
      </c>
      <c r="B183" s="88"/>
      <c r="C183" s="40" t="s">
        <v>284</v>
      </c>
      <c r="D183" s="56">
        <f>(6.2*2.75+3.5*2.3)*10.764</f>
        <v>270.1764</v>
      </c>
      <c r="E183" s="56">
        <f>(4.2*2.75+1.5*2.3)*10.764</f>
        <v>161.45999999999998</v>
      </c>
      <c r="F183" s="40">
        <f t="shared" si="13"/>
        <v>690.61824000000001</v>
      </c>
      <c r="G183" s="97"/>
      <c r="H183" s="98"/>
      <c r="I183" s="34"/>
      <c r="L183" s="89"/>
      <c r="M183" s="89"/>
      <c r="N183" s="34"/>
    </row>
    <row r="184" spans="1:14" s="35" customFormat="1" x14ac:dyDescent="0.25">
      <c r="A184" s="87">
        <f t="shared" si="10"/>
        <v>12</v>
      </c>
      <c r="B184" s="88"/>
      <c r="C184" s="40" t="s">
        <v>284</v>
      </c>
      <c r="D184" s="56">
        <f>(3.45*5.35)*10.764</f>
        <v>198.67652999999999</v>
      </c>
      <c r="E184" s="56">
        <f>(2.6*5.35)*10.764</f>
        <v>149.72723999999999</v>
      </c>
      <c r="F184" s="40">
        <f t="shared" si="13"/>
        <v>557.44603200000006</v>
      </c>
      <c r="G184" s="97"/>
      <c r="H184" s="98"/>
      <c r="I184" s="34"/>
      <c r="L184" s="89"/>
      <c r="M184" s="89"/>
      <c r="N184" s="34"/>
    </row>
    <row r="185" spans="1:14" s="35" customFormat="1" x14ac:dyDescent="0.25">
      <c r="A185" s="87">
        <f t="shared" si="10"/>
        <v>13</v>
      </c>
      <c r="B185" s="88"/>
      <c r="C185" s="40" t="s">
        <v>284</v>
      </c>
      <c r="D185" s="56">
        <f>(3.58*3.75)*10.764</f>
        <v>144.5067</v>
      </c>
      <c r="E185" s="56">
        <f>(1.58*3.75)*10.764</f>
        <v>63.776700000000005</v>
      </c>
      <c r="F185" s="40">
        <f>(D185+E185)*(($F$130)+1)</f>
        <v>333.25344000000001</v>
      </c>
      <c r="G185" s="97"/>
      <c r="H185" s="98"/>
      <c r="I185" s="34"/>
      <c r="L185" s="89"/>
      <c r="M185" s="89"/>
      <c r="N185" s="34"/>
    </row>
    <row r="186" spans="1:14" s="35" customFormat="1" x14ac:dyDescent="0.25">
      <c r="A186" s="87">
        <f t="shared" si="10"/>
        <v>14</v>
      </c>
      <c r="B186" s="88"/>
      <c r="C186" s="40" t="s">
        <v>284</v>
      </c>
      <c r="D186" s="56">
        <f>(3.58*2.45)*10.764</f>
        <v>94.411044000000004</v>
      </c>
      <c r="E186" s="56">
        <v>0</v>
      </c>
      <c r="F186" s="40">
        <f t="shared" ref="F186:F188" si="14">(D186+E186)*(($F$130)+1)</f>
        <v>151.05767040000001</v>
      </c>
      <c r="G186" s="97"/>
      <c r="H186" s="98"/>
      <c r="I186" s="34"/>
      <c r="L186" s="89"/>
      <c r="M186" s="89"/>
      <c r="N186" s="34"/>
    </row>
    <row r="187" spans="1:14" s="35" customFormat="1" x14ac:dyDescent="0.25">
      <c r="A187" s="87">
        <f t="shared" si="10"/>
        <v>15</v>
      </c>
      <c r="B187" s="88"/>
      <c r="C187" s="40" t="s">
        <v>284</v>
      </c>
      <c r="D187" s="56">
        <f>(4.86*2.15)*10.764</f>
        <v>112.47303599999999</v>
      </c>
      <c r="E187" s="56">
        <v>0</v>
      </c>
      <c r="F187" s="40">
        <f t="shared" si="14"/>
        <v>179.95685760000001</v>
      </c>
      <c r="G187" s="97"/>
      <c r="H187" s="98"/>
      <c r="I187" s="34"/>
      <c r="L187" s="89"/>
      <c r="M187" s="89"/>
      <c r="N187" s="34"/>
    </row>
    <row r="188" spans="1:14" s="35" customFormat="1" x14ac:dyDescent="0.25">
      <c r="A188" s="87">
        <f t="shared" si="10"/>
        <v>16</v>
      </c>
      <c r="B188" s="88"/>
      <c r="C188" s="40" t="s">
        <v>284</v>
      </c>
      <c r="D188" s="56">
        <f>(3.58*2.75)*10.764</f>
        <v>105.97158</v>
      </c>
      <c r="E188" s="56">
        <f>(1.58*2.75)*10.764</f>
        <v>46.769580000000005</v>
      </c>
      <c r="F188" s="40">
        <f t="shared" si="14"/>
        <v>244.38585600000002</v>
      </c>
      <c r="G188" s="97"/>
      <c r="H188" s="98"/>
      <c r="I188" s="34"/>
      <c r="L188" s="89"/>
      <c r="M188" s="89"/>
      <c r="N188" s="34"/>
    </row>
    <row r="189" spans="1:14" s="35" customFormat="1" x14ac:dyDescent="0.25">
      <c r="A189" s="87">
        <f t="shared" si="10"/>
        <v>17</v>
      </c>
      <c r="B189" s="88"/>
      <c r="C189" s="40" t="s">
        <v>284</v>
      </c>
      <c r="D189" s="56">
        <f>(3.58*2.75)*10.764</f>
        <v>105.97158</v>
      </c>
      <c r="E189" s="56">
        <f>(1.58*2.75)*10.764</f>
        <v>46.769580000000005</v>
      </c>
      <c r="F189" s="40">
        <f>(D189+E189)*(($F$130)+1)</f>
        <v>244.38585600000002</v>
      </c>
      <c r="G189" s="97"/>
      <c r="H189" s="98"/>
      <c r="I189" s="34"/>
      <c r="L189" s="89"/>
      <c r="M189" s="89"/>
      <c r="N189" s="34"/>
    </row>
    <row r="190" spans="1:14" s="35" customFormat="1" x14ac:dyDescent="0.25">
      <c r="A190" s="87">
        <f t="shared" si="10"/>
        <v>18</v>
      </c>
      <c r="B190" s="88"/>
      <c r="C190" s="40" t="s">
        <v>284</v>
      </c>
      <c r="D190" s="56">
        <f>(3.58*2.75)*10.764</f>
        <v>105.97158</v>
      </c>
      <c r="E190" s="56">
        <f>(1.58*2.75)*10.764</f>
        <v>46.769580000000005</v>
      </c>
      <c r="F190" s="40">
        <f t="shared" ref="F190:F192" si="15">(D190+E190)*(($F$130)+1)</f>
        <v>244.38585600000002</v>
      </c>
      <c r="G190" s="97"/>
      <c r="H190" s="98"/>
      <c r="I190" s="34"/>
      <c r="L190" s="89"/>
      <c r="M190" s="89"/>
      <c r="N190" s="34"/>
    </row>
    <row r="191" spans="1:14" s="35" customFormat="1" x14ac:dyDescent="0.25">
      <c r="A191" s="87">
        <f t="shared" si="10"/>
        <v>19</v>
      </c>
      <c r="B191" s="88"/>
      <c r="C191" s="40" t="s">
        <v>284</v>
      </c>
      <c r="D191" s="56">
        <f>(3.58*2.75)*10.764</f>
        <v>105.97158</v>
      </c>
      <c r="E191" s="56">
        <f>(1.58*2.75)*10.764</f>
        <v>46.769580000000005</v>
      </c>
      <c r="F191" s="40">
        <f t="shared" si="15"/>
        <v>244.38585600000002</v>
      </c>
      <c r="G191" s="97"/>
      <c r="H191" s="98"/>
      <c r="I191" s="34"/>
      <c r="L191" s="89"/>
      <c r="M191" s="89"/>
      <c r="N191" s="34"/>
    </row>
    <row r="192" spans="1:14" s="35" customFormat="1" x14ac:dyDescent="0.25">
      <c r="A192" s="87">
        <f t="shared" si="10"/>
        <v>20</v>
      </c>
      <c r="B192" s="88"/>
      <c r="C192" s="40" t="s">
        <v>284</v>
      </c>
      <c r="D192" s="56">
        <f>(4.86*2.15)*10.764</f>
        <v>112.47303599999999</v>
      </c>
      <c r="E192" s="56">
        <v>0</v>
      </c>
      <c r="F192" s="40">
        <f t="shared" si="15"/>
        <v>179.95685760000001</v>
      </c>
      <c r="G192" s="97"/>
      <c r="H192" s="98"/>
      <c r="I192" s="34"/>
      <c r="L192" s="89"/>
      <c r="M192" s="89"/>
      <c r="N192" s="34"/>
    </row>
    <row r="193" spans="1:14" s="35" customFormat="1" x14ac:dyDescent="0.25">
      <c r="A193" s="87">
        <f t="shared" si="10"/>
        <v>21</v>
      </c>
      <c r="B193" s="88"/>
      <c r="C193" s="40" t="s">
        <v>284</v>
      </c>
      <c r="D193" s="56">
        <f>(3.58*2.45)*10.764</f>
        <v>94.411044000000004</v>
      </c>
      <c r="E193" s="56">
        <v>0</v>
      </c>
      <c r="F193" s="40">
        <f>(D193+E193)*(($F$130)+1)</f>
        <v>151.05767040000001</v>
      </c>
      <c r="G193" s="97"/>
      <c r="H193" s="98"/>
      <c r="I193" s="34"/>
      <c r="L193" s="89"/>
      <c r="M193" s="89"/>
      <c r="N193" s="34"/>
    </row>
    <row r="194" spans="1:14" s="35" customFormat="1" x14ac:dyDescent="0.25">
      <c r="A194" s="87">
        <f t="shared" si="10"/>
        <v>22</v>
      </c>
      <c r="B194" s="88"/>
      <c r="C194" s="40" t="s">
        <v>284</v>
      </c>
      <c r="D194" s="56">
        <f>(3.58*3.65)*10.764</f>
        <v>140.653188</v>
      </c>
      <c r="E194" s="56">
        <f>(1.58*3.65)*10.764</f>
        <v>62.075988000000002</v>
      </c>
      <c r="F194" s="40">
        <f t="shared" ref="F194:F196" si="16">(D194+E194)*(($F$130)+1)</f>
        <v>324.36668159999999</v>
      </c>
      <c r="G194" s="97"/>
      <c r="H194" s="98"/>
      <c r="I194" s="34"/>
      <c r="L194" s="89"/>
      <c r="M194" s="89"/>
      <c r="N194" s="34"/>
    </row>
    <row r="195" spans="1:14" s="35" customFormat="1" x14ac:dyDescent="0.25">
      <c r="A195" s="87">
        <f t="shared" si="10"/>
        <v>23</v>
      </c>
      <c r="B195" s="88"/>
      <c r="C195" s="40" t="s">
        <v>284</v>
      </c>
      <c r="D195" s="56">
        <f>(3.58*3.65)*10.764</f>
        <v>140.653188</v>
      </c>
      <c r="E195" s="56">
        <f>(1.58*3.65)*10.764</f>
        <v>62.075988000000002</v>
      </c>
      <c r="F195" s="40">
        <f t="shared" si="16"/>
        <v>324.36668159999999</v>
      </c>
      <c r="G195" s="97"/>
      <c r="H195" s="98"/>
      <c r="I195" s="34"/>
      <c r="L195" s="89"/>
      <c r="M195" s="89"/>
      <c r="N195" s="34"/>
    </row>
    <row r="196" spans="1:14" s="35" customFormat="1" x14ac:dyDescent="0.25">
      <c r="A196" s="87">
        <f t="shared" si="10"/>
        <v>24</v>
      </c>
      <c r="B196" s="88"/>
      <c r="C196" s="40" t="s">
        <v>284</v>
      </c>
      <c r="D196" s="56">
        <f>(3.58*5.51)*10.764</f>
        <v>212.32851119999998</v>
      </c>
      <c r="E196" s="56">
        <f>(1.58*5.51)*10.764</f>
        <v>93.709231199999991</v>
      </c>
      <c r="F196" s="40">
        <f t="shared" si="16"/>
        <v>489.66038783999994</v>
      </c>
      <c r="G196" s="97"/>
      <c r="H196" s="98"/>
      <c r="I196" s="34"/>
      <c r="L196" s="89"/>
      <c r="M196" s="89"/>
      <c r="N196" s="34"/>
    </row>
    <row r="197" spans="1:14" s="35" customFormat="1" x14ac:dyDescent="0.25">
      <c r="A197" s="87">
        <f t="shared" si="10"/>
        <v>25</v>
      </c>
      <c r="B197" s="88"/>
      <c r="C197" s="40" t="s">
        <v>284</v>
      </c>
      <c r="D197" s="56">
        <f>(3.58*2.67)*10.764</f>
        <v>102.8887704</v>
      </c>
      <c r="E197" s="56">
        <f>(1.58*2.67)*10.764</f>
        <v>45.4090104</v>
      </c>
      <c r="F197" s="40">
        <f>(D197+E197)*(($F$130)+1)</f>
        <v>237.27644928000001</v>
      </c>
      <c r="G197" s="97"/>
      <c r="H197" s="98"/>
      <c r="I197" s="34"/>
      <c r="L197" s="89"/>
      <c r="M197" s="89"/>
      <c r="N197" s="34"/>
    </row>
    <row r="198" spans="1:14" s="35" customFormat="1" x14ac:dyDescent="0.25">
      <c r="A198" s="87">
        <f t="shared" si="10"/>
        <v>26</v>
      </c>
      <c r="B198" s="88"/>
      <c r="C198" s="40" t="s">
        <v>284</v>
      </c>
      <c r="D198" s="56">
        <f>(3.58*3.65)*10.764</f>
        <v>140.653188</v>
      </c>
      <c r="E198" s="56">
        <f>(1.58*3.65)*10.764</f>
        <v>62.075988000000002</v>
      </c>
      <c r="F198" s="40">
        <f t="shared" ref="F198:F200" si="17">(D198+E198)*(($F$130)+1)</f>
        <v>324.36668159999999</v>
      </c>
      <c r="G198" s="97"/>
      <c r="H198" s="98"/>
      <c r="I198" s="34"/>
      <c r="L198" s="89"/>
      <c r="M198" s="89"/>
      <c r="N198" s="34"/>
    </row>
    <row r="199" spans="1:14" s="35" customFormat="1" x14ac:dyDescent="0.25">
      <c r="A199" s="87">
        <f t="shared" si="10"/>
        <v>27</v>
      </c>
      <c r="B199" s="88"/>
      <c r="C199" s="40" t="s">
        <v>284</v>
      </c>
      <c r="D199" s="56">
        <f>(3.58*3.65)*10.764</f>
        <v>140.653188</v>
      </c>
      <c r="E199" s="56">
        <f>(1.58*3.65)*10.764</f>
        <v>62.075988000000002</v>
      </c>
      <c r="F199" s="40">
        <f t="shared" si="17"/>
        <v>324.36668159999999</v>
      </c>
      <c r="G199" s="97"/>
      <c r="H199" s="98"/>
      <c r="I199" s="34"/>
      <c r="L199" s="89"/>
      <c r="M199" s="89"/>
      <c r="N199" s="34"/>
    </row>
    <row r="200" spans="1:14" s="35" customFormat="1" x14ac:dyDescent="0.25">
      <c r="A200" s="87">
        <f t="shared" si="10"/>
        <v>28</v>
      </c>
      <c r="B200" s="88"/>
      <c r="C200" s="40" t="s">
        <v>284</v>
      </c>
      <c r="D200" s="56">
        <f>(3.58*3.65)*10.764</f>
        <v>140.653188</v>
      </c>
      <c r="E200" s="56">
        <f>(1.58*3.65)*10.764</f>
        <v>62.075988000000002</v>
      </c>
      <c r="F200" s="40">
        <f t="shared" si="17"/>
        <v>324.36668159999999</v>
      </c>
      <c r="G200" s="97"/>
      <c r="H200" s="98"/>
      <c r="I200" s="34"/>
      <c r="L200" s="89"/>
      <c r="M200" s="89"/>
      <c r="N200" s="34"/>
    </row>
    <row r="201" spans="1:14" s="35" customFormat="1" x14ac:dyDescent="0.25">
      <c r="A201" s="87">
        <f t="shared" si="10"/>
        <v>29</v>
      </c>
      <c r="B201" s="88"/>
      <c r="C201" s="40" t="s">
        <v>284</v>
      </c>
      <c r="D201" s="56">
        <f>(3.58*2.45)*10.764</f>
        <v>94.411044000000004</v>
      </c>
      <c r="E201" s="56">
        <v>0</v>
      </c>
      <c r="F201" s="40">
        <f>(D201+E201)*(($F$130)+1)</f>
        <v>151.05767040000001</v>
      </c>
      <c r="G201" s="97"/>
      <c r="H201" s="98"/>
      <c r="I201" s="34"/>
      <c r="L201" s="89"/>
      <c r="M201" s="89"/>
      <c r="N201" s="34"/>
    </row>
    <row r="202" spans="1:14" s="35" customFormat="1" x14ac:dyDescent="0.25">
      <c r="A202" s="87">
        <f t="shared" si="10"/>
        <v>30</v>
      </c>
      <c r="B202" s="88"/>
      <c r="C202" s="40" t="s">
        <v>284</v>
      </c>
      <c r="D202" s="56">
        <f>(3.58*2.75)*10.764</f>
        <v>105.97158</v>
      </c>
      <c r="E202" s="56">
        <f>(1.58*2.75)*10.764</f>
        <v>46.769580000000005</v>
      </c>
      <c r="F202" s="40">
        <f t="shared" ref="F202:F204" si="18">(D202+E202)*(($F$130)+1)</f>
        <v>244.38585600000002</v>
      </c>
      <c r="G202" s="97"/>
      <c r="H202" s="98"/>
      <c r="I202" s="34"/>
      <c r="L202" s="89"/>
      <c r="M202" s="89"/>
      <c r="N202" s="34"/>
    </row>
    <row r="203" spans="1:14" s="35" customFormat="1" x14ac:dyDescent="0.25">
      <c r="A203" s="87">
        <f t="shared" si="10"/>
        <v>31</v>
      </c>
      <c r="B203" s="88"/>
      <c r="C203" s="40" t="s">
        <v>284</v>
      </c>
      <c r="D203" s="56">
        <f>(3.58*2.75)*10.764</f>
        <v>105.97158</v>
      </c>
      <c r="E203" s="56">
        <f>(1.58*2.75)*10.764</f>
        <v>46.769580000000005</v>
      </c>
      <c r="F203" s="40">
        <f t="shared" si="18"/>
        <v>244.38585600000002</v>
      </c>
      <c r="G203" s="97"/>
      <c r="H203" s="98"/>
      <c r="I203" s="34"/>
      <c r="L203" s="89"/>
      <c r="M203" s="89"/>
      <c r="N203" s="34"/>
    </row>
    <row r="204" spans="1:14" s="35" customFormat="1" x14ac:dyDescent="0.25">
      <c r="A204" s="87">
        <f t="shared" si="10"/>
        <v>32</v>
      </c>
      <c r="B204" s="88"/>
      <c r="C204" s="40" t="s">
        <v>284</v>
      </c>
      <c r="D204" s="56">
        <f>(3.58*2.75)*10.764</f>
        <v>105.97158</v>
      </c>
      <c r="E204" s="56">
        <f>(1.58*2.75)*10.764</f>
        <v>46.769580000000005</v>
      </c>
      <c r="F204" s="40">
        <f t="shared" si="18"/>
        <v>244.38585600000002</v>
      </c>
      <c r="G204" s="97"/>
      <c r="H204" s="98"/>
      <c r="I204" s="34"/>
      <c r="L204" s="89"/>
      <c r="M204" s="89"/>
      <c r="N204" s="34"/>
    </row>
    <row r="205" spans="1:14" s="35" customFormat="1" x14ac:dyDescent="0.25">
      <c r="A205" s="87">
        <f t="shared" si="10"/>
        <v>33</v>
      </c>
      <c r="B205" s="88"/>
      <c r="C205" s="40" t="s">
        <v>284</v>
      </c>
      <c r="D205" s="56">
        <f>(3.58*2.75)*10.764</f>
        <v>105.97158</v>
      </c>
      <c r="E205" s="56">
        <f>(1.58*2.75)*10.764</f>
        <v>46.769580000000005</v>
      </c>
      <c r="F205" s="40">
        <f>(D205+E205)*(($F$130)+1)</f>
        <v>244.38585600000002</v>
      </c>
      <c r="G205" s="97"/>
      <c r="H205" s="98"/>
      <c r="I205" s="34"/>
      <c r="L205" s="89"/>
      <c r="M205" s="89"/>
      <c r="N205" s="34"/>
    </row>
    <row r="206" spans="1:14" s="35" customFormat="1" x14ac:dyDescent="0.25">
      <c r="A206" s="87">
        <f t="shared" si="10"/>
        <v>34</v>
      </c>
      <c r="B206" s="88"/>
      <c r="C206" s="40" t="s">
        <v>284</v>
      </c>
      <c r="D206" s="56">
        <f>(3.58*2.45)*10.764</f>
        <v>94.411044000000004</v>
      </c>
      <c r="E206" s="56">
        <v>0</v>
      </c>
      <c r="F206" s="40">
        <f t="shared" ref="F206:F208" si="19">(D206+E206)*(($F$130)+1)</f>
        <v>151.05767040000001</v>
      </c>
      <c r="G206" s="97"/>
      <c r="H206" s="98"/>
      <c r="I206" s="34"/>
      <c r="L206" s="89"/>
      <c r="M206" s="89"/>
      <c r="N206" s="34"/>
    </row>
    <row r="207" spans="1:14" s="35" customFormat="1" x14ac:dyDescent="0.25">
      <c r="A207" s="87">
        <f t="shared" si="10"/>
        <v>35</v>
      </c>
      <c r="B207" s="88"/>
      <c r="C207" s="40" t="s">
        <v>284</v>
      </c>
      <c r="D207" s="56">
        <f>(3.58*3.75)*10.764</f>
        <v>144.5067</v>
      </c>
      <c r="E207" s="56">
        <f>(1.58*3.75)*10.764</f>
        <v>63.776700000000005</v>
      </c>
      <c r="F207" s="40">
        <f t="shared" si="19"/>
        <v>333.25344000000001</v>
      </c>
      <c r="G207" s="97"/>
      <c r="H207" s="98"/>
      <c r="I207" s="34"/>
      <c r="L207" s="89"/>
      <c r="M207" s="89"/>
      <c r="N207" s="34"/>
    </row>
    <row r="208" spans="1:14" s="35" customFormat="1" x14ac:dyDescent="0.25">
      <c r="A208" s="87">
        <f t="shared" si="10"/>
        <v>36</v>
      </c>
      <c r="B208" s="88"/>
      <c r="C208" s="40" t="s">
        <v>284</v>
      </c>
      <c r="D208" s="56">
        <f>(10.6*3.75)*10.764</f>
        <v>427.86899999999997</v>
      </c>
      <c r="E208" s="56">
        <f>(9*3.75)*10.764</f>
        <v>363.28499999999997</v>
      </c>
      <c r="F208" s="40">
        <f t="shared" si="19"/>
        <v>1265.8464000000001</v>
      </c>
      <c r="G208" s="97"/>
      <c r="H208" s="98"/>
      <c r="I208" s="34"/>
      <c r="L208" s="89"/>
      <c r="M208" s="89"/>
      <c r="N208" s="34"/>
    </row>
    <row r="209" spans="1:14" s="35" customFormat="1" x14ac:dyDescent="0.25">
      <c r="A209" s="87">
        <f t="shared" si="10"/>
        <v>37</v>
      </c>
      <c r="B209" s="88"/>
      <c r="C209" s="40" t="s">
        <v>284</v>
      </c>
      <c r="D209" s="56">
        <f>(10.6*3.2)*10.764</f>
        <v>365.11487999999997</v>
      </c>
      <c r="E209" s="56">
        <f>(9*3.75)*10.764</f>
        <v>363.28499999999997</v>
      </c>
      <c r="F209" s="40">
        <f>(D209+E209)*(($F$130)+1)</f>
        <v>1165.4398079999999</v>
      </c>
      <c r="G209" s="97"/>
      <c r="H209" s="98"/>
      <c r="I209" s="34"/>
      <c r="L209" s="89"/>
      <c r="M209" s="89"/>
      <c r="N209" s="34"/>
    </row>
    <row r="210" spans="1:14" s="35" customFormat="1" x14ac:dyDescent="0.25">
      <c r="A210" s="87">
        <f t="shared" si="10"/>
        <v>38</v>
      </c>
      <c r="B210" s="88"/>
      <c r="C210" s="40" t="s">
        <v>284</v>
      </c>
      <c r="D210" s="56">
        <f>(10.6*3.75+8.7*1.8)*10.764</f>
        <v>596.43323999999996</v>
      </c>
      <c r="E210" s="56">
        <f>(9*5.7)*10.764</f>
        <v>552.19320000000005</v>
      </c>
      <c r="F210" s="40">
        <f t="shared" ref="F210:F212" si="20">(D210+E210)*(($F$130)+1)</f>
        <v>1837.802304</v>
      </c>
      <c r="G210" s="97"/>
      <c r="H210" s="98"/>
      <c r="I210" s="34"/>
      <c r="L210" s="89"/>
      <c r="M210" s="89"/>
      <c r="N210" s="34"/>
    </row>
    <row r="211" spans="1:14" s="35" customFormat="1" x14ac:dyDescent="0.25">
      <c r="A211" s="87">
        <f t="shared" si="10"/>
        <v>39</v>
      </c>
      <c r="B211" s="88"/>
      <c r="C211" s="40" t="s">
        <v>284</v>
      </c>
      <c r="D211" s="56">
        <f>(10.6*3.75+8.7*1.8)*10.764</f>
        <v>596.43323999999996</v>
      </c>
      <c r="E211" s="56">
        <f>(9*5.7)*10.764</f>
        <v>552.19320000000005</v>
      </c>
      <c r="F211" s="40">
        <f t="shared" si="20"/>
        <v>1837.802304</v>
      </c>
      <c r="G211" s="97"/>
      <c r="H211" s="98"/>
      <c r="I211" s="34"/>
      <c r="L211" s="89"/>
      <c r="M211" s="89"/>
      <c r="N211" s="34"/>
    </row>
    <row r="212" spans="1:14" s="35" customFormat="1" x14ac:dyDescent="0.25">
      <c r="A212" s="87">
        <f t="shared" si="10"/>
        <v>40</v>
      </c>
      <c r="B212" s="88"/>
      <c r="C212" s="40" t="s">
        <v>284</v>
      </c>
      <c r="D212" s="56">
        <f>(10.6*3.05)*10.764</f>
        <v>348.00011999999998</v>
      </c>
      <c r="E212" s="56">
        <f>(8.75*3.05)*10.764</f>
        <v>287.26425</v>
      </c>
      <c r="F212" s="40">
        <f t="shared" si="20"/>
        <v>1016.422992</v>
      </c>
      <c r="G212" s="97"/>
      <c r="H212" s="98"/>
      <c r="I212" s="34"/>
      <c r="L212" s="89"/>
      <c r="M212" s="89"/>
      <c r="N212" s="34"/>
    </row>
    <row r="213" spans="1:14" s="35" customFormat="1" x14ac:dyDescent="0.25">
      <c r="A213" s="87">
        <f t="shared" si="10"/>
        <v>41</v>
      </c>
      <c r="B213" s="88"/>
      <c r="C213" s="40" t="s">
        <v>284</v>
      </c>
      <c r="D213" s="56">
        <f>(10.6*3.05)*10.764</f>
        <v>348.00011999999998</v>
      </c>
      <c r="E213" s="56">
        <f>(8.75*3.05)*10.764</f>
        <v>287.26425</v>
      </c>
      <c r="F213" s="40">
        <f>(D213+E213)*(($F$130)+1)</f>
        <v>1016.422992</v>
      </c>
      <c r="G213" s="97"/>
      <c r="H213" s="98"/>
      <c r="I213" s="34"/>
      <c r="L213" s="89"/>
      <c r="M213" s="89"/>
      <c r="N213" s="34"/>
    </row>
    <row r="214" spans="1:14" s="35" customFormat="1" x14ac:dyDescent="0.25">
      <c r="A214" s="87">
        <f t="shared" si="10"/>
        <v>42</v>
      </c>
      <c r="B214" s="88"/>
      <c r="C214" s="40" t="s">
        <v>284</v>
      </c>
      <c r="D214" s="56">
        <f>(10.6*3.05)*10.764</f>
        <v>348.00011999999998</v>
      </c>
      <c r="E214" s="56">
        <f>(8.75*3.05)*10.764</f>
        <v>287.26425</v>
      </c>
      <c r="F214" s="40">
        <f t="shared" ref="F214:F216" si="21">(D214+E214)*(($F$130)+1)</f>
        <v>1016.422992</v>
      </c>
      <c r="G214" s="97"/>
      <c r="H214" s="98"/>
      <c r="I214" s="34"/>
      <c r="L214" s="89"/>
      <c r="M214" s="89"/>
      <c r="N214" s="34"/>
    </row>
    <row r="215" spans="1:14" s="35" customFormat="1" x14ac:dyDescent="0.25">
      <c r="A215" s="87">
        <f t="shared" si="10"/>
        <v>43</v>
      </c>
      <c r="B215" s="88"/>
      <c r="C215" s="40" t="s">
        <v>284</v>
      </c>
      <c r="D215" s="56">
        <f>(10.6*3.05)*10.764</f>
        <v>348.00011999999998</v>
      </c>
      <c r="E215" s="56">
        <f>(8.75*3.05)*10.764</f>
        <v>287.26425</v>
      </c>
      <c r="F215" s="40">
        <f t="shared" si="21"/>
        <v>1016.422992</v>
      </c>
      <c r="G215" s="97"/>
      <c r="H215" s="98"/>
      <c r="I215" s="34"/>
      <c r="L215" s="89"/>
      <c r="M215" s="89"/>
      <c r="N215" s="34"/>
    </row>
    <row r="216" spans="1:14" s="35" customFormat="1" x14ac:dyDescent="0.25">
      <c r="A216" s="87">
        <f t="shared" si="10"/>
        <v>44</v>
      </c>
      <c r="B216" s="88"/>
      <c r="C216" s="40" t="s">
        <v>284</v>
      </c>
      <c r="D216" s="56">
        <f>(10.6*3.05)*10.764</f>
        <v>348.00011999999998</v>
      </c>
      <c r="E216" s="56">
        <f>(8.75*3.05)*10.764</f>
        <v>287.26425</v>
      </c>
      <c r="F216" s="40">
        <f t="shared" si="21"/>
        <v>1016.422992</v>
      </c>
      <c r="G216" s="93"/>
      <c r="H216" s="99"/>
      <c r="I216" s="34"/>
      <c r="L216" s="89"/>
      <c r="M216" s="89"/>
      <c r="N216" s="34"/>
    </row>
    <row r="217" spans="1:14" s="35" customFormat="1" x14ac:dyDescent="0.25">
      <c r="A217" s="100" t="s">
        <v>117</v>
      </c>
      <c r="B217" s="101"/>
      <c r="C217" s="101"/>
      <c r="D217" s="101"/>
      <c r="E217" s="101"/>
      <c r="F217" s="101"/>
      <c r="G217" s="101"/>
      <c r="H217" s="102"/>
      <c r="J217" s="34"/>
    </row>
    <row r="218" spans="1:14" s="35" customFormat="1" x14ac:dyDescent="0.25">
      <c r="A218" s="87">
        <v>1</v>
      </c>
      <c r="B218" s="88"/>
      <c r="C218" s="40" t="s">
        <v>284</v>
      </c>
      <c r="D218" s="40">
        <v>437</v>
      </c>
      <c r="E218" s="56">
        <f>(2.9*6.86+1.3*4.2)*10.764</f>
        <v>272.91045600000001</v>
      </c>
      <c r="F218" s="40">
        <f>(D218+E218)*(($F$130)+1)</f>
        <v>1135.8567296000001</v>
      </c>
      <c r="G218" s="91" t="str">
        <f>A217</f>
        <v>2nd Floor</v>
      </c>
      <c r="H218" s="96"/>
      <c r="I218" s="34"/>
      <c r="L218" s="89"/>
      <c r="M218" s="89"/>
      <c r="N218" s="34"/>
    </row>
    <row r="219" spans="1:14" s="35" customFormat="1" x14ac:dyDescent="0.25">
      <c r="A219" s="87">
        <f t="shared" ref="A219:A261" si="22">A218+1</f>
        <v>2</v>
      </c>
      <c r="B219" s="88"/>
      <c r="C219" s="40" t="s">
        <v>284</v>
      </c>
      <c r="D219" s="40">
        <v>478</v>
      </c>
      <c r="E219" s="56">
        <f>(6.86*5.02)*10.764</f>
        <v>370.68202079999992</v>
      </c>
      <c r="F219" s="40">
        <f t="shared" ref="F219:F221" si="23">(D219+E219)*(($F$130)+1)</f>
        <v>1357.8912332800001</v>
      </c>
      <c r="G219" s="97"/>
      <c r="H219" s="98"/>
      <c r="I219" s="34"/>
      <c r="L219" s="89"/>
      <c r="M219" s="89"/>
      <c r="N219" s="34"/>
    </row>
    <row r="220" spans="1:14" s="35" customFormat="1" x14ac:dyDescent="0.25">
      <c r="A220" s="87">
        <f t="shared" si="22"/>
        <v>3</v>
      </c>
      <c r="B220" s="88"/>
      <c r="C220" s="40" t="s">
        <v>284</v>
      </c>
      <c r="D220" s="56">
        <f>(3.31*9.16+15.58*8.6)*10.764</f>
        <v>1768.6070064</v>
      </c>
      <c r="E220" s="56">
        <f>(3.31*7.16+15.58*8.6)*10.764</f>
        <v>1697.3493263999999</v>
      </c>
      <c r="F220" s="40">
        <f t="shared" si="23"/>
        <v>5545.5301324800002</v>
      </c>
      <c r="G220" s="97"/>
      <c r="H220" s="98"/>
      <c r="I220" s="34"/>
      <c r="L220" s="89"/>
      <c r="M220" s="89"/>
      <c r="N220" s="34"/>
    </row>
    <row r="221" spans="1:14" s="35" customFormat="1" x14ac:dyDescent="0.25">
      <c r="A221" s="87">
        <f t="shared" si="22"/>
        <v>4</v>
      </c>
      <c r="B221" s="88"/>
      <c r="C221" s="40" t="s">
        <v>284</v>
      </c>
      <c r="D221" s="56">
        <f>(6.2*4.84)*10.764</f>
        <v>323.00611199999997</v>
      </c>
      <c r="E221" s="56">
        <f>(4.2*4.84)*10.764</f>
        <v>218.81059199999999</v>
      </c>
      <c r="F221" s="40">
        <f t="shared" si="23"/>
        <v>866.90672640000003</v>
      </c>
      <c r="G221" s="97"/>
      <c r="H221" s="98"/>
      <c r="I221" s="34"/>
      <c r="L221" s="89"/>
      <c r="M221" s="89"/>
      <c r="N221" s="34"/>
    </row>
    <row r="222" spans="1:14" s="35" customFormat="1" x14ac:dyDescent="0.25">
      <c r="A222" s="87">
        <f t="shared" si="22"/>
        <v>5</v>
      </c>
      <c r="B222" s="88"/>
      <c r="C222" s="40" t="s">
        <v>284</v>
      </c>
      <c r="D222" s="56">
        <f>(6.2*3.05)*10.764</f>
        <v>203.54723999999999</v>
      </c>
      <c r="E222" s="56">
        <f>(4.2*3.05)*10.764</f>
        <v>137.88684000000001</v>
      </c>
      <c r="F222" s="40">
        <f>(D222+E222)*(($F$130)+1)</f>
        <v>546.29452800000001</v>
      </c>
      <c r="G222" s="97"/>
      <c r="H222" s="98"/>
      <c r="I222" s="34"/>
      <c r="L222" s="89"/>
      <c r="M222" s="89"/>
      <c r="N222" s="34"/>
    </row>
    <row r="223" spans="1:14" s="35" customFormat="1" x14ac:dyDescent="0.25">
      <c r="A223" s="87">
        <f t="shared" si="22"/>
        <v>6</v>
      </c>
      <c r="B223" s="88"/>
      <c r="C223" s="40" t="s">
        <v>284</v>
      </c>
      <c r="D223" s="56">
        <f>(6.2*3.05)*10.764</f>
        <v>203.54723999999999</v>
      </c>
      <c r="E223" s="56">
        <f>(4.2*3.05)*10.764</f>
        <v>137.88684000000001</v>
      </c>
      <c r="F223" s="40">
        <f t="shared" ref="F223:F225" si="24">(D223+E223)*(($F$130)+1)</f>
        <v>546.29452800000001</v>
      </c>
      <c r="G223" s="97"/>
      <c r="H223" s="98"/>
      <c r="I223" s="34"/>
      <c r="L223" s="89"/>
      <c r="M223" s="89"/>
      <c r="N223" s="34"/>
    </row>
    <row r="224" spans="1:14" s="35" customFormat="1" x14ac:dyDescent="0.25">
      <c r="A224" s="87">
        <f t="shared" si="22"/>
        <v>7</v>
      </c>
      <c r="B224" s="88"/>
      <c r="C224" s="40" t="s">
        <v>284</v>
      </c>
      <c r="D224" s="56">
        <f>(6.2*2.75)*10.764</f>
        <v>183.52619999999999</v>
      </c>
      <c r="E224" s="56">
        <f>(4.2*2.75)*10.764</f>
        <v>124.3242</v>
      </c>
      <c r="F224" s="40">
        <f t="shared" si="24"/>
        <v>492.56063999999998</v>
      </c>
      <c r="G224" s="97"/>
      <c r="H224" s="98"/>
      <c r="I224" s="34"/>
      <c r="L224" s="89"/>
      <c r="M224" s="89"/>
      <c r="N224" s="34"/>
    </row>
    <row r="225" spans="1:14" s="35" customFormat="1" x14ac:dyDescent="0.25">
      <c r="A225" s="87">
        <f t="shared" si="22"/>
        <v>8</v>
      </c>
      <c r="B225" s="88"/>
      <c r="C225" s="40" t="s">
        <v>284</v>
      </c>
      <c r="D225" s="56">
        <f>(6.2*2.75)*10.764</f>
        <v>183.52619999999999</v>
      </c>
      <c r="E225" s="56">
        <f>(4.2*2.75)*10.764</f>
        <v>124.3242</v>
      </c>
      <c r="F225" s="40">
        <f t="shared" si="24"/>
        <v>492.56063999999998</v>
      </c>
      <c r="G225" s="97"/>
      <c r="H225" s="98"/>
      <c r="I225" s="34"/>
      <c r="L225" s="89"/>
      <c r="M225" s="89"/>
      <c r="N225" s="34"/>
    </row>
    <row r="226" spans="1:14" s="35" customFormat="1" x14ac:dyDescent="0.25">
      <c r="A226" s="87">
        <f t="shared" si="22"/>
        <v>9</v>
      </c>
      <c r="B226" s="88"/>
      <c r="C226" s="40" t="s">
        <v>284</v>
      </c>
      <c r="D226" s="56">
        <f>(6.2*2.75)*10.764</f>
        <v>183.52619999999999</v>
      </c>
      <c r="E226" s="56">
        <f>(4.2*2.75)*10.764</f>
        <v>124.3242</v>
      </c>
      <c r="F226" s="40">
        <f>(D226+E226)*(($F$130)+1)</f>
        <v>492.56063999999998</v>
      </c>
      <c r="G226" s="97"/>
      <c r="H226" s="98"/>
      <c r="I226" s="34"/>
      <c r="L226" s="89"/>
      <c r="M226" s="89"/>
      <c r="N226" s="34"/>
    </row>
    <row r="227" spans="1:14" s="35" customFormat="1" x14ac:dyDescent="0.25">
      <c r="A227" s="87">
        <f t="shared" si="22"/>
        <v>10</v>
      </c>
      <c r="B227" s="88"/>
      <c r="C227" s="40" t="s">
        <v>284</v>
      </c>
      <c r="D227" s="56">
        <f>(6.2*2.75)*10.764</f>
        <v>183.52619999999999</v>
      </c>
      <c r="E227" s="56">
        <f>(4.2*2.75)*10.764</f>
        <v>124.3242</v>
      </c>
      <c r="F227" s="40">
        <f t="shared" ref="F227:F229" si="25">(D227+E227)*(($F$130)+1)</f>
        <v>492.56063999999998</v>
      </c>
      <c r="G227" s="97"/>
      <c r="H227" s="98"/>
      <c r="I227" s="34"/>
      <c r="L227" s="89"/>
      <c r="M227" s="89"/>
      <c r="N227" s="34"/>
    </row>
    <row r="228" spans="1:14" s="35" customFormat="1" x14ac:dyDescent="0.25">
      <c r="A228" s="87">
        <f t="shared" si="22"/>
        <v>11</v>
      </c>
      <c r="B228" s="88"/>
      <c r="C228" s="40" t="s">
        <v>284</v>
      </c>
      <c r="D228" s="56">
        <f>(6.2*2.75+3.5*2.3)*10.764</f>
        <v>270.1764</v>
      </c>
      <c r="E228" s="56">
        <f>(4.2*2.75+1.5*2.3)*10.764</f>
        <v>161.45999999999998</v>
      </c>
      <c r="F228" s="40">
        <f t="shared" si="25"/>
        <v>690.61824000000001</v>
      </c>
      <c r="G228" s="97"/>
      <c r="H228" s="98"/>
      <c r="I228" s="34"/>
      <c r="L228" s="89"/>
      <c r="M228" s="89"/>
      <c r="N228" s="34"/>
    </row>
    <row r="229" spans="1:14" s="35" customFormat="1" x14ac:dyDescent="0.25">
      <c r="A229" s="87">
        <f t="shared" si="22"/>
        <v>12</v>
      </c>
      <c r="B229" s="88"/>
      <c r="C229" s="40" t="s">
        <v>284</v>
      </c>
      <c r="D229" s="56">
        <f>(3.5*5.45)*10.764</f>
        <v>205.32329999999999</v>
      </c>
      <c r="E229" s="56">
        <f>(2.6*5.45)*10.764</f>
        <v>152.52588</v>
      </c>
      <c r="F229" s="40">
        <f t="shared" si="25"/>
        <v>572.55868799999996</v>
      </c>
      <c r="G229" s="97"/>
      <c r="H229" s="98"/>
      <c r="I229" s="34"/>
      <c r="L229" s="89"/>
      <c r="M229" s="89"/>
      <c r="N229" s="34"/>
    </row>
    <row r="230" spans="1:14" s="35" customFormat="1" x14ac:dyDescent="0.25">
      <c r="A230" s="87">
        <f t="shared" si="22"/>
        <v>13</v>
      </c>
      <c r="B230" s="88"/>
      <c r="C230" s="40" t="s">
        <v>284</v>
      </c>
      <c r="D230" s="56">
        <f>(3.58*3.65)*10.764</f>
        <v>140.653188</v>
      </c>
      <c r="E230" s="56">
        <f>(1.58*3.65)*10.764</f>
        <v>62.075988000000002</v>
      </c>
      <c r="F230" s="40">
        <f>(D230+E230)*(($F$130)+1)</f>
        <v>324.36668159999999</v>
      </c>
      <c r="G230" s="97"/>
      <c r="H230" s="98"/>
      <c r="I230" s="34"/>
      <c r="L230" s="89"/>
      <c r="M230" s="89"/>
      <c r="N230" s="34"/>
    </row>
    <row r="231" spans="1:14" s="35" customFormat="1" x14ac:dyDescent="0.25">
      <c r="A231" s="87">
        <f t="shared" si="22"/>
        <v>14</v>
      </c>
      <c r="B231" s="88"/>
      <c r="C231" s="40" t="s">
        <v>284</v>
      </c>
      <c r="D231" s="56">
        <f>(3.58*2.45)*10.764</f>
        <v>94.411044000000004</v>
      </c>
      <c r="E231" s="56">
        <v>0</v>
      </c>
      <c r="F231" s="40">
        <f t="shared" ref="F231:F233" si="26">(D231+E231)*(($F$130)+1)</f>
        <v>151.05767040000001</v>
      </c>
      <c r="G231" s="97"/>
      <c r="H231" s="98"/>
      <c r="I231" s="34"/>
      <c r="L231" s="89"/>
      <c r="M231" s="89"/>
      <c r="N231" s="34"/>
    </row>
    <row r="232" spans="1:14" s="35" customFormat="1" x14ac:dyDescent="0.25">
      <c r="A232" s="87">
        <f t="shared" si="22"/>
        <v>15</v>
      </c>
      <c r="B232" s="88"/>
      <c r="C232" s="40" t="s">
        <v>284</v>
      </c>
      <c r="D232" s="56">
        <f>(4.86*2.15)*10.764</f>
        <v>112.47303599999999</v>
      </c>
      <c r="E232" s="56">
        <v>0</v>
      </c>
      <c r="F232" s="40">
        <f t="shared" si="26"/>
        <v>179.95685760000001</v>
      </c>
      <c r="G232" s="97"/>
      <c r="H232" s="98"/>
      <c r="I232" s="34"/>
      <c r="L232" s="89"/>
      <c r="M232" s="89"/>
      <c r="N232" s="34"/>
    </row>
    <row r="233" spans="1:14" s="35" customFormat="1" x14ac:dyDescent="0.25">
      <c r="A233" s="87">
        <f t="shared" si="22"/>
        <v>16</v>
      </c>
      <c r="B233" s="88"/>
      <c r="C233" s="40" t="s">
        <v>284</v>
      </c>
      <c r="D233" s="56">
        <f>(3.58*2.75)*10.764</f>
        <v>105.97158</v>
      </c>
      <c r="E233" s="56">
        <f>(1.58*2.75)*10.764</f>
        <v>46.769580000000005</v>
      </c>
      <c r="F233" s="40">
        <f t="shared" si="26"/>
        <v>244.38585600000002</v>
      </c>
      <c r="G233" s="97"/>
      <c r="H233" s="98"/>
      <c r="I233" s="34"/>
      <c r="L233" s="89"/>
      <c r="M233" s="89"/>
      <c r="N233" s="34"/>
    </row>
    <row r="234" spans="1:14" s="35" customFormat="1" x14ac:dyDescent="0.25">
      <c r="A234" s="87">
        <f t="shared" si="22"/>
        <v>17</v>
      </c>
      <c r="B234" s="88"/>
      <c r="C234" s="40" t="s">
        <v>284</v>
      </c>
      <c r="D234" s="56">
        <f>(3.58*2.75)*10.764</f>
        <v>105.97158</v>
      </c>
      <c r="E234" s="56">
        <f>(1.58*2.75)*10.764</f>
        <v>46.769580000000005</v>
      </c>
      <c r="F234" s="40">
        <f>(D234+E234)*(($F$130)+1)</f>
        <v>244.38585600000002</v>
      </c>
      <c r="G234" s="97"/>
      <c r="H234" s="98"/>
      <c r="I234" s="34"/>
      <c r="L234" s="89"/>
      <c r="M234" s="89"/>
      <c r="N234" s="34"/>
    </row>
    <row r="235" spans="1:14" s="35" customFormat="1" x14ac:dyDescent="0.25">
      <c r="A235" s="87">
        <f t="shared" si="22"/>
        <v>18</v>
      </c>
      <c r="B235" s="88"/>
      <c r="C235" s="40" t="s">
        <v>284</v>
      </c>
      <c r="D235" s="56">
        <f>(3.58*2.75)*10.764</f>
        <v>105.97158</v>
      </c>
      <c r="E235" s="56">
        <f>(1.58*2.75)*10.764</f>
        <v>46.769580000000005</v>
      </c>
      <c r="F235" s="40">
        <f t="shared" ref="F235:F237" si="27">(D235+E235)*(($F$130)+1)</f>
        <v>244.38585600000002</v>
      </c>
      <c r="G235" s="97"/>
      <c r="H235" s="98"/>
      <c r="I235" s="34"/>
      <c r="L235" s="89"/>
      <c r="M235" s="89"/>
      <c r="N235" s="34"/>
    </row>
    <row r="236" spans="1:14" s="35" customFormat="1" x14ac:dyDescent="0.25">
      <c r="A236" s="87">
        <f t="shared" si="22"/>
        <v>19</v>
      </c>
      <c r="B236" s="88"/>
      <c r="C236" s="40" t="s">
        <v>284</v>
      </c>
      <c r="D236" s="56">
        <f>(3.58*2.75)*10.764</f>
        <v>105.97158</v>
      </c>
      <c r="E236" s="56">
        <f>(1.58*2.75)*10.764</f>
        <v>46.769580000000005</v>
      </c>
      <c r="F236" s="40">
        <f t="shared" si="27"/>
        <v>244.38585600000002</v>
      </c>
      <c r="G236" s="97"/>
      <c r="H236" s="98"/>
      <c r="I236" s="34"/>
      <c r="L236" s="89"/>
      <c r="M236" s="89"/>
      <c r="N236" s="34"/>
    </row>
    <row r="237" spans="1:14" s="35" customFormat="1" x14ac:dyDescent="0.25">
      <c r="A237" s="87">
        <f t="shared" si="22"/>
        <v>20</v>
      </c>
      <c r="B237" s="88"/>
      <c r="C237" s="40" t="s">
        <v>284</v>
      </c>
      <c r="D237" s="56">
        <f>(4.86*2.15)*10.764</f>
        <v>112.47303599999999</v>
      </c>
      <c r="E237" s="56">
        <v>0</v>
      </c>
      <c r="F237" s="40">
        <f t="shared" si="27"/>
        <v>179.95685760000001</v>
      </c>
      <c r="G237" s="97"/>
      <c r="H237" s="98"/>
      <c r="I237" s="34"/>
      <c r="L237" s="89"/>
      <c r="M237" s="89"/>
      <c r="N237" s="34"/>
    </row>
    <row r="238" spans="1:14" s="35" customFormat="1" x14ac:dyDescent="0.25">
      <c r="A238" s="87">
        <f t="shared" si="22"/>
        <v>21</v>
      </c>
      <c r="B238" s="88"/>
      <c r="C238" s="40" t="s">
        <v>284</v>
      </c>
      <c r="D238" s="56">
        <f>(3.58*2.45)*10.764</f>
        <v>94.411044000000004</v>
      </c>
      <c r="E238" s="56">
        <v>0</v>
      </c>
      <c r="F238" s="40">
        <f>(D238+E238)*(($F$130)+1)</f>
        <v>151.05767040000001</v>
      </c>
      <c r="G238" s="97"/>
      <c r="H238" s="98"/>
      <c r="I238" s="34"/>
      <c r="L238" s="89"/>
      <c r="M238" s="89"/>
      <c r="N238" s="34"/>
    </row>
    <row r="239" spans="1:14" s="35" customFormat="1" x14ac:dyDescent="0.25">
      <c r="A239" s="87">
        <f t="shared" si="22"/>
        <v>22</v>
      </c>
      <c r="B239" s="88"/>
      <c r="C239" s="40" t="s">
        <v>284</v>
      </c>
      <c r="D239" s="56">
        <f>(3.58*3.65)*10.764</f>
        <v>140.653188</v>
      </c>
      <c r="E239" s="56">
        <f>(1.58*3.65)*10.764</f>
        <v>62.075988000000002</v>
      </c>
      <c r="F239" s="40">
        <f t="shared" ref="F239:F241" si="28">(D239+E239)*(($F$130)+1)</f>
        <v>324.36668159999999</v>
      </c>
      <c r="G239" s="97"/>
      <c r="H239" s="98"/>
      <c r="I239" s="34"/>
      <c r="L239" s="89"/>
      <c r="M239" s="89"/>
      <c r="N239" s="34"/>
    </row>
    <row r="240" spans="1:14" s="35" customFormat="1" x14ac:dyDescent="0.25">
      <c r="A240" s="87">
        <f t="shared" si="22"/>
        <v>23</v>
      </c>
      <c r="B240" s="88"/>
      <c r="C240" s="40" t="s">
        <v>284</v>
      </c>
      <c r="D240" s="56">
        <f>(3.58*3)*10.764</f>
        <v>115.60535999999999</v>
      </c>
      <c r="E240" s="56">
        <f>(1.58*3.65)*10.764</f>
        <v>62.075988000000002</v>
      </c>
      <c r="F240" s="40">
        <f t="shared" si="28"/>
        <v>284.29015679999998</v>
      </c>
      <c r="G240" s="97"/>
      <c r="H240" s="98"/>
      <c r="I240" s="34"/>
      <c r="L240" s="89"/>
      <c r="M240" s="89"/>
      <c r="N240" s="34"/>
    </row>
    <row r="241" spans="1:14" s="35" customFormat="1" x14ac:dyDescent="0.25">
      <c r="A241" s="87">
        <f t="shared" si="22"/>
        <v>24</v>
      </c>
      <c r="B241" s="88"/>
      <c r="C241" s="40" t="s">
        <v>284</v>
      </c>
      <c r="D241" s="56">
        <f>(3.58*5.51)*10.764</f>
        <v>212.32851119999998</v>
      </c>
      <c r="E241" s="56">
        <f>(1.58*5.51)*10.764</f>
        <v>93.709231199999991</v>
      </c>
      <c r="F241" s="40">
        <f t="shared" si="28"/>
        <v>489.66038783999994</v>
      </c>
      <c r="G241" s="97"/>
      <c r="H241" s="98"/>
      <c r="I241" s="34"/>
      <c r="L241" s="89"/>
      <c r="M241" s="89"/>
      <c r="N241" s="34"/>
    </row>
    <row r="242" spans="1:14" s="35" customFormat="1" x14ac:dyDescent="0.25">
      <c r="A242" s="87">
        <f t="shared" si="22"/>
        <v>25</v>
      </c>
      <c r="B242" s="88"/>
      <c r="C242" s="40" t="s">
        <v>284</v>
      </c>
      <c r="D242" s="56">
        <f>(3.58*2.67)*10.764</f>
        <v>102.8887704</v>
      </c>
      <c r="E242" s="56">
        <f>(1.58*2.67)*10.764</f>
        <v>45.4090104</v>
      </c>
      <c r="F242" s="40">
        <f>(D242+E242)*(($F$130)+1)</f>
        <v>237.27644928000001</v>
      </c>
      <c r="G242" s="97"/>
      <c r="H242" s="98"/>
      <c r="I242" s="34"/>
      <c r="L242" s="89"/>
      <c r="M242" s="89"/>
      <c r="N242" s="34"/>
    </row>
    <row r="243" spans="1:14" s="35" customFormat="1" x14ac:dyDescent="0.25">
      <c r="A243" s="87">
        <f t="shared" si="22"/>
        <v>26</v>
      </c>
      <c r="B243" s="88"/>
      <c r="C243" s="40" t="s">
        <v>284</v>
      </c>
      <c r="D243" s="56">
        <f>(3.58*3.65)*10.764</f>
        <v>140.653188</v>
      </c>
      <c r="E243" s="56">
        <f>(1.58*3.65)*10.764</f>
        <v>62.075988000000002</v>
      </c>
      <c r="F243" s="40">
        <f t="shared" ref="F243:F245" si="29">(D243+E243)*(($F$130)+1)</f>
        <v>324.36668159999999</v>
      </c>
      <c r="G243" s="97"/>
      <c r="H243" s="98"/>
      <c r="I243" s="34"/>
      <c r="L243" s="89"/>
      <c r="M243" s="89"/>
      <c r="N243" s="34"/>
    </row>
    <row r="244" spans="1:14" s="35" customFormat="1" x14ac:dyDescent="0.25">
      <c r="A244" s="87">
        <f t="shared" si="22"/>
        <v>27</v>
      </c>
      <c r="B244" s="88"/>
      <c r="C244" s="40" t="s">
        <v>284</v>
      </c>
      <c r="D244" s="56">
        <f>(3.58*3)*10.764</f>
        <v>115.60535999999999</v>
      </c>
      <c r="E244" s="56">
        <f>(1.58*3.65)*10.764</f>
        <v>62.075988000000002</v>
      </c>
      <c r="F244" s="40">
        <f t="shared" si="29"/>
        <v>284.29015679999998</v>
      </c>
      <c r="G244" s="97"/>
      <c r="H244" s="98"/>
      <c r="I244" s="34"/>
      <c r="L244" s="89"/>
      <c r="M244" s="89"/>
      <c r="N244" s="34"/>
    </row>
    <row r="245" spans="1:14" s="35" customFormat="1" x14ac:dyDescent="0.25">
      <c r="A245" s="87">
        <f t="shared" si="22"/>
        <v>28</v>
      </c>
      <c r="B245" s="88"/>
      <c r="C245" s="40" t="s">
        <v>284</v>
      </c>
      <c r="D245" s="56">
        <f>(3.58*3.65)*10.764</f>
        <v>140.653188</v>
      </c>
      <c r="E245" s="56">
        <f>(1.58*3.65)*10.764</f>
        <v>62.075988000000002</v>
      </c>
      <c r="F245" s="40">
        <f t="shared" si="29"/>
        <v>324.36668159999999</v>
      </c>
      <c r="G245" s="97"/>
      <c r="H245" s="98"/>
      <c r="I245" s="34"/>
      <c r="L245" s="89"/>
      <c r="M245" s="89"/>
      <c r="N245" s="34"/>
    </row>
    <row r="246" spans="1:14" s="35" customFormat="1" x14ac:dyDescent="0.25">
      <c r="A246" s="87">
        <f t="shared" si="22"/>
        <v>29</v>
      </c>
      <c r="B246" s="88"/>
      <c r="C246" s="40" t="s">
        <v>284</v>
      </c>
      <c r="D246" s="56">
        <f>(3.58*2.45)*10.764</f>
        <v>94.411044000000004</v>
      </c>
      <c r="E246" s="56">
        <v>0</v>
      </c>
      <c r="F246" s="40">
        <f>(D246+E246)*(($F$130)+1)</f>
        <v>151.05767040000001</v>
      </c>
      <c r="G246" s="97"/>
      <c r="H246" s="98"/>
      <c r="I246" s="34"/>
      <c r="L246" s="89"/>
      <c r="M246" s="89"/>
      <c r="N246" s="34"/>
    </row>
    <row r="247" spans="1:14" s="35" customFormat="1" x14ac:dyDescent="0.25">
      <c r="A247" s="87">
        <f t="shared" si="22"/>
        <v>30</v>
      </c>
      <c r="B247" s="88"/>
      <c r="C247" s="40" t="s">
        <v>284</v>
      </c>
      <c r="D247" s="56">
        <f>(3.58*2.75)*10.764</f>
        <v>105.97158</v>
      </c>
      <c r="E247" s="56">
        <f>(1.58*2.75)*10.764</f>
        <v>46.769580000000005</v>
      </c>
      <c r="F247" s="40">
        <f t="shared" ref="F247:F249" si="30">(D247+E247)*(($F$130)+1)</f>
        <v>244.38585600000002</v>
      </c>
      <c r="G247" s="97"/>
      <c r="H247" s="98"/>
      <c r="I247" s="34"/>
      <c r="L247" s="89"/>
      <c r="M247" s="89"/>
      <c r="N247" s="34"/>
    </row>
    <row r="248" spans="1:14" s="35" customFormat="1" x14ac:dyDescent="0.25">
      <c r="A248" s="87">
        <f t="shared" si="22"/>
        <v>31</v>
      </c>
      <c r="B248" s="88"/>
      <c r="C248" s="40" t="s">
        <v>284</v>
      </c>
      <c r="D248" s="56">
        <f>(3.58*2.75)*10.764</f>
        <v>105.97158</v>
      </c>
      <c r="E248" s="56">
        <f>(1.58*2.75)*10.764</f>
        <v>46.769580000000005</v>
      </c>
      <c r="F248" s="40">
        <f t="shared" si="30"/>
        <v>244.38585600000002</v>
      </c>
      <c r="G248" s="97"/>
      <c r="H248" s="98"/>
      <c r="I248" s="34"/>
      <c r="L248" s="89"/>
      <c r="M248" s="89"/>
      <c r="N248" s="34"/>
    </row>
    <row r="249" spans="1:14" s="35" customFormat="1" x14ac:dyDescent="0.25">
      <c r="A249" s="87">
        <f t="shared" si="22"/>
        <v>32</v>
      </c>
      <c r="B249" s="88"/>
      <c r="C249" s="40" t="s">
        <v>284</v>
      </c>
      <c r="D249" s="56">
        <f>(3.58*2.75)*10.764</f>
        <v>105.97158</v>
      </c>
      <c r="E249" s="56">
        <f>(1.58*2.75)*10.764</f>
        <v>46.769580000000005</v>
      </c>
      <c r="F249" s="40">
        <f t="shared" si="30"/>
        <v>244.38585600000002</v>
      </c>
      <c r="G249" s="97"/>
      <c r="H249" s="98"/>
      <c r="I249" s="34"/>
      <c r="L249" s="89"/>
      <c r="M249" s="89"/>
      <c r="N249" s="34"/>
    </row>
    <row r="250" spans="1:14" s="35" customFormat="1" x14ac:dyDescent="0.25">
      <c r="A250" s="87">
        <f t="shared" si="22"/>
        <v>33</v>
      </c>
      <c r="B250" s="88"/>
      <c r="C250" s="40" t="s">
        <v>284</v>
      </c>
      <c r="D250" s="56">
        <f>(3.58*2.75)*10.764</f>
        <v>105.97158</v>
      </c>
      <c r="E250" s="56">
        <f>(1.58*2.75)*10.764</f>
        <v>46.769580000000005</v>
      </c>
      <c r="F250" s="40">
        <f>(D250+E250)*(($F$130)+1)</f>
        <v>244.38585600000002</v>
      </c>
      <c r="G250" s="97"/>
      <c r="H250" s="98"/>
      <c r="I250" s="34"/>
      <c r="L250" s="89"/>
      <c r="M250" s="89"/>
      <c r="N250" s="34"/>
    </row>
    <row r="251" spans="1:14" s="35" customFormat="1" x14ac:dyDescent="0.25">
      <c r="A251" s="87">
        <f t="shared" si="22"/>
        <v>34</v>
      </c>
      <c r="B251" s="88"/>
      <c r="C251" s="40" t="s">
        <v>284</v>
      </c>
      <c r="D251" s="56">
        <f>(3.58*2.45)*10.764</f>
        <v>94.411044000000004</v>
      </c>
      <c r="E251" s="56">
        <v>0</v>
      </c>
      <c r="F251" s="40">
        <f t="shared" ref="F251:F253" si="31">(D251+E251)*(($F$130)+1)</f>
        <v>151.05767040000001</v>
      </c>
      <c r="G251" s="97"/>
      <c r="H251" s="98"/>
      <c r="I251" s="34"/>
      <c r="L251" s="89"/>
      <c r="M251" s="89"/>
      <c r="N251" s="34"/>
    </row>
    <row r="252" spans="1:14" s="35" customFormat="1" x14ac:dyDescent="0.25">
      <c r="A252" s="87">
        <f t="shared" si="22"/>
        <v>35</v>
      </c>
      <c r="B252" s="88"/>
      <c r="C252" s="40" t="s">
        <v>284</v>
      </c>
      <c r="D252" s="56">
        <f>(3.58*3.75)*10.764</f>
        <v>144.5067</v>
      </c>
      <c r="E252" s="56">
        <f>(1.58*3.75)*10.764</f>
        <v>63.776700000000005</v>
      </c>
      <c r="F252" s="40">
        <f t="shared" si="31"/>
        <v>333.25344000000001</v>
      </c>
      <c r="G252" s="97"/>
      <c r="H252" s="98"/>
      <c r="I252" s="34"/>
      <c r="L252" s="89"/>
      <c r="M252" s="89"/>
      <c r="N252" s="34"/>
    </row>
    <row r="253" spans="1:14" s="35" customFormat="1" x14ac:dyDescent="0.25">
      <c r="A253" s="87">
        <f t="shared" si="22"/>
        <v>36</v>
      </c>
      <c r="B253" s="88"/>
      <c r="C253" s="40" t="s">
        <v>284</v>
      </c>
      <c r="D253" s="56">
        <f>(10.6*3.65)*10.764</f>
        <v>416.45915999999994</v>
      </c>
      <c r="E253" s="56">
        <f>(9*3.55)*10.764</f>
        <v>343.90979999999996</v>
      </c>
      <c r="F253" s="40">
        <f t="shared" si="31"/>
        <v>1216.590336</v>
      </c>
      <c r="G253" s="97"/>
      <c r="H253" s="98"/>
      <c r="I253" s="34"/>
      <c r="L253" s="89"/>
      <c r="M253" s="89"/>
      <c r="N253" s="34"/>
    </row>
    <row r="254" spans="1:14" s="35" customFormat="1" x14ac:dyDescent="0.25">
      <c r="A254" s="87">
        <f t="shared" si="22"/>
        <v>37</v>
      </c>
      <c r="B254" s="88"/>
      <c r="C254" s="40" t="s">
        <v>284</v>
      </c>
      <c r="D254" s="56">
        <f>(10.6*3.2)*10.764</f>
        <v>365.11487999999997</v>
      </c>
      <c r="E254" s="56">
        <f>(9*3.2)*10.764</f>
        <v>310.00319999999999</v>
      </c>
      <c r="F254" s="40">
        <f>(D254+E254)*(($F$130)+1)</f>
        <v>1080.188928</v>
      </c>
      <c r="G254" s="97"/>
      <c r="H254" s="98"/>
      <c r="I254" s="34"/>
      <c r="L254" s="89"/>
      <c r="M254" s="89"/>
      <c r="N254" s="34"/>
    </row>
    <row r="255" spans="1:14" s="35" customFormat="1" x14ac:dyDescent="0.25">
      <c r="A255" s="87">
        <f t="shared" si="22"/>
        <v>38</v>
      </c>
      <c r="B255" s="88"/>
      <c r="C255" s="40" t="s">
        <v>284</v>
      </c>
      <c r="D255" s="56">
        <f>(8.25*5.63+2.35*3.65)*10.764</f>
        <v>592.28909999999996</v>
      </c>
      <c r="E255" s="56">
        <f>(8.25*5.63)*10.764</f>
        <v>499.96088999999995</v>
      </c>
      <c r="F255" s="40">
        <f t="shared" ref="F255:F257" si="32">(D255+E255)*(($F$130)+1)</f>
        <v>1747.5999839999997</v>
      </c>
      <c r="G255" s="97"/>
      <c r="H255" s="98"/>
      <c r="I255" s="34"/>
      <c r="L255" s="89"/>
      <c r="M255" s="89"/>
      <c r="N255" s="34"/>
    </row>
    <row r="256" spans="1:14" s="35" customFormat="1" x14ac:dyDescent="0.25">
      <c r="A256" s="87">
        <f t="shared" si="22"/>
        <v>39</v>
      </c>
      <c r="B256" s="88"/>
      <c r="C256" s="40" t="s">
        <v>284</v>
      </c>
      <c r="D256" s="56">
        <f>(8.25*5.55+2.35*3.65)*10.764</f>
        <v>585.18485999999996</v>
      </c>
      <c r="E256" s="56">
        <f>(8.25*5.55)*10.764</f>
        <v>492.85665</v>
      </c>
      <c r="F256" s="40">
        <f t="shared" si="32"/>
        <v>1724.8664160000001</v>
      </c>
      <c r="G256" s="97"/>
      <c r="H256" s="98"/>
      <c r="I256" s="34"/>
      <c r="L256" s="89"/>
      <c r="M256" s="89"/>
      <c r="N256" s="34"/>
    </row>
    <row r="257" spans="1:14" s="35" customFormat="1" x14ac:dyDescent="0.25">
      <c r="A257" s="87">
        <f t="shared" si="22"/>
        <v>40</v>
      </c>
      <c r="B257" s="88"/>
      <c r="C257" s="40" t="s">
        <v>284</v>
      </c>
      <c r="D257" s="56">
        <f>(10.6*3.05)*10.764</f>
        <v>348.00011999999998</v>
      </c>
      <c r="E257" s="56">
        <f>(8.75*3.05)*10.764</f>
        <v>287.26425</v>
      </c>
      <c r="F257" s="40">
        <f t="shared" si="32"/>
        <v>1016.422992</v>
      </c>
      <c r="G257" s="97"/>
      <c r="H257" s="98"/>
      <c r="I257" s="34"/>
      <c r="L257" s="89"/>
      <c r="M257" s="89"/>
      <c r="N257" s="34"/>
    </row>
    <row r="258" spans="1:14" s="35" customFormat="1" x14ac:dyDescent="0.25">
      <c r="A258" s="87">
        <f t="shared" si="22"/>
        <v>41</v>
      </c>
      <c r="B258" s="88"/>
      <c r="C258" s="40" t="s">
        <v>284</v>
      </c>
      <c r="D258" s="56">
        <f>(10.6*3.05)*10.764</f>
        <v>348.00011999999998</v>
      </c>
      <c r="E258" s="56">
        <f>(8.75*3.05)*10.764</f>
        <v>287.26425</v>
      </c>
      <c r="F258" s="40">
        <f>(D258+E258)*(($F$130)+1)</f>
        <v>1016.422992</v>
      </c>
      <c r="G258" s="97"/>
      <c r="H258" s="98"/>
      <c r="I258" s="34"/>
      <c r="L258" s="89"/>
      <c r="M258" s="89"/>
      <c r="N258" s="34"/>
    </row>
    <row r="259" spans="1:14" s="35" customFormat="1" x14ac:dyDescent="0.25">
      <c r="A259" s="87">
        <f t="shared" si="22"/>
        <v>42</v>
      </c>
      <c r="B259" s="88"/>
      <c r="C259" s="40" t="s">
        <v>284</v>
      </c>
      <c r="D259" s="56">
        <f>(10.6*3.05)*10.764</f>
        <v>348.00011999999998</v>
      </c>
      <c r="E259" s="56">
        <f>(8.75*3.05)*10.764</f>
        <v>287.26425</v>
      </c>
      <c r="F259" s="40">
        <f t="shared" ref="F259:F261" si="33">(D259+E259)*(($F$130)+1)</f>
        <v>1016.422992</v>
      </c>
      <c r="G259" s="97"/>
      <c r="H259" s="98"/>
      <c r="I259" s="34"/>
      <c r="L259" s="89"/>
      <c r="M259" s="89"/>
      <c r="N259" s="34"/>
    </row>
    <row r="260" spans="1:14" s="35" customFormat="1" x14ac:dyDescent="0.25">
      <c r="A260" s="87">
        <f t="shared" si="22"/>
        <v>43</v>
      </c>
      <c r="B260" s="88"/>
      <c r="C260" s="40" t="s">
        <v>284</v>
      </c>
      <c r="D260" s="56">
        <f>(10.6*3.05)*10.764</f>
        <v>348.00011999999998</v>
      </c>
      <c r="E260" s="56">
        <f>(8.75*3.05)*10.764</f>
        <v>287.26425</v>
      </c>
      <c r="F260" s="40">
        <f t="shared" si="33"/>
        <v>1016.422992</v>
      </c>
      <c r="G260" s="97"/>
      <c r="H260" s="98"/>
      <c r="I260" s="34"/>
      <c r="L260" s="89"/>
      <c r="M260" s="89"/>
      <c r="N260" s="34"/>
    </row>
    <row r="261" spans="1:14" s="35" customFormat="1" x14ac:dyDescent="0.25">
      <c r="A261" s="87">
        <f t="shared" si="22"/>
        <v>44</v>
      </c>
      <c r="B261" s="88"/>
      <c r="C261" s="40" t="s">
        <v>284</v>
      </c>
      <c r="D261" s="56">
        <f>(10.6*3.05)*10.764</f>
        <v>348.00011999999998</v>
      </c>
      <c r="E261" s="56">
        <f>(8.75*3.05)*10.764</f>
        <v>287.26425</v>
      </c>
      <c r="F261" s="40">
        <f t="shared" si="33"/>
        <v>1016.422992</v>
      </c>
      <c r="G261" s="93"/>
      <c r="H261" s="99"/>
      <c r="I261" s="34"/>
      <c r="L261" s="89"/>
      <c r="M261" s="89"/>
      <c r="N261" s="34"/>
    </row>
    <row r="262" spans="1:14" s="35" customFormat="1" x14ac:dyDescent="0.25">
      <c r="A262" s="87"/>
      <c r="B262" s="95"/>
      <c r="C262" s="95"/>
      <c r="D262" s="95"/>
      <c r="E262" s="95"/>
      <c r="F262" s="95"/>
      <c r="G262" s="95"/>
      <c r="H262" s="88"/>
      <c r="I262" s="34"/>
      <c r="N262" s="34"/>
    </row>
    <row r="263" spans="1:14" ht="47.25" customHeight="1" x14ac:dyDescent="0.25">
      <c r="A263" s="133" t="s">
        <v>119</v>
      </c>
      <c r="B263" s="129" t="s">
        <v>182</v>
      </c>
      <c r="C263" s="129" t="s">
        <v>55</v>
      </c>
      <c r="D263" s="129" t="s">
        <v>56</v>
      </c>
      <c r="E263" s="131" t="s">
        <v>57</v>
      </c>
      <c r="F263" s="41" t="s">
        <v>150</v>
      </c>
      <c r="G263" s="133" t="s">
        <v>58</v>
      </c>
      <c r="H263" s="134"/>
      <c r="I263" s="34"/>
    </row>
    <row r="264" spans="1:14" s="35" customFormat="1" x14ac:dyDescent="0.25">
      <c r="A264" s="135"/>
      <c r="B264" s="130"/>
      <c r="C264" s="130"/>
      <c r="D264" s="130"/>
      <c r="E264" s="132"/>
      <c r="F264" s="13">
        <v>0.55000000000000004</v>
      </c>
      <c r="G264" s="135"/>
      <c r="H264" s="136"/>
      <c r="I264" s="34"/>
    </row>
    <row r="265" spans="1:14" s="35" customFormat="1" x14ac:dyDescent="0.25">
      <c r="A265" s="100" t="s">
        <v>266</v>
      </c>
      <c r="B265" s="101"/>
      <c r="C265" s="101"/>
      <c r="D265" s="101"/>
      <c r="E265" s="101"/>
      <c r="F265" s="101"/>
      <c r="G265" s="101"/>
      <c r="H265" s="102"/>
      <c r="J265" s="56">
        <v>10.763999999999999</v>
      </c>
    </row>
    <row r="266" spans="1:14" s="35" customFormat="1" x14ac:dyDescent="0.25">
      <c r="A266" s="100" t="s">
        <v>287</v>
      </c>
      <c r="B266" s="101"/>
      <c r="C266" s="101"/>
      <c r="D266" s="101"/>
      <c r="E266" s="101"/>
      <c r="F266" s="101"/>
      <c r="G266" s="101"/>
      <c r="H266" s="102"/>
      <c r="J266" s="34"/>
    </row>
    <row r="267" spans="1:14" s="35" customFormat="1" x14ac:dyDescent="0.25">
      <c r="A267" s="100" t="s">
        <v>303</v>
      </c>
      <c r="B267" s="101"/>
      <c r="C267" s="101"/>
      <c r="D267" s="101"/>
      <c r="E267" s="101"/>
      <c r="F267" s="101"/>
      <c r="G267" s="101"/>
      <c r="H267" s="102"/>
      <c r="J267" s="34"/>
    </row>
    <row r="268" spans="1:14" s="35" customFormat="1" ht="15.75" customHeight="1" x14ac:dyDescent="0.25">
      <c r="A268" s="87">
        <v>1</v>
      </c>
      <c r="B268" s="88"/>
      <c r="C268" s="40" t="s">
        <v>267</v>
      </c>
      <c r="D268" s="56">
        <f>(42.76)*10.764</f>
        <v>460.26863999999995</v>
      </c>
      <c r="E268" s="40">
        <v>0</v>
      </c>
      <c r="F268" s="40">
        <f>D268*(($F$264)+1)+(IF(E268&lt;101,E268,IF(E268&lt;201,E268/2,IF(E268&lt;=301,E268/3,E268/4))))</f>
        <v>713.41639199999997</v>
      </c>
      <c r="G268" s="91" t="str">
        <f>A267</f>
        <v>5th, 7th, 9th Floor for Residential (Part Refuge Area At Mid-Landing)</v>
      </c>
      <c r="H268" s="96"/>
      <c r="I268" s="34">
        <f>5.3*3.2+2.3*2.45+3.35*3.05+1.2*2.15+1.2*2.15+0.9*2.45</f>
        <v>40.177499999999995</v>
      </c>
      <c r="L268" s="89"/>
      <c r="M268" s="89"/>
      <c r="N268" s="34"/>
    </row>
    <row r="269" spans="1:14" s="35" customFormat="1" x14ac:dyDescent="0.25">
      <c r="A269" s="87">
        <f t="shared" ref="A269:A271" si="34">A268+1</f>
        <v>2</v>
      </c>
      <c r="B269" s="88"/>
      <c r="C269" s="40" t="s">
        <v>268</v>
      </c>
      <c r="D269" s="56">
        <f>(60.35)*10.764</f>
        <v>649.60739999999998</v>
      </c>
      <c r="E269" s="40">
        <v>0</v>
      </c>
      <c r="F269" s="40">
        <f>D269*(($F$264)+1)+(IF(E269&lt;101,E269,IF(E269&lt;201,E269/2,IF(E269&lt;=301,E269/3,E269/4))))</f>
        <v>1006.89147</v>
      </c>
      <c r="G269" s="97"/>
      <c r="H269" s="98"/>
      <c r="I269" s="34"/>
      <c r="L269" s="89"/>
      <c r="M269" s="89"/>
      <c r="N269" s="34"/>
    </row>
    <row r="270" spans="1:14" s="35" customFormat="1" x14ac:dyDescent="0.25">
      <c r="A270" s="87">
        <f t="shared" si="34"/>
        <v>3</v>
      </c>
      <c r="B270" s="88"/>
      <c r="C270" s="40" t="s">
        <v>268</v>
      </c>
      <c r="D270" s="56">
        <f>(62.36)*10.764</f>
        <v>671.24303999999995</v>
      </c>
      <c r="E270" s="40">
        <v>0</v>
      </c>
      <c r="F270" s="40">
        <f>D270*(($F$264)+1)+(IF(E270&lt;101,E270,IF(E270&lt;201,E270/2,IF(E270&lt;=301,E270/3,E270/4))))</f>
        <v>1040.426712</v>
      </c>
      <c r="G270" s="97"/>
      <c r="H270" s="98"/>
      <c r="I270" s="34"/>
      <c r="L270" s="89"/>
      <c r="M270" s="89"/>
      <c r="N270" s="34"/>
    </row>
    <row r="271" spans="1:14" s="35" customFormat="1" x14ac:dyDescent="0.25">
      <c r="A271" s="87">
        <f t="shared" si="34"/>
        <v>4</v>
      </c>
      <c r="B271" s="88"/>
      <c r="C271" s="40" t="s">
        <v>269</v>
      </c>
      <c r="D271" s="56">
        <f>(33.73)*10.764</f>
        <v>363.06971999999996</v>
      </c>
      <c r="E271" s="40">
        <v>0</v>
      </c>
      <c r="F271" s="40">
        <f>D271*(($F$264)+1)+(IF(E271&lt;101,E271,IF(E271&lt;201,E271/2,IF(E271&lt;=301,E271/3,E271/4))))</f>
        <v>562.75806599999999</v>
      </c>
      <c r="G271" s="93"/>
      <c r="H271" s="99"/>
      <c r="I271" s="34"/>
      <c r="L271" s="89"/>
      <c r="M271" s="89"/>
      <c r="N271" s="34"/>
    </row>
    <row r="272" spans="1:14" s="35" customFormat="1" x14ac:dyDescent="0.25">
      <c r="A272" s="100" t="s">
        <v>304</v>
      </c>
      <c r="B272" s="101"/>
      <c r="C272" s="101"/>
      <c r="D272" s="101"/>
      <c r="E272" s="101"/>
      <c r="F272" s="101"/>
      <c r="G272" s="101"/>
      <c r="H272" s="102"/>
      <c r="J272" s="34"/>
    </row>
    <row r="273" spans="1:14" s="35" customFormat="1" ht="15.75" customHeight="1" x14ac:dyDescent="0.25">
      <c r="A273" s="87">
        <v>1</v>
      </c>
      <c r="B273" s="88"/>
      <c r="C273" s="40" t="s">
        <v>267</v>
      </c>
      <c r="D273" s="56">
        <f>(42.76)*10.764</f>
        <v>460.26863999999995</v>
      </c>
      <c r="E273" s="40">
        <v>0</v>
      </c>
      <c r="F273" s="40">
        <f>D273*(($F$264)+1)+(IF(E273&lt;101,E273,IF(E273&lt;201,E273/2,IF(E273&lt;=301,E273/3,E273/4))))</f>
        <v>713.41639199999997</v>
      </c>
      <c r="G273" s="91" t="str">
        <f>A272</f>
        <v>6th, 8th, 10th Floor</v>
      </c>
      <c r="H273" s="96"/>
      <c r="I273" s="34"/>
      <c r="L273" s="89"/>
      <c r="M273" s="89"/>
      <c r="N273" s="34"/>
    </row>
    <row r="274" spans="1:14" s="35" customFormat="1" x14ac:dyDescent="0.25">
      <c r="A274" s="87">
        <f t="shared" ref="A274:A276" si="35">A273+1</f>
        <v>2</v>
      </c>
      <c r="B274" s="88"/>
      <c r="C274" s="40" t="s">
        <v>268</v>
      </c>
      <c r="D274" s="56">
        <f>(60.35)*10.764</f>
        <v>649.60739999999998</v>
      </c>
      <c r="E274" s="40">
        <v>0</v>
      </c>
      <c r="F274" s="40">
        <f>D274*(($F$264)+1)+(IF(E274&lt;101,E274,IF(E274&lt;201,E274/2,IF(E274&lt;=301,E274/3,E274/4))))</f>
        <v>1006.89147</v>
      </c>
      <c r="G274" s="97"/>
      <c r="H274" s="98"/>
      <c r="I274" s="34"/>
      <c r="L274" s="89"/>
      <c r="M274" s="89"/>
      <c r="N274" s="34"/>
    </row>
    <row r="275" spans="1:14" s="35" customFormat="1" x14ac:dyDescent="0.25">
      <c r="A275" s="87">
        <f t="shared" si="35"/>
        <v>3</v>
      </c>
      <c r="B275" s="88"/>
      <c r="C275" s="40" t="s">
        <v>268</v>
      </c>
      <c r="D275" s="56">
        <f>(62.36)*10.764</f>
        <v>671.24303999999995</v>
      </c>
      <c r="E275" s="40">
        <v>0</v>
      </c>
      <c r="F275" s="40">
        <f>D275*(($F$264)+1)+(IF(E275&lt;101,E275,IF(E275&lt;201,E275/2,IF(E275&lt;=301,E275/3,E275/4))))</f>
        <v>1040.426712</v>
      </c>
      <c r="G275" s="97"/>
      <c r="H275" s="98"/>
      <c r="I275" s="34"/>
      <c r="L275" s="89"/>
      <c r="M275" s="89"/>
      <c r="N275" s="34"/>
    </row>
    <row r="276" spans="1:14" s="35" customFormat="1" x14ac:dyDescent="0.25">
      <c r="A276" s="87">
        <f t="shared" si="35"/>
        <v>4</v>
      </c>
      <c r="B276" s="88"/>
      <c r="C276" s="40" t="s">
        <v>269</v>
      </c>
      <c r="D276" s="56">
        <f>(33.73)*10.764</f>
        <v>363.06971999999996</v>
      </c>
      <c r="E276" s="40">
        <v>0</v>
      </c>
      <c r="F276" s="40">
        <f>D276*(($F$264)+1)+(IF(E276&lt;101,E276,IF(E276&lt;201,E276/2,IF(E276&lt;=301,E276/3,E276/4))))</f>
        <v>562.75806599999999</v>
      </c>
      <c r="G276" s="93"/>
      <c r="H276" s="99"/>
      <c r="I276" s="34"/>
      <c r="L276" s="89"/>
      <c r="M276" s="89"/>
      <c r="N276" s="34"/>
    </row>
    <row r="277" spans="1:14" s="35" customFormat="1" ht="37.5" customHeight="1" x14ac:dyDescent="0.25">
      <c r="A277" s="100" t="s">
        <v>305</v>
      </c>
      <c r="B277" s="101"/>
      <c r="C277" s="101"/>
      <c r="D277" s="101"/>
      <c r="E277" s="101"/>
      <c r="F277" s="101"/>
      <c r="G277" s="101"/>
      <c r="H277" s="102"/>
      <c r="J277" s="34"/>
    </row>
    <row r="278" spans="1:14" s="35" customFormat="1" ht="15.75" customHeight="1" x14ac:dyDescent="0.25">
      <c r="A278" s="87">
        <v>1</v>
      </c>
      <c r="B278" s="88"/>
      <c r="C278" s="40" t="s">
        <v>267</v>
      </c>
      <c r="D278" s="56">
        <f>(42.76)*10.764</f>
        <v>460.26863999999995</v>
      </c>
      <c r="E278" s="40">
        <v>0</v>
      </c>
      <c r="F278" s="40">
        <f>D278*(($F$264)+1)+(IF(E278&lt;101,E278,IF(E278&lt;201,E278/2,IF(E278&lt;=301,E278/3,E278/4))))</f>
        <v>713.41639199999997</v>
      </c>
      <c r="G278" s="91" t="str">
        <f>A277</f>
        <v xml:space="preserve"> 11th, 13th, 15th, 17th &amp; 19th Floor (Part Refuge Area At Mid-Landing)  
(Plan Dtd:16/12/2021)</v>
      </c>
      <c r="H278" s="96"/>
      <c r="I278" s="34">
        <f>5.3*3.2+2.3*2.45+3.35*3.05+1.2*2.15+1.2*2.15+0.9*2.45</f>
        <v>40.177499999999995</v>
      </c>
      <c r="L278" s="89"/>
      <c r="M278" s="89"/>
      <c r="N278" s="34"/>
    </row>
    <row r="279" spans="1:14" s="35" customFormat="1" x14ac:dyDescent="0.25">
      <c r="A279" s="87">
        <f t="shared" ref="A279:A281" si="36">A278+1</f>
        <v>2</v>
      </c>
      <c r="B279" s="88"/>
      <c r="C279" s="40" t="s">
        <v>268</v>
      </c>
      <c r="D279" s="56">
        <f>(60.35)*10.764</f>
        <v>649.60739999999998</v>
      </c>
      <c r="E279" s="40">
        <v>0</v>
      </c>
      <c r="F279" s="40">
        <f>D279*(($F$264)+1)+(IF(E279&lt;101,E279,IF(E279&lt;201,E279/2,IF(E279&lt;=301,E279/3,E279/4))))</f>
        <v>1006.89147</v>
      </c>
      <c r="G279" s="97"/>
      <c r="H279" s="98"/>
      <c r="I279" s="34"/>
      <c r="L279" s="89"/>
      <c r="M279" s="89"/>
      <c r="N279" s="34"/>
    </row>
    <row r="280" spans="1:14" s="35" customFormat="1" x14ac:dyDescent="0.25">
      <c r="A280" s="87">
        <f t="shared" si="36"/>
        <v>3</v>
      </c>
      <c r="B280" s="88"/>
      <c r="C280" s="40" t="s">
        <v>268</v>
      </c>
      <c r="D280" s="56">
        <f>(62.36)*10.764</f>
        <v>671.24303999999995</v>
      </c>
      <c r="E280" s="40">
        <v>0</v>
      </c>
      <c r="F280" s="40">
        <f>D280*(($F$264)+1)+(IF(E280&lt;101,E280,IF(E280&lt;201,E280/2,IF(E280&lt;=301,E280/3,E280/4))))</f>
        <v>1040.426712</v>
      </c>
      <c r="G280" s="97"/>
      <c r="H280" s="98"/>
      <c r="I280" s="34"/>
      <c r="L280" s="89"/>
      <c r="M280" s="89"/>
      <c r="N280" s="34"/>
    </row>
    <row r="281" spans="1:14" s="35" customFormat="1" x14ac:dyDescent="0.25">
      <c r="A281" s="87">
        <f t="shared" si="36"/>
        <v>4</v>
      </c>
      <c r="B281" s="88"/>
      <c r="C281" s="40" t="s">
        <v>269</v>
      </c>
      <c r="D281" s="56">
        <f>(33.73)*10.764</f>
        <v>363.06971999999996</v>
      </c>
      <c r="E281" s="40">
        <v>0</v>
      </c>
      <c r="F281" s="40">
        <f>D281*(($F$264)+1)+(IF(E281&lt;101,E281,IF(E281&lt;201,E281/2,IF(E281&lt;=301,E281/3,E281/4))))</f>
        <v>562.75806599999999</v>
      </c>
      <c r="G281" s="93"/>
      <c r="H281" s="99"/>
      <c r="I281" s="34"/>
      <c r="L281" s="89"/>
      <c r="M281" s="89"/>
      <c r="N281" s="34"/>
    </row>
    <row r="282" spans="1:14" s="35" customFormat="1" x14ac:dyDescent="0.25">
      <c r="A282" s="100" t="s">
        <v>306</v>
      </c>
      <c r="B282" s="101"/>
      <c r="C282" s="101"/>
      <c r="D282" s="101"/>
      <c r="E282" s="101"/>
      <c r="F282" s="101"/>
      <c r="G282" s="101"/>
      <c r="H282" s="102"/>
      <c r="J282" s="34"/>
    </row>
    <row r="283" spans="1:14" s="35" customFormat="1" ht="15.75" customHeight="1" x14ac:dyDescent="0.25">
      <c r="A283" s="87">
        <v>1</v>
      </c>
      <c r="B283" s="88"/>
      <c r="C283" s="40" t="s">
        <v>267</v>
      </c>
      <c r="D283" s="56">
        <f>(42.76)*10.764</f>
        <v>460.26863999999995</v>
      </c>
      <c r="E283" s="40">
        <v>0</v>
      </c>
      <c r="F283" s="40">
        <f>D283*(($F$264)+1)+(IF(E283&lt;101,E283,IF(E283&lt;201,E283/2,IF(E283&lt;=301,E283/3,E283/4))))</f>
        <v>713.41639199999997</v>
      </c>
      <c r="G283" s="91" t="str">
        <f>A282</f>
        <v xml:space="preserve"> 12th, 14th, 16th &amp; 18th Floor (Plan Dtd:16/12/2021)</v>
      </c>
      <c r="H283" s="96"/>
      <c r="I283" s="34"/>
      <c r="L283" s="89"/>
      <c r="M283" s="89"/>
      <c r="N283" s="34"/>
    </row>
    <row r="284" spans="1:14" s="35" customFormat="1" x14ac:dyDescent="0.25">
      <c r="A284" s="87">
        <f t="shared" ref="A284:A286" si="37">A283+1</f>
        <v>2</v>
      </c>
      <c r="B284" s="88"/>
      <c r="C284" s="40" t="s">
        <v>268</v>
      </c>
      <c r="D284" s="56">
        <f>(60.35)*10.764</f>
        <v>649.60739999999998</v>
      </c>
      <c r="E284" s="40">
        <v>0</v>
      </c>
      <c r="F284" s="40">
        <f>D284*(($F$264)+1)+(IF(E284&lt;101,E284,IF(E284&lt;201,E284/2,IF(E284&lt;=301,E284/3,E284/4))))</f>
        <v>1006.89147</v>
      </c>
      <c r="G284" s="97"/>
      <c r="H284" s="98"/>
      <c r="I284" s="34"/>
      <c r="L284" s="89"/>
      <c r="M284" s="89"/>
      <c r="N284" s="34"/>
    </row>
    <row r="285" spans="1:14" s="35" customFormat="1" x14ac:dyDescent="0.25">
      <c r="A285" s="87">
        <f t="shared" si="37"/>
        <v>3</v>
      </c>
      <c r="B285" s="88"/>
      <c r="C285" s="40" t="s">
        <v>268</v>
      </c>
      <c r="D285" s="56">
        <f>(62.36)*10.764</f>
        <v>671.24303999999995</v>
      </c>
      <c r="E285" s="40">
        <v>0</v>
      </c>
      <c r="F285" s="40">
        <f>D285*(($F$264)+1)+(IF(E285&lt;101,E285,IF(E285&lt;201,E285/2,IF(E285&lt;=301,E285/3,E285/4))))</f>
        <v>1040.426712</v>
      </c>
      <c r="G285" s="97"/>
      <c r="H285" s="98"/>
      <c r="I285" s="34"/>
      <c r="L285" s="89"/>
      <c r="M285" s="89"/>
      <c r="N285" s="34"/>
    </row>
    <row r="286" spans="1:14" s="35" customFormat="1" x14ac:dyDescent="0.25">
      <c r="A286" s="87">
        <f t="shared" si="37"/>
        <v>4</v>
      </c>
      <c r="B286" s="88"/>
      <c r="C286" s="40" t="s">
        <v>269</v>
      </c>
      <c r="D286" s="56">
        <f>(33.73)*10.764</f>
        <v>363.06971999999996</v>
      </c>
      <c r="E286" s="40">
        <v>0</v>
      </c>
      <c r="F286" s="40">
        <f>D286*(($F$264)+1)+(IF(E286&lt;101,E286,IF(E286&lt;201,E286/2,IF(E286&lt;=301,E286/3,E286/4))))</f>
        <v>562.75806599999999</v>
      </c>
      <c r="G286" s="93"/>
      <c r="H286" s="99"/>
      <c r="I286" s="34"/>
      <c r="L286" s="89"/>
      <c r="M286" s="89"/>
      <c r="N286" s="34"/>
    </row>
    <row r="287" spans="1:14" s="35" customFormat="1" x14ac:dyDescent="0.25">
      <c r="A287" s="86" t="s">
        <v>307</v>
      </c>
      <c r="B287" s="86"/>
      <c r="C287" s="86"/>
      <c r="D287" s="86"/>
      <c r="E287" s="86"/>
      <c r="F287" s="86"/>
      <c r="G287" s="86"/>
      <c r="H287" s="86"/>
      <c r="I287" s="34"/>
      <c r="L287" s="89"/>
      <c r="M287" s="89"/>
    </row>
    <row r="288" spans="1:14" s="35" customFormat="1" x14ac:dyDescent="0.25">
      <c r="A288" s="90">
        <v>1</v>
      </c>
      <c r="B288" s="90"/>
      <c r="C288" s="91" t="s">
        <v>300</v>
      </c>
      <c r="D288" s="92"/>
      <c r="E288" s="92"/>
      <c r="F288" s="92"/>
      <c r="G288" s="91" t="str">
        <f>A287</f>
        <v>20th Floor (Part Terrace Area) (Plan Dtd:16/12/2021)</v>
      </c>
      <c r="H288" s="96"/>
      <c r="I288" s="34"/>
      <c r="N288" s="34"/>
    </row>
    <row r="289" spans="1:14" s="35" customFormat="1" x14ac:dyDescent="0.25">
      <c r="A289" s="90">
        <f>A288+1</f>
        <v>2</v>
      </c>
      <c r="B289" s="90"/>
      <c r="C289" s="93"/>
      <c r="D289" s="94"/>
      <c r="E289" s="94"/>
      <c r="F289" s="94"/>
      <c r="G289" s="97"/>
      <c r="H289" s="98"/>
      <c r="I289" s="34"/>
      <c r="N289" s="34"/>
    </row>
    <row r="290" spans="1:14" s="35" customFormat="1" ht="15.75" customHeight="1" x14ac:dyDescent="0.25">
      <c r="A290" s="90">
        <f>A289+1</f>
        <v>3</v>
      </c>
      <c r="B290" s="90"/>
      <c r="C290" s="40" t="s">
        <v>267</v>
      </c>
      <c r="D290" s="56">
        <f>(51.135)*10.764</f>
        <v>550.4171399999999</v>
      </c>
      <c r="E290" s="40">
        <v>0</v>
      </c>
      <c r="F290" s="61">
        <f>D290*(($F$264)+1)+(IF(E290&lt;101,E290,IF(E290&lt;201,E290/2,IF(E290&lt;=301,E290/3,E290/4))))</f>
        <v>853.14656699999989</v>
      </c>
      <c r="G290" s="97"/>
      <c r="H290" s="98"/>
      <c r="I290" s="34"/>
      <c r="N290" s="34"/>
    </row>
    <row r="291" spans="1:14" s="35" customFormat="1" x14ac:dyDescent="0.25">
      <c r="A291" s="90">
        <f>A290+1</f>
        <v>4</v>
      </c>
      <c r="B291" s="90"/>
      <c r="C291" s="87" t="s">
        <v>300</v>
      </c>
      <c r="D291" s="95"/>
      <c r="E291" s="95"/>
      <c r="F291" s="95"/>
      <c r="G291" s="93"/>
      <c r="H291" s="99"/>
      <c r="I291" s="34"/>
      <c r="N291" s="34"/>
    </row>
    <row r="292" spans="1:14" s="35" customFormat="1" x14ac:dyDescent="0.25">
      <c r="A292" s="100" t="s">
        <v>271</v>
      </c>
      <c r="B292" s="101"/>
      <c r="C292" s="101"/>
      <c r="D292" s="101"/>
      <c r="E292" s="101"/>
      <c r="F292" s="101"/>
      <c r="G292" s="101"/>
      <c r="H292" s="102"/>
      <c r="J292" s="34"/>
    </row>
    <row r="293" spans="1:14" s="35" customFormat="1" x14ac:dyDescent="0.25">
      <c r="A293" s="100" t="s">
        <v>287</v>
      </c>
      <c r="B293" s="101"/>
      <c r="C293" s="101"/>
      <c r="D293" s="101"/>
      <c r="E293" s="101"/>
      <c r="F293" s="101"/>
      <c r="G293" s="101"/>
      <c r="H293" s="102"/>
      <c r="J293" s="34"/>
    </row>
    <row r="294" spans="1:14" s="35" customFormat="1" x14ac:dyDescent="0.25">
      <c r="A294" s="100" t="s">
        <v>272</v>
      </c>
      <c r="B294" s="101"/>
      <c r="C294" s="101"/>
      <c r="D294" s="101"/>
      <c r="E294" s="101"/>
      <c r="F294" s="101"/>
      <c r="G294" s="101"/>
      <c r="H294" s="102"/>
      <c r="J294" s="34"/>
    </row>
    <row r="295" spans="1:14" s="35" customFormat="1" ht="15.75" customHeight="1" x14ac:dyDescent="0.25">
      <c r="A295" s="87">
        <v>1</v>
      </c>
      <c r="B295" s="88"/>
      <c r="C295" s="40" t="s">
        <v>267</v>
      </c>
      <c r="D295" s="56">
        <f>(34.7)*10.764</f>
        <v>373.51080000000002</v>
      </c>
      <c r="E295" s="40">
        <v>0</v>
      </c>
      <c r="F295" s="40">
        <f>D295*(($F$264)+1)+(IF(E295&lt;101,E295,IF(E295&lt;201,E295/2,IF(E295&lt;=301,E295/3,E295/4))))</f>
        <v>578.9417400000001</v>
      </c>
      <c r="G295" s="91" t="str">
        <f>A294</f>
        <v>5th, 6th, 8th, 9th, 11th to 13th &amp; 16th to 18th Floor for Residential</v>
      </c>
      <c r="H295" s="96"/>
      <c r="I295" s="34"/>
      <c r="L295" s="89"/>
      <c r="M295" s="89"/>
      <c r="N295" s="34"/>
    </row>
    <row r="296" spans="1:14" s="35" customFormat="1" x14ac:dyDescent="0.25">
      <c r="A296" s="87">
        <f t="shared" ref="A296:A298" si="38">A295+1</f>
        <v>2</v>
      </c>
      <c r="B296" s="88"/>
      <c r="C296" s="40" t="s">
        <v>267</v>
      </c>
      <c r="D296" s="56">
        <f>(34.7)*10.764</f>
        <v>373.51080000000002</v>
      </c>
      <c r="E296" s="40">
        <v>0</v>
      </c>
      <c r="F296" s="40">
        <f>D296*(($F$264)+1)+(IF(E296&lt;101,E296,IF(E296&lt;201,E296/2,IF(E296&lt;=301,E296/3,E296/4))))</f>
        <v>578.9417400000001</v>
      </c>
      <c r="G296" s="97"/>
      <c r="H296" s="98"/>
      <c r="I296" s="34"/>
      <c r="L296" s="89"/>
      <c r="M296" s="89"/>
      <c r="N296" s="34"/>
    </row>
    <row r="297" spans="1:14" s="35" customFormat="1" x14ac:dyDescent="0.25">
      <c r="A297" s="87">
        <f t="shared" si="38"/>
        <v>3</v>
      </c>
      <c r="B297" s="88"/>
      <c r="C297" s="40" t="s">
        <v>267</v>
      </c>
      <c r="D297" s="56">
        <f>(32.42)*10.764</f>
        <v>348.96888000000001</v>
      </c>
      <c r="E297" s="40">
        <v>0</v>
      </c>
      <c r="F297" s="40">
        <f>D297*(($F$264)+1)+(IF(E297&lt;101,E297,IF(E297&lt;201,E297/2,IF(E297&lt;=301,E297/3,E297/4))))</f>
        <v>540.90176400000007</v>
      </c>
      <c r="G297" s="97"/>
      <c r="H297" s="98"/>
      <c r="I297" s="34"/>
      <c r="L297" s="89"/>
      <c r="M297" s="89"/>
      <c r="N297" s="34"/>
    </row>
    <row r="298" spans="1:14" s="35" customFormat="1" x14ac:dyDescent="0.25">
      <c r="A298" s="87">
        <f t="shared" si="38"/>
        <v>4</v>
      </c>
      <c r="B298" s="88"/>
      <c r="C298" s="40" t="s">
        <v>267</v>
      </c>
      <c r="D298" s="56">
        <f>(43.56)*10.764</f>
        <v>468.87984</v>
      </c>
      <c r="E298" s="40">
        <v>0</v>
      </c>
      <c r="F298" s="40">
        <f>D298*(($F$264)+1)+(IF(E298&lt;101,E298,IF(E298&lt;201,E298/2,IF(E298&lt;=301,E298/3,E298/4))))</f>
        <v>726.76375200000007</v>
      </c>
      <c r="G298" s="93"/>
      <c r="H298" s="99"/>
      <c r="I298" s="34"/>
      <c r="L298" s="89"/>
      <c r="M298" s="89"/>
      <c r="N298" s="34"/>
    </row>
    <row r="299" spans="1:14" s="35" customFormat="1" x14ac:dyDescent="0.25">
      <c r="A299" s="100" t="s">
        <v>273</v>
      </c>
      <c r="B299" s="101"/>
      <c r="C299" s="101"/>
      <c r="D299" s="101"/>
      <c r="E299" s="101"/>
      <c r="F299" s="101"/>
      <c r="G299" s="101"/>
      <c r="H299" s="102"/>
      <c r="J299" s="34"/>
    </row>
    <row r="300" spans="1:14" s="35" customFormat="1" ht="15.75" customHeight="1" x14ac:dyDescent="0.25">
      <c r="A300" s="87">
        <v>1</v>
      </c>
      <c r="B300" s="88"/>
      <c r="C300" s="87" t="s">
        <v>274</v>
      </c>
      <c r="D300" s="95"/>
      <c r="E300" s="95"/>
      <c r="F300" s="88"/>
      <c r="G300" s="91" t="str">
        <f>A299</f>
        <v>7th Floor (Part Refuge Area)</v>
      </c>
      <c r="H300" s="96"/>
      <c r="I300" s="34"/>
      <c r="L300" s="89"/>
      <c r="M300" s="89"/>
      <c r="N300" s="34"/>
    </row>
    <row r="301" spans="1:14" s="35" customFormat="1" x14ac:dyDescent="0.25">
      <c r="A301" s="87">
        <f t="shared" ref="A301:A303" si="39">A300+1</f>
        <v>2</v>
      </c>
      <c r="B301" s="88"/>
      <c r="C301" s="40" t="s">
        <v>267</v>
      </c>
      <c r="D301" s="56">
        <f>(34.7)*10.764</f>
        <v>373.51080000000002</v>
      </c>
      <c r="E301" s="40">
        <v>0</v>
      </c>
      <c r="F301" s="40">
        <f>D301*(($F$264)+1)+(IF(E301&lt;101,E301,IF(E301&lt;201,E301/2,IF(E301&lt;=301,E301/3,E301/4))))</f>
        <v>578.9417400000001</v>
      </c>
      <c r="G301" s="97"/>
      <c r="H301" s="98"/>
      <c r="I301" s="34"/>
      <c r="L301" s="89"/>
      <c r="M301" s="89"/>
      <c r="N301" s="34"/>
    </row>
    <row r="302" spans="1:14" s="35" customFormat="1" x14ac:dyDescent="0.25">
      <c r="A302" s="87">
        <f t="shared" si="39"/>
        <v>3</v>
      </c>
      <c r="B302" s="88"/>
      <c r="C302" s="40" t="s">
        <v>267</v>
      </c>
      <c r="D302" s="56">
        <f>(32.42)*10.764</f>
        <v>348.96888000000001</v>
      </c>
      <c r="E302" s="40">
        <v>0</v>
      </c>
      <c r="F302" s="40">
        <f>D302*(($F$264)+1)+(IF(E302&lt;101,E302,IF(E302&lt;201,E302/2,IF(E302&lt;=301,E302/3,E302/4))))</f>
        <v>540.90176400000007</v>
      </c>
      <c r="G302" s="97"/>
      <c r="H302" s="98"/>
      <c r="I302" s="34"/>
      <c r="L302" s="89"/>
      <c r="M302" s="89"/>
      <c r="N302" s="34"/>
    </row>
    <row r="303" spans="1:14" s="35" customFormat="1" x14ac:dyDescent="0.25">
      <c r="A303" s="87">
        <f t="shared" si="39"/>
        <v>4</v>
      </c>
      <c r="B303" s="88"/>
      <c r="C303" s="40" t="s">
        <v>267</v>
      </c>
      <c r="D303" s="56">
        <f>(43.56)*10.764</f>
        <v>468.87984</v>
      </c>
      <c r="E303" s="40">
        <v>0</v>
      </c>
      <c r="F303" s="40">
        <f>D303*(($F$264)+1)+(IF(E303&lt;101,E303,IF(E303&lt;201,E303/2,IF(E303&lt;=301,E303/3,E303/4))))</f>
        <v>726.76375200000007</v>
      </c>
      <c r="G303" s="93"/>
      <c r="H303" s="99"/>
      <c r="I303" s="34"/>
      <c r="L303" s="89"/>
      <c r="M303" s="89"/>
      <c r="N303" s="34"/>
    </row>
    <row r="304" spans="1:14" s="35" customFormat="1" x14ac:dyDescent="0.25">
      <c r="A304" s="100" t="s">
        <v>275</v>
      </c>
      <c r="B304" s="101"/>
      <c r="C304" s="101"/>
      <c r="D304" s="101"/>
      <c r="E304" s="101"/>
      <c r="F304" s="101"/>
      <c r="G304" s="101"/>
      <c r="H304" s="102"/>
      <c r="J304" s="34"/>
    </row>
    <row r="305" spans="1:14" s="35" customFormat="1" ht="15.75" customHeight="1" x14ac:dyDescent="0.25">
      <c r="A305" s="87" t="s">
        <v>276</v>
      </c>
      <c r="B305" s="88"/>
      <c r="C305" s="40" t="s">
        <v>268</v>
      </c>
      <c r="D305" s="56">
        <f>(70.5)*10.764</f>
        <v>758.86199999999997</v>
      </c>
      <c r="E305" s="40">
        <v>0</v>
      </c>
      <c r="F305" s="40">
        <f>D305*(($F$264)+1)+(IF(E305&lt;101,E305,IF(E305&lt;201,E305/2,IF(E305&lt;=301,E305/3,E305/4))))</f>
        <v>1176.2361000000001</v>
      </c>
      <c r="G305" s="91" t="str">
        <f>A304</f>
        <v>10th Floor</v>
      </c>
      <c r="H305" s="96"/>
      <c r="I305" s="34"/>
      <c r="L305" s="89"/>
      <c r="M305" s="89"/>
      <c r="N305" s="34"/>
    </row>
    <row r="306" spans="1:14" s="35" customFormat="1" x14ac:dyDescent="0.25">
      <c r="A306" s="87">
        <v>3</v>
      </c>
      <c r="B306" s="88"/>
      <c r="C306" s="40" t="s">
        <v>267</v>
      </c>
      <c r="D306" s="56">
        <f>(32.42)*10.764</f>
        <v>348.96888000000001</v>
      </c>
      <c r="E306" s="40">
        <v>0</v>
      </c>
      <c r="F306" s="40">
        <f>D306*(($F$264)+1)+(IF(E306&lt;101,E306,IF(E306&lt;201,E306/2,IF(E306&lt;=301,E306/3,E306/4))))</f>
        <v>540.90176400000007</v>
      </c>
      <c r="G306" s="97"/>
      <c r="H306" s="98"/>
      <c r="I306" s="34"/>
      <c r="L306" s="89"/>
      <c r="M306" s="89"/>
      <c r="N306" s="34"/>
    </row>
    <row r="307" spans="1:14" s="35" customFormat="1" x14ac:dyDescent="0.25">
      <c r="A307" s="87">
        <f t="shared" ref="A307" si="40">A306+1</f>
        <v>4</v>
      </c>
      <c r="B307" s="88"/>
      <c r="C307" s="40" t="s">
        <v>267</v>
      </c>
      <c r="D307" s="56">
        <f>(43.56)*10.764</f>
        <v>468.87984</v>
      </c>
      <c r="E307" s="40">
        <v>0</v>
      </c>
      <c r="F307" s="40">
        <f>D307*(($F$264)+1)+(IF(E307&lt;101,E307,IF(E307&lt;201,E307/2,IF(E307&lt;=301,E307/3,E307/4))))</f>
        <v>726.76375200000007</v>
      </c>
      <c r="G307" s="97"/>
      <c r="H307" s="98"/>
      <c r="I307" s="34"/>
      <c r="L307" s="89"/>
      <c r="M307" s="89"/>
      <c r="N307" s="34"/>
    </row>
    <row r="308" spans="1:14" s="35" customFormat="1" x14ac:dyDescent="0.25">
      <c r="A308" s="100" t="s">
        <v>277</v>
      </c>
      <c r="B308" s="101"/>
      <c r="C308" s="101"/>
      <c r="D308" s="101"/>
      <c r="E308" s="101"/>
      <c r="F308" s="101"/>
      <c r="G308" s="101"/>
      <c r="H308" s="102"/>
      <c r="J308" s="34"/>
    </row>
    <row r="309" spans="1:14" s="35" customFormat="1" ht="15.75" customHeight="1" x14ac:dyDescent="0.25">
      <c r="A309" s="87">
        <v>1</v>
      </c>
      <c r="B309" s="88"/>
      <c r="C309" s="87" t="s">
        <v>274</v>
      </c>
      <c r="D309" s="95"/>
      <c r="E309" s="95"/>
      <c r="F309" s="88"/>
      <c r="G309" s="91" t="str">
        <f>A308</f>
        <v>14th Floor (Part Refuge Area)</v>
      </c>
      <c r="H309" s="96"/>
      <c r="I309" s="34"/>
      <c r="L309" s="89"/>
      <c r="M309" s="89"/>
      <c r="N309" s="34"/>
    </row>
    <row r="310" spans="1:14" s="35" customFormat="1" x14ac:dyDescent="0.25">
      <c r="A310" s="87">
        <f t="shared" ref="A310:A312" si="41">A309+1</f>
        <v>2</v>
      </c>
      <c r="B310" s="88"/>
      <c r="C310" s="40" t="s">
        <v>267</v>
      </c>
      <c r="D310" s="56">
        <f>(34.7)*10.764</f>
        <v>373.51080000000002</v>
      </c>
      <c r="E310" s="40">
        <v>0</v>
      </c>
      <c r="F310" s="40">
        <f>D310*(($F$264)+1)+(IF(E310&lt;101,E310,IF(E310&lt;201,E310/2,IF(E310&lt;=301,E310/3,E310/4))))</f>
        <v>578.9417400000001</v>
      </c>
      <c r="G310" s="97"/>
      <c r="H310" s="98"/>
      <c r="I310" s="34"/>
      <c r="L310" s="89"/>
      <c r="M310" s="89"/>
      <c r="N310" s="34"/>
    </row>
    <row r="311" spans="1:14" s="35" customFormat="1" x14ac:dyDescent="0.25">
      <c r="A311" s="87">
        <f t="shared" si="41"/>
        <v>3</v>
      </c>
      <c r="B311" s="88"/>
      <c r="C311" s="40" t="s">
        <v>267</v>
      </c>
      <c r="D311" s="56">
        <f>(32.42)*10.764</f>
        <v>348.96888000000001</v>
      </c>
      <c r="E311" s="40">
        <v>0</v>
      </c>
      <c r="F311" s="40">
        <f>D311*(($F$264)+1)+(IF(E311&lt;101,E311,IF(E311&lt;201,E311/2,IF(E311&lt;=301,E311/3,E311/4))))</f>
        <v>540.90176400000007</v>
      </c>
      <c r="G311" s="97"/>
      <c r="H311" s="98"/>
      <c r="I311" s="34"/>
      <c r="L311" s="89"/>
      <c r="M311" s="89"/>
      <c r="N311" s="34"/>
    </row>
    <row r="312" spans="1:14" s="35" customFormat="1" x14ac:dyDescent="0.25">
      <c r="A312" s="87">
        <f t="shared" si="41"/>
        <v>4</v>
      </c>
      <c r="B312" s="88"/>
      <c r="C312" s="40" t="s">
        <v>267</v>
      </c>
      <c r="D312" s="56">
        <f>(43.56)*10.764</f>
        <v>468.87984</v>
      </c>
      <c r="E312" s="40">
        <v>0</v>
      </c>
      <c r="F312" s="40">
        <f>D312*(($F$264)+1)+(IF(E312&lt;101,E312,IF(E312&lt;201,E312/2,IF(E312&lt;=301,E312/3,E312/4))))</f>
        <v>726.76375200000007</v>
      </c>
      <c r="G312" s="93"/>
      <c r="H312" s="99"/>
      <c r="I312" s="34"/>
      <c r="L312" s="89"/>
      <c r="M312" s="89"/>
      <c r="N312" s="34"/>
    </row>
    <row r="313" spans="1:14" s="35" customFormat="1" x14ac:dyDescent="0.25">
      <c r="A313" s="100" t="s">
        <v>278</v>
      </c>
      <c r="B313" s="101"/>
      <c r="C313" s="101"/>
      <c r="D313" s="101"/>
      <c r="E313" s="101"/>
      <c r="F313" s="101"/>
      <c r="G313" s="101"/>
      <c r="H313" s="102"/>
      <c r="J313" s="34"/>
    </row>
    <row r="314" spans="1:14" s="35" customFormat="1" ht="15.75" customHeight="1" x14ac:dyDescent="0.25">
      <c r="A314" s="87" t="s">
        <v>276</v>
      </c>
      <c r="B314" s="88"/>
      <c r="C314" s="40" t="s">
        <v>268</v>
      </c>
      <c r="D314" s="56">
        <f>(70.5)*10.764</f>
        <v>758.86199999999997</v>
      </c>
      <c r="E314" s="40">
        <v>0</v>
      </c>
      <c r="F314" s="40">
        <f>D314*(($F$264)+1)+(IF(E314&lt;101,E314,IF(E314&lt;201,E314/2,IF(E314&lt;=301,E314/3,E314/4))))</f>
        <v>1176.2361000000001</v>
      </c>
      <c r="G314" s="91" t="str">
        <f>A313</f>
        <v>15th Floor</v>
      </c>
      <c r="H314" s="96"/>
      <c r="I314" s="34"/>
      <c r="L314" s="89"/>
      <c r="M314" s="89"/>
      <c r="N314" s="34"/>
    </row>
    <row r="315" spans="1:14" s="35" customFormat="1" x14ac:dyDescent="0.25">
      <c r="A315" s="87">
        <v>3</v>
      </c>
      <c r="B315" s="88"/>
      <c r="C315" s="40" t="s">
        <v>267</v>
      </c>
      <c r="D315" s="56">
        <f>(32.42)*10.764</f>
        <v>348.96888000000001</v>
      </c>
      <c r="E315" s="40">
        <v>0</v>
      </c>
      <c r="F315" s="40">
        <f>D315*(($F$264)+1)+(IF(E315&lt;101,E315,IF(E315&lt;201,E315/2,IF(E315&lt;=301,E315/3,E315/4))))</f>
        <v>540.90176400000007</v>
      </c>
      <c r="G315" s="97"/>
      <c r="H315" s="98"/>
      <c r="I315" s="34"/>
      <c r="L315" s="89"/>
      <c r="M315" s="89"/>
      <c r="N315" s="34"/>
    </row>
    <row r="316" spans="1:14" s="35" customFormat="1" x14ac:dyDescent="0.25">
      <c r="A316" s="87">
        <f t="shared" ref="A316" si="42">A315+1</f>
        <v>4</v>
      </c>
      <c r="B316" s="88"/>
      <c r="C316" s="40" t="s">
        <v>267</v>
      </c>
      <c r="D316" s="56">
        <f>(43.56)*10.764</f>
        <v>468.87984</v>
      </c>
      <c r="E316" s="40">
        <v>0</v>
      </c>
      <c r="F316" s="40">
        <f>D316*(($F$264)+1)+(IF(E316&lt;101,E316,IF(E316&lt;201,E316/2,IF(E316&lt;=301,E316/3,E316/4))))</f>
        <v>726.76375200000007</v>
      </c>
      <c r="G316" s="97"/>
      <c r="H316" s="98"/>
      <c r="I316" s="34"/>
      <c r="L316" s="89"/>
      <c r="M316" s="89"/>
      <c r="N316" s="34"/>
    </row>
    <row r="317" spans="1:14" s="35" customFormat="1" x14ac:dyDescent="0.25">
      <c r="A317" s="100" t="s">
        <v>279</v>
      </c>
      <c r="B317" s="101"/>
      <c r="C317" s="101"/>
      <c r="D317" s="101"/>
      <c r="E317" s="101"/>
      <c r="F317" s="101"/>
      <c r="G317" s="101"/>
      <c r="H317" s="102"/>
      <c r="J317" s="34"/>
    </row>
    <row r="318" spans="1:14" s="35" customFormat="1" ht="15.75" customHeight="1" x14ac:dyDescent="0.25">
      <c r="A318" s="87">
        <v>1</v>
      </c>
      <c r="B318" s="88"/>
      <c r="C318" s="40" t="s">
        <v>267</v>
      </c>
      <c r="D318" s="56">
        <f>(34.7)*10.764</f>
        <v>373.51080000000002</v>
      </c>
      <c r="E318" s="40">
        <v>0</v>
      </c>
      <c r="F318" s="40">
        <f>D318*(($F$264)+1)+(IF(E318&lt;101,E318,IF(E318&lt;201,E318/2,IF(E318&lt;=301,E318/3,E318/4))))</f>
        <v>578.9417400000001</v>
      </c>
      <c r="G318" s="91" t="str">
        <f>A317</f>
        <v>19th Floor</v>
      </c>
      <c r="H318" s="96"/>
      <c r="I318" s="34"/>
      <c r="L318" s="89"/>
      <c r="M318" s="89"/>
      <c r="N318" s="34"/>
    </row>
    <row r="319" spans="1:14" s="35" customFormat="1" x14ac:dyDescent="0.25">
      <c r="A319" s="87">
        <f t="shared" ref="A319:A321" si="43">A318+1</f>
        <v>2</v>
      </c>
      <c r="B319" s="88"/>
      <c r="C319" s="40" t="s">
        <v>267</v>
      </c>
      <c r="D319" s="56">
        <f>(34.7)*10.764</f>
        <v>373.51080000000002</v>
      </c>
      <c r="E319" s="40">
        <v>0</v>
      </c>
      <c r="F319" s="40">
        <f>D319*(($F$264)+1)+(IF(E319&lt;101,E319,IF(E319&lt;201,E319/2,IF(E319&lt;=301,E319/3,E319/4))))</f>
        <v>578.9417400000001</v>
      </c>
      <c r="G319" s="97"/>
      <c r="H319" s="98"/>
      <c r="I319" s="34"/>
      <c r="L319" s="89"/>
      <c r="M319" s="89"/>
      <c r="N319" s="34"/>
    </row>
    <row r="320" spans="1:14" s="35" customFormat="1" x14ac:dyDescent="0.25">
      <c r="A320" s="87">
        <f t="shared" si="43"/>
        <v>3</v>
      </c>
      <c r="B320" s="88"/>
      <c r="C320" s="40" t="s">
        <v>267</v>
      </c>
      <c r="D320" s="56">
        <f>(32.42)*10.764</f>
        <v>348.96888000000001</v>
      </c>
      <c r="E320" s="40">
        <v>0</v>
      </c>
      <c r="F320" s="40">
        <f>D320*(($F$264)+1)+(IF(E320&lt;101,E320,IF(E320&lt;201,E320/2,IF(E320&lt;=301,E320/3,E320/4))))</f>
        <v>540.90176400000007</v>
      </c>
      <c r="G320" s="97"/>
      <c r="H320" s="98"/>
      <c r="I320" s="34"/>
      <c r="L320" s="89"/>
      <c r="M320" s="89"/>
      <c r="N320" s="34"/>
    </row>
    <row r="321" spans="1:14" s="35" customFormat="1" x14ac:dyDescent="0.25">
      <c r="A321" s="87">
        <f t="shared" si="43"/>
        <v>4</v>
      </c>
      <c r="B321" s="88"/>
      <c r="C321" s="40" t="s">
        <v>267</v>
      </c>
      <c r="D321" s="56">
        <f>(43.56)*10.764</f>
        <v>468.87984</v>
      </c>
      <c r="E321" s="40">
        <v>0</v>
      </c>
      <c r="F321" s="40">
        <f>D321*(($F$264)+1)+(IF(E321&lt;101,E321,IF(E321&lt;201,E321/2,IF(E321&lt;=301,E321/3,E321/4))))</f>
        <v>726.76375200000007</v>
      </c>
      <c r="G321" s="93"/>
      <c r="H321" s="99"/>
      <c r="I321" s="34"/>
      <c r="L321" s="89"/>
      <c r="M321" s="89"/>
      <c r="N321" s="34"/>
    </row>
    <row r="322" spans="1:14" s="35" customFormat="1" x14ac:dyDescent="0.25">
      <c r="A322" s="100" t="s">
        <v>280</v>
      </c>
      <c r="B322" s="101"/>
      <c r="C322" s="101"/>
      <c r="D322" s="101"/>
      <c r="E322" s="101"/>
      <c r="F322" s="101"/>
      <c r="G322" s="101"/>
      <c r="H322" s="102"/>
      <c r="J322" s="34"/>
    </row>
    <row r="323" spans="1:14" s="35" customFormat="1" ht="15.75" customHeight="1" x14ac:dyDescent="0.25">
      <c r="A323" s="87">
        <v>1</v>
      </c>
      <c r="B323" s="88"/>
      <c r="C323" s="40" t="s">
        <v>267</v>
      </c>
      <c r="D323" s="56">
        <f>(34.7)*10.764</f>
        <v>373.51080000000002</v>
      </c>
      <c r="E323" s="40">
        <v>0</v>
      </c>
      <c r="F323" s="40">
        <f>D323*(($F$264)+1)+(IF(E323&lt;101,E323,IF(E323&lt;201,E323/2,IF(E323&lt;=301,E323/3,E323/4))))</f>
        <v>578.9417400000001</v>
      </c>
      <c r="G323" s="91" t="str">
        <f>A322</f>
        <v>20th &amp; 21st Floor</v>
      </c>
      <c r="H323" s="96"/>
      <c r="I323" s="34"/>
      <c r="L323" s="89"/>
      <c r="M323" s="89"/>
      <c r="N323" s="34"/>
    </row>
    <row r="324" spans="1:14" s="35" customFormat="1" x14ac:dyDescent="0.25">
      <c r="A324" s="87">
        <f t="shared" ref="A324:A326" si="44">A323+1</f>
        <v>2</v>
      </c>
      <c r="B324" s="88"/>
      <c r="C324" s="40" t="s">
        <v>267</v>
      </c>
      <c r="D324" s="56">
        <f>(34.7)*10.764</f>
        <v>373.51080000000002</v>
      </c>
      <c r="E324" s="40">
        <v>0</v>
      </c>
      <c r="F324" s="40">
        <f>D324*(($F$264)+1)+(IF(E324&lt;101,E324,IF(E324&lt;201,E324/2,IF(E324&lt;=301,E324/3,E324/4))))</f>
        <v>578.9417400000001</v>
      </c>
      <c r="G324" s="97"/>
      <c r="H324" s="98"/>
      <c r="I324" s="34"/>
      <c r="L324" s="89"/>
      <c r="M324" s="89"/>
      <c r="N324" s="34"/>
    </row>
    <row r="325" spans="1:14" s="35" customFormat="1" x14ac:dyDescent="0.25">
      <c r="A325" s="87">
        <f t="shared" si="44"/>
        <v>3</v>
      </c>
      <c r="B325" s="88"/>
      <c r="C325" s="40" t="s">
        <v>267</v>
      </c>
      <c r="D325" s="56">
        <f>(32.42)*10.764</f>
        <v>348.96888000000001</v>
      </c>
      <c r="E325" s="40">
        <v>0</v>
      </c>
      <c r="F325" s="40">
        <f>D325*(($F$264)+1)+(IF(E325&lt;101,E325,IF(E325&lt;201,E325/2,IF(E325&lt;=301,E325/3,E325/4))))</f>
        <v>540.90176400000007</v>
      </c>
      <c r="G325" s="97"/>
      <c r="H325" s="98"/>
      <c r="I325" s="34"/>
      <c r="L325" s="89"/>
      <c r="M325" s="89"/>
      <c r="N325" s="34"/>
    </row>
    <row r="326" spans="1:14" s="35" customFormat="1" x14ac:dyDescent="0.25">
      <c r="A326" s="87">
        <f t="shared" si="44"/>
        <v>4</v>
      </c>
      <c r="B326" s="88"/>
      <c r="C326" s="40" t="s">
        <v>267</v>
      </c>
      <c r="D326" s="56">
        <f>(43.56)*10.764</f>
        <v>468.87984</v>
      </c>
      <c r="E326" s="40">
        <v>0</v>
      </c>
      <c r="F326" s="40">
        <f>D326*(($F$264)+1)+(IF(E326&lt;101,E326,IF(E326&lt;201,E326/2,IF(E326&lt;=301,E326/3,E326/4))))</f>
        <v>726.76375200000007</v>
      </c>
      <c r="G326" s="93"/>
      <c r="H326" s="99"/>
      <c r="I326" s="34"/>
      <c r="L326" s="89"/>
      <c r="M326" s="89"/>
      <c r="N326" s="34"/>
    </row>
    <row r="327" spans="1:14" s="35" customFormat="1" x14ac:dyDescent="0.25">
      <c r="A327" s="100" t="s">
        <v>270</v>
      </c>
      <c r="B327" s="101"/>
      <c r="C327" s="101"/>
      <c r="D327" s="101"/>
      <c r="E327" s="101"/>
      <c r="F327" s="101"/>
      <c r="G327" s="101"/>
      <c r="H327" s="102"/>
      <c r="J327" s="34"/>
    </row>
    <row r="328" spans="1:14" s="35" customFormat="1" x14ac:dyDescent="0.25">
      <c r="A328" s="100" t="s">
        <v>287</v>
      </c>
      <c r="B328" s="101"/>
      <c r="C328" s="101"/>
      <c r="D328" s="101"/>
      <c r="E328" s="101"/>
      <c r="F328" s="101"/>
      <c r="G328" s="101"/>
      <c r="H328" s="102"/>
      <c r="J328" s="34"/>
    </row>
    <row r="329" spans="1:14" s="35" customFormat="1" x14ac:dyDescent="0.25">
      <c r="A329" s="100" t="s">
        <v>303</v>
      </c>
      <c r="B329" s="101"/>
      <c r="C329" s="101"/>
      <c r="D329" s="101"/>
      <c r="E329" s="101"/>
      <c r="F329" s="101"/>
      <c r="G329" s="101"/>
      <c r="H329" s="102"/>
      <c r="J329" s="34"/>
    </row>
    <row r="330" spans="1:14" s="35" customFormat="1" ht="15.75" customHeight="1" x14ac:dyDescent="0.25">
      <c r="A330" s="87">
        <v>1</v>
      </c>
      <c r="B330" s="88"/>
      <c r="C330" s="40" t="s">
        <v>269</v>
      </c>
      <c r="D330" s="56">
        <f>(33.73)*10.764</f>
        <v>363.06971999999996</v>
      </c>
      <c r="E330" s="40">
        <v>0</v>
      </c>
      <c r="F330" s="40">
        <f>D330*(($F$264)+1)+(IF(E330&lt;101,E330,IF(E330&lt;201,E330/2,IF(E330&lt;=301,E330/3,E330/4))))</f>
        <v>562.75806599999999</v>
      </c>
      <c r="G330" s="91" t="str">
        <f>A329</f>
        <v>5th, 7th, 9th Floor for Residential (Part Refuge Area At Mid-Landing)</v>
      </c>
      <c r="H330" s="96"/>
      <c r="I330" s="34"/>
      <c r="L330" s="89"/>
      <c r="M330" s="89"/>
      <c r="N330" s="34"/>
    </row>
    <row r="331" spans="1:14" s="35" customFormat="1" x14ac:dyDescent="0.25">
      <c r="A331" s="87">
        <f t="shared" ref="A331:A333" si="45">A330+1</f>
        <v>2</v>
      </c>
      <c r="B331" s="88"/>
      <c r="C331" s="40" t="s">
        <v>268</v>
      </c>
      <c r="D331" s="56">
        <f>(62.36)*10.764</f>
        <v>671.24303999999995</v>
      </c>
      <c r="E331" s="40">
        <v>0</v>
      </c>
      <c r="F331" s="40">
        <f>D331*(($F$264)+1)+(IF(E331&lt;101,E331,IF(E331&lt;201,E331/2,IF(E331&lt;=301,E331/3,E331/4))))</f>
        <v>1040.426712</v>
      </c>
      <c r="G331" s="97"/>
      <c r="H331" s="98"/>
      <c r="I331" s="34"/>
      <c r="L331" s="89"/>
      <c r="M331" s="89"/>
      <c r="N331" s="34"/>
    </row>
    <row r="332" spans="1:14" s="35" customFormat="1" x14ac:dyDescent="0.25">
      <c r="A332" s="87">
        <f t="shared" si="45"/>
        <v>3</v>
      </c>
      <c r="B332" s="88"/>
      <c r="C332" s="40" t="s">
        <v>268</v>
      </c>
      <c r="D332" s="56">
        <f>(60.35)*10.764</f>
        <v>649.60739999999998</v>
      </c>
      <c r="E332" s="40">
        <v>0</v>
      </c>
      <c r="F332" s="40">
        <f>D332*(($F$264)+1)+(IF(E332&lt;101,E332,IF(E332&lt;201,E332/2,IF(E332&lt;=301,E332/3,E332/4))))</f>
        <v>1006.89147</v>
      </c>
      <c r="G332" s="97"/>
      <c r="H332" s="98"/>
      <c r="I332" s="34"/>
      <c r="L332" s="89"/>
      <c r="M332" s="89"/>
      <c r="N332" s="34"/>
    </row>
    <row r="333" spans="1:14" s="35" customFormat="1" x14ac:dyDescent="0.25">
      <c r="A333" s="87">
        <f t="shared" si="45"/>
        <v>4</v>
      </c>
      <c r="B333" s="88"/>
      <c r="C333" s="40" t="s">
        <v>267</v>
      </c>
      <c r="D333" s="56">
        <f>(42.76)*10.764</f>
        <v>460.26863999999995</v>
      </c>
      <c r="E333" s="40">
        <v>0</v>
      </c>
      <c r="F333" s="40">
        <f>D333*(($F$264)+1)+(IF(E333&lt;101,E333,IF(E333&lt;201,E333/2,IF(E333&lt;=301,E333/3,E333/4))))</f>
        <v>713.41639199999997</v>
      </c>
      <c r="G333" s="93"/>
      <c r="H333" s="99"/>
      <c r="I333" s="34"/>
      <c r="L333" s="89"/>
      <c r="M333" s="89"/>
      <c r="N333" s="34"/>
    </row>
    <row r="334" spans="1:14" s="35" customFormat="1" x14ac:dyDescent="0.25">
      <c r="A334" s="100" t="s">
        <v>304</v>
      </c>
      <c r="B334" s="101"/>
      <c r="C334" s="101"/>
      <c r="D334" s="101"/>
      <c r="E334" s="101"/>
      <c r="F334" s="101"/>
      <c r="G334" s="101"/>
      <c r="H334" s="102"/>
      <c r="J334" s="34"/>
    </row>
    <row r="335" spans="1:14" s="35" customFormat="1" ht="15.75" customHeight="1" x14ac:dyDescent="0.25">
      <c r="A335" s="87">
        <v>1</v>
      </c>
      <c r="B335" s="88"/>
      <c r="C335" s="40" t="s">
        <v>269</v>
      </c>
      <c r="D335" s="56">
        <f>(33.73)*10.764</f>
        <v>363.06971999999996</v>
      </c>
      <c r="E335" s="40">
        <v>0</v>
      </c>
      <c r="F335" s="40">
        <f>D335*(($F$264)+1)+(IF(E335&lt;101,E335,IF(E335&lt;201,E335/2,IF(E335&lt;=301,E335/3,E335/4))))</f>
        <v>562.75806599999999</v>
      </c>
      <c r="G335" s="91" t="str">
        <f>A334</f>
        <v>6th, 8th, 10th Floor</v>
      </c>
      <c r="H335" s="96"/>
      <c r="I335" s="34"/>
      <c r="L335" s="89"/>
      <c r="M335" s="89"/>
      <c r="N335" s="34"/>
    </row>
    <row r="336" spans="1:14" s="35" customFormat="1" x14ac:dyDescent="0.25">
      <c r="A336" s="87">
        <f t="shared" ref="A336:A338" si="46">A335+1</f>
        <v>2</v>
      </c>
      <c r="B336" s="88"/>
      <c r="C336" s="40" t="s">
        <v>268</v>
      </c>
      <c r="D336" s="56">
        <f>(62.36)*10.764</f>
        <v>671.24303999999995</v>
      </c>
      <c r="E336" s="40">
        <v>0</v>
      </c>
      <c r="F336" s="40">
        <f>D336*(($F$264)+1)+(IF(E336&lt;101,E336,IF(E336&lt;201,E336/2,IF(E336&lt;=301,E336/3,E336/4))))</f>
        <v>1040.426712</v>
      </c>
      <c r="G336" s="97"/>
      <c r="H336" s="98"/>
      <c r="I336" s="34"/>
      <c r="L336" s="89"/>
      <c r="M336" s="89"/>
      <c r="N336" s="34"/>
    </row>
    <row r="337" spans="1:14" s="35" customFormat="1" x14ac:dyDescent="0.25">
      <c r="A337" s="87">
        <f t="shared" si="46"/>
        <v>3</v>
      </c>
      <c r="B337" s="88"/>
      <c r="C337" s="40" t="s">
        <v>268</v>
      </c>
      <c r="D337" s="56">
        <f>(60.35)*10.764</f>
        <v>649.60739999999998</v>
      </c>
      <c r="E337" s="40">
        <v>0</v>
      </c>
      <c r="F337" s="40">
        <f>D337*(($F$264)+1)+(IF(E337&lt;101,E337,IF(E337&lt;201,E337/2,IF(E337&lt;=301,E337/3,E337/4))))</f>
        <v>1006.89147</v>
      </c>
      <c r="G337" s="97"/>
      <c r="H337" s="98"/>
      <c r="I337" s="34"/>
      <c r="L337" s="89"/>
      <c r="M337" s="89"/>
      <c r="N337" s="34"/>
    </row>
    <row r="338" spans="1:14" s="35" customFormat="1" x14ac:dyDescent="0.25">
      <c r="A338" s="87">
        <f t="shared" si="46"/>
        <v>4</v>
      </c>
      <c r="B338" s="88"/>
      <c r="C338" s="40" t="s">
        <v>267</v>
      </c>
      <c r="D338" s="56">
        <f>(42.76)*10.764</f>
        <v>460.26863999999995</v>
      </c>
      <c r="E338" s="40">
        <v>0</v>
      </c>
      <c r="F338" s="40">
        <f>D338*(($F$264)+1)+(IF(E338&lt;101,E338,IF(E338&lt;201,E338/2,IF(E338&lt;=301,E338/3,E338/4))))</f>
        <v>713.41639199999997</v>
      </c>
      <c r="G338" s="93"/>
      <c r="H338" s="99"/>
      <c r="I338" s="34"/>
      <c r="L338" s="89"/>
      <c r="M338" s="89"/>
      <c r="N338" s="34"/>
    </row>
    <row r="339" spans="1:14" s="35" customFormat="1" hidden="1" x14ac:dyDescent="0.25">
      <c r="A339" s="86" t="s">
        <v>117</v>
      </c>
      <c r="B339" s="86"/>
      <c r="C339" s="86"/>
      <c r="D339" s="86"/>
      <c r="E339" s="86"/>
      <c r="F339" s="86"/>
      <c r="G339" s="86"/>
      <c r="H339" s="86"/>
      <c r="I339" s="34"/>
      <c r="L339" s="89"/>
      <c r="M339" s="89"/>
    </row>
    <row r="340" spans="1:14" s="35" customFormat="1" hidden="1" x14ac:dyDescent="0.25">
      <c r="A340" s="90">
        <f>LEFT(A339,SUM(LEN(A339)-LEN(SUBSTITUTE(A339,{"0","1","2","3","4","5","6","7","8","9"},""))))*100+1</f>
        <v>201</v>
      </c>
      <c r="B340" s="90"/>
      <c r="C340" s="40"/>
      <c r="D340" s="40"/>
      <c r="E340" s="40">
        <v>0</v>
      </c>
      <c r="F340" s="40">
        <f t="shared" ref="F340:F341" si="47">D340*(($F$264)+1)+(IF(E340&lt;101,E340,IF(E340&lt;201,E340/2,IF(E340&lt;=301,E340/3,E340/4))))</f>
        <v>0</v>
      </c>
      <c r="G340" s="90" t="str">
        <f>A339</f>
        <v>2nd Floor</v>
      </c>
      <c r="H340" s="90"/>
      <c r="I340" s="34"/>
      <c r="N340" s="34"/>
    </row>
    <row r="341" spans="1:14" s="35" customFormat="1" hidden="1" x14ac:dyDescent="0.25">
      <c r="A341" s="90">
        <f>A340+1</f>
        <v>202</v>
      </c>
      <c r="B341" s="90"/>
      <c r="C341" s="40"/>
      <c r="D341" s="40"/>
      <c r="E341" s="40">
        <v>0</v>
      </c>
      <c r="F341" s="40">
        <f t="shared" si="47"/>
        <v>0</v>
      </c>
      <c r="G341" s="90" t="str">
        <f>G340</f>
        <v>2nd Floor</v>
      </c>
      <c r="H341" s="90"/>
      <c r="I341" s="34"/>
      <c r="N341" s="34"/>
    </row>
    <row r="342" spans="1:14" s="35" customFormat="1" hidden="1" x14ac:dyDescent="0.25">
      <c r="A342" s="90">
        <f>A341+1</f>
        <v>203</v>
      </c>
      <c r="B342" s="90"/>
      <c r="C342" s="40"/>
      <c r="D342" s="40"/>
      <c r="E342" s="40">
        <v>0</v>
      </c>
      <c r="F342" s="40">
        <f>D342*(($F$264)+1)+(IF(E342&lt;101,E342,IF(E342&lt;201,E342/2,IF(E342&lt;=301,E342/3,E342/4))))</f>
        <v>0</v>
      </c>
      <c r="G342" s="90" t="str">
        <f>G341</f>
        <v>2nd Floor</v>
      </c>
      <c r="H342" s="90"/>
      <c r="I342" s="34"/>
      <c r="N342" s="34"/>
    </row>
    <row r="343" spans="1:14" s="35" customFormat="1" hidden="1" x14ac:dyDescent="0.25">
      <c r="A343" s="90">
        <f>A342+1</f>
        <v>204</v>
      </c>
      <c r="B343" s="90"/>
      <c r="C343" s="40"/>
      <c r="D343" s="40"/>
      <c r="E343" s="40">
        <v>0</v>
      </c>
      <c r="F343" s="40">
        <f>D343*(($F$264)+1)+(IF(E343&lt;101,E343,IF(E343&lt;201,E343/2,IF(E343&lt;=301,E343/3,E343/4))))</f>
        <v>0</v>
      </c>
      <c r="G343" s="90" t="str">
        <f>G342</f>
        <v>2nd Floor</v>
      </c>
      <c r="H343" s="90"/>
      <c r="I343" s="34"/>
      <c r="N343" s="34"/>
    </row>
    <row r="344" spans="1:14" s="35" customFormat="1" hidden="1" x14ac:dyDescent="0.25">
      <c r="A344" s="90">
        <f>A343+1</f>
        <v>205</v>
      </c>
      <c r="B344" s="90"/>
      <c r="C344" s="40"/>
      <c r="D344" s="40"/>
      <c r="E344" s="40">
        <v>0</v>
      </c>
      <c r="F344" s="40">
        <f>D344*(($F$264)+1)+(IF(E344&lt;101,E344,IF(E344&lt;201,E344/2,IF(E344&lt;=301,E344/3,E344/4))))</f>
        <v>0</v>
      </c>
      <c r="G344" s="90" t="str">
        <f>G343</f>
        <v>2nd Floor</v>
      </c>
      <c r="H344" s="90"/>
      <c r="I344" s="34"/>
      <c r="N344" s="34"/>
    </row>
    <row r="345" spans="1:14" s="35" customFormat="1" ht="15.75" hidden="1" customHeight="1" x14ac:dyDescent="0.25">
      <c r="A345" s="100" t="s">
        <v>151</v>
      </c>
      <c r="B345" s="101"/>
      <c r="C345" s="101"/>
      <c r="D345" s="101"/>
      <c r="E345" s="101"/>
      <c r="F345" s="101"/>
      <c r="G345" s="101"/>
      <c r="H345" s="102"/>
      <c r="I345" s="34"/>
    </row>
    <row r="346" spans="1:14" s="35" customFormat="1" hidden="1" x14ac:dyDescent="0.25">
      <c r="A346" s="87" t="str">
        <f ca="1">(SUMPRODUCT(MID(0&amp;(LEFT(A345,SUM(LEN(A345)-LEN(SUBSTITUTE(A345,{"0","1","2"},""))))), LARGE(INDEX(ISNUMBER(--MID((LEFT(A345,SUM(LEN(A345)-LEN(SUBSTITUTE(A345,{"0","1","2"},""))))), ROW(INDIRECT("1:"&amp;LEN((LEFT(A345,SUM(LEN(A345)-LEN(SUBSTITUTE(A345,{"0","1","2"},"")))))))), 1)) * ROW(INDIRECT("1:"&amp;LEN((LEFT(A345,SUM(LEN(A345)-LEN(SUBSTITUTE(A345,{"0","1","2"},"")))))))), 0), ROW(INDIRECT("1:"&amp;LEN((LEFT(A345,SUM(LEN(A345)-LEN(SUBSTITUTE(A345,{"0","1","2"},"")))))))))+1, 1) * 10^ROW(INDIRECT("1:"&amp;LEN((LEFT(A345,SUM(LEN(A345)-LEN(SUBSTITUTE(A345,{"0","1","2"},""))))))))/10))*100+1&amp;""&amp;" ,.., "&amp;""&amp;(SUMPRODUCT(MID(0&amp;(--TRIM(RIGHT(SUBSTITUTE(LEFT(A345,_xlfn.AGGREGATE(16,6,FIND({0,1,2,3,4,5,6,7,8,9},A345,ROW(INDIRECT("1:"&amp;LEN(A345)))),1))," ",REPT(" ",LEN(A345))),LEN(A345)))), LARGE(INDEX(ISNUMBER(--MID((--TRIM(RIGHT(SUBSTITUTE(LEFT(A345,_xlfn.AGGREGATE(16,6,FIND({0,1,2,3,4,5,6,7,8,9},A345,ROW(INDIRECT("1:"&amp;LEN(A345)))),1))," ",REPT(" ",LEN(A345))),LEN(A345)))), ROW(INDIRECT("1:"&amp;LEN((--TRIM(RIGHT(SUBSTITUTE(LEFT(A345,_xlfn.AGGREGATE(16,6,FIND({0,1,2,3,4,5,6,7,8,9},A345,ROW(INDIRECT("1:"&amp;LEN(A345)))),1))," ",REPT(" ",LEN(A345))),LEN(A345))))))), 1)) * ROW(INDIRECT("1:"&amp;LEN((--TRIM(RIGHT(SUBSTITUTE(LEFT(A345,_xlfn.AGGREGATE(16,6,FIND({0,1,2,3,4,5,6,7,8,9},A345,ROW(INDIRECT("1:"&amp;LEN(A345)))),1))," ",REPT(" ",LEN(A345))),LEN(A345))))))), 0), ROW(INDIRECT("1:"&amp;LEN((--TRIM(RIGHT(SUBSTITUTE(LEFT(A345,_xlfn.AGGREGATE(16,6,FIND({0,1,2,3,4,5,6,7,8,9},A345,ROW(INDIRECT("1:"&amp;LEN(A345)))),1))," ",REPT(" ",LEN(A345))),LEN(A345))))))))+1, 1) * 10^ROW(INDIRECT("1:"&amp;LEN((--TRIM(RIGHT(SUBSTITUTE(LEFT(A345,_xlfn.AGGREGATE(16,6,FIND({0,1,2,3,4,5,6,7,8,9},A345,ROW(INDIRECT("1:"&amp;LEN(A345)))),1))," ",REPT(" ",LEN(A345))),LEN(A345)))))))/10))*100+1</f>
        <v>301 ,.., 1501</v>
      </c>
      <c r="B346" s="88"/>
      <c r="C346" s="40"/>
      <c r="D346" s="40"/>
      <c r="E346" s="40">
        <v>0</v>
      </c>
      <c r="F346" s="40">
        <f>D346*(($F$264)+1)+(IF(E346&lt;101,E346,IF(E346&lt;201,E346/2,IF(E346&lt;=301,E346/3,E346/4))))</f>
        <v>0</v>
      </c>
      <c r="G346" s="87" t="str">
        <f>A345</f>
        <v>3rd, 5th, 7th, 9th, 11th, 13th, 15th Floor</v>
      </c>
      <c r="H346" s="88"/>
      <c r="I346" s="34"/>
    </row>
    <row r="347" spans="1:14" s="35" customFormat="1" hidden="1" x14ac:dyDescent="0.25">
      <c r="A347" s="87" t="str">
        <f ca="1">(SUMPRODUCT(MID(0&amp;(LEFT(A346,SUM(LEN(A346)-LEN(SUBSTITUTE(A346,{"0","1","2"},""))))), LARGE(INDEX(ISNUMBER(--MID((LEFT(A346,SUM(LEN(A346)-LEN(SUBSTITUTE(A346,{"0","1","2"},""))))), ROW(INDIRECT("1:"&amp;LEN((LEFT(A346,SUM(LEN(A346)-LEN(SUBSTITUTE(A346,{"0","1","2"},"")))))))), 1)) * ROW(INDIRECT("1:"&amp;LEN((LEFT(A346,SUM(LEN(A346)-LEN(SUBSTITUTE(A346,{"0","1","2"},"")))))))), 0), ROW(INDIRECT("1:"&amp;LEN((LEFT(A346,SUM(LEN(A346)-LEN(SUBSTITUTE(A346,{"0","1","2"},"")))))))))+1, 1) * 10^ROW(INDIRECT("1:"&amp;LEN((LEFT(A346,SUM(LEN(A346)-LEN(SUBSTITUTE(A346,{"0","1","2"},""))))))))/10))*1+1&amp;""&amp;" ,.., "&amp;""&amp;(SUMPRODUCT(MID(0&amp;(--TRIM(RIGHT(SUBSTITUTE(LEFT(A346,_xlfn.AGGREGATE(16,6,FIND({0,1,2,3,4,5,6,7,8,9},A346,ROW(INDIRECT("1:"&amp;LEN(A346)))),1))," ",REPT(" ",LEN(A346))),LEN(A346)))), LARGE(INDEX(ISNUMBER(--MID((--TRIM(RIGHT(SUBSTITUTE(LEFT(A346,_xlfn.AGGREGATE(16,6,FIND({0,1,2,3,4,5,6,7,8,9},A346,ROW(INDIRECT("1:"&amp;LEN(A346)))),1))," ",REPT(" ",LEN(A346))),LEN(A346)))), ROW(INDIRECT("1:"&amp;LEN((--TRIM(RIGHT(SUBSTITUTE(LEFT(A346,_xlfn.AGGREGATE(16,6,FIND({0,1,2,3,4,5,6,7,8,9},A346,ROW(INDIRECT("1:"&amp;LEN(A346)))),1))," ",REPT(" ",LEN(A346))),LEN(A346))))))), 1)) * ROW(INDIRECT("1:"&amp;LEN((--TRIM(RIGHT(SUBSTITUTE(LEFT(A346,_xlfn.AGGREGATE(16,6,FIND({0,1,2,3,4,5,6,7,8,9},A346,ROW(INDIRECT("1:"&amp;LEN(A346)))),1))," ",REPT(" ",LEN(A346))),LEN(A346))))))), 0), ROW(INDIRECT("1:"&amp;LEN((--TRIM(RIGHT(SUBSTITUTE(LEFT(A346,_xlfn.AGGREGATE(16,6,FIND({0,1,2,3,4,5,6,7,8,9},A346,ROW(INDIRECT("1:"&amp;LEN(A346)))),1))," ",REPT(" ",LEN(A346))),LEN(A346))))))))+1, 1) * 10^ROW(INDIRECT("1:"&amp;LEN((--TRIM(RIGHT(SUBSTITUTE(LEFT(A346,_xlfn.AGGREGATE(16,6,FIND({0,1,2,3,4,5,6,7,8,9},A346,ROW(INDIRECT("1:"&amp;LEN(A346)))),1))," ",REPT(" ",LEN(A346))),LEN(A346)))))))/10))*1+1</f>
        <v>302 ,.., 1502</v>
      </c>
      <c r="B347" s="88"/>
      <c r="C347" s="40"/>
      <c r="D347" s="40"/>
      <c r="E347" s="40">
        <v>0</v>
      </c>
      <c r="F347" s="40">
        <f>D347*(($F$264)+1)+(IF(E347&lt;101,E347,IF(E347&lt;201,E347/2,IF(E347&lt;=301,E347/3,E347/4))))</f>
        <v>0</v>
      </c>
      <c r="G347" s="87" t="str">
        <f>G346</f>
        <v>3rd, 5th, 7th, 9th, 11th, 13th, 15th Floor</v>
      </c>
      <c r="H347" s="88"/>
      <c r="I347" s="34"/>
    </row>
    <row r="348" spans="1:14" s="35" customFormat="1" ht="15.75" hidden="1" customHeight="1" x14ac:dyDescent="0.25">
      <c r="A348" s="87" t="str">
        <f ca="1">(SUMPRODUCT(MID(0&amp;(LEFT(A347,SUM(LEN(A347)-LEN(SUBSTITUTE(A347,{"0","1","2"},""))))), LARGE(INDEX(ISNUMBER(--MID((LEFT(A347,SUM(LEN(A347)-LEN(SUBSTITUTE(A347,{"0","1","2"},""))))), ROW(INDIRECT("1:"&amp;LEN((LEFT(A347,SUM(LEN(A347)-LEN(SUBSTITUTE(A347,{"0","1","2"},"")))))))), 1)) * ROW(INDIRECT("1:"&amp;LEN((LEFT(A347,SUM(LEN(A347)-LEN(SUBSTITUTE(A347,{"0","1","2"},"")))))))), 0), ROW(INDIRECT("1:"&amp;LEN((LEFT(A347,SUM(LEN(A347)-LEN(SUBSTITUTE(A347,{"0","1","2"},"")))))))))+1, 1) * 10^ROW(INDIRECT("1:"&amp;LEN((LEFT(A347,SUM(LEN(A347)-LEN(SUBSTITUTE(A347,{"0","1","2"},""))))))))/10))*1+1&amp;""&amp;" ,.., "&amp;""&amp;(SUMPRODUCT(MID(0&amp;(--TRIM(RIGHT(SUBSTITUTE(LEFT(A347,_xlfn.AGGREGATE(16,6,FIND({0,1,2,3,4,5,6,7,8,9},A347,ROW(INDIRECT("1:"&amp;LEN(A347)))),1))," ",REPT(" ",LEN(A347))),LEN(A347)))), LARGE(INDEX(ISNUMBER(--MID((--TRIM(RIGHT(SUBSTITUTE(LEFT(A347,_xlfn.AGGREGATE(16,6,FIND({0,1,2,3,4,5,6,7,8,9},A347,ROW(INDIRECT("1:"&amp;LEN(A347)))),1))," ",REPT(" ",LEN(A347))),LEN(A347)))), ROW(INDIRECT("1:"&amp;LEN((--TRIM(RIGHT(SUBSTITUTE(LEFT(A347,_xlfn.AGGREGATE(16,6,FIND({0,1,2,3,4,5,6,7,8,9},A347,ROW(INDIRECT("1:"&amp;LEN(A347)))),1))," ",REPT(" ",LEN(A347))),LEN(A347))))))), 1)) * ROW(INDIRECT("1:"&amp;LEN((--TRIM(RIGHT(SUBSTITUTE(LEFT(A347,_xlfn.AGGREGATE(16,6,FIND({0,1,2,3,4,5,6,7,8,9},A347,ROW(INDIRECT("1:"&amp;LEN(A347)))),1))," ",REPT(" ",LEN(A347))),LEN(A347))))))), 0), ROW(INDIRECT("1:"&amp;LEN((--TRIM(RIGHT(SUBSTITUTE(LEFT(A347,_xlfn.AGGREGATE(16,6,FIND({0,1,2,3,4,5,6,7,8,9},A347,ROW(INDIRECT("1:"&amp;LEN(A347)))),1))," ",REPT(" ",LEN(A347))),LEN(A347))))))))+1, 1) * 10^ROW(INDIRECT("1:"&amp;LEN((--TRIM(RIGHT(SUBSTITUTE(LEFT(A347,_xlfn.AGGREGATE(16,6,FIND({0,1,2,3,4,5,6,7,8,9},A347,ROW(INDIRECT("1:"&amp;LEN(A347)))),1))," ",REPT(" ",LEN(A347))),LEN(A347)))))))/10))*1+1</f>
        <v>303 ,.., 1503</v>
      </c>
      <c r="B348" s="88"/>
      <c r="C348" s="40"/>
      <c r="D348" s="40"/>
      <c r="E348" s="40">
        <v>0</v>
      </c>
      <c r="F348" s="40">
        <f>D348*(($F$264)+1)+(IF(E348&lt;101,E348,IF(E348&lt;201,E348/2,IF(E348&lt;=301,E348/3,E348/4))))</f>
        <v>0</v>
      </c>
      <c r="G348" s="87" t="str">
        <f>G347</f>
        <v>3rd, 5th, 7th, 9th, 11th, 13th, 15th Floor</v>
      </c>
      <c r="H348" s="88"/>
      <c r="I348" s="34"/>
    </row>
    <row r="349" spans="1:14" s="35" customFormat="1" ht="15.75" hidden="1" customHeight="1" x14ac:dyDescent="0.25">
      <c r="A349" s="87" t="str">
        <f ca="1">(SUMPRODUCT(MID(0&amp;(LEFT(A348,SUM(LEN(A348)-LEN(SUBSTITUTE(A348,{"0","1","2"},""))))), LARGE(INDEX(ISNUMBER(--MID((LEFT(A348,SUM(LEN(A348)-LEN(SUBSTITUTE(A348,{"0","1","2"},""))))), ROW(INDIRECT("1:"&amp;LEN((LEFT(A348,SUM(LEN(A348)-LEN(SUBSTITUTE(A348,{"0","1","2"},"")))))))), 1)) * ROW(INDIRECT("1:"&amp;LEN((LEFT(A348,SUM(LEN(A348)-LEN(SUBSTITUTE(A348,{"0","1","2"},"")))))))), 0), ROW(INDIRECT("1:"&amp;LEN((LEFT(A348,SUM(LEN(A348)-LEN(SUBSTITUTE(A348,{"0","1","2"},"")))))))))+1, 1) * 10^ROW(INDIRECT("1:"&amp;LEN((LEFT(A348,SUM(LEN(A348)-LEN(SUBSTITUTE(A348,{"0","1","2"},""))))))))/10))*1+1&amp;""&amp;" ,.., "&amp;""&amp;(SUMPRODUCT(MID(0&amp;(--TRIM(RIGHT(SUBSTITUTE(LEFT(A348,_xlfn.AGGREGATE(16,6,FIND({0,1,2,3,4,5,6,7,8,9},A348,ROW(INDIRECT("1:"&amp;LEN(A348)))),1))," ",REPT(" ",LEN(A348))),LEN(A348)))), LARGE(INDEX(ISNUMBER(--MID((--TRIM(RIGHT(SUBSTITUTE(LEFT(A348,_xlfn.AGGREGATE(16,6,FIND({0,1,2,3,4,5,6,7,8,9},A348,ROW(INDIRECT("1:"&amp;LEN(A348)))),1))," ",REPT(" ",LEN(A348))),LEN(A348)))), ROW(INDIRECT("1:"&amp;LEN((--TRIM(RIGHT(SUBSTITUTE(LEFT(A348,_xlfn.AGGREGATE(16,6,FIND({0,1,2,3,4,5,6,7,8,9},A348,ROW(INDIRECT("1:"&amp;LEN(A348)))),1))," ",REPT(" ",LEN(A348))),LEN(A348))))))), 1)) * ROW(INDIRECT("1:"&amp;LEN((--TRIM(RIGHT(SUBSTITUTE(LEFT(A348,_xlfn.AGGREGATE(16,6,FIND({0,1,2,3,4,5,6,7,8,9},A348,ROW(INDIRECT("1:"&amp;LEN(A348)))),1))," ",REPT(" ",LEN(A348))),LEN(A348))))))), 0), ROW(INDIRECT("1:"&amp;LEN((--TRIM(RIGHT(SUBSTITUTE(LEFT(A348,_xlfn.AGGREGATE(16,6,FIND({0,1,2,3,4,5,6,7,8,9},A348,ROW(INDIRECT("1:"&amp;LEN(A348)))),1))," ",REPT(" ",LEN(A348))),LEN(A348))))))))+1, 1) * 10^ROW(INDIRECT("1:"&amp;LEN((--TRIM(RIGHT(SUBSTITUTE(LEFT(A348,_xlfn.AGGREGATE(16,6,FIND({0,1,2,3,4,5,6,7,8,9},A348,ROW(INDIRECT("1:"&amp;LEN(A348)))),1))," ",REPT(" ",LEN(A348))),LEN(A348)))))))/10))*1+1</f>
        <v>304 ,.., 1504</v>
      </c>
      <c r="B349" s="88"/>
      <c r="C349" s="40"/>
      <c r="D349" s="40"/>
      <c r="E349" s="40">
        <v>0</v>
      </c>
      <c r="F349" s="40">
        <f>D349*(($F$264)+1)+(IF(E349&lt;101,E349,IF(E349&lt;201,E349/2,IF(E349&lt;=301,E349/3,E349/4))))</f>
        <v>0</v>
      </c>
      <c r="G349" s="87" t="str">
        <f>G348</f>
        <v>3rd, 5th, 7th, 9th, 11th, 13th, 15th Floor</v>
      </c>
      <c r="H349" s="88"/>
      <c r="I349" s="34"/>
    </row>
    <row r="350" spans="1:14" s="35" customFormat="1" ht="15.75" hidden="1" customHeight="1" x14ac:dyDescent="0.25">
      <c r="A350" s="87" t="str">
        <f ca="1">(SUMPRODUCT(MID(0&amp;(LEFT(A349,SUM(LEN(A349)-LEN(SUBSTITUTE(A349,{"0","1","2"},""))))), LARGE(INDEX(ISNUMBER(--MID((LEFT(A349,SUM(LEN(A349)-LEN(SUBSTITUTE(A349,{"0","1","2"},""))))), ROW(INDIRECT("1:"&amp;LEN((LEFT(A349,SUM(LEN(A349)-LEN(SUBSTITUTE(A349,{"0","1","2"},"")))))))), 1)) * ROW(INDIRECT("1:"&amp;LEN((LEFT(A349,SUM(LEN(A349)-LEN(SUBSTITUTE(A349,{"0","1","2"},"")))))))), 0), ROW(INDIRECT("1:"&amp;LEN((LEFT(A349,SUM(LEN(A349)-LEN(SUBSTITUTE(A349,{"0","1","2"},"")))))))))+1, 1) * 10^ROW(INDIRECT("1:"&amp;LEN((LEFT(A349,SUM(LEN(A349)-LEN(SUBSTITUTE(A349,{"0","1","2"},""))))))))/10))*1+1&amp;""&amp;" ,.., "&amp;""&amp;(SUMPRODUCT(MID(0&amp;(--TRIM(RIGHT(SUBSTITUTE(LEFT(A349,_xlfn.AGGREGATE(16,6,FIND({0,1,2,3,4,5,6,7,8,9},A349,ROW(INDIRECT("1:"&amp;LEN(A349)))),1))," ",REPT(" ",LEN(A349))),LEN(A349)))), LARGE(INDEX(ISNUMBER(--MID((--TRIM(RIGHT(SUBSTITUTE(LEFT(A349,_xlfn.AGGREGATE(16,6,FIND({0,1,2,3,4,5,6,7,8,9},A349,ROW(INDIRECT("1:"&amp;LEN(A349)))),1))," ",REPT(" ",LEN(A349))),LEN(A349)))), ROW(INDIRECT("1:"&amp;LEN((--TRIM(RIGHT(SUBSTITUTE(LEFT(A349,_xlfn.AGGREGATE(16,6,FIND({0,1,2,3,4,5,6,7,8,9},A349,ROW(INDIRECT("1:"&amp;LEN(A349)))),1))," ",REPT(" ",LEN(A349))),LEN(A349))))))), 1)) * ROW(INDIRECT("1:"&amp;LEN((--TRIM(RIGHT(SUBSTITUTE(LEFT(A349,_xlfn.AGGREGATE(16,6,FIND({0,1,2,3,4,5,6,7,8,9},A349,ROW(INDIRECT("1:"&amp;LEN(A349)))),1))," ",REPT(" ",LEN(A349))),LEN(A349))))))), 0), ROW(INDIRECT("1:"&amp;LEN((--TRIM(RIGHT(SUBSTITUTE(LEFT(A349,_xlfn.AGGREGATE(16,6,FIND({0,1,2,3,4,5,6,7,8,9},A349,ROW(INDIRECT("1:"&amp;LEN(A349)))),1))," ",REPT(" ",LEN(A349))),LEN(A349))))))))+1, 1) * 10^ROW(INDIRECT("1:"&amp;LEN((--TRIM(RIGHT(SUBSTITUTE(LEFT(A349,_xlfn.AGGREGATE(16,6,FIND({0,1,2,3,4,5,6,7,8,9},A349,ROW(INDIRECT("1:"&amp;LEN(A349)))),1))," ",REPT(" ",LEN(A349))),LEN(A349)))))))/10))*1+1</f>
        <v>305 ,.., 1505</v>
      </c>
      <c r="B350" s="88"/>
      <c r="C350" s="40"/>
      <c r="D350" s="40"/>
      <c r="E350" s="40">
        <v>0</v>
      </c>
      <c r="F350" s="40">
        <f>D350*(($F$264)+1)+(IF(E350&lt;101,E350,IF(E350&lt;201,E350/2,IF(E350&lt;=301,E350/3,E350/4))))</f>
        <v>0</v>
      </c>
      <c r="G350" s="87" t="str">
        <f>G349</f>
        <v>3rd, 5th, 7th, 9th, 11th, 13th, 15th Floor</v>
      </c>
      <c r="H350" s="88"/>
      <c r="I350" s="34"/>
    </row>
    <row r="351" spans="1:14" s="35" customFormat="1" hidden="1" x14ac:dyDescent="0.25">
      <c r="A351" s="100" t="s">
        <v>145</v>
      </c>
      <c r="B351" s="101"/>
      <c r="C351" s="101"/>
      <c r="D351" s="101"/>
      <c r="E351" s="101"/>
      <c r="F351" s="101"/>
      <c r="G351" s="101"/>
      <c r="H351" s="102"/>
      <c r="I351" s="34"/>
    </row>
    <row r="352" spans="1:14" s="35" customFormat="1" hidden="1" x14ac:dyDescent="0.25">
      <c r="A352" s="87" t="str">
        <f ca="1">(SUMPRODUCT(MID(0&amp;(LEFT(A351,SUM(LEN(A351)-LEN(SUBSTITUTE(A351,{"0","1","2"},""))))), LARGE(INDEX(ISNUMBER(--MID((LEFT(A351,SUM(LEN(A351)-LEN(SUBSTITUTE(A351,{"0","1","2"},""))))), ROW(INDIRECT("1:"&amp;LEN((LEFT(A351,SUM(LEN(A351)-LEN(SUBSTITUTE(A351,{"0","1","2"},"")))))))), 1)) * ROW(INDIRECT("1:"&amp;LEN((LEFT(A351,SUM(LEN(A351)-LEN(SUBSTITUTE(A351,{"0","1","2"},"")))))))), 0), ROW(INDIRECT("1:"&amp;LEN((LEFT(A351,SUM(LEN(A351)-LEN(SUBSTITUTE(A351,{"0","1","2"},"")))))))))+1, 1) * 10^ROW(INDIRECT("1:"&amp;LEN((LEFT(A351,SUM(LEN(A351)-LEN(SUBSTITUTE(A351,{"0","1","2"},""))))))))/10))*100+1&amp;""&amp;" to "&amp;""&amp;(SUMPRODUCT(MID(0&amp;(--TRIM(RIGHT(SUBSTITUTE(LEFT(A351,_xlfn.AGGREGATE(16,6,FIND({0,1,2,3,4,5,6,7,8,9},A351,ROW(INDIRECT("1:"&amp;LEN(A351)))),1))," ",REPT(" ",LEN(A351))),LEN(A351)))), LARGE(INDEX(ISNUMBER(--MID((--TRIM(RIGHT(SUBSTITUTE(LEFT(A351,_xlfn.AGGREGATE(16,6,FIND({0,1,2,3,4,5,6,7,8,9},A351,ROW(INDIRECT("1:"&amp;LEN(A351)))),1))," ",REPT(" ",LEN(A351))),LEN(A351)))), ROW(INDIRECT("1:"&amp;LEN((--TRIM(RIGHT(SUBSTITUTE(LEFT(A351,_xlfn.AGGREGATE(16,6,FIND({0,1,2,3,4,5,6,7,8,9},A351,ROW(INDIRECT("1:"&amp;LEN(A351)))),1))," ",REPT(" ",LEN(A351))),LEN(A351))))))), 1)) * ROW(INDIRECT("1:"&amp;LEN((--TRIM(RIGHT(SUBSTITUTE(LEFT(A351,_xlfn.AGGREGATE(16,6,FIND({0,1,2,3,4,5,6,7,8,9},A351,ROW(INDIRECT("1:"&amp;LEN(A351)))),1))," ",REPT(" ",LEN(A351))),LEN(A351))))))), 0), ROW(INDIRECT("1:"&amp;LEN((--TRIM(RIGHT(SUBSTITUTE(LEFT(A351,_xlfn.AGGREGATE(16,6,FIND({0,1,2,3,4,5,6,7,8,9},A351,ROW(INDIRECT("1:"&amp;LEN(A351)))),1))," ",REPT(" ",LEN(A351))),LEN(A351))))))))+1, 1) * 10^ROW(INDIRECT("1:"&amp;LEN((--TRIM(RIGHT(SUBSTITUTE(LEFT(A351,_xlfn.AGGREGATE(16,6,FIND({0,1,2,3,4,5,6,7,8,9},A351,ROW(INDIRECT("1:"&amp;LEN(A351)))),1))," ",REPT(" ",LEN(A351))),LEN(A351)))))))/10))*100+1</f>
        <v>201 to 501</v>
      </c>
      <c r="B352" s="88"/>
      <c r="C352" s="40"/>
      <c r="D352" s="40"/>
      <c r="E352" s="40">
        <v>0</v>
      </c>
      <c r="F352" s="40">
        <f>D352*(($F$264)+1)+(IF(E352&lt;101,E352,IF(E352&lt;201,E352/2,IF(E352&lt;=301,E352/3,E352/4))))</f>
        <v>0</v>
      </c>
      <c r="G352" s="87" t="str">
        <f>A351</f>
        <v>2nd to 5th Floor</v>
      </c>
      <c r="H352" s="88"/>
      <c r="I352" s="34"/>
    </row>
    <row r="353" spans="1:14" s="35" customFormat="1" hidden="1" x14ac:dyDescent="0.25">
      <c r="A353" s="87" t="str">
        <f ca="1">(SUMPRODUCT(MID(0&amp;(LEFT(A352,SUM(LEN(A352)-LEN(SUBSTITUTE(A352,{"0","1","2"},""))))), LARGE(INDEX(ISNUMBER(--MID((LEFT(A352,SUM(LEN(A352)-LEN(SUBSTITUTE(A352,{"0","1","2"},""))))), ROW(INDIRECT("1:"&amp;LEN((LEFT(A352,SUM(LEN(A352)-LEN(SUBSTITUTE(A352,{"0","1","2"},"")))))))), 1)) * ROW(INDIRECT("1:"&amp;LEN((LEFT(A352,SUM(LEN(A352)-LEN(SUBSTITUTE(A352,{"0","1","2"},"")))))))), 0), ROW(INDIRECT("1:"&amp;LEN((LEFT(A352,SUM(LEN(A352)-LEN(SUBSTITUTE(A352,{"0","1","2"},"")))))))))+1, 1) * 10^ROW(INDIRECT("1:"&amp;LEN((LEFT(A352,SUM(LEN(A352)-LEN(SUBSTITUTE(A352,{"0","1","2"},""))))))))/10))*1+1&amp;""&amp;" to "&amp;""&amp;(SUMPRODUCT(MID(0&amp;(--TRIM(RIGHT(SUBSTITUTE(LEFT(A352,_xlfn.AGGREGATE(16,6,FIND({0,1,2,3,4,5,6,7,8,9},A352,ROW(INDIRECT("1:"&amp;LEN(A352)))),1))," ",REPT(" ",LEN(A352))),LEN(A352)))), LARGE(INDEX(ISNUMBER(--MID((--TRIM(RIGHT(SUBSTITUTE(LEFT(A352,_xlfn.AGGREGATE(16,6,FIND({0,1,2,3,4,5,6,7,8,9},A352,ROW(INDIRECT("1:"&amp;LEN(A352)))),1))," ",REPT(" ",LEN(A352))),LEN(A352)))), ROW(INDIRECT("1:"&amp;LEN((--TRIM(RIGHT(SUBSTITUTE(LEFT(A352,_xlfn.AGGREGATE(16,6,FIND({0,1,2,3,4,5,6,7,8,9},A352,ROW(INDIRECT("1:"&amp;LEN(A352)))),1))," ",REPT(" ",LEN(A352))),LEN(A352))))))), 1)) * ROW(INDIRECT("1:"&amp;LEN((--TRIM(RIGHT(SUBSTITUTE(LEFT(A352,_xlfn.AGGREGATE(16,6,FIND({0,1,2,3,4,5,6,7,8,9},A352,ROW(INDIRECT("1:"&amp;LEN(A352)))),1))," ",REPT(" ",LEN(A352))),LEN(A352))))))), 0), ROW(INDIRECT("1:"&amp;LEN((--TRIM(RIGHT(SUBSTITUTE(LEFT(A352,_xlfn.AGGREGATE(16,6,FIND({0,1,2,3,4,5,6,7,8,9},A352,ROW(INDIRECT("1:"&amp;LEN(A352)))),1))," ",REPT(" ",LEN(A352))),LEN(A352))))))))+1, 1) * 10^ROW(INDIRECT("1:"&amp;LEN((--TRIM(RIGHT(SUBSTITUTE(LEFT(A352,_xlfn.AGGREGATE(16,6,FIND({0,1,2,3,4,5,6,7,8,9},A352,ROW(INDIRECT("1:"&amp;LEN(A352)))),1))," ",REPT(" ",LEN(A352))),LEN(A352)))))))/10))*1+1</f>
        <v>202 to 502</v>
      </c>
      <c r="B353" s="88"/>
      <c r="C353" s="40"/>
      <c r="D353" s="40"/>
      <c r="E353" s="40">
        <v>0</v>
      </c>
      <c r="F353" s="40">
        <f>D353*(($F$264)+1)+(IF(E353&lt;101,E353,IF(E353&lt;201,E353/2,IF(E353&lt;=301,E353/3,E353/4))))</f>
        <v>0</v>
      </c>
      <c r="G353" s="87" t="str">
        <f>G352</f>
        <v>2nd to 5th Floor</v>
      </c>
      <c r="H353" s="88"/>
      <c r="I353" s="34"/>
    </row>
    <row r="354" spans="1:14" s="35" customFormat="1" hidden="1" x14ac:dyDescent="0.25">
      <c r="A354" s="87" t="str">
        <f ca="1">(SUMPRODUCT(MID(0&amp;(LEFT(A353,SUM(LEN(A353)-LEN(SUBSTITUTE(A353,{"0","1","2"},""))))), LARGE(INDEX(ISNUMBER(--MID((LEFT(A353,SUM(LEN(A353)-LEN(SUBSTITUTE(A353,{"0","1","2"},""))))), ROW(INDIRECT("1:"&amp;LEN((LEFT(A353,SUM(LEN(A353)-LEN(SUBSTITUTE(A353,{"0","1","2"},"")))))))), 1)) * ROW(INDIRECT("1:"&amp;LEN((LEFT(A353,SUM(LEN(A353)-LEN(SUBSTITUTE(A353,{"0","1","2"},"")))))))), 0), ROW(INDIRECT("1:"&amp;LEN((LEFT(A353,SUM(LEN(A353)-LEN(SUBSTITUTE(A353,{"0","1","2"},"")))))))))+1, 1) * 10^ROW(INDIRECT("1:"&amp;LEN((LEFT(A353,SUM(LEN(A353)-LEN(SUBSTITUTE(A353,{"0","1","2"},""))))))))/10))*1+1&amp;""&amp;" to "&amp;""&amp;(SUMPRODUCT(MID(0&amp;(--TRIM(RIGHT(SUBSTITUTE(LEFT(A353,_xlfn.AGGREGATE(16,6,FIND({0,1,2,3,4,5,6,7,8,9},A353,ROW(INDIRECT("1:"&amp;LEN(A353)))),1))," ",REPT(" ",LEN(A353))),LEN(A353)))), LARGE(INDEX(ISNUMBER(--MID((--TRIM(RIGHT(SUBSTITUTE(LEFT(A353,_xlfn.AGGREGATE(16,6,FIND({0,1,2,3,4,5,6,7,8,9},A353,ROW(INDIRECT("1:"&amp;LEN(A353)))),1))," ",REPT(" ",LEN(A353))),LEN(A353)))), ROW(INDIRECT("1:"&amp;LEN((--TRIM(RIGHT(SUBSTITUTE(LEFT(A353,_xlfn.AGGREGATE(16,6,FIND({0,1,2,3,4,5,6,7,8,9},A353,ROW(INDIRECT("1:"&amp;LEN(A353)))),1))," ",REPT(" ",LEN(A353))),LEN(A353))))))), 1)) * ROW(INDIRECT("1:"&amp;LEN((--TRIM(RIGHT(SUBSTITUTE(LEFT(A353,_xlfn.AGGREGATE(16,6,FIND({0,1,2,3,4,5,6,7,8,9},A353,ROW(INDIRECT("1:"&amp;LEN(A353)))),1))," ",REPT(" ",LEN(A353))),LEN(A353))))))), 0), ROW(INDIRECT("1:"&amp;LEN((--TRIM(RIGHT(SUBSTITUTE(LEFT(A353,_xlfn.AGGREGATE(16,6,FIND({0,1,2,3,4,5,6,7,8,9},A353,ROW(INDIRECT("1:"&amp;LEN(A353)))),1))," ",REPT(" ",LEN(A353))),LEN(A353))))))))+1, 1) * 10^ROW(INDIRECT("1:"&amp;LEN((--TRIM(RIGHT(SUBSTITUTE(LEFT(A353,_xlfn.AGGREGATE(16,6,FIND({0,1,2,3,4,5,6,7,8,9},A353,ROW(INDIRECT("1:"&amp;LEN(A353)))),1))," ",REPT(" ",LEN(A353))),LEN(A353)))))))/10))*1+1</f>
        <v>203 to 503</v>
      </c>
      <c r="B354" s="88"/>
      <c r="C354" s="40"/>
      <c r="D354" s="40"/>
      <c r="E354" s="40">
        <v>0</v>
      </c>
      <c r="F354" s="40">
        <f>D354*(($F$264)+1)+(IF(E354&lt;101,E354,IF(E354&lt;201,E354/2,IF(E354&lt;=301,E354/3,E354/4))))</f>
        <v>0</v>
      </c>
      <c r="G354" s="87" t="str">
        <f>G353</f>
        <v>2nd to 5th Floor</v>
      </c>
      <c r="H354" s="88"/>
      <c r="I354" s="34"/>
    </row>
    <row r="355" spans="1:14" s="35" customFormat="1" hidden="1" x14ac:dyDescent="0.25">
      <c r="A355" s="87" t="str">
        <f ca="1">(SUMPRODUCT(MID(0&amp;(LEFT(A354,SUM(LEN(A354)-LEN(SUBSTITUTE(A354,{"0","1","2"},""))))), LARGE(INDEX(ISNUMBER(--MID((LEFT(A354,SUM(LEN(A354)-LEN(SUBSTITUTE(A354,{"0","1","2"},""))))), ROW(INDIRECT("1:"&amp;LEN((LEFT(A354,SUM(LEN(A354)-LEN(SUBSTITUTE(A354,{"0","1","2"},"")))))))), 1)) * ROW(INDIRECT("1:"&amp;LEN((LEFT(A354,SUM(LEN(A354)-LEN(SUBSTITUTE(A354,{"0","1","2"},"")))))))), 0), ROW(INDIRECT("1:"&amp;LEN((LEFT(A354,SUM(LEN(A354)-LEN(SUBSTITUTE(A354,{"0","1","2"},"")))))))))+1, 1) * 10^ROW(INDIRECT("1:"&amp;LEN((LEFT(A354,SUM(LEN(A354)-LEN(SUBSTITUTE(A354,{"0","1","2"},""))))))))/10))*1+1&amp;""&amp;" to "&amp;""&amp;(SUMPRODUCT(MID(0&amp;(--TRIM(RIGHT(SUBSTITUTE(LEFT(A354,_xlfn.AGGREGATE(16,6,FIND({0,1,2,3,4,5,6,7,8,9},A354,ROW(INDIRECT("1:"&amp;LEN(A354)))),1))," ",REPT(" ",LEN(A354))),LEN(A354)))), LARGE(INDEX(ISNUMBER(--MID((--TRIM(RIGHT(SUBSTITUTE(LEFT(A354,_xlfn.AGGREGATE(16,6,FIND({0,1,2,3,4,5,6,7,8,9},A354,ROW(INDIRECT("1:"&amp;LEN(A354)))),1))," ",REPT(" ",LEN(A354))),LEN(A354)))), ROW(INDIRECT("1:"&amp;LEN((--TRIM(RIGHT(SUBSTITUTE(LEFT(A354,_xlfn.AGGREGATE(16,6,FIND({0,1,2,3,4,5,6,7,8,9},A354,ROW(INDIRECT("1:"&amp;LEN(A354)))),1))," ",REPT(" ",LEN(A354))),LEN(A354))))))), 1)) * ROW(INDIRECT("1:"&amp;LEN((--TRIM(RIGHT(SUBSTITUTE(LEFT(A354,_xlfn.AGGREGATE(16,6,FIND({0,1,2,3,4,5,6,7,8,9},A354,ROW(INDIRECT("1:"&amp;LEN(A354)))),1))," ",REPT(" ",LEN(A354))),LEN(A354))))))), 0), ROW(INDIRECT("1:"&amp;LEN((--TRIM(RIGHT(SUBSTITUTE(LEFT(A354,_xlfn.AGGREGATE(16,6,FIND({0,1,2,3,4,5,6,7,8,9},A354,ROW(INDIRECT("1:"&amp;LEN(A354)))),1))," ",REPT(" ",LEN(A354))),LEN(A354))))))))+1, 1) * 10^ROW(INDIRECT("1:"&amp;LEN((--TRIM(RIGHT(SUBSTITUTE(LEFT(A354,_xlfn.AGGREGATE(16,6,FIND({0,1,2,3,4,5,6,7,8,9},A354,ROW(INDIRECT("1:"&amp;LEN(A354)))),1))," ",REPT(" ",LEN(A354))),LEN(A354)))))))/10))*1+1</f>
        <v>204 to 504</v>
      </c>
      <c r="B355" s="88"/>
      <c r="C355" s="40"/>
      <c r="D355" s="40"/>
      <c r="E355" s="40">
        <v>0</v>
      </c>
      <c r="F355" s="40">
        <f>D355*(($F$264)+1)+(IF(E355&lt;101,E355,IF(E355&lt;201,E355/2,IF(E355&lt;=301,E355/3,E355/4))))</f>
        <v>0</v>
      </c>
      <c r="G355" s="87" t="str">
        <f>G354</f>
        <v>2nd to 5th Floor</v>
      </c>
      <c r="H355" s="88"/>
      <c r="I355" s="34"/>
    </row>
    <row r="356" spans="1:14" s="35" customFormat="1" hidden="1" x14ac:dyDescent="0.25">
      <c r="A356" s="87" t="str">
        <f ca="1">(SUMPRODUCT(MID(0&amp;(LEFT(A355,SUM(LEN(A355)-LEN(SUBSTITUTE(A355,{"0","1","2"},""))))), LARGE(INDEX(ISNUMBER(--MID((LEFT(A355,SUM(LEN(A355)-LEN(SUBSTITUTE(A355,{"0","1","2"},""))))), ROW(INDIRECT("1:"&amp;LEN((LEFT(A355,SUM(LEN(A355)-LEN(SUBSTITUTE(A355,{"0","1","2"},"")))))))), 1)) * ROW(INDIRECT("1:"&amp;LEN((LEFT(A355,SUM(LEN(A355)-LEN(SUBSTITUTE(A355,{"0","1","2"},"")))))))), 0), ROW(INDIRECT("1:"&amp;LEN((LEFT(A355,SUM(LEN(A355)-LEN(SUBSTITUTE(A355,{"0","1","2"},"")))))))))+1, 1) * 10^ROW(INDIRECT("1:"&amp;LEN((LEFT(A355,SUM(LEN(A355)-LEN(SUBSTITUTE(A355,{"0","1","2"},""))))))))/10))*1+1&amp;""&amp;" to "&amp;""&amp;(SUMPRODUCT(MID(0&amp;(--TRIM(RIGHT(SUBSTITUTE(LEFT(A355,_xlfn.AGGREGATE(16,6,FIND({0,1,2,3,4,5,6,7,8,9},A355,ROW(INDIRECT("1:"&amp;LEN(A355)))),1))," ",REPT(" ",LEN(A355))),LEN(A355)))), LARGE(INDEX(ISNUMBER(--MID((--TRIM(RIGHT(SUBSTITUTE(LEFT(A355,_xlfn.AGGREGATE(16,6,FIND({0,1,2,3,4,5,6,7,8,9},A355,ROW(INDIRECT("1:"&amp;LEN(A355)))),1))," ",REPT(" ",LEN(A355))),LEN(A355)))), ROW(INDIRECT("1:"&amp;LEN((--TRIM(RIGHT(SUBSTITUTE(LEFT(A355,_xlfn.AGGREGATE(16,6,FIND({0,1,2,3,4,5,6,7,8,9},A355,ROW(INDIRECT("1:"&amp;LEN(A355)))),1))," ",REPT(" ",LEN(A355))),LEN(A355))))))), 1)) * ROW(INDIRECT("1:"&amp;LEN((--TRIM(RIGHT(SUBSTITUTE(LEFT(A355,_xlfn.AGGREGATE(16,6,FIND({0,1,2,3,4,5,6,7,8,9},A355,ROW(INDIRECT("1:"&amp;LEN(A355)))),1))," ",REPT(" ",LEN(A355))),LEN(A355))))))), 0), ROW(INDIRECT("1:"&amp;LEN((--TRIM(RIGHT(SUBSTITUTE(LEFT(A355,_xlfn.AGGREGATE(16,6,FIND({0,1,2,3,4,5,6,7,8,9},A355,ROW(INDIRECT("1:"&amp;LEN(A355)))),1))," ",REPT(" ",LEN(A355))),LEN(A355))))))))+1, 1) * 10^ROW(INDIRECT("1:"&amp;LEN((--TRIM(RIGHT(SUBSTITUTE(LEFT(A355,_xlfn.AGGREGATE(16,6,FIND({0,1,2,3,4,5,6,7,8,9},A355,ROW(INDIRECT("1:"&amp;LEN(A355)))),1))," ",REPT(" ",LEN(A355))),LEN(A355)))))))/10))*1+1</f>
        <v>205 to 505</v>
      </c>
      <c r="B356" s="88"/>
      <c r="C356" s="40"/>
      <c r="D356" s="40"/>
      <c r="E356" s="40">
        <v>0</v>
      </c>
      <c r="F356" s="40">
        <f>D356*(($F$264)+1)+(IF(E356&lt;101,E356,IF(E356&lt;201,E356/2,IF(E356&lt;=301,E356/3,E356/4))))</f>
        <v>0</v>
      </c>
      <c r="G356" s="87" t="str">
        <f>G355</f>
        <v>2nd to 5th Floor</v>
      </c>
      <c r="H356" s="88"/>
      <c r="I356" s="34"/>
    </row>
    <row r="357" spans="1:14" s="35" customFormat="1" hidden="1" x14ac:dyDescent="0.25">
      <c r="A357" s="100" t="s">
        <v>146</v>
      </c>
      <c r="B357" s="101"/>
      <c r="C357" s="101"/>
      <c r="D357" s="101"/>
      <c r="E357" s="101"/>
      <c r="F357" s="101"/>
      <c r="G357" s="101"/>
      <c r="H357" s="102"/>
      <c r="I357" s="34"/>
    </row>
    <row r="358" spans="1:14" s="35" customFormat="1" hidden="1" x14ac:dyDescent="0.25">
      <c r="A358" s="87" t="str">
        <f ca="1">(SUMPRODUCT(MID(0&amp;(LEFT(A357,SUM(LEN(A357)-LEN(SUBSTITUTE(A357,{"0","1","2"},""))))), LARGE(INDEX(ISNUMBER(--MID((LEFT(A357,SUM(LEN(A357)-LEN(SUBSTITUTE(A357,{"0","1","2"},""))))), ROW(INDIRECT("1:"&amp;LEN((LEFT(A357,SUM(LEN(A357)-LEN(SUBSTITUTE(A357,{"0","1","2"},"")))))))), 1)) * ROW(INDIRECT("1:"&amp;LEN((LEFT(A357,SUM(LEN(A357)-LEN(SUBSTITUTE(A357,{"0","1","2"},"")))))))), 0), ROW(INDIRECT("1:"&amp;LEN((LEFT(A357,SUM(LEN(A357)-LEN(SUBSTITUTE(A357,{"0","1","2"},"")))))))))+1, 1) * 10^ROW(INDIRECT("1:"&amp;LEN((LEFT(A357,SUM(LEN(A357)-LEN(SUBSTITUTE(A357,{"0","1","2"},""))))))))/10))*100+1&amp;""&amp;" &amp; "&amp;""&amp;(SUMPRODUCT(MID(0&amp;(--TRIM(RIGHT(SUBSTITUTE(LEFT(A357,_xlfn.AGGREGATE(16,6,FIND({0,1,2,3,4,5,6,7,8,9},A357,ROW(INDIRECT("1:"&amp;LEN(A357)))),1))," ",REPT(" ",LEN(A357))),LEN(A357)))), LARGE(INDEX(ISNUMBER(--MID((--TRIM(RIGHT(SUBSTITUTE(LEFT(A357,_xlfn.AGGREGATE(16,6,FIND({0,1,2,3,4,5,6,7,8,9},A357,ROW(INDIRECT("1:"&amp;LEN(A357)))),1))," ",REPT(" ",LEN(A357))),LEN(A357)))), ROW(INDIRECT("1:"&amp;LEN((--TRIM(RIGHT(SUBSTITUTE(LEFT(A357,_xlfn.AGGREGATE(16,6,FIND({0,1,2,3,4,5,6,7,8,9},A357,ROW(INDIRECT("1:"&amp;LEN(A357)))),1))," ",REPT(" ",LEN(A357))),LEN(A357))))))), 1)) * ROW(INDIRECT("1:"&amp;LEN((--TRIM(RIGHT(SUBSTITUTE(LEFT(A357,_xlfn.AGGREGATE(16,6,FIND({0,1,2,3,4,5,6,7,8,9},A357,ROW(INDIRECT("1:"&amp;LEN(A357)))),1))," ",REPT(" ",LEN(A357))),LEN(A357))))))), 0), ROW(INDIRECT("1:"&amp;LEN((--TRIM(RIGHT(SUBSTITUTE(LEFT(A357,_xlfn.AGGREGATE(16,6,FIND({0,1,2,3,4,5,6,7,8,9},A357,ROW(INDIRECT("1:"&amp;LEN(A357)))),1))," ",REPT(" ",LEN(A357))),LEN(A357))))))))+1, 1) * 10^ROW(INDIRECT("1:"&amp;LEN((--TRIM(RIGHT(SUBSTITUTE(LEFT(A357,_xlfn.AGGREGATE(16,6,FIND({0,1,2,3,4,5,6,7,8,9},A357,ROW(INDIRECT("1:"&amp;LEN(A357)))),1))," ",REPT(" ",LEN(A357))),LEN(A357)))))))/10))*100+1</f>
        <v>201 &amp; 501</v>
      </c>
      <c r="B358" s="88"/>
      <c r="C358" s="40"/>
      <c r="D358" s="40"/>
      <c r="E358" s="40">
        <v>0</v>
      </c>
      <c r="F358" s="40">
        <f>D358*(($F$264)+1)+(IF(E358&lt;101,E358,IF(E358&lt;201,E358/2,IF(E358&lt;=301,E358/3,E358/4))))</f>
        <v>0</v>
      </c>
      <c r="G358" s="87" t="str">
        <f>A357</f>
        <v>2nd &amp; 5th Floor</v>
      </c>
      <c r="H358" s="88"/>
      <c r="I358" s="34"/>
    </row>
    <row r="359" spans="1:14" s="35" customFormat="1" hidden="1" x14ac:dyDescent="0.25">
      <c r="A359" s="87" t="str">
        <f ca="1">(SUMPRODUCT(MID(0&amp;(LEFT(A358,SUM(LEN(A358)-LEN(SUBSTITUTE(A358,{"0","1","2"},""))))), LARGE(INDEX(ISNUMBER(--MID((LEFT(A358,SUM(LEN(A358)-LEN(SUBSTITUTE(A358,{"0","1","2"},""))))), ROW(INDIRECT("1:"&amp;LEN((LEFT(A358,SUM(LEN(A358)-LEN(SUBSTITUTE(A358,{"0","1","2"},"")))))))), 1)) * ROW(INDIRECT("1:"&amp;LEN((LEFT(A358,SUM(LEN(A358)-LEN(SUBSTITUTE(A358,{"0","1","2"},"")))))))), 0), ROW(INDIRECT("1:"&amp;LEN((LEFT(A358,SUM(LEN(A358)-LEN(SUBSTITUTE(A358,{"0","1","2"},"")))))))))+1, 1) * 10^ROW(INDIRECT("1:"&amp;LEN((LEFT(A358,SUM(LEN(A358)-LEN(SUBSTITUTE(A358,{"0","1","2"},""))))))))/10))*1+1&amp;""&amp;" &amp; "&amp;""&amp;(SUMPRODUCT(MID(0&amp;(--TRIM(RIGHT(SUBSTITUTE(LEFT(A358,_xlfn.AGGREGATE(16,6,FIND({0,1,2,3,4,5,6,7,8,9},A358,ROW(INDIRECT("1:"&amp;LEN(A358)))),1))," ",REPT(" ",LEN(A358))),LEN(A358)))), LARGE(INDEX(ISNUMBER(--MID((--TRIM(RIGHT(SUBSTITUTE(LEFT(A358,_xlfn.AGGREGATE(16,6,FIND({0,1,2,3,4,5,6,7,8,9},A358,ROW(INDIRECT("1:"&amp;LEN(A358)))),1))," ",REPT(" ",LEN(A358))),LEN(A358)))), ROW(INDIRECT("1:"&amp;LEN((--TRIM(RIGHT(SUBSTITUTE(LEFT(A358,_xlfn.AGGREGATE(16,6,FIND({0,1,2,3,4,5,6,7,8,9},A358,ROW(INDIRECT("1:"&amp;LEN(A358)))),1))," ",REPT(" ",LEN(A358))),LEN(A358))))))), 1)) * ROW(INDIRECT("1:"&amp;LEN((--TRIM(RIGHT(SUBSTITUTE(LEFT(A358,_xlfn.AGGREGATE(16,6,FIND({0,1,2,3,4,5,6,7,8,9},A358,ROW(INDIRECT("1:"&amp;LEN(A358)))),1))," ",REPT(" ",LEN(A358))),LEN(A358))))))), 0), ROW(INDIRECT("1:"&amp;LEN((--TRIM(RIGHT(SUBSTITUTE(LEFT(A358,_xlfn.AGGREGATE(16,6,FIND({0,1,2,3,4,5,6,7,8,9},A358,ROW(INDIRECT("1:"&amp;LEN(A358)))),1))," ",REPT(" ",LEN(A358))),LEN(A358))))))))+1, 1) * 10^ROW(INDIRECT("1:"&amp;LEN((--TRIM(RIGHT(SUBSTITUTE(LEFT(A358,_xlfn.AGGREGATE(16,6,FIND({0,1,2,3,4,5,6,7,8,9},A358,ROW(INDIRECT("1:"&amp;LEN(A358)))),1))," ",REPT(" ",LEN(A358))),LEN(A358)))))))/10))*1+1</f>
        <v>202 &amp; 502</v>
      </c>
      <c r="B359" s="88"/>
      <c r="C359" s="40"/>
      <c r="D359" s="40"/>
      <c r="E359" s="40">
        <v>0</v>
      </c>
      <c r="F359" s="40">
        <f>D359*(($F$264)+1)+(IF(E359&lt;101,E359,IF(E359&lt;201,E359/2,IF(E359&lt;=301,E359/3,E359/4))))</f>
        <v>0</v>
      </c>
      <c r="G359" s="87" t="str">
        <f t="shared" ref="G359:G362" si="48">G358</f>
        <v>2nd &amp; 5th Floor</v>
      </c>
      <c r="H359" s="88"/>
      <c r="I359" s="34"/>
    </row>
    <row r="360" spans="1:14" s="35" customFormat="1" hidden="1" x14ac:dyDescent="0.25">
      <c r="A360" s="87" t="str">
        <f ca="1">(SUMPRODUCT(MID(0&amp;(LEFT(A359,SUM(LEN(A359)-LEN(SUBSTITUTE(A359,{"0","1","2"},""))))), LARGE(INDEX(ISNUMBER(--MID((LEFT(A359,SUM(LEN(A359)-LEN(SUBSTITUTE(A359,{"0","1","2"},""))))), ROW(INDIRECT("1:"&amp;LEN((LEFT(A359,SUM(LEN(A359)-LEN(SUBSTITUTE(A359,{"0","1","2"},"")))))))), 1)) * ROW(INDIRECT("1:"&amp;LEN((LEFT(A359,SUM(LEN(A359)-LEN(SUBSTITUTE(A359,{"0","1","2"},"")))))))), 0), ROW(INDIRECT("1:"&amp;LEN((LEFT(A359,SUM(LEN(A359)-LEN(SUBSTITUTE(A359,{"0","1","2"},"")))))))))+1, 1) * 10^ROW(INDIRECT("1:"&amp;LEN((LEFT(A359,SUM(LEN(A359)-LEN(SUBSTITUTE(A359,{"0","1","2"},""))))))))/10))*1+1&amp;""&amp;" &amp; "&amp;""&amp;(SUMPRODUCT(MID(0&amp;(--TRIM(RIGHT(SUBSTITUTE(LEFT(A359,_xlfn.AGGREGATE(16,6,FIND({0,1,2,3,4,5,6,7,8,9},A359,ROW(INDIRECT("1:"&amp;LEN(A359)))),1))," ",REPT(" ",LEN(A359))),LEN(A359)))), LARGE(INDEX(ISNUMBER(--MID((--TRIM(RIGHT(SUBSTITUTE(LEFT(A359,_xlfn.AGGREGATE(16,6,FIND({0,1,2,3,4,5,6,7,8,9},A359,ROW(INDIRECT("1:"&amp;LEN(A359)))),1))," ",REPT(" ",LEN(A359))),LEN(A359)))), ROW(INDIRECT("1:"&amp;LEN((--TRIM(RIGHT(SUBSTITUTE(LEFT(A359,_xlfn.AGGREGATE(16,6,FIND({0,1,2,3,4,5,6,7,8,9},A359,ROW(INDIRECT("1:"&amp;LEN(A359)))),1))," ",REPT(" ",LEN(A359))),LEN(A359))))))), 1)) * ROW(INDIRECT("1:"&amp;LEN((--TRIM(RIGHT(SUBSTITUTE(LEFT(A359,_xlfn.AGGREGATE(16,6,FIND({0,1,2,3,4,5,6,7,8,9},A359,ROW(INDIRECT("1:"&amp;LEN(A359)))),1))," ",REPT(" ",LEN(A359))),LEN(A359))))))), 0), ROW(INDIRECT("1:"&amp;LEN((--TRIM(RIGHT(SUBSTITUTE(LEFT(A359,_xlfn.AGGREGATE(16,6,FIND({0,1,2,3,4,5,6,7,8,9},A359,ROW(INDIRECT("1:"&amp;LEN(A359)))),1))," ",REPT(" ",LEN(A359))),LEN(A359))))))))+1, 1) * 10^ROW(INDIRECT("1:"&amp;LEN((--TRIM(RIGHT(SUBSTITUTE(LEFT(A359,_xlfn.AGGREGATE(16,6,FIND({0,1,2,3,4,5,6,7,8,9},A359,ROW(INDIRECT("1:"&amp;LEN(A359)))),1))," ",REPT(" ",LEN(A359))),LEN(A359)))))))/10))*1+1</f>
        <v>203 &amp; 503</v>
      </c>
      <c r="B360" s="88"/>
      <c r="C360" s="40"/>
      <c r="D360" s="40"/>
      <c r="E360" s="40">
        <v>0</v>
      </c>
      <c r="F360" s="40">
        <f>D360*(($F$264)+1)+(IF(E360&lt;101,E360,IF(E360&lt;201,E360/2,IF(E360&lt;=301,E360/3,E360/4))))</f>
        <v>0</v>
      </c>
      <c r="G360" s="87" t="str">
        <f t="shared" si="48"/>
        <v>2nd &amp; 5th Floor</v>
      </c>
      <c r="H360" s="88"/>
      <c r="I360" s="34"/>
    </row>
    <row r="361" spans="1:14" s="35" customFormat="1" hidden="1" x14ac:dyDescent="0.25">
      <c r="A361" s="87" t="str">
        <f ca="1">(SUMPRODUCT(MID(0&amp;(LEFT(A360,SUM(LEN(A360)-LEN(SUBSTITUTE(A360,{"0","1","2"},""))))), LARGE(INDEX(ISNUMBER(--MID((LEFT(A360,SUM(LEN(A360)-LEN(SUBSTITUTE(A360,{"0","1","2"},""))))), ROW(INDIRECT("1:"&amp;LEN((LEFT(A360,SUM(LEN(A360)-LEN(SUBSTITUTE(A360,{"0","1","2"},"")))))))), 1)) * ROW(INDIRECT("1:"&amp;LEN((LEFT(A360,SUM(LEN(A360)-LEN(SUBSTITUTE(A360,{"0","1","2"},"")))))))), 0), ROW(INDIRECT("1:"&amp;LEN((LEFT(A360,SUM(LEN(A360)-LEN(SUBSTITUTE(A360,{"0","1","2"},"")))))))))+1, 1) * 10^ROW(INDIRECT("1:"&amp;LEN((LEFT(A360,SUM(LEN(A360)-LEN(SUBSTITUTE(A360,{"0","1","2"},""))))))))/10))*1+1&amp;""&amp;" &amp; "&amp;""&amp;(SUMPRODUCT(MID(0&amp;(--TRIM(RIGHT(SUBSTITUTE(LEFT(A360,_xlfn.AGGREGATE(16,6,FIND({0,1,2,3,4,5,6,7,8,9},A360,ROW(INDIRECT("1:"&amp;LEN(A360)))),1))," ",REPT(" ",LEN(A360))),LEN(A360)))), LARGE(INDEX(ISNUMBER(--MID((--TRIM(RIGHT(SUBSTITUTE(LEFT(A360,_xlfn.AGGREGATE(16,6,FIND({0,1,2,3,4,5,6,7,8,9},A360,ROW(INDIRECT("1:"&amp;LEN(A360)))),1))," ",REPT(" ",LEN(A360))),LEN(A360)))), ROW(INDIRECT("1:"&amp;LEN((--TRIM(RIGHT(SUBSTITUTE(LEFT(A360,_xlfn.AGGREGATE(16,6,FIND({0,1,2,3,4,5,6,7,8,9},A360,ROW(INDIRECT("1:"&amp;LEN(A360)))),1))," ",REPT(" ",LEN(A360))),LEN(A360))))))), 1)) * ROW(INDIRECT("1:"&amp;LEN((--TRIM(RIGHT(SUBSTITUTE(LEFT(A360,_xlfn.AGGREGATE(16,6,FIND({0,1,2,3,4,5,6,7,8,9},A360,ROW(INDIRECT("1:"&amp;LEN(A360)))),1))," ",REPT(" ",LEN(A360))),LEN(A360))))))), 0), ROW(INDIRECT("1:"&amp;LEN((--TRIM(RIGHT(SUBSTITUTE(LEFT(A360,_xlfn.AGGREGATE(16,6,FIND({0,1,2,3,4,5,6,7,8,9},A360,ROW(INDIRECT("1:"&amp;LEN(A360)))),1))," ",REPT(" ",LEN(A360))),LEN(A360))))))))+1, 1) * 10^ROW(INDIRECT("1:"&amp;LEN((--TRIM(RIGHT(SUBSTITUTE(LEFT(A360,_xlfn.AGGREGATE(16,6,FIND({0,1,2,3,4,5,6,7,8,9},A360,ROW(INDIRECT("1:"&amp;LEN(A360)))),1))," ",REPT(" ",LEN(A360))),LEN(A360)))))))/10))*1+1</f>
        <v>204 &amp; 504</v>
      </c>
      <c r="B361" s="88"/>
      <c r="C361" s="40"/>
      <c r="D361" s="40"/>
      <c r="E361" s="40">
        <v>0</v>
      </c>
      <c r="F361" s="40">
        <f>D361*(($F$264)+1)+(IF(E361&lt;101,E361,IF(E361&lt;201,E361/2,IF(E361&lt;=301,E361/3,E361/4))))</f>
        <v>0</v>
      </c>
      <c r="G361" s="87" t="str">
        <f t="shared" si="48"/>
        <v>2nd &amp; 5th Floor</v>
      </c>
      <c r="H361" s="88"/>
      <c r="I361" s="34"/>
    </row>
    <row r="362" spans="1:14" s="35" customFormat="1" hidden="1" x14ac:dyDescent="0.25">
      <c r="A362" s="87" t="str">
        <f ca="1">(SUMPRODUCT(MID(0&amp;(LEFT(A361,SUM(LEN(A361)-LEN(SUBSTITUTE(A361,{"0","1","2"},""))))), LARGE(INDEX(ISNUMBER(--MID((LEFT(A361,SUM(LEN(A361)-LEN(SUBSTITUTE(A361,{"0","1","2"},""))))), ROW(INDIRECT("1:"&amp;LEN((LEFT(A361,SUM(LEN(A361)-LEN(SUBSTITUTE(A361,{"0","1","2"},"")))))))), 1)) * ROW(INDIRECT("1:"&amp;LEN((LEFT(A361,SUM(LEN(A361)-LEN(SUBSTITUTE(A361,{"0","1","2"},"")))))))), 0), ROW(INDIRECT("1:"&amp;LEN((LEFT(A361,SUM(LEN(A361)-LEN(SUBSTITUTE(A361,{"0","1","2"},"")))))))))+1, 1) * 10^ROW(INDIRECT("1:"&amp;LEN((LEFT(A361,SUM(LEN(A361)-LEN(SUBSTITUTE(A361,{"0","1","2"},""))))))))/10))*1+1&amp;""&amp;" &amp; "&amp;""&amp;(SUMPRODUCT(MID(0&amp;(--TRIM(RIGHT(SUBSTITUTE(LEFT(A361,_xlfn.AGGREGATE(16,6,FIND({0,1,2,3,4,5,6,7,8,9},A361,ROW(INDIRECT("1:"&amp;LEN(A361)))),1))," ",REPT(" ",LEN(A361))),LEN(A361)))), LARGE(INDEX(ISNUMBER(--MID((--TRIM(RIGHT(SUBSTITUTE(LEFT(A361,_xlfn.AGGREGATE(16,6,FIND({0,1,2,3,4,5,6,7,8,9},A361,ROW(INDIRECT("1:"&amp;LEN(A361)))),1))," ",REPT(" ",LEN(A361))),LEN(A361)))), ROW(INDIRECT("1:"&amp;LEN((--TRIM(RIGHT(SUBSTITUTE(LEFT(A361,_xlfn.AGGREGATE(16,6,FIND({0,1,2,3,4,5,6,7,8,9},A361,ROW(INDIRECT("1:"&amp;LEN(A361)))),1))," ",REPT(" ",LEN(A361))),LEN(A361))))))), 1)) * ROW(INDIRECT("1:"&amp;LEN((--TRIM(RIGHT(SUBSTITUTE(LEFT(A361,_xlfn.AGGREGATE(16,6,FIND({0,1,2,3,4,5,6,7,8,9},A361,ROW(INDIRECT("1:"&amp;LEN(A361)))),1))," ",REPT(" ",LEN(A361))),LEN(A361))))))), 0), ROW(INDIRECT("1:"&amp;LEN((--TRIM(RIGHT(SUBSTITUTE(LEFT(A361,_xlfn.AGGREGATE(16,6,FIND({0,1,2,3,4,5,6,7,8,9},A361,ROW(INDIRECT("1:"&amp;LEN(A361)))),1))," ",REPT(" ",LEN(A361))),LEN(A361))))))))+1, 1) * 10^ROW(INDIRECT("1:"&amp;LEN((--TRIM(RIGHT(SUBSTITUTE(LEFT(A361,_xlfn.AGGREGATE(16,6,FIND({0,1,2,3,4,5,6,7,8,9},A361,ROW(INDIRECT("1:"&amp;LEN(A361)))),1))," ",REPT(" ",LEN(A361))),LEN(A361)))))))/10))*1+1</f>
        <v>205 &amp; 505</v>
      </c>
      <c r="B362" s="88"/>
      <c r="C362" s="40"/>
      <c r="D362" s="40"/>
      <c r="E362" s="40">
        <v>0</v>
      </c>
      <c r="F362" s="40">
        <f>D362*(($F$264)+1)+(IF(E362&lt;101,E362,IF(E362&lt;201,E362/2,IF(E362&lt;=301,E362/3,E362/4))))</f>
        <v>0</v>
      </c>
      <c r="G362" s="87" t="str">
        <f t="shared" si="48"/>
        <v>2nd &amp; 5th Floor</v>
      </c>
      <c r="H362" s="88"/>
      <c r="I362" s="34"/>
    </row>
    <row r="363" spans="1:14" s="35" customFormat="1" x14ac:dyDescent="0.25">
      <c r="A363" s="100" t="s">
        <v>309</v>
      </c>
      <c r="B363" s="101"/>
      <c r="C363" s="101"/>
      <c r="D363" s="101"/>
      <c r="E363" s="101"/>
      <c r="F363" s="101"/>
      <c r="G363" s="101"/>
      <c r="H363" s="102"/>
      <c r="J363" s="34"/>
    </row>
    <row r="364" spans="1:14" s="35" customFormat="1" ht="15.75" customHeight="1" x14ac:dyDescent="0.25">
      <c r="A364" s="87">
        <v>1</v>
      </c>
      <c r="B364" s="88"/>
      <c r="C364" s="40" t="s">
        <v>269</v>
      </c>
      <c r="D364" s="56">
        <f>(33.73)*10.764</f>
        <v>363.06971999999996</v>
      </c>
      <c r="E364" s="40">
        <v>0</v>
      </c>
      <c r="F364" s="40">
        <f>D364*(($F$264)+1)+(IF(E364&lt;101,E364,IF(E364&lt;201,E364/2,IF(E364&lt;=301,E364/3,E364/4))))</f>
        <v>562.75806599999999</v>
      </c>
      <c r="G364" s="91" t="str">
        <f>A363</f>
        <v>11th, 13th, 15th, 17th &amp; 19th Floor  (Plan Dtd:16/12/2021)</v>
      </c>
      <c r="H364" s="96"/>
      <c r="I364" s="34"/>
      <c r="L364" s="89"/>
      <c r="M364" s="89"/>
      <c r="N364" s="34"/>
    </row>
    <row r="365" spans="1:14" s="35" customFormat="1" x14ac:dyDescent="0.25">
      <c r="A365" s="87">
        <f t="shared" ref="A365:A367" si="49">A364+1</f>
        <v>2</v>
      </c>
      <c r="B365" s="88"/>
      <c r="C365" s="40" t="s">
        <v>268</v>
      </c>
      <c r="D365" s="56">
        <f>(62.36)*10.764</f>
        <v>671.24303999999995</v>
      </c>
      <c r="E365" s="40">
        <v>0</v>
      </c>
      <c r="F365" s="40">
        <f>D365*(($F$264)+1)+(IF(E365&lt;101,E365,IF(E365&lt;201,E365/2,IF(E365&lt;=301,E365/3,E365/4))))</f>
        <v>1040.426712</v>
      </c>
      <c r="G365" s="97"/>
      <c r="H365" s="98"/>
      <c r="I365" s="34"/>
      <c r="L365" s="89"/>
      <c r="M365" s="89"/>
      <c r="N365" s="34"/>
    </row>
    <row r="366" spans="1:14" s="35" customFormat="1" x14ac:dyDescent="0.25">
      <c r="A366" s="87">
        <f t="shared" si="49"/>
        <v>3</v>
      </c>
      <c r="B366" s="88"/>
      <c r="C366" s="40" t="s">
        <v>268</v>
      </c>
      <c r="D366" s="56">
        <f>(60.35)*10.764</f>
        <v>649.60739999999998</v>
      </c>
      <c r="E366" s="40">
        <v>0</v>
      </c>
      <c r="F366" s="40">
        <f>D366*(($F$264)+1)+(IF(E366&lt;101,E366,IF(E366&lt;201,E366/2,IF(E366&lt;=301,E366/3,E366/4))))</f>
        <v>1006.89147</v>
      </c>
      <c r="G366" s="97"/>
      <c r="H366" s="98"/>
      <c r="I366" s="34"/>
      <c r="L366" s="89"/>
      <c r="M366" s="89"/>
      <c r="N366" s="34"/>
    </row>
    <row r="367" spans="1:14" s="35" customFormat="1" x14ac:dyDescent="0.25">
      <c r="A367" s="87">
        <f t="shared" si="49"/>
        <v>4</v>
      </c>
      <c r="B367" s="88"/>
      <c r="C367" s="40" t="s">
        <v>267</v>
      </c>
      <c r="D367" s="56">
        <f>(42.76)*10.764</f>
        <v>460.26863999999995</v>
      </c>
      <c r="E367" s="40">
        <v>0</v>
      </c>
      <c r="F367" s="40">
        <f>D367*(($F$264)+1)+(IF(E367&lt;101,E367,IF(E367&lt;201,E367/2,IF(E367&lt;=301,E367/3,E367/4))))</f>
        <v>713.41639199999997</v>
      </c>
      <c r="G367" s="93"/>
      <c r="H367" s="99"/>
      <c r="I367" s="34"/>
      <c r="L367" s="89"/>
      <c r="M367" s="89"/>
      <c r="N367" s="34"/>
    </row>
    <row r="368" spans="1:14" s="35" customFormat="1" x14ac:dyDescent="0.25">
      <c r="A368" s="100" t="s">
        <v>308</v>
      </c>
      <c r="B368" s="101"/>
      <c r="C368" s="101"/>
      <c r="D368" s="101"/>
      <c r="E368" s="101"/>
      <c r="F368" s="101"/>
      <c r="G368" s="101"/>
      <c r="H368" s="102"/>
      <c r="J368" s="34"/>
    </row>
    <row r="369" spans="1:14" s="35" customFormat="1" ht="15.75" customHeight="1" x14ac:dyDescent="0.25">
      <c r="A369" s="87">
        <v>1</v>
      </c>
      <c r="B369" s="88"/>
      <c r="C369" s="40" t="s">
        <v>269</v>
      </c>
      <c r="D369" s="56">
        <f>(33.73)*10.764</f>
        <v>363.06971999999996</v>
      </c>
      <c r="E369" s="40">
        <v>0</v>
      </c>
      <c r="F369" s="40">
        <f>D369*(($F$264)+1)+(IF(E369&lt;101,E369,IF(E369&lt;201,E369/2,IF(E369&lt;=301,E369/3,E369/4))))</f>
        <v>562.75806599999999</v>
      </c>
      <c r="G369" s="91" t="str">
        <f>A368</f>
        <v>12th, 14th, 16th &amp; 18th Floor (Plan Dtd:16/12/2021)</v>
      </c>
      <c r="H369" s="96"/>
      <c r="I369" s="34"/>
      <c r="L369" s="89"/>
      <c r="M369" s="89"/>
      <c r="N369" s="34"/>
    </row>
    <row r="370" spans="1:14" s="35" customFormat="1" x14ac:dyDescent="0.25">
      <c r="A370" s="87">
        <f t="shared" ref="A370:A372" si="50">A369+1</f>
        <v>2</v>
      </c>
      <c r="B370" s="88"/>
      <c r="C370" s="40" t="s">
        <v>268</v>
      </c>
      <c r="D370" s="56">
        <f>(62.36)*10.764</f>
        <v>671.24303999999995</v>
      </c>
      <c r="E370" s="40">
        <v>0</v>
      </c>
      <c r="F370" s="40">
        <f>D370*(($F$264)+1)+(IF(E370&lt;101,E370,IF(E370&lt;201,E370/2,IF(E370&lt;=301,E370/3,E370/4))))</f>
        <v>1040.426712</v>
      </c>
      <c r="G370" s="97"/>
      <c r="H370" s="98"/>
      <c r="I370" s="34"/>
      <c r="L370" s="89"/>
      <c r="M370" s="89"/>
      <c r="N370" s="34"/>
    </row>
    <row r="371" spans="1:14" s="35" customFormat="1" x14ac:dyDescent="0.25">
      <c r="A371" s="87">
        <f t="shared" si="50"/>
        <v>3</v>
      </c>
      <c r="B371" s="88"/>
      <c r="C371" s="40" t="s">
        <v>268</v>
      </c>
      <c r="D371" s="56">
        <f>(60.35)*10.764</f>
        <v>649.60739999999998</v>
      </c>
      <c r="E371" s="40">
        <v>0</v>
      </c>
      <c r="F371" s="40">
        <f>D371*(($F$264)+1)+(IF(E371&lt;101,E371,IF(E371&lt;201,E371/2,IF(E371&lt;=301,E371/3,E371/4))))</f>
        <v>1006.89147</v>
      </c>
      <c r="G371" s="97"/>
      <c r="H371" s="98"/>
      <c r="I371" s="34"/>
      <c r="L371" s="89"/>
      <c r="M371" s="89"/>
      <c r="N371" s="34"/>
    </row>
    <row r="372" spans="1:14" s="35" customFormat="1" x14ac:dyDescent="0.25">
      <c r="A372" s="87">
        <f t="shared" si="50"/>
        <v>4</v>
      </c>
      <c r="B372" s="88"/>
      <c r="C372" s="40" t="s">
        <v>267</v>
      </c>
      <c r="D372" s="56">
        <f>(42.76)*10.764</f>
        <v>460.26863999999995</v>
      </c>
      <c r="E372" s="40">
        <v>0</v>
      </c>
      <c r="F372" s="40">
        <f>D372*(($F$264)+1)+(IF(E372&lt;101,E372,IF(E372&lt;201,E372/2,IF(E372&lt;=301,E372/3,E372/4))))</f>
        <v>713.41639199999997</v>
      </c>
      <c r="G372" s="93"/>
      <c r="H372" s="99"/>
      <c r="I372" s="34"/>
      <c r="L372" s="89"/>
      <c r="M372" s="89"/>
      <c r="N372" s="34"/>
    </row>
    <row r="373" spans="1:14" s="33" customFormat="1" x14ac:dyDescent="0.25">
      <c r="A373" s="197" t="s">
        <v>66</v>
      </c>
      <c r="B373" s="197"/>
      <c r="C373" s="197"/>
      <c r="D373" s="197"/>
      <c r="E373" s="197"/>
      <c r="F373" s="197"/>
      <c r="G373" s="197"/>
      <c r="H373" s="197"/>
    </row>
    <row r="374" spans="1:14" s="33" customFormat="1" ht="34.5" customHeight="1" x14ac:dyDescent="0.25">
      <c r="A374" s="43" t="s">
        <v>155</v>
      </c>
      <c r="B374" s="83" t="s">
        <v>329</v>
      </c>
      <c r="C374" s="84"/>
      <c r="D374" s="84"/>
      <c r="E374" s="84"/>
      <c r="F374" s="84"/>
      <c r="G374" s="84"/>
      <c r="H374" s="85"/>
      <c r="I374" s="33" t="s">
        <v>321</v>
      </c>
    </row>
    <row r="375" spans="1:14" s="33" customFormat="1" x14ac:dyDescent="0.25">
      <c r="A375" s="43" t="s">
        <v>155</v>
      </c>
      <c r="B375" s="83" t="str">
        <f>(IF(F263="Saleable area Loading :","We have considered Saleable area of Flats as per our Calculation.","We considered Saleable area of Flat as per Builder area Sheet."))</f>
        <v>We have considered Saleable area of Flats as per our Calculation.</v>
      </c>
      <c r="C375" s="84"/>
      <c r="D375" s="84"/>
      <c r="E375" s="84"/>
      <c r="F375" s="84"/>
      <c r="G375" s="84"/>
      <c r="H375" s="85"/>
    </row>
    <row r="376" spans="1:14" s="33" customFormat="1" x14ac:dyDescent="0.25">
      <c r="A376" s="43" t="s">
        <v>155</v>
      </c>
      <c r="B376" s="83" t="str">
        <f>(IF(F129="Saleable area Loading :","We have considered Saleable area of Commercial as per our Calculation.","We considered Saleable area of Commercial as per Builder area Sheet."))</f>
        <v>We have considered Saleable area of Commercial as per our Calculation.</v>
      </c>
      <c r="C376" s="84"/>
      <c r="D376" s="84"/>
      <c r="E376" s="84"/>
      <c r="F376" s="84"/>
      <c r="G376" s="84"/>
      <c r="H376" s="85"/>
    </row>
    <row r="377" spans="1:14" s="33" customFormat="1" x14ac:dyDescent="0.25">
      <c r="A377" s="43" t="s">
        <v>155</v>
      </c>
      <c r="B377" s="83" t="s">
        <v>122</v>
      </c>
      <c r="C377" s="84"/>
      <c r="D377" s="84"/>
      <c r="E377" s="84"/>
      <c r="F377" s="84"/>
      <c r="G377" s="84"/>
      <c r="H377" s="85"/>
    </row>
    <row r="378" spans="1:14" s="33" customFormat="1" x14ac:dyDescent="0.25">
      <c r="A378" s="43" t="s">
        <v>155</v>
      </c>
      <c r="B378" s="83" t="s">
        <v>281</v>
      </c>
      <c r="C378" s="84"/>
      <c r="D378" s="84"/>
      <c r="E378" s="84"/>
      <c r="F378" s="84"/>
      <c r="G378" s="84"/>
      <c r="H378" s="85"/>
    </row>
    <row r="379" spans="1:14" s="33" customFormat="1" x14ac:dyDescent="0.25">
      <c r="A379" s="43" t="s">
        <v>155</v>
      </c>
      <c r="B379" s="83" t="s">
        <v>154</v>
      </c>
      <c r="C379" s="84"/>
      <c r="D379" s="84"/>
      <c r="E379" s="84"/>
      <c r="F379" s="84"/>
      <c r="G379" s="84"/>
      <c r="H379" s="85"/>
    </row>
    <row r="380" spans="1:14" s="33" customFormat="1" x14ac:dyDescent="0.25">
      <c r="A380" s="43" t="s">
        <v>155</v>
      </c>
      <c r="B380" s="83" t="s">
        <v>123</v>
      </c>
      <c r="C380" s="84"/>
      <c r="D380" s="84"/>
      <c r="E380" s="84"/>
      <c r="F380" s="84"/>
      <c r="G380" s="84"/>
      <c r="H380" s="85"/>
    </row>
    <row r="381" spans="1:14" s="33" customFormat="1" ht="34.5" customHeight="1" x14ac:dyDescent="0.25">
      <c r="A381" s="43" t="s">
        <v>155</v>
      </c>
      <c r="B381" s="65" t="s">
        <v>156</v>
      </c>
      <c r="C381" s="66"/>
      <c r="D381" s="66"/>
      <c r="E381" s="66"/>
      <c r="F381" s="66"/>
      <c r="G381" s="66"/>
      <c r="H381" s="67"/>
    </row>
    <row r="382" spans="1:14" s="33" customFormat="1" x14ac:dyDescent="0.25">
      <c r="A382" s="43" t="s">
        <v>155</v>
      </c>
      <c r="B382" s="65" t="s">
        <v>124</v>
      </c>
      <c r="C382" s="66"/>
      <c r="D382" s="66"/>
      <c r="E382" s="66"/>
      <c r="F382" s="66"/>
      <c r="G382" s="66"/>
      <c r="H382" s="67"/>
    </row>
    <row r="383" spans="1:14" s="33" customFormat="1" ht="32.25" customHeight="1" x14ac:dyDescent="0.25">
      <c r="A383" s="43" t="s">
        <v>155</v>
      </c>
      <c r="B383" s="83" t="s">
        <v>291</v>
      </c>
      <c r="C383" s="84"/>
      <c r="D383" s="84"/>
      <c r="E383" s="84"/>
      <c r="F383" s="84"/>
      <c r="G383" s="84"/>
      <c r="H383" s="85"/>
    </row>
    <row r="384" spans="1:14" s="33" customFormat="1" ht="33" customHeight="1" x14ac:dyDescent="0.25">
      <c r="A384" s="43" t="s">
        <v>155</v>
      </c>
      <c r="B384" s="83" t="s">
        <v>312</v>
      </c>
      <c r="C384" s="84"/>
      <c r="D384" s="84"/>
      <c r="E384" s="84"/>
      <c r="F384" s="84"/>
      <c r="G384" s="84"/>
      <c r="H384" s="85"/>
    </row>
    <row r="385" spans="1:8" s="33" customFormat="1" ht="48" customHeight="1" x14ac:dyDescent="0.25">
      <c r="A385" s="43" t="s">
        <v>155</v>
      </c>
      <c r="B385" s="83" t="s">
        <v>315</v>
      </c>
      <c r="C385" s="84"/>
      <c r="D385" s="84"/>
      <c r="E385" s="84"/>
      <c r="F385" s="84"/>
      <c r="G385" s="84"/>
      <c r="H385" s="85"/>
    </row>
    <row r="386" spans="1:8" s="33" customFormat="1" ht="32.25" customHeight="1" x14ac:dyDescent="0.25">
      <c r="A386" s="43" t="s">
        <v>155</v>
      </c>
      <c r="B386" s="83" t="s">
        <v>314</v>
      </c>
      <c r="C386" s="84"/>
      <c r="D386" s="84"/>
      <c r="E386" s="84"/>
      <c r="F386" s="84"/>
      <c r="G386" s="84"/>
      <c r="H386" s="85"/>
    </row>
    <row r="387" spans="1:8" s="33" customFormat="1" ht="49.5" customHeight="1" x14ac:dyDescent="0.25">
      <c r="A387" s="43" t="s">
        <v>155</v>
      </c>
      <c r="B387" s="83" t="s">
        <v>318</v>
      </c>
      <c r="C387" s="84"/>
      <c r="D387" s="84"/>
      <c r="E387" s="84"/>
      <c r="F387" s="84"/>
      <c r="G387" s="84"/>
      <c r="H387" s="85"/>
    </row>
    <row r="388" spans="1:8" s="33" customFormat="1" hidden="1" x14ac:dyDescent="0.25">
      <c r="A388" s="63" t="s">
        <v>155</v>
      </c>
      <c r="B388" s="65" t="s">
        <v>319</v>
      </c>
      <c r="C388" s="66"/>
      <c r="D388" s="66"/>
      <c r="E388" s="66"/>
      <c r="F388" s="66"/>
      <c r="G388" s="66"/>
      <c r="H388" s="67"/>
    </row>
    <row r="389" spans="1:8" s="33" customFormat="1" x14ac:dyDescent="0.25">
      <c r="A389" s="63" t="s">
        <v>155</v>
      </c>
      <c r="B389" s="65" t="s">
        <v>324</v>
      </c>
      <c r="C389" s="66"/>
      <c r="D389" s="66"/>
      <c r="E389" s="66"/>
      <c r="F389" s="66"/>
      <c r="G389" s="66"/>
      <c r="H389" s="67"/>
    </row>
    <row r="390" spans="1:8" s="33" customFormat="1" x14ac:dyDescent="0.25">
      <c r="A390" s="43" t="s">
        <v>155</v>
      </c>
      <c r="B390" s="65" t="s">
        <v>328</v>
      </c>
      <c r="C390" s="66"/>
      <c r="D390" s="66"/>
      <c r="E390" s="66"/>
      <c r="F390" s="66"/>
      <c r="G390" s="66"/>
      <c r="H390" s="67"/>
    </row>
    <row r="391" spans="1:8" x14ac:dyDescent="0.25">
      <c r="A391" s="151" t="s">
        <v>59</v>
      </c>
      <c r="B391" s="151"/>
      <c r="C391" s="151"/>
      <c r="D391" s="151"/>
      <c r="E391" s="151"/>
      <c r="F391" s="151"/>
      <c r="G391" s="151"/>
      <c r="H391" s="151"/>
    </row>
    <row r="392" spans="1:8" x14ac:dyDescent="0.25">
      <c r="A392" s="112" t="s">
        <v>60</v>
      </c>
      <c r="B392" s="112"/>
      <c r="C392" s="112"/>
      <c r="D392" s="112"/>
      <c r="E392" s="112"/>
      <c r="F392" s="112"/>
      <c r="G392" s="112"/>
      <c r="H392" s="112"/>
    </row>
    <row r="393" spans="1:8" ht="15.75" customHeight="1" x14ac:dyDescent="0.25">
      <c r="A393" s="128" t="s">
        <v>61</v>
      </c>
      <c r="B393" s="128"/>
      <c r="C393" s="128"/>
      <c r="D393" s="128"/>
      <c r="E393" s="128"/>
      <c r="F393" s="128"/>
      <c r="G393" s="128"/>
      <c r="H393" s="128"/>
    </row>
    <row r="394" spans="1:8" x14ac:dyDescent="0.25">
      <c r="A394" s="112" t="s">
        <v>62</v>
      </c>
      <c r="B394" s="112"/>
      <c r="C394" s="112"/>
      <c r="D394" s="112"/>
      <c r="E394" s="112"/>
      <c r="F394" s="112"/>
      <c r="G394" s="112"/>
      <c r="H394" s="112"/>
    </row>
    <row r="395" spans="1:8" x14ac:dyDescent="0.25">
      <c r="A395" s="112" t="s">
        <v>63</v>
      </c>
      <c r="B395" s="112"/>
      <c r="C395" s="112"/>
      <c r="D395" s="112"/>
      <c r="E395" s="112"/>
      <c r="F395" s="112"/>
      <c r="G395" s="112"/>
      <c r="H395" s="112"/>
    </row>
    <row r="396" spans="1:8" x14ac:dyDescent="0.25">
      <c r="A396" s="112" t="s">
        <v>125</v>
      </c>
      <c r="B396" s="112"/>
      <c r="C396" s="112"/>
      <c r="D396" s="112"/>
      <c r="E396" s="112"/>
      <c r="F396" s="112"/>
      <c r="G396" s="112"/>
      <c r="H396" s="112"/>
    </row>
    <row r="397" spans="1:8" ht="33.950000000000003" customHeight="1" x14ac:dyDescent="0.25">
      <c r="A397" s="119" t="s">
        <v>126</v>
      </c>
      <c r="B397" s="119"/>
      <c r="C397" s="119"/>
      <c r="D397" s="119"/>
      <c r="E397" s="119"/>
      <c r="F397" s="119"/>
      <c r="G397" s="119"/>
      <c r="H397" s="119"/>
    </row>
    <row r="398" spans="1:8" x14ac:dyDescent="0.25">
      <c r="A398" s="148" t="s">
        <v>75</v>
      </c>
      <c r="B398" s="148"/>
      <c r="C398" s="148" t="s">
        <v>320</v>
      </c>
      <c r="D398" s="148"/>
      <c r="E398" s="148" t="s">
        <v>104</v>
      </c>
      <c r="F398" s="148"/>
      <c r="G398" s="148" t="s">
        <v>325</v>
      </c>
      <c r="H398" s="148"/>
    </row>
    <row r="399" spans="1:8" x14ac:dyDescent="0.25">
      <c r="A399" s="147" t="s">
        <v>77</v>
      </c>
      <c r="B399" s="147"/>
      <c r="C399" s="147"/>
      <c r="D399" s="147"/>
      <c r="E399" s="147"/>
      <c r="F399" s="147"/>
      <c r="G399" s="147"/>
      <c r="H399" s="147"/>
    </row>
    <row r="400" spans="1:8" x14ac:dyDescent="0.25">
      <c r="A400" s="147"/>
      <c r="B400" s="147"/>
      <c r="C400" s="147"/>
      <c r="D400" s="147"/>
      <c r="E400" s="147"/>
      <c r="F400" s="147"/>
      <c r="G400" s="147"/>
      <c r="H400" s="147"/>
    </row>
    <row r="401" spans="1:8" x14ac:dyDescent="0.25">
      <c r="A401" s="147"/>
      <c r="B401" s="147"/>
      <c r="C401" s="147"/>
      <c r="D401" s="147"/>
      <c r="E401" s="147"/>
      <c r="F401" s="147"/>
      <c r="G401" s="147"/>
      <c r="H401" s="147"/>
    </row>
    <row r="402" spans="1:8" x14ac:dyDescent="0.25">
      <c r="A402" s="147"/>
      <c r="B402" s="147"/>
      <c r="C402" s="147"/>
      <c r="D402" s="147"/>
      <c r="E402" s="147"/>
      <c r="F402" s="147"/>
      <c r="G402" s="147"/>
      <c r="H402" s="147"/>
    </row>
    <row r="403" spans="1:8" x14ac:dyDescent="0.25">
      <c r="A403" s="36" t="s">
        <v>64</v>
      </c>
      <c r="B403" s="37"/>
      <c r="C403" s="37"/>
      <c r="D403" s="36" t="str">
        <f>E8</f>
        <v>Kenorita Jewels</v>
      </c>
      <c r="F403" s="37"/>
      <c r="G403" s="37"/>
      <c r="H403" s="37"/>
    </row>
    <row r="404" spans="1:8" x14ac:dyDescent="0.25">
      <c r="A404" s="37"/>
      <c r="B404" s="37"/>
      <c r="C404" s="37"/>
      <c r="D404" s="37"/>
      <c r="E404" s="37"/>
      <c r="F404" s="37"/>
      <c r="G404" s="37"/>
      <c r="H404" s="37"/>
    </row>
    <row r="405" spans="1:8" x14ac:dyDescent="0.25">
      <c r="A405" s="37"/>
      <c r="B405" s="37"/>
      <c r="C405" s="37"/>
      <c r="D405" s="37"/>
      <c r="E405" s="37"/>
      <c r="F405" s="37"/>
      <c r="G405" s="37"/>
      <c r="H405" s="37"/>
    </row>
    <row r="406" spans="1:8" ht="15" customHeight="1" x14ac:dyDescent="0.25"/>
    <row r="445" spans="1:1" x14ac:dyDescent="0.25">
      <c r="A445" s="39" t="s">
        <v>313</v>
      </c>
    </row>
    <row r="485" spans="1:1" x14ac:dyDescent="0.25">
      <c r="A485" s="39" t="s">
        <v>313</v>
      </c>
    </row>
    <row r="523" spans="1:1" x14ac:dyDescent="0.25">
      <c r="A523" s="39" t="s">
        <v>313</v>
      </c>
    </row>
    <row r="559" spans="1:1" x14ac:dyDescent="0.25">
      <c r="A559" s="39" t="s">
        <v>167</v>
      </c>
    </row>
    <row r="601" spans="1:1" x14ac:dyDescent="0.25">
      <c r="A601" s="39" t="s">
        <v>65</v>
      </c>
    </row>
  </sheetData>
  <mergeCells count="777">
    <mergeCell ref="B390:H390"/>
    <mergeCell ref="L364:M364"/>
    <mergeCell ref="A365:B365"/>
    <mergeCell ref="L365:M365"/>
    <mergeCell ref="A366:B366"/>
    <mergeCell ref="L366:M366"/>
    <mergeCell ref="A367:B367"/>
    <mergeCell ref="L367:M367"/>
    <mergeCell ref="A368:H368"/>
    <mergeCell ref="A369:B369"/>
    <mergeCell ref="G369:H372"/>
    <mergeCell ref="L369:M369"/>
    <mergeCell ref="A370:B370"/>
    <mergeCell ref="L370:M370"/>
    <mergeCell ref="A371:B371"/>
    <mergeCell ref="L371:M371"/>
    <mergeCell ref="A372:B372"/>
    <mergeCell ref="L372:M372"/>
    <mergeCell ref="B382:H382"/>
    <mergeCell ref="B380:H380"/>
    <mergeCell ref="B376:H376"/>
    <mergeCell ref="B377:H377"/>
    <mergeCell ref="B378:H378"/>
    <mergeCell ref="B381:H381"/>
    <mergeCell ref="L280:M280"/>
    <mergeCell ref="A281:B281"/>
    <mergeCell ref="L281:M281"/>
    <mergeCell ref="A282:H282"/>
    <mergeCell ref="A283:B283"/>
    <mergeCell ref="G283:H286"/>
    <mergeCell ref="L283:M283"/>
    <mergeCell ref="A284:B284"/>
    <mergeCell ref="L284:M284"/>
    <mergeCell ref="A285:B285"/>
    <mergeCell ref="L285:M285"/>
    <mergeCell ref="A286:B286"/>
    <mergeCell ref="L286:M286"/>
    <mergeCell ref="A52:B52"/>
    <mergeCell ref="C52:E52"/>
    <mergeCell ref="G52:H52"/>
    <mergeCell ref="A277:H277"/>
    <mergeCell ref="A278:B278"/>
    <mergeCell ref="G278:H281"/>
    <mergeCell ref="A100:B100"/>
    <mergeCell ref="A125:B125"/>
    <mergeCell ref="E125:F125"/>
    <mergeCell ref="G91:H100"/>
    <mergeCell ref="A92:B92"/>
    <mergeCell ref="A93:B93"/>
    <mergeCell ref="A94:B94"/>
    <mergeCell ref="F104:H104"/>
    <mergeCell ref="A104:E104"/>
    <mergeCell ref="A106:E106"/>
    <mergeCell ref="A113:E113"/>
    <mergeCell ref="G125:H125"/>
    <mergeCell ref="A119:B119"/>
    <mergeCell ref="C119:D119"/>
    <mergeCell ref="E119:F119"/>
    <mergeCell ref="G119:H119"/>
    <mergeCell ref="A123:B123"/>
    <mergeCell ref="A279:B279"/>
    <mergeCell ref="L275:M275"/>
    <mergeCell ref="A276:B276"/>
    <mergeCell ref="L276:M276"/>
    <mergeCell ref="L339:M339"/>
    <mergeCell ref="A344:B344"/>
    <mergeCell ref="A105:E105"/>
    <mergeCell ref="A102:E102"/>
    <mergeCell ref="F106:H106"/>
    <mergeCell ref="A107:E107"/>
    <mergeCell ref="G343:H343"/>
    <mergeCell ref="G340:H340"/>
    <mergeCell ref="D129:D130"/>
    <mergeCell ref="A272:H272"/>
    <mergeCell ref="A273:B273"/>
    <mergeCell ref="G273:H276"/>
    <mergeCell ref="L273:M273"/>
    <mergeCell ref="A274:B274"/>
    <mergeCell ref="B129:B130"/>
    <mergeCell ref="A129:A130"/>
    <mergeCell ref="C263:C264"/>
    <mergeCell ref="A265:H265"/>
    <mergeCell ref="E126:F126"/>
    <mergeCell ref="L278:M278"/>
    <mergeCell ref="L279:M279"/>
    <mergeCell ref="G123:H123"/>
    <mergeCell ref="C118:D118"/>
    <mergeCell ref="E118:F118"/>
    <mergeCell ref="G356:H356"/>
    <mergeCell ref="A373:H373"/>
    <mergeCell ref="A355:B355"/>
    <mergeCell ref="A356:B356"/>
    <mergeCell ref="G354:H354"/>
    <mergeCell ref="A351:H351"/>
    <mergeCell ref="A345:H345"/>
    <mergeCell ref="A271:B271"/>
    <mergeCell ref="G348:H348"/>
    <mergeCell ref="G346:H346"/>
    <mergeCell ref="A353:B353"/>
    <mergeCell ref="A354:B354"/>
    <mergeCell ref="A343:B343"/>
    <mergeCell ref="G344:H344"/>
    <mergeCell ref="G350:H350"/>
    <mergeCell ref="G349:H349"/>
    <mergeCell ref="G347:H347"/>
    <mergeCell ref="A341:B341"/>
    <mergeCell ref="A342:B342"/>
    <mergeCell ref="A275:B275"/>
    <mergeCell ref="A280:B280"/>
    <mergeCell ref="G268:H271"/>
    <mergeCell ref="A270:B270"/>
    <mergeCell ref="G330:H333"/>
    <mergeCell ref="A335:B335"/>
    <mergeCell ref="L271:M271"/>
    <mergeCell ref="L268:M268"/>
    <mergeCell ref="A269:B269"/>
    <mergeCell ref="L269:M269"/>
    <mergeCell ref="L270:M270"/>
    <mergeCell ref="L331:M331"/>
    <mergeCell ref="A332:B332"/>
    <mergeCell ref="L332:M332"/>
    <mergeCell ref="A333:B333"/>
    <mergeCell ref="L333:M333"/>
    <mergeCell ref="A334:H334"/>
    <mergeCell ref="L306:M306"/>
    <mergeCell ref="A307:B307"/>
    <mergeCell ref="L307:M307"/>
    <mergeCell ref="A299:H299"/>
    <mergeCell ref="A300:B300"/>
    <mergeCell ref="G300:H303"/>
    <mergeCell ref="A316:B316"/>
    <mergeCell ref="A308:H308"/>
    <mergeCell ref="L274:M274"/>
    <mergeCell ref="A38:B38"/>
    <mergeCell ref="C38:H38"/>
    <mergeCell ref="A45:D45"/>
    <mergeCell ref="L137:M137"/>
    <mergeCell ref="L136:M136"/>
    <mergeCell ref="L135:M135"/>
    <mergeCell ref="L134:M134"/>
    <mergeCell ref="A84:B84"/>
    <mergeCell ref="C122:D122"/>
    <mergeCell ref="E122:F122"/>
    <mergeCell ref="G122:H122"/>
    <mergeCell ref="F109:H109"/>
    <mergeCell ref="A103:E103"/>
    <mergeCell ref="A133:H133"/>
    <mergeCell ref="E129:E130"/>
    <mergeCell ref="G129:H130"/>
    <mergeCell ref="A91:B91"/>
    <mergeCell ref="A46:D46"/>
    <mergeCell ref="A47:H47"/>
    <mergeCell ref="G77:H86"/>
    <mergeCell ref="A85:B85"/>
    <mergeCell ref="A86:B86"/>
    <mergeCell ref="D67:H67"/>
    <mergeCell ref="A43:D43"/>
    <mergeCell ref="E43:H43"/>
    <mergeCell ref="E44:H44"/>
    <mergeCell ref="E45:H45"/>
    <mergeCell ref="A90:B90"/>
    <mergeCell ref="E46:H46"/>
    <mergeCell ref="A89:B89"/>
    <mergeCell ref="C89:H89"/>
    <mergeCell ref="A44:D44"/>
    <mergeCell ref="A48:B48"/>
    <mergeCell ref="C48:H48"/>
    <mergeCell ref="A87:B87"/>
    <mergeCell ref="C87:H87"/>
    <mergeCell ref="A82:B82"/>
    <mergeCell ref="D62:H62"/>
    <mergeCell ref="G57:H57"/>
    <mergeCell ref="C53:E53"/>
    <mergeCell ref="A64:C65"/>
    <mergeCell ref="D64:H64"/>
    <mergeCell ref="D65:H65"/>
    <mergeCell ref="C50:E50"/>
    <mergeCell ref="A77:B77"/>
    <mergeCell ref="E77:F86"/>
    <mergeCell ref="A51:B51"/>
    <mergeCell ref="C51:E51"/>
    <mergeCell ref="A37:H37"/>
    <mergeCell ref="A36:B36"/>
    <mergeCell ref="C36:E36"/>
    <mergeCell ref="A41:D41"/>
    <mergeCell ref="E41:H41"/>
    <mergeCell ref="A40:H40"/>
    <mergeCell ref="A66:C66"/>
    <mergeCell ref="A67:C67"/>
    <mergeCell ref="D66:H66"/>
    <mergeCell ref="A39:B39"/>
    <mergeCell ref="C39:H39"/>
    <mergeCell ref="F36:H36"/>
    <mergeCell ref="E42:H42"/>
    <mergeCell ref="A42:D42"/>
    <mergeCell ref="A49:B49"/>
    <mergeCell ref="C49:E49"/>
    <mergeCell ref="C54:E54"/>
    <mergeCell ref="G54:H54"/>
    <mergeCell ref="G49:H49"/>
    <mergeCell ref="G53:H53"/>
    <mergeCell ref="A50:B50"/>
    <mergeCell ref="A60:H60"/>
    <mergeCell ref="A61:C61"/>
    <mergeCell ref="A62:C62"/>
    <mergeCell ref="A35:B35"/>
    <mergeCell ref="C35:E35"/>
    <mergeCell ref="A30:D30"/>
    <mergeCell ref="E30:H30"/>
    <mergeCell ref="A31:D31"/>
    <mergeCell ref="E31:H31"/>
    <mergeCell ref="A27:D27"/>
    <mergeCell ref="E27:H27"/>
    <mergeCell ref="C32:E32"/>
    <mergeCell ref="F35:H35"/>
    <mergeCell ref="F32:H32"/>
    <mergeCell ref="A33:B33"/>
    <mergeCell ref="A32:B32"/>
    <mergeCell ref="C33:E33"/>
    <mergeCell ref="A34:B34"/>
    <mergeCell ref="C34:E34"/>
    <mergeCell ref="F33:H33"/>
    <mergeCell ref="F34:H34"/>
    <mergeCell ref="E26:H26"/>
    <mergeCell ref="A28:D28"/>
    <mergeCell ref="E28:H28"/>
    <mergeCell ref="A25:D25"/>
    <mergeCell ref="E25:H25"/>
    <mergeCell ref="A24:D24"/>
    <mergeCell ref="E24:H24"/>
    <mergeCell ref="A29:D29"/>
    <mergeCell ref="E29:H29"/>
    <mergeCell ref="A26:D26"/>
    <mergeCell ref="E19:F19"/>
    <mergeCell ref="G19:H19"/>
    <mergeCell ref="A20:B20"/>
    <mergeCell ref="C20:D20"/>
    <mergeCell ref="E20:F20"/>
    <mergeCell ref="G20:H20"/>
    <mergeCell ref="A21:B21"/>
    <mergeCell ref="C21:D21"/>
    <mergeCell ref="E21:F21"/>
    <mergeCell ref="G21:H21"/>
    <mergeCell ref="E13:H13"/>
    <mergeCell ref="A14:D14"/>
    <mergeCell ref="A10:D10"/>
    <mergeCell ref="E10:H10"/>
    <mergeCell ref="A22:D23"/>
    <mergeCell ref="E22:H23"/>
    <mergeCell ref="E14:H14"/>
    <mergeCell ref="A15:B15"/>
    <mergeCell ref="C15:H15"/>
    <mergeCell ref="C16:H16"/>
    <mergeCell ref="A17:B17"/>
    <mergeCell ref="C17:H17"/>
    <mergeCell ref="A12:D12"/>
    <mergeCell ref="E12:H12"/>
    <mergeCell ref="A11:D11"/>
    <mergeCell ref="E11:H11"/>
    <mergeCell ref="A16:B16"/>
    <mergeCell ref="A13:D13"/>
    <mergeCell ref="A18:B18"/>
    <mergeCell ref="C18:D18"/>
    <mergeCell ref="E18:F18"/>
    <mergeCell ref="G18:H18"/>
    <mergeCell ref="A19:B19"/>
    <mergeCell ref="C19:D19"/>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D63:H63"/>
    <mergeCell ref="A63:C63"/>
    <mergeCell ref="G50:H50"/>
    <mergeCell ref="A53:B54"/>
    <mergeCell ref="A83:B83"/>
    <mergeCell ref="A76:B76"/>
    <mergeCell ref="A79:B79"/>
    <mergeCell ref="A75:B75"/>
    <mergeCell ref="A73:B73"/>
    <mergeCell ref="C73:H73"/>
    <mergeCell ref="A81:B81"/>
    <mergeCell ref="A68:C68"/>
    <mergeCell ref="D68:H68"/>
    <mergeCell ref="C75:H75"/>
    <mergeCell ref="A78:B78"/>
    <mergeCell ref="A80:B80"/>
    <mergeCell ref="E76:F76"/>
    <mergeCell ref="A69:C69"/>
    <mergeCell ref="D69:H69"/>
    <mergeCell ref="A72:C72"/>
    <mergeCell ref="D72:H72"/>
    <mergeCell ref="A70:C70"/>
    <mergeCell ref="D71:H71"/>
    <mergeCell ref="G51:H51"/>
    <mergeCell ref="A399:H402"/>
    <mergeCell ref="A398:B398"/>
    <mergeCell ref="E398:F398"/>
    <mergeCell ref="C398:D398"/>
    <mergeCell ref="G398:H398"/>
    <mergeCell ref="A116:H116"/>
    <mergeCell ref="A114:E114"/>
    <mergeCell ref="F114:H114"/>
    <mergeCell ref="A115:E115"/>
    <mergeCell ref="F115:H115"/>
    <mergeCell ref="A339:H339"/>
    <mergeCell ref="A122:B122"/>
    <mergeCell ref="A348:B348"/>
    <mergeCell ref="A394:H394"/>
    <mergeCell ref="A120:H120"/>
    <mergeCell ref="A397:H397"/>
    <mergeCell ref="A395:H395"/>
    <mergeCell ref="A391:H391"/>
    <mergeCell ref="G121:H121"/>
    <mergeCell ref="G352:H352"/>
    <mergeCell ref="A350:B350"/>
    <mergeCell ref="C129:C130"/>
    <mergeCell ref="B263:B264"/>
    <mergeCell ref="G341:H341"/>
    <mergeCell ref="B374:H374"/>
    <mergeCell ref="B375:H375"/>
    <mergeCell ref="A352:B352"/>
    <mergeCell ref="A263:A264"/>
    <mergeCell ref="G76:H76"/>
    <mergeCell ref="F102:H102"/>
    <mergeCell ref="F107:H107"/>
    <mergeCell ref="A268:B268"/>
    <mergeCell ref="A137:B137"/>
    <mergeCell ref="A136:B136"/>
    <mergeCell ref="E90:F90"/>
    <mergeCell ref="G90:H90"/>
    <mergeCell ref="A108:E108"/>
    <mergeCell ref="F108:H108"/>
    <mergeCell ref="A109:E109"/>
    <mergeCell ref="A111:E111"/>
    <mergeCell ref="F105:H105"/>
    <mergeCell ref="A110:E110"/>
    <mergeCell ref="E91:F100"/>
    <mergeCell ref="A98:B98"/>
    <mergeCell ref="A99:B99"/>
    <mergeCell ref="A262:H262"/>
    <mergeCell ref="A126:B126"/>
    <mergeCell ref="C126:D126"/>
    <mergeCell ref="A360:B360"/>
    <mergeCell ref="G360:H360"/>
    <mergeCell ref="G359:H359"/>
    <mergeCell ref="A357:H357"/>
    <mergeCell ref="A358:B358"/>
    <mergeCell ref="A359:B359"/>
    <mergeCell ref="A362:B362"/>
    <mergeCell ref="G362:H362"/>
    <mergeCell ref="A361:B361"/>
    <mergeCell ref="G358:H358"/>
    <mergeCell ref="G361:H361"/>
    <mergeCell ref="B379:H379"/>
    <mergeCell ref="A363:H363"/>
    <mergeCell ref="A364:B364"/>
    <mergeCell ref="G364:H367"/>
    <mergeCell ref="A396:H396"/>
    <mergeCell ref="A393:H393"/>
    <mergeCell ref="G355:H355"/>
    <mergeCell ref="A340:B340"/>
    <mergeCell ref="A121:B121"/>
    <mergeCell ref="D263:D264"/>
    <mergeCell ref="E263:E264"/>
    <mergeCell ref="G263:H264"/>
    <mergeCell ref="A349:B349"/>
    <mergeCell ref="A346:B346"/>
    <mergeCell ref="G342:H342"/>
    <mergeCell ref="B383:H383"/>
    <mergeCell ref="A392:H392"/>
    <mergeCell ref="A313:H313"/>
    <mergeCell ref="A314:B314"/>
    <mergeCell ref="G314:H316"/>
    <mergeCell ref="A210:B210"/>
    <mergeCell ref="A250:B250"/>
    <mergeCell ref="A292:H292"/>
    <mergeCell ref="A266:H266"/>
    <mergeCell ref="F103:H103"/>
    <mergeCell ref="G118:H118"/>
    <mergeCell ref="F110:H110"/>
    <mergeCell ref="C117:D117"/>
    <mergeCell ref="C125:D125"/>
    <mergeCell ref="A267:H267"/>
    <mergeCell ref="A134:B134"/>
    <mergeCell ref="E121:F121"/>
    <mergeCell ref="A148:B148"/>
    <mergeCell ref="A131:H131"/>
    <mergeCell ref="A132:H132"/>
    <mergeCell ref="A138:B138"/>
    <mergeCell ref="A172:H172"/>
    <mergeCell ref="A173:B173"/>
    <mergeCell ref="G173:H216"/>
    <mergeCell ref="A178:B178"/>
    <mergeCell ref="A183:B183"/>
    <mergeCell ref="A188:B188"/>
    <mergeCell ref="A193:B193"/>
    <mergeCell ref="A198:B198"/>
    <mergeCell ref="A204:B204"/>
    <mergeCell ref="A127:H127"/>
    <mergeCell ref="C123:D123"/>
    <mergeCell ref="E123:F123"/>
    <mergeCell ref="I14:P14"/>
    <mergeCell ref="G353:H353"/>
    <mergeCell ref="F113:H113"/>
    <mergeCell ref="F111:H111"/>
    <mergeCell ref="A347:B347"/>
    <mergeCell ref="A128:H128"/>
    <mergeCell ref="G117:H117"/>
    <mergeCell ref="A112:E112"/>
    <mergeCell ref="A135:B135"/>
    <mergeCell ref="A57:B57"/>
    <mergeCell ref="C57:E57"/>
    <mergeCell ref="D61:H61"/>
    <mergeCell ref="F112:H112"/>
    <mergeCell ref="E117:F117"/>
    <mergeCell ref="A117:B117"/>
    <mergeCell ref="C121:D121"/>
    <mergeCell ref="D70:H70"/>
    <mergeCell ref="A71:C71"/>
    <mergeCell ref="A327:H327"/>
    <mergeCell ref="A329:H329"/>
    <mergeCell ref="A330:B330"/>
    <mergeCell ref="L330:M330"/>
    <mergeCell ref="G126:H126"/>
    <mergeCell ref="A331:B331"/>
    <mergeCell ref="A297:B297"/>
    <mergeCell ref="L297:M297"/>
    <mergeCell ref="A298:B298"/>
    <mergeCell ref="L298:M298"/>
    <mergeCell ref="L314:M314"/>
    <mergeCell ref="A304:H304"/>
    <mergeCell ref="A305:B305"/>
    <mergeCell ref="G305:H307"/>
    <mergeCell ref="L305:M305"/>
    <mergeCell ref="A306:B306"/>
    <mergeCell ref="A309:B309"/>
    <mergeCell ref="C309:F309"/>
    <mergeCell ref="G309:H312"/>
    <mergeCell ref="L309:M309"/>
    <mergeCell ref="A310:B310"/>
    <mergeCell ref="L310:M310"/>
    <mergeCell ref="A311:B311"/>
    <mergeCell ref="L311:M311"/>
    <mergeCell ref="A312:B312"/>
    <mergeCell ref="L312:M312"/>
    <mergeCell ref="L148:M148"/>
    <mergeCell ref="A149:B149"/>
    <mergeCell ref="L149:M149"/>
    <mergeCell ref="A315:B315"/>
    <mergeCell ref="L315:M315"/>
    <mergeCell ref="A323:B323"/>
    <mergeCell ref="G323:H326"/>
    <mergeCell ref="L323:M323"/>
    <mergeCell ref="A324:B324"/>
    <mergeCell ref="L324:M324"/>
    <mergeCell ref="A325:B325"/>
    <mergeCell ref="L325:M325"/>
    <mergeCell ref="A326:B326"/>
    <mergeCell ref="L326:M326"/>
    <mergeCell ref="L316:M316"/>
    <mergeCell ref="A317:H317"/>
    <mergeCell ref="A322:H322"/>
    <mergeCell ref="A318:B318"/>
    <mergeCell ref="G318:H321"/>
    <mergeCell ref="L318:M318"/>
    <mergeCell ref="A319:B319"/>
    <mergeCell ref="L319:M319"/>
    <mergeCell ref="A320:B320"/>
    <mergeCell ref="A153:B153"/>
    <mergeCell ref="L153:M153"/>
    <mergeCell ref="A154:B154"/>
    <mergeCell ref="L154:M154"/>
    <mergeCell ref="A155:B155"/>
    <mergeCell ref="L155:M155"/>
    <mergeCell ref="A150:B150"/>
    <mergeCell ref="L150:M150"/>
    <mergeCell ref="A151:B151"/>
    <mergeCell ref="L151:M151"/>
    <mergeCell ref="A152:B152"/>
    <mergeCell ref="L152:M152"/>
    <mergeCell ref="L138:M138"/>
    <mergeCell ref="A139:B139"/>
    <mergeCell ref="L139:M139"/>
    <mergeCell ref="A140:B140"/>
    <mergeCell ref="L140:M140"/>
    <mergeCell ref="A147:B147"/>
    <mergeCell ref="L147:M147"/>
    <mergeCell ref="A144:B144"/>
    <mergeCell ref="L144:M144"/>
    <mergeCell ref="A145:B145"/>
    <mergeCell ref="L145:M145"/>
    <mergeCell ref="A146:B146"/>
    <mergeCell ref="L146:M146"/>
    <mergeCell ref="A141:B141"/>
    <mergeCell ref="L141:M141"/>
    <mergeCell ref="A142:B142"/>
    <mergeCell ref="L142:M142"/>
    <mergeCell ref="A143:B143"/>
    <mergeCell ref="L143:M143"/>
    <mergeCell ref="L160:M160"/>
    <mergeCell ref="A161:B161"/>
    <mergeCell ref="L161:M161"/>
    <mergeCell ref="A156:B156"/>
    <mergeCell ref="L156:M156"/>
    <mergeCell ref="A157:B157"/>
    <mergeCell ref="L157:M157"/>
    <mergeCell ref="A158:B158"/>
    <mergeCell ref="L158:M158"/>
    <mergeCell ref="L168:M168"/>
    <mergeCell ref="A169:B169"/>
    <mergeCell ref="L169:M169"/>
    <mergeCell ref="A170:B170"/>
    <mergeCell ref="L170:M170"/>
    <mergeCell ref="A165:B165"/>
    <mergeCell ref="L165:M165"/>
    <mergeCell ref="A166:B166"/>
    <mergeCell ref="L166:M166"/>
    <mergeCell ref="A167:B167"/>
    <mergeCell ref="L167:M167"/>
    <mergeCell ref="G134:H171"/>
    <mergeCell ref="A171:B171"/>
    <mergeCell ref="L171:M171"/>
    <mergeCell ref="A168:B168"/>
    <mergeCell ref="A162:B162"/>
    <mergeCell ref="L162:M162"/>
    <mergeCell ref="A163:B163"/>
    <mergeCell ref="L163:M163"/>
    <mergeCell ref="A164:B164"/>
    <mergeCell ref="L164:M164"/>
    <mergeCell ref="A159:B159"/>
    <mergeCell ref="L159:M159"/>
    <mergeCell ref="A160:B160"/>
    <mergeCell ref="L173:M173"/>
    <mergeCell ref="A174:B174"/>
    <mergeCell ref="L174:M174"/>
    <mergeCell ref="A175:B175"/>
    <mergeCell ref="L175:M175"/>
    <mergeCell ref="A176:B176"/>
    <mergeCell ref="L176:M176"/>
    <mergeCell ref="A177:B177"/>
    <mergeCell ref="L177:M177"/>
    <mergeCell ref="L178:M178"/>
    <mergeCell ref="A179:B179"/>
    <mergeCell ref="L179:M179"/>
    <mergeCell ref="A180:B180"/>
    <mergeCell ref="L180:M180"/>
    <mergeCell ref="A181:B181"/>
    <mergeCell ref="L181:M181"/>
    <mergeCell ref="A182:B182"/>
    <mergeCell ref="L182:M182"/>
    <mergeCell ref="L183:M183"/>
    <mergeCell ref="A184:B184"/>
    <mergeCell ref="L184:M184"/>
    <mergeCell ref="A185:B185"/>
    <mergeCell ref="L185:M185"/>
    <mergeCell ref="A186:B186"/>
    <mergeCell ref="L186:M186"/>
    <mergeCell ref="A187:B187"/>
    <mergeCell ref="L187:M187"/>
    <mergeCell ref="L188:M188"/>
    <mergeCell ref="A189:B189"/>
    <mergeCell ref="L189:M189"/>
    <mergeCell ref="A190:B190"/>
    <mergeCell ref="L190:M190"/>
    <mergeCell ref="A191:B191"/>
    <mergeCell ref="L191:M191"/>
    <mergeCell ref="A192:B192"/>
    <mergeCell ref="L192:M192"/>
    <mergeCell ref="L193:M193"/>
    <mergeCell ref="A194:B194"/>
    <mergeCell ref="L194:M194"/>
    <mergeCell ref="A195:B195"/>
    <mergeCell ref="L195:M195"/>
    <mergeCell ref="A196:B196"/>
    <mergeCell ref="L196:M196"/>
    <mergeCell ref="A197:B197"/>
    <mergeCell ref="L197:M197"/>
    <mergeCell ref="L198:M198"/>
    <mergeCell ref="A199:B199"/>
    <mergeCell ref="L199:M199"/>
    <mergeCell ref="A200:B200"/>
    <mergeCell ref="L200:M200"/>
    <mergeCell ref="A201:B201"/>
    <mergeCell ref="L201:M201"/>
    <mergeCell ref="L202:M202"/>
    <mergeCell ref="A203:B203"/>
    <mergeCell ref="L203:M203"/>
    <mergeCell ref="A202:B202"/>
    <mergeCell ref="L204:M204"/>
    <mergeCell ref="A205:B205"/>
    <mergeCell ref="L205:M205"/>
    <mergeCell ref="A206:B206"/>
    <mergeCell ref="L206:M206"/>
    <mergeCell ref="L207:M207"/>
    <mergeCell ref="A208:B208"/>
    <mergeCell ref="L208:M208"/>
    <mergeCell ref="A209:B209"/>
    <mergeCell ref="L209:M209"/>
    <mergeCell ref="L211:M211"/>
    <mergeCell ref="L225:M225"/>
    <mergeCell ref="A226:B226"/>
    <mergeCell ref="L226:M226"/>
    <mergeCell ref="A212:B212"/>
    <mergeCell ref="L212:M212"/>
    <mergeCell ref="A213:B213"/>
    <mergeCell ref="L213:M213"/>
    <mergeCell ref="A214:B214"/>
    <mergeCell ref="L214:M214"/>
    <mergeCell ref="A215:B215"/>
    <mergeCell ref="L215:M215"/>
    <mergeCell ref="A216:B216"/>
    <mergeCell ref="L216:M216"/>
    <mergeCell ref="L220:M220"/>
    <mergeCell ref="A221:B221"/>
    <mergeCell ref="L221:M221"/>
    <mergeCell ref="A222:B222"/>
    <mergeCell ref="L222:M222"/>
    <mergeCell ref="A223:B223"/>
    <mergeCell ref="L223:M223"/>
    <mergeCell ref="L224:M224"/>
    <mergeCell ref="A261:B261"/>
    <mergeCell ref="L261:M261"/>
    <mergeCell ref="L250:M250"/>
    <mergeCell ref="A251:B251"/>
    <mergeCell ref="L251:M251"/>
    <mergeCell ref="L242:M242"/>
    <mergeCell ref="A243:B243"/>
    <mergeCell ref="L243:M243"/>
    <mergeCell ref="A244:B244"/>
    <mergeCell ref="L244:M244"/>
    <mergeCell ref="A245:B245"/>
    <mergeCell ref="L245:M245"/>
    <mergeCell ref="A246:B246"/>
    <mergeCell ref="L246:M246"/>
    <mergeCell ref="L247:M247"/>
    <mergeCell ref="A248:B248"/>
    <mergeCell ref="L248:M248"/>
    <mergeCell ref="A249:B249"/>
    <mergeCell ref="L249:M249"/>
    <mergeCell ref="A256:B256"/>
    <mergeCell ref="L256:M256"/>
    <mergeCell ref="L257:M257"/>
    <mergeCell ref="A258:B258"/>
    <mergeCell ref="L258:M258"/>
    <mergeCell ref="L260:M260"/>
    <mergeCell ref="A95:B95"/>
    <mergeCell ref="A96:B96"/>
    <mergeCell ref="A97:B97"/>
    <mergeCell ref="L252:M252"/>
    <mergeCell ref="A253:B253"/>
    <mergeCell ref="L253:M253"/>
    <mergeCell ref="A254:B254"/>
    <mergeCell ref="L254:M254"/>
    <mergeCell ref="A255:B255"/>
    <mergeCell ref="L255:M255"/>
    <mergeCell ref="L237:M237"/>
    <mergeCell ref="A238:B238"/>
    <mergeCell ref="L238:M238"/>
    <mergeCell ref="A239:B239"/>
    <mergeCell ref="L239:M239"/>
    <mergeCell ref="A240:B240"/>
    <mergeCell ref="L240:M240"/>
    <mergeCell ref="A241:B241"/>
    <mergeCell ref="L241:M241"/>
    <mergeCell ref="L232:M232"/>
    <mergeCell ref="L235:M235"/>
    <mergeCell ref="A259:B259"/>
    <mergeCell ref="L210:M210"/>
    <mergeCell ref="L259:M259"/>
    <mergeCell ref="L236:M236"/>
    <mergeCell ref="L227:M227"/>
    <mergeCell ref="A228:B228"/>
    <mergeCell ref="L228:M228"/>
    <mergeCell ref="A229:B229"/>
    <mergeCell ref="L229:M229"/>
    <mergeCell ref="A230:B230"/>
    <mergeCell ref="L230:M230"/>
    <mergeCell ref="A231:B231"/>
    <mergeCell ref="L231:M231"/>
    <mergeCell ref="G218:H261"/>
    <mergeCell ref="L218:M218"/>
    <mergeCell ref="A219:B219"/>
    <mergeCell ref="L219:M219"/>
    <mergeCell ref="A236:B236"/>
    <mergeCell ref="L233:M233"/>
    <mergeCell ref="A234:B234"/>
    <mergeCell ref="L234:M234"/>
    <mergeCell ref="A247:B247"/>
    <mergeCell ref="A242:B242"/>
    <mergeCell ref="A237:B237"/>
    <mergeCell ref="A232:B232"/>
    <mergeCell ref="A260:B260"/>
    <mergeCell ref="A124:B124"/>
    <mergeCell ref="C124:D124"/>
    <mergeCell ref="E124:F124"/>
    <mergeCell ref="G124:H124"/>
    <mergeCell ref="A217:H217"/>
    <mergeCell ref="A218:B218"/>
    <mergeCell ref="A207:B207"/>
    <mergeCell ref="A235:B235"/>
    <mergeCell ref="A224:B224"/>
    <mergeCell ref="A233:B233"/>
    <mergeCell ref="A220:B220"/>
    <mergeCell ref="A227:B227"/>
    <mergeCell ref="A225:B225"/>
    <mergeCell ref="A211:B211"/>
    <mergeCell ref="L321:M321"/>
    <mergeCell ref="G335:H338"/>
    <mergeCell ref="L335:M335"/>
    <mergeCell ref="A336:B336"/>
    <mergeCell ref="L336:M336"/>
    <mergeCell ref="A337:B337"/>
    <mergeCell ref="L337:M337"/>
    <mergeCell ref="A338:B338"/>
    <mergeCell ref="L338:M338"/>
    <mergeCell ref="A328:H328"/>
    <mergeCell ref="L287:M287"/>
    <mergeCell ref="A288:B288"/>
    <mergeCell ref="A289:B289"/>
    <mergeCell ref="A290:B290"/>
    <mergeCell ref="A291:B291"/>
    <mergeCell ref="C288:F289"/>
    <mergeCell ref="C291:F291"/>
    <mergeCell ref="G288:H291"/>
    <mergeCell ref="L320:M320"/>
    <mergeCell ref="A293:H293"/>
    <mergeCell ref="L300:M300"/>
    <mergeCell ref="A301:B301"/>
    <mergeCell ref="L301:M301"/>
    <mergeCell ref="A302:B302"/>
    <mergeCell ref="L302:M302"/>
    <mergeCell ref="A303:B303"/>
    <mergeCell ref="L303:M303"/>
    <mergeCell ref="C300:F300"/>
    <mergeCell ref="A294:H294"/>
    <mergeCell ref="A295:B295"/>
    <mergeCell ref="G295:H298"/>
    <mergeCell ref="L295:M295"/>
    <mergeCell ref="A296:B296"/>
    <mergeCell ref="L296:M296"/>
    <mergeCell ref="B388:H388"/>
    <mergeCell ref="B389:H389"/>
    <mergeCell ref="A101:B101"/>
    <mergeCell ref="E101:F101"/>
    <mergeCell ref="G101:H101"/>
    <mergeCell ref="C101:D101"/>
    <mergeCell ref="A55:B56"/>
    <mergeCell ref="C55:E55"/>
    <mergeCell ref="G55:H55"/>
    <mergeCell ref="C56:E56"/>
    <mergeCell ref="G56:H56"/>
    <mergeCell ref="B387:H387"/>
    <mergeCell ref="B384:H384"/>
    <mergeCell ref="B385:H385"/>
    <mergeCell ref="B386:H386"/>
    <mergeCell ref="A287:H287"/>
    <mergeCell ref="A321:B321"/>
    <mergeCell ref="A58:B59"/>
    <mergeCell ref="C58:E58"/>
    <mergeCell ref="G58:H58"/>
    <mergeCell ref="C59:E59"/>
    <mergeCell ref="G59:H59"/>
    <mergeCell ref="A257:B257"/>
    <mergeCell ref="A252:B252"/>
  </mergeCells>
  <dataValidations count="13">
    <dataValidation type="list" allowBlank="1" showInputMessage="1" showErrorMessage="1" sqref="E4:H4">
      <formula1>"Axis Goregaon,Axis Thane,Axis Badlapur,Axis Sanpada, PNB Thane"</formula1>
    </dataValidation>
    <dataValidation type="list" allowBlank="1" showInputMessage="1" showErrorMessage="1" sqref="A16:B16">
      <formula1>"CTS No,Survey No,Plot No,Gut No,FP No,"</formula1>
    </dataValidation>
    <dataValidation type="list" allowBlank="1" showInputMessage="1" showErrorMessage="1" sqref="G19:H19">
      <formula1>$S$12:$W$12</formula1>
    </dataValidation>
    <dataValidation type="list" allowBlank="1" showInputMessage="1" showErrorMessage="1" sqref="E129:E130">
      <formula1>"Attached Loft area,Attached Terrace area,Attached Mezzanine area"</formula1>
    </dataValidation>
    <dataValidation type="list" allowBlank="1" showInputMessage="1" showErrorMessage="1" sqref="F264 F130">
      <formula1>"45%,50%,55%,60%"</formula1>
    </dataValidation>
    <dataValidation type="list" allowBlank="1" showInputMessage="1" showErrorMessage="1" sqref="G398:H398">
      <formula1>"Kunal Kadam,Pranita Mhatre,Shruti Tathare,Shruti Fule,Pooja Kawale,Mansee Mohite,Anjali Kamble, Hitakshi Mhatre, Sachin Sawant"</formula1>
    </dataValidation>
    <dataValidation type="list" allowBlank="1" showInputMessage="1" showErrorMessage="1" sqref="F102:H102">
      <formula1>"On Saleable Area,On Builtup Area,On Carpet Area,On Plot Area"</formula1>
    </dataValidation>
    <dataValidation type="list" allowBlank="1" showInputMessage="1" showErrorMessage="1" sqref="F114:H114">
      <formula1>"100000,150000,200000,250000,300000,350000,400000,500000,600000,700000,800000,900000,1000000,1200000,1400000,1500000"</formula1>
    </dataValidation>
    <dataValidation type="list" allowBlank="1" showInputMessage="1" showErrorMessage="1" sqref="F129 F263">
      <formula1>"Saleable area Loading :,Builder Saleable area"</formula1>
    </dataValidation>
    <dataValidation type="list" allowBlank="1" showInputMessage="1" showErrorMessage="1" sqref="B129:B130">
      <formula1>"Shop No. (Sale Plan),Sale / Rehab,Sale / Mhada"</formula1>
    </dataValidation>
    <dataValidation type="list" allowBlank="1" showInputMessage="1" showErrorMessage="1" sqref="B263:B264">
      <formula1>"Flat No. (Sale Plan),Sale / Rehab,Sale / Mhada"</formula1>
    </dataValidation>
    <dataValidation type="list" allowBlank="1" showInputMessage="1" showErrorMessage="1" sqref="C20:D20">
      <formula1>OFFSET($S$12,1,MATCH($G19,$S$12:$W$12,0)-1,15,1)</formula1>
    </dataValidation>
    <dataValidation type="list" allowBlank="1" showInputMessage="1" showErrorMessage="1" sqref="Y12">
      <formula1>$D$4:$H$4</formula1>
    </dataValidation>
  </dataValidations>
  <hyperlinks>
    <hyperlink ref="C39"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8" manualBreakCount="8">
    <brk id="54" max="16383" man="1"/>
    <brk id="72" max="7" man="1"/>
    <brk id="402" max="16383" man="1"/>
    <brk id="444" max="16383" man="1"/>
    <brk id="484" max="16383" man="1"/>
    <brk id="522" max="16383" man="1"/>
    <brk id="558" max="16383" man="1"/>
    <brk id="60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0" sqref="C20"/>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05" t="s">
        <v>105</v>
      </c>
      <c r="C3" s="205"/>
      <c r="D3" s="205"/>
      <c r="E3" s="205"/>
      <c r="F3" s="205"/>
      <c r="G3" s="205"/>
      <c r="H3" s="205"/>
    </row>
    <row r="4" spans="1:9" x14ac:dyDescent="0.25">
      <c r="A4" s="2"/>
      <c r="B4" s="3" t="s">
        <v>106</v>
      </c>
      <c r="C4" s="3" t="s">
        <v>107</v>
      </c>
      <c r="D4" s="3" t="s">
        <v>67</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30"/>
  <sheetViews>
    <sheetView topLeftCell="A16" zoomScale="130" zoomScaleNormal="130" workbookViewId="0">
      <selection activeCell="C30" sqref="C30"/>
    </sheetView>
  </sheetViews>
  <sheetFormatPr defaultRowHeight="15" x14ac:dyDescent="0.25"/>
  <cols>
    <col min="4" max="4" width="11" bestFit="1" customWidth="1"/>
    <col min="5" max="5" width="10.42578125" bestFit="1" customWidth="1"/>
    <col min="8" max="8" width="10.5703125" bestFit="1" customWidth="1"/>
  </cols>
  <sheetData>
    <row r="3" spans="2:11" x14ac:dyDescent="0.25">
      <c r="J3">
        <v>1</v>
      </c>
      <c r="K3">
        <v>2</v>
      </c>
    </row>
    <row r="4" spans="2:11" x14ac:dyDescent="0.25">
      <c r="B4" s="49"/>
      <c r="C4" s="49" t="s">
        <v>12</v>
      </c>
      <c r="D4" s="50" t="s">
        <v>183</v>
      </c>
      <c r="E4" s="50" t="s">
        <v>193</v>
      </c>
      <c r="F4" s="50" t="s">
        <v>176</v>
      </c>
      <c r="G4" s="50" t="s">
        <v>198</v>
      </c>
      <c r="H4" s="50" t="s">
        <v>216</v>
      </c>
      <c r="J4" t="s">
        <v>198</v>
      </c>
      <c r="K4" t="s">
        <v>214</v>
      </c>
    </row>
    <row r="5" spans="2:11" x14ac:dyDescent="0.25">
      <c r="B5" s="49"/>
      <c r="C5" s="49"/>
      <c r="D5" s="50" t="s">
        <v>184</v>
      </c>
      <c r="E5" s="50" t="s">
        <v>191</v>
      </c>
      <c r="F5" s="50" t="s">
        <v>213</v>
      </c>
      <c r="G5" s="50" t="s">
        <v>199</v>
      </c>
      <c r="H5" s="50" t="s">
        <v>217</v>
      </c>
    </row>
    <row r="6" spans="2:11" x14ac:dyDescent="0.25">
      <c r="B6" s="49"/>
      <c r="C6" s="49"/>
      <c r="D6" s="50" t="s">
        <v>185</v>
      </c>
      <c r="E6" s="50" t="s">
        <v>192</v>
      </c>
      <c r="F6" s="50" t="s">
        <v>214</v>
      </c>
      <c r="G6" s="50" t="s">
        <v>200</v>
      </c>
      <c r="H6" s="50" t="s">
        <v>230</v>
      </c>
    </row>
    <row r="7" spans="2:11" x14ac:dyDescent="0.25">
      <c r="B7" s="49"/>
      <c r="C7" s="49"/>
      <c r="D7" s="50" t="s">
        <v>186</v>
      </c>
      <c r="E7" s="50" t="s">
        <v>194</v>
      </c>
      <c r="F7" s="50" t="s">
        <v>215</v>
      </c>
      <c r="G7" s="50" t="s">
        <v>201</v>
      </c>
      <c r="H7" s="50" t="s">
        <v>218</v>
      </c>
    </row>
    <row r="8" spans="2:11" x14ac:dyDescent="0.25">
      <c r="B8" s="49"/>
      <c r="C8" s="49"/>
      <c r="D8" s="50" t="s">
        <v>187</v>
      </c>
      <c r="E8" s="50" t="s">
        <v>195</v>
      </c>
      <c r="F8" s="50"/>
      <c r="G8" s="50" t="s">
        <v>202</v>
      </c>
      <c r="H8" s="50" t="s">
        <v>219</v>
      </c>
    </row>
    <row r="9" spans="2:11" x14ac:dyDescent="0.25">
      <c r="B9" s="49"/>
      <c r="C9" s="49"/>
      <c r="D9" s="50" t="s">
        <v>188</v>
      </c>
      <c r="E9" s="50" t="s">
        <v>193</v>
      </c>
      <c r="F9" s="50"/>
      <c r="G9" s="50" t="s">
        <v>203</v>
      </c>
      <c r="H9" s="50" t="s">
        <v>220</v>
      </c>
    </row>
    <row r="10" spans="2:11" x14ac:dyDescent="0.25">
      <c r="B10" s="49"/>
      <c r="C10" s="49"/>
      <c r="D10" s="50" t="s">
        <v>189</v>
      </c>
      <c r="E10" s="50" t="s">
        <v>196</v>
      </c>
      <c r="F10" s="50"/>
      <c r="G10" s="50" t="s">
        <v>204</v>
      </c>
      <c r="H10" s="50" t="s">
        <v>221</v>
      </c>
    </row>
    <row r="11" spans="2:11" x14ac:dyDescent="0.25">
      <c r="B11" s="49"/>
      <c r="C11" s="49"/>
      <c r="D11" s="50" t="s">
        <v>190</v>
      </c>
      <c r="E11" s="50" t="s">
        <v>197</v>
      </c>
      <c r="F11" s="50"/>
      <c r="G11" s="50" t="s">
        <v>205</v>
      </c>
      <c r="H11" s="50" t="s">
        <v>222</v>
      </c>
    </row>
    <row r="12" spans="2:11" x14ac:dyDescent="0.25">
      <c r="B12" s="49"/>
      <c r="C12" s="49"/>
      <c r="D12" s="50"/>
      <c r="E12" s="50"/>
      <c r="F12" s="50"/>
      <c r="G12" s="50" t="s">
        <v>206</v>
      </c>
      <c r="H12" s="50" t="s">
        <v>223</v>
      </c>
    </row>
    <row r="13" spans="2:11" x14ac:dyDescent="0.25">
      <c r="B13" s="49"/>
      <c r="C13" s="49"/>
      <c r="D13" s="50"/>
      <c r="E13" s="50"/>
      <c r="F13" s="50"/>
      <c r="G13" s="50" t="s">
        <v>207</v>
      </c>
      <c r="H13" s="50" t="s">
        <v>224</v>
      </c>
    </row>
    <row r="14" spans="2:11" x14ac:dyDescent="0.25">
      <c r="B14" s="49"/>
      <c r="C14" s="49"/>
      <c r="D14" s="50"/>
      <c r="E14" s="50"/>
      <c r="F14" s="50"/>
      <c r="G14" s="50" t="s">
        <v>208</v>
      </c>
      <c r="H14" s="50" t="s">
        <v>225</v>
      </c>
    </row>
    <row r="15" spans="2:11" x14ac:dyDescent="0.25">
      <c r="B15" s="49"/>
      <c r="C15" s="49"/>
      <c r="D15" s="50"/>
      <c r="E15" s="50"/>
      <c r="F15" s="50"/>
      <c r="G15" s="50" t="s">
        <v>209</v>
      </c>
      <c r="H15" s="50" t="s">
        <v>226</v>
      </c>
    </row>
    <row r="16" spans="2:11" x14ac:dyDescent="0.25">
      <c r="B16" s="49"/>
      <c r="C16" s="49"/>
      <c r="D16" s="50"/>
      <c r="E16" s="50"/>
      <c r="F16" s="50"/>
      <c r="G16" s="50" t="s">
        <v>210</v>
      </c>
      <c r="H16" s="50" t="s">
        <v>227</v>
      </c>
    </row>
    <row r="17" spans="2:8" x14ac:dyDescent="0.25">
      <c r="B17" s="49"/>
      <c r="C17" s="49"/>
      <c r="D17" s="50"/>
      <c r="E17" s="50"/>
      <c r="F17" s="50"/>
      <c r="G17" s="50" t="s">
        <v>211</v>
      </c>
      <c r="H17" s="50" t="s">
        <v>228</v>
      </c>
    </row>
    <row r="18" spans="2:8" x14ac:dyDescent="0.25">
      <c r="B18" s="49"/>
      <c r="C18" s="49"/>
      <c r="D18" s="50"/>
      <c r="E18" s="50"/>
      <c r="F18" s="50"/>
      <c r="G18" s="50" t="s">
        <v>212</v>
      </c>
      <c r="H18" s="50" t="s">
        <v>229</v>
      </c>
    </row>
    <row r="24" spans="2:8" x14ac:dyDescent="0.25">
      <c r="C24" t="s">
        <v>173</v>
      </c>
    </row>
    <row r="25" spans="2:8" x14ac:dyDescent="0.25">
      <c r="C25" t="s">
        <v>231</v>
      </c>
    </row>
    <row r="26" spans="2:8" x14ac:dyDescent="0.25">
      <c r="C26" t="s">
        <v>232</v>
      </c>
    </row>
    <row r="27" spans="2:8" x14ac:dyDescent="0.25">
      <c r="C27" t="s">
        <v>233</v>
      </c>
    </row>
    <row r="28" spans="2:8" x14ac:dyDescent="0.25">
      <c r="C28" t="s">
        <v>234</v>
      </c>
    </row>
    <row r="29" spans="2:8" x14ac:dyDescent="0.25">
      <c r="C29" t="s">
        <v>235</v>
      </c>
    </row>
    <row r="30" spans="2:8" x14ac:dyDescent="0.25">
      <c r="C30" t="s">
        <v>173</v>
      </c>
    </row>
  </sheetData>
  <dataValidations count="2">
    <dataValidation type="list" allowBlank="1" showInputMessage="1" showErrorMessage="1" sqref="J4">
      <formula1>$D$4:$H$4</formula1>
    </dataValidation>
    <dataValidation type="list" allowBlank="1" showInputMessage="1" showErrorMessage="1" sqref="K4">
      <formula1>OFFSET($D$4,1,MATCH($J4,$D$4:$H$4,0)-1,15,1)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Research</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2025-07-15T09:02:38Z</cp:lastPrinted>
  <dcterms:created xsi:type="dcterms:W3CDTF">2019-07-16T09:29:46Z</dcterms:created>
  <dcterms:modified xsi:type="dcterms:W3CDTF">2025-07-15T09:02:40Z</dcterms:modified>
</cp:coreProperties>
</file>