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July 25\Dump\"/>
    </mc:Choice>
  </mc:AlternateContent>
  <bookViews>
    <workbookView xWindow="0" yWindow="0" windowWidth="19200" windowHeight="6645" tabRatio="725"/>
  </bookViews>
  <sheets>
    <sheet name="Report" sheetId="1" r:id="rId1"/>
    <sheet name="valuation" sheetId="5" r:id="rId2"/>
    <sheet name="Research" sheetId="4" r:id="rId3"/>
    <sheet name="Remarks" sheetId="6" r:id="rId4"/>
  </sheets>
  <definedNames>
    <definedName name="_xlnm.Print_Area" localSheetId="0">Report!$A$1:$H$343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8" i="1" l="1"/>
  <c r="E159" i="1" l="1"/>
  <c r="D159" i="1"/>
  <c r="E158" i="1"/>
  <c r="D158" i="1"/>
  <c r="E157" i="1"/>
  <c r="D157" i="1"/>
  <c r="D156" i="1"/>
  <c r="C132" i="1" l="1"/>
  <c r="D154" i="1"/>
  <c r="H154" i="1" s="1"/>
  <c r="E149" i="1"/>
  <c r="D149" i="1"/>
  <c r="E148" i="1"/>
  <c r="D148" i="1"/>
  <c r="E147" i="1"/>
  <c r="D147" i="1"/>
  <c r="E146" i="1"/>
  <c r="D146" i="1"/>
  <c r="E145" i="1"/>
  <c r="D145" i="1"/>
  <c r="E144" i="1"/>
  <c r="D144" i="1"/>
  <c r="E143" i="1"/>
  <c r="D143" i="1"/>
  <c r="E142" i="1"/>
  <c r="D142" i="1"/>
  <c r="E31" i="1"/>
  <c r="I41" i="1"/>
  <c r="I43" i="1"/>
  <c r="F154" i="1"/>
  <c r="E44" i="1"/>
  <c r="E45" i="1" s="1"/>
  <c r="C127" i="1" l="1"/>
  <c r="C135" i="1" s="1"/>
  <c r="H148" i="1"/>
  <c r="H146" i="1"/>
  <c r="H147" i="1"/>
  <c r="H149" i="1"/>
  <c r="F149" i="1"/>
  <c r="F146" i="1"/>
  <c r="F147" i="1"/>
  <c r="F148" i="1"/>
  <c r="L155" i="1"/>
  <c r="L184" i="1" s="1"/>
  <c r="J152" i="1"/>
  <c r="J119" i="1" l="1"/>
  <c r="K119" i="1" s="1"/>
  <c r="I69" i="1" l="1"/>
  <c r="B186" i="1" l="1"/>
  <c r="S33" i="1" l="1"/>
  <c r="F11" i="5" l="1"/>
  <c r="G11" i="5" s="1"/>
  <c r="F10" i="5"/>
  <c r="G10" i="5" s="1"/>
  <c r="F9" i="5"/>
  <c r="G9" i="5" s="1"/>
  <c r="G8" i="5"/>
  <c r="F8" i="5"/>
  <c r="F7" i="5"/>
  <c r="G7" i="5" s="1"/>
  <c r="G6" i="5"/>
  <c r="F6" i="5"/>
  <c r="F5" i="5"/>
  <c r="G5" i="5" s="1"/>
  <c r="G12" i="5" s="1"/>
  <c r="D212" i="1"/>
  <c r="B187" i="1"/>
  <c r="F183" i="1"/>
  <c r="H183" i="1" s="1"/>
  <c r="F182" i="1"/>
  <c r="H182" i="1" s="1"/>
  <c r="F181" i="1"/>
  <c r="H181" i="1" s="1"/>
  <c r="F180" i="1"/>
  <c r="H180" i="1" s="1"/>
  <c r="F179" i="1"/>
  <c r="H179" i="1" s="1"/>
  <c r="F177" i="1"/>
  <c r="H177" i="1" s="1"/>
  <c r="F176" i="1"/>
  <c r="H176" i="1" s="1"/>
  <c r="F175" i="1"/>
  <c r="H175" i="1" s="1"/>
  <c r="F174" i="1"/>
  <c r="H174" i="1" s="1"/>
  <c r="F173" i="1"/>
  <c r="H173" i="1" s="1"/>
  <c r="F171" i="1"/>
  <c r="H171" i="1" s="1"/>
  <c r="F170" i="1"/>
  <c r="H170" i="1" s="1"/>
  <c r="F169" i="1"/>
  <c r="H169" i="1" s="1"/>
  <c r="F168" i="1"/>
  <c r="H168" i="1" s="1"/>
  <c r="F167" i="1"/>
  <c r="H167" i="1" s="1"/>
  <c r="F165" i="1"/>
  <c r="H165" i="1" s="1"/>
  <c r="F164" i="1"/>
  <c r="H164" i="1" s="1"/>
  <c r="F163" i="1"/>
  <c r="H163" i="1" s="1"/>
  <c r="F162" i="1"/>
  <c r="H162" i="1" s="1"/>
  <c r="F161" i="1"/>
  <c r="H161" i="1" s="1"/>
  <c r="A161" i="1"/>
  <c r="A162" i="1" s="1"/>
  <c r="A163" i="1" s="1"/>
  <c r="A164" i="1" s="1"/>
  <c r="A165" i="1" s="1"/>
  <c r="F159" i="1"/>
  <c r="H159" i="1" s="1"/>
  <c r="F158" i="1"/>
  <c r="H158" i="1" s="1"/>
  <c r="F157" i="1"/>
  <c r="H157" i="1" s="1"/>
  <c r="A157" i="1"/>
  <c r="A158" i="1" s="1"/>
  <c r="A159" i="1" s="1"/>
  <c r="F156" i="1"/>
  <c r="H145" i="1"/>
  <c r="F145" i="1"/>
  <c r="H144" i="1"/>
  <c r="F144" i="1"/>
  <c r="H143" i="1"/>
  <c r="F143" i="1"/>
  <c r="A143" i="1"/>
  <c r="A144" i="1" s="1"/>
  <c r="A145" i="1" s="1"/>
  <c r="A146" i="1" s="1"/>
  <c r="A147" i="1" s="1"/>
  <c r="A148" i="1" s="1"/>
  <c r="A149" i="1" s="1"/>
  <c r="A154" i="1" s="1"/>
  <c r="H142" i="1"/>
  <c r="F142" i="1"/>
  <c r="F124" i="1"/>
  <c r="C98" i="1"/>
  <c r="C84" i="1"/>
  <c r="C70" i="1"/>
  <c r="D64" i="1"/>
  <c r="G52" i="1"/>
  <c r="C52" i="1"/>
  <c r="E28" i="1"/>
  <c r="E26" i="1"/>
  <c r="C16" i="1"/>
  <c r="I15" i="1"/>
  <c r="Z13" i="1"/>
  <c r="E8" i="1"/>
  <c r="E3" i="1"/>
  <c r="H71" i="1"/>
  <c r="H85" i="1"/>
  <c r="H99" i="1"/>
  <c r="A179" i="1"/>
  <c r="A167" i="1"/>
  <c r="A173" i="1"/>
  <c r="E127" i="1" l="1"/>
  <c r="E132" i="1"/>
  <c r="G127" i="1"/>
  <c r="E135" i="1"/>
  <c r="H156" i="1"/>
  <c r="G132" i="1" s="1"/>
  <c r="J70" i="1"/>
  <c r="J72" i="1" s="1"/>
  <c r="J73" i="1"/>
  <c r="J74" i="1"/>
  <c r="J75" i="1"/>
  <c r="C74" i="1" s="1"/>
  <c r="J89" i="1"/>
  <c r="C88" i="1" s="1"/>
  <c r="D88" i="1" s="1"/>
  <c r="E88" i="1"/>
  <c r="D93" i="1"/>
  <c r="D95" i="1"/>
  <c r="D89" i="1"/>
  <c r="J88" i="1"/>
  <c r="D94" i="1"/>
  <c r="J84" i="1"/>
  <c r="J86" i="1" s="1"/>
  <c r="D92" i="1"/>
  <c r="J87" i="1"/>
  <c r="D91" i="1"/>
  <c r="D97" i="1"/>
  <c r="D96" i="1"/>
  <c r="D90" i="1"/>
  <c r="D78" i="1"/>
  <c r="D80" i="1"/>
  <c r="D79" i="1"/>
  <c r="D83" i="1"/>
  <c r="D77" i="1"/>
  <c r="D82" i="1"/>
  <c r="D76" i="1"/>
  <c r="D81" i="1"/>
  <c r="C104" i="1"/>
  <c r="J98" i="1" s="1"/>
  <c r="J100" i="1" s="1"/>
  <c r="D107" i="1"/>
  <c r="D109" i="1"/>
  <c r="J103" i="1"/>
  <c r="C102" i="1" s="1"/>
  <c r="D102" i="1" s="1"/>
  <c r="D108" i="1"/>
  <c r="J102" i="1"/>
  <c r="D106" i="1"/>
  <c r="J101" i="1"/>
  <c r="D105" i="1"/>
  <c r="D111" i="1"/>
  <c r="D110" i="1"/>
  <c r="B99" i="1"/>
  <c r="B85" i="1"/>
  <c r="J76" i="1"/>
  <c r="A168" i="1"/>
  <c r="A174" i="1"/>
  <c r="A180" i="1"/>
  <c r="G135" i="1" l="1"/>
  <c r="D74" i="1"/>
  <c r="D104" i="1"/>
  <c r="J109" i="1"/>
  <c r="J106" i="1"/>
  <c r="J108" i="1"/>
  <c r="J107" i="1"/>
  <c r="J104" i="1"/>
  <c r="J105" i="1" s="1"/>
  <c r="J110" i="1" s="1"/>
  <c r="J111" i="1" s="1"/>
  <c r="C103" i="1" s="1"/>
  <c r="J95" i="1"/>
  <c r="J92" i="1"/>
  <c r="J94" i="1"/>
  <c r="J93" i="1"/>
  <c r="J90" i="1"/>
  <c r="J91" i="1" s="1"/>
  <c r="I85" i="1"/>
  <c r="I86" i="1" s="1"/>
  <c r="J80" i="1"/>
  <c r="J78" i="1"/>
  <c r="J79" i="1"/>
  <c r="J77" i="1"/>
  <c r="J82" i="1" s="1"/>
  <c r="J83" i="1" s="1"/>
  <c r="C75" i="1" s="1"/>
  <c r="J81" i="1"/>
  <c r="G88" i="1"/>
  <c r="A181" i="1"/>
  <c r="A175" i="1"/>
  <c r="A169" i="1"/>
  <c r="J71" i="1" l="1"/>
  <c r="J96" i="1"/>
  <c r="J97" i="1" s="1"/>
  <c r="J85" i="1" s="1"/>
  <c r="I84" i="1" s="1"/>
  <c r="C86" i="1" s="1"/>
  <c r="E102" i="1"/>
  <c r="D103" i="1"/>
  <c r="I99" i="1" s="1"/>
  <c r="J99" i="1"/>
  <c r="G102" i="1"/>
  <c r="E74" i="1"/>
  <c r="D75" i="1"/>
  <c r="I71" i="1" s="1"/>
  <c r="G74" i="1"/>
  <c r="D68" i="1" s="1"/>
  <c r="A176" i="1"/>
  <c r="A170" i="1"/>
  <c r="A182" i="1"/>
  <c r="F69" i="1" l="1"/>
  <c r="D69" i="1"/>
  <c r="I100" i="1"/>
  <c r="I98" i="1" s="1"/>
  <c r="C100" i="1" s="1"/>
  <c r="I72" i="1"/>
  <c r="I70" i="1" s="1"/>
  <c r="C72" i="1" s="1"/>
  <c r="A183" i="1"/>
  <c r="A177" i="1"/>
  <c r="A171"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D57"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1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<sst xmlns="http://schemas.openxmlformats.org/spreadsheetml/2006/main" count="604" uniqueCount="356">
  <si>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</si>
  <si>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</si>
  <si>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</si>
  <si>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</si>
  <si>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</si>
  <si>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</si>
  <si>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</si>
  <si>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</si>
  <si>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</si>
  <si>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</si>
  <si>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</si>
  <si>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</si>
  <si>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</si>
  <si>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</si>
  <si>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</si>
  <si>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</si>
  <si>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</si>
  <si>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</si>
  <si>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</si>
  <si>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</si>
  <si>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</si>
  <si>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</si>
  <si>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</si>
  <si>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</si>
  <si>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</si>
  <si>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</si>
  <si>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</si>
  <si>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</si>
  <si>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</si>
  <si>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</si>
  <si>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</si>
  <si>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</si>
  <si>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</si>
  <si>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</si>
  <si>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</si>
  <si>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</si>
  <si>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</si>
  <si>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</si>
  <si>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</si>
  <si>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</si>
  <si>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</si>
  <si>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</si>
  <si>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</si>
  <si>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</si>
  <si>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</si>
  <si>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</si>
  <si>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</si>
  <si>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</si>
  <si>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</si>
  <si>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</si>
  <si>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</si>
  <si>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</si>
  <si>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</si>
  <si>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</si>
  <si>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</si>
  <si>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</si>
  <si>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</si>
  <si>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</si>
  <si>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</si>
  <si>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</si>
  <si>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</si>
  <si>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</si>
  <si>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</si>
  <si>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</si>
  <si>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</si>
  <si>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</si>
  <si>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</si>
  <si>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</si>
  <si>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</si>
  <si>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</si>
  <si>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</si>
  <si>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</si>
  <si>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</si>
  <si>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</si>
  <si>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</si>
  <si>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</si>
  <si>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</si>
  <si>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</si>
  <si>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</si>
  <si>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</si>
  <si>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</si>
  <si>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</si>
  <si>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</si>
  <si>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</si>
  <si>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</si>
  <si>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</si>
  <si>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</si>
  <si>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</si>
  <si>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</si>
  <si>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</si>
  <si>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</si>
  <si>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</si>
  <si>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</si>
  <si>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</si>
  <si>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</si>
  <si>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</si>
  <si>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</si>
  <si>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</si>
  <si>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</si>
  <si>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</si>
  <si>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</si>
  <si>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</si>
  <si>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</si>
  <si>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</si>
  <si>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</si>
  <si>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</si>
  <si>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</si>
  <si>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</si>
  <si>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</si>
  <si>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</si>
  <si>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</si>
  <si>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</si>
  <si>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</si>
  <si>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</si>
  <si>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</si>
  <si>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</si>
  <si>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</si>
  <si>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</si>
  <si>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</si>
  <si>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</si>
  <si>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</si>
  <si>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</si>
  <si>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</si>
  <si>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</si>
  <si>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</si>
  <si>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</si>
  <si>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</si>
  <si>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</si>
  <si>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</si>
  <si>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</si>
  <si>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</si>
  <si>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</si>
  <si>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</si>
  <si>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</si>
  <si>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</si>
  <si>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</si>
  <si>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</si>
  <si>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</si>
  <si>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</si>
  <si>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</si>
  <si>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</si>
  <si>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</si>
  <si>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</si>
  <si>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</si>
  <si>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</si>
  <si>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</si>
  <si>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</si>
  <si>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</si>
  <si>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</si>
  <si>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</si>
  <si>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</si>
  <si>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</si>
  <si>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</si>
  <si>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</si>
  <si>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</si>
  <si>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</si>
  <si>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</si>
  <si>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</si>
  <si>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</si>
  <si>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</si>
  <si>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</si>
  <si>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</si>
  <si>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</si>
  <si>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</si>
  <si>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</si>
  <si>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</si>
  <si>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</si>
  <si>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</si>
  <si>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</si>
  <si>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B Wing = 1B + G + 1st to 20th Floor</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</si>
  <si>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</si>
  <si>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</si>
  <si>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</si>
  <si>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</si>
  <si>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</si>
  <si>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</si>
  <si>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</si>
  <si>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</si>
  <si>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</si>
  <si>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</si>
  <si>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</si>
  <si>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</si>
  <si>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</si>
  <si>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</si>
  <si>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</si>
  <si>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</si>
  <si>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</si>
  <si>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</si>
  <si>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</si>
  <si>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</si>
  <si>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</si>
  <si>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</si>
  <si>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</si>
  <si>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</si>
  <si>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</si>
  <si>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</si>
  <si>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</si>
  <si>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</si>
  <si>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</si>
  <si>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</si>
  <si>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</si>
  <si>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</si>
  <si>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</si>
  <si>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</si>
  <si>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</si>
  <si>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</si>
  <si>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</si>
  <si>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</si>
  <si>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</si>
  <si>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</si>
  <si>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</si>
  <si>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</si>
  <si>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</si>
  <si>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</si>
  <si>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</si>
  <si>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</si>
  <si>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</si>
  <si>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</si>
  <si>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</si>
  <si>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</si>
  <si>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</si>
  <si>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</si>
  <si>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</si>
  <si>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</si>
  <si>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</si>
  <si>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</si>
  <si>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</si>
  <si>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</si>
  <si>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</si>
  <si>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</si>
  <si>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</si>
  <si>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</si>
  <si>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</si>
  <si>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</si>
  <si>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</si>
  <si>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</si>
  <si>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</si>
  <si>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</si>
  <si>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</si>
  <si>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</si>
  <si>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</si>
  <si>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</si>
  <si>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</si>
  <si>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</si>
  <si>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</si>
  <si>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</si>
  <si>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</si>
  <si>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</si>
  <si>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</si>
  <si>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</si>
  <si>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</si>
  <si>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</si>
  <si>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</si>
  <si>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</si>
  <si>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</si>
  <si>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</si>
  <si>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</si>
  <si>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</si>
  <si>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</si>
  <si>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</si>
  <si>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</si>
  <si>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</si>
  <si>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</si>
  <si>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</si>
  <si>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</si>
  <si>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</si>
  <si>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</si>
  <si>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</si>
  <si>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</si>
  <si>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</si>
  <si>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</si>
  <si>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</si>
  <si>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</si>
  <si>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</si>
  <si>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</si>
  <si>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</si>
  <si>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</si>
  <si>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</si>
  <si>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</si>
  <si>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</si>
  <si>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</si>
  <si>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</si>
  <si>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</si>
  <si>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</si>
  <si>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</si>
  <si>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</si>
  <si>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</si>
  <si>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</si>
  <si>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</si>
  <si>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</si>
  <si>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</si>
  <si>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</si>
  <si>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</si>
  <si>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</si>
  <si>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</si>
  <si>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</si>
  <si>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</si>
  <si>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</si>
  <si>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</si>
  <si>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</si>
  <si>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There are inadequate transportation options to get to the project and the area is not 
developed.</t>
  </si>
  <si>
    <t>We did not consider the terrace area attached to the 1st floor flats because it was not shown in the approved plans. However, it was shown in the sales plan.</t>
  </si>
  <si>
    <t>River located on west side of the project.</t>
  </si>
  <si>
    <t>Gurukrupa Realcon Infrabuild LLP</t>
  </si>
  <si>
    <t>Gurukrupa Gyanam</t>
  </si>
  <si>
    <t xml:space="preserve">Mr. Devendra Naik 7208119728 </t>
  </si>
  <si>
    <t>Powai Manidwip Commercial Premises Co-Op. Housing Society Ltd</t>
  </si>
  <si>
    <t>Approved Plans, CC &amp; Cost Sheet.</t>
  </si>
  <si>
    <t>P51800053259</t>
  </si>
  <si>
    <t>7/18, Redevlopement of "Powai Manidwip Commercial Premises Co-Op. Housing Society Ltd"</t>
  </si>
  <si>
    <t>Kopari</t>
  </si>
  <si>
    <t>Powai Mhada Colony</t>
  </si>
  <si>
    <t>19.117469,72.903923</t>
  </si>
  <si>
    <t>https://maps.app.goo.gl/AVQ9zxBcHG3cwDsV6</t>
  </si>
  <si>
    <t>Powai East</t>
  </si>
  <si>
    <t>Vijay Vihar</t>
  </si>
  <si>
    <t>3.90KM from Kanjurmarg Railway Station</t>
  </si>
  <si>
    <t>18.30 M. Wide Road</t>
  </si>
  <si>
    <t>12.20 M. Wide Road</t>
  </si>
  <si>
    <t>Other plot</t>
  </si>
  <si>
    <t>Mhada Colony Complex Road</t>
  </si>
  <si>
    <t>Powai Woods CHS Ltd</t>
  </si>
  <si>
    <t xml:space="preserve">https://www.gurukrupa-gyanam.com/#floor </t>
  </si>
  <si>
    <r>
      <t xml:space="preserve">Proposed Amenities :                                                                                                                                                                                                                         </t>
    </r>
    <r>
      <rPr>
        <b/>
        <sz val="12"/>
        <rFont val="Times New Roman"/>
        <family val="1"/>
      </rPr>
      <t xml:space="preserve">                                               </t>
    </r>
  </si>
  <si>
    <t>Swimming Pool, Sitting Area, Yoda &amp; Meditation area, Decorative Entrance &amp; Landscape Garden, etc.</t>
  </si>
  <si>
    <t>As per official site</t>
  </si>
  <si>
    <t xml:space="preserve">Details of Residential in Building   </t>
  </si>
  <si>
    <t>As per RERA - 31/12/2026</t>
  </si>
  <si>
    <t>Mhada - 36/1299/2024</t>
  </si>
  <si>
    <t>Total Approved proposed Builtup area of the project (Sq.Mt)</t>
  </si>
  <si>
    <t>Shop</t>
  </si>
  <si>
    <t>Multipurpose Room</t>
  </si>
  <si>
    <t>Attached Mezzanine area</t>
  </si>
  <si>
    <t>B (pt) + Gr + 1st to 3rd Floor</t>
  </si>
  <si>
    <t>B (pt) + Gr + 1st to 15th Floor</t>
  </si>
  <si>
    <t>Basement (Part) For Pump Room, Fire Water Tank &amp; Domestic Water Tank</t>
  </si>
  <si>
    <t>Ground Floor For Commercial, Society Office, Entrance lobby, Meter Room &amp; Parking</t>
  </si>
  <si>
    <t>1st to 3rd Floor For Residential</t>
  </si>
  <si>
    <t>2BHK</t>
  </si>
  <si>
    <t>2.5BHK</t>
  </si>
  <si>
    <t>3BHK</t>
  </si>
  <si>
    <t>Deck</t>
  </si>
  <si>
    <t>We considered Gross carpet area = Net carpet + Deck.</t>
  </si>
  <si>
    <t>Flats</t>
  </si>
  <si>
    <t>Mr. Gaurav 9619131016</t>
  </si>
  <si>
    <t xml:space="preserve">As per site visit dated 26/04/2024, We have observed 3rd RCC slab work is completed and 4th Slab casting work is in process. Hence Please provide revised approved CC.
</t>
  </si>
  <si>
    <t>Total Approved Builtup area of the project (Sq.Mt)</t>
  </si>
  <si>
    <t>Flats - 13, Shops - 08</t>
  </si>
  <si>
    <t>MH/EE/(BP)/GM/MHADA-6/1299/2025/FCC/2/Amend</t>
  </si>
  <si>
    <t>We have updated latest CC from Mhada site (On 25/04/2025).</t>
  </si>
  <si>
    <t>Pratik Niwate</t>
  </si>
  <si>
    <t>We have updated revised approved CC from MHADA site on 19/11/2024.</t>
  </si>
  <si>
    <t>Please provide revised approved Plans.</t>
  </si>
  <si>
    <t>This C.C. is now Further extended from 14th floor to 15th floor level + OHT “ { i. e. for Entire work of building having part basement floor for services + part ground floor for shops &amp; entrance lobby + 1st to 15th upper floor for residential use with total height of 48.70 mt. from AGL and Mechanized car parking tower touching to building on west side of the plot with total height 49.07 mt. from AGL+ LMR + OHT as per last approved Amended plans issued by MHADA on dated- 25.06.2024 vide u/no. MH/EE/(B.P.)Cell/GM/ MHADA-36/1299/2024}.</t>
  </si>
  <si>
    <t>Shruti Tathare</t>
  </si>
  <si>
    <t>Construction work is in process at the time of Visit. Inernal visit was not allowed.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</si>
</sst>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2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1" xfId="0" applyFill="1" applyBorder="1" applyAlignment="1"/>
    <xf numFmtId="164" fontId="7" fillId="0" borderId="0" xfId="1" applyNumberFormat="1" applyFont="1"/>
    <xf numFmtId="0" fontId="27" fillId="0" borderId="0" xfId="10"/>
    <xf numFmtId="9" fontId="13" fillId="0" borderId="16"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vertical="center"/>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25" fillId="2" borderId="15" xfId="0" applyFont="1" applyFill="1" applyBorder="1"/>
    <xf numFmtId="1" fontId="8"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center" vertical="center"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14" fontId="6" fillId="0" borderId="8"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8" fillId="0" borderId="1"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0" fillId="0" borderId="3" xfId="0" applyFont="1" applyBorder="1" applyAlignment="1" applyProtection="1">
      <alignment horizontal="center" vertical="center"/>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8" fillId="0" borderId="1" xfId="1" applyNumberFormat="1" applyFont="1" applyBorder="1" applyAlignment="1" applyProtection="1">
      <alignment horizontal="center" vertical="center" wrapText="1"/>
      <protection locked="0"/>
    </xf>
    <xf numFmtId="0" fontId="8" fillId="0" borderId="16" xfId="1" applyFont="1" applyBorder="1" applyAlignment="1" applyProtection="1">
      <alignment horizontal="center" vertical="top"/>
      <protection locked="0"/>
    </xf>
    <xf numFmtId="0" fontId="7" fillId="0" borderId="5"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4" fillId="0" borderId="1" xfId="1" applyFont="1" applyFill="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8" fillId="0" borderId="8" xfId="1" applyFont="1" applyBorder="1" applyAlignment="1" applyProtection="1">
      <alignment vertical="top"/>
      <protection locked="0"/>
    </xf>
    <xf numFmtId="0" fontId="8" fillId="0" borderId="21" xfId="1" applyFont="1" applyBorder="1" applyAlignment="1" applyProtection="1">
      <alignment vertical="top"/>
      <protection locked="0"/>
    </xf>
    <xf numFmtId="0" fontId="8" fillId="0" borderId="9" xfId="1" applyFont="1" applyBorder="1" applyAlignment="1" applyProtection="1">
      <alignment vertical="top"/>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13" fillId="0" borderId="1" xfId="1" applyFont="1" applyFill="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1" fontId="4" fillId="0" borderId="1"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7" fillId="0" borderId="0" xfId="1" applyFont="1" applyAlignment="1">
      <alignment horizontal="center" vertical="center"/>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8" fillId="0" borderId="16" xfId="1" applyFont="1" applyBorder="1" applyAlignment="1" applyProtection="1">
      <alignment horizontal="left" vertical="top"/>
      <protection locked="0"/>
    </xf>
    <xf numFmtId="2" fontId="6" fillId="0" borderId="8" xfId="1" applyNumberFormat="1" applyFont="1" applyBorder="1" applyAlignment="1" applyProtection="1">
      <alignment horizontal="left" vertical="top"/>
      <protection locked="0"/>
    </xf>
    <xf numFmtId="2" fontId="6" fillId="0" borderId="21" xfId="1" applyNumberFormat="1" applyFont="1" applyBorder="1" applyAlignment="1" applyProtection="1">
      <alignment horizontal="left" vertical="top"/>
      <protection locked="0"/>
    </xf>
    <xf numFmtId="2" fontId="6" fillId="0" borderId="9" xfId="1" applyNumberFormat="1" applyFont="1" applyBorder="1" applyAlignment="1" applyProtection="1">
      <alignment horizontal="left" vertical="top"/>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257</xdr:row>
      <xdr:rowOff>19050</xdr:rowOff>
    </xdr:from>
    <xdr:to>
      <xdr:col>7</xdr:col>
      <xdr:colOff>454575</xdr:colOff>
      <xdr:row>275</xdr:row>
      <xdr:rowOff>162601</xdr:rowOff>
    </xdr:to>
    <xdr:pic>
      <xdr:nvPicPr>
        <xdr:cNvPr id="10" name="Picture 9"/>
        <xdr:cNvPicPr>
          <a:picLocks noChangeAspect="1"/>
        </xdr:cNvPicPr>
      </xdr:nvPicPr>
      <xdr:blipFill>
        <a:blip xmlns:r="http://schemas.openxmlformats.org/officeDocument/2006/relationships" r:embed="rId1"/>
        <a:stretch>
          <a:fillRect/>
        </a:stretch>
      </xdr:blipFill>
      <xdr:spPr>
        <a:xfrm>
          <a:off x="276225" y="36233100"/>
          <a:ext cx="5760000" cy="3744000"/>
        </a:xfrm>
        <a:prstGeom prst="rect">
          <a:avLst/>
        </a:prstGeom>
        <a:ln>
          <a:solidFill>
            <a:schemeClr val="tx1"/>
          </a:solidFill>
        </a:ln>
      </xdr:spPr>
    </xdr:pic>
    <xdr:clientData/>
  </xdr:twoCellAnchor>
  <xdr:twoCellAnchor editAs="oneCell">
    <xdr:from>
      <xdr:col>1</xdr:col>
      <xdr:colOff>636862</xdr:colOff>
      <xdr:row>276</xdr:row>
      <xdr:rowOff>185738</xdr:rowOff>
    </xdr:from>
    <xdr:to>
      <xdr:col>6</xdr:col>
      <xdr:colOff>65362</xdr:colOff>
      <xdr:row>295</xdr:row>
      <xdr:rowOff>4762</xdr:rowOff>
    </xdr:to>
    <xdr:pic>
      <xdr:nvPicPr>
        <xdr:cNvPr id="11" name="Picture 10"/>
        <xdr:cNvPicPr>
          <a:picLocks noChangeAspect="1"/>
        </xdr:cNvPicPr>
      </xdr:nvPicPr>
      <xdr:blipFill>
        <a:blip xmlns:r="http://schemas.openxmlformats.org/officeDocument/2006/relationships" r:embed="rId2"/>
        <a:stretch>
          <a:fillRect/>
        </a:stretch>
      </xdr:blipFill>
      <xdr:spPr>
        <a:xfrm>
          <a:off x="1398862" y="40200263"/>
          <a:ext cx="3514725" cy="3619500"/>
        </a:xfrm>
        <a:prstGeom prst="rect">
          <a:avLst/>
        </a:prstGeom>
        <a:ln>
          <a:solidFill>
            <a:schemeClr val="tx1"/>
          </a:solidFill>
        </a:ln>
      </xdr:spPr>
    </xdr:pic>
    <xdr:clientData/>
  </xdr:twoCellAnchor>
  <xdr:twoCellAnchor editAs="oneCell">
    <xdr:from>
      <xdr:col>0</xdr:col>
      <xdr:colOff>365125</xdr:colOff>
      <xdr:row>301</xdr:row>
      <xdr:rowOff>53975</xdr:rowOff>
    </xdr:from>
    <xdr:to>
      <xdr:col>7</xdr:col>
      <xdr:colOff>903475</xdr:colOff>
      <xdr:row>319</xdr:row>
      <xdr:rowOff>111848</xdr:rowOff>
    </xdr:to>
    <xdr:pic>
      <xdr:nvPicPr>
        <xdr:cNvPr id="12" name="Picture 11"/>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365125" y="52898675"/>
          <a:ext cx="6393050" cy="3601173"/>
        </a:xfrm>
        <a:prstGeom prst="rect">
          <a:avLst/>
        </a:prstGeom>
        <a:ln>
          <a:solidFill>
            <a:schemeClr val="tx1"/>
          </a:solidFill>
        </a:ln>
      </xdr:spPr>
    </xdr:pic>
    <xdr:clientData/>
  </xdr:twoCellAnchor>
  <xdr:twoCellAnchor>
    <xdr:from>
      <xdr:col>0</xdr:col>
      <xdr:colOff>548575</xdr:colOff>
      <xdr:row>320</xdr:row>
      <xdr:rowOff>19774</xdr:rowOff>
    </xdr:from>
    <xdr:to>
      <xdr:col>7</xdr:col>
      <xdr:colOff>720025</xdr:colOff>
      <xdr:row>339</xdr:row>
      <xdr:rowOff>140424</xdr:rowOff>
    </xdr:to>
    <xdr:grpSp>
      <xdr:nvGrpSpPr>
        <xdr:cNvPr id="13" name="Group 12"/>
        <xdr:cNvGrpSpPr/>
      </xdr:nvGrpSpPr>
      <xdr:grpSpPr>
        <a:xfrm>
          <a:off x="548575" y="57522199"/>
          <a:ext cx="5753100" cy="3921125"/>
          <a:chOff x="438150" y="4020274"/>
          <a:chExt cx="5753100" cy="3924300"/>
        </a:xfrm>
      </xdr:grpSpPr>
      <xdr:pic>
        <xdr:nvPicPr>
          <xdr:cNvPr id="14" name="Picture 13"/>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438150" y="4020274"/>
            <a:ext cx="5753100" cy="3924300"/>
          </a:xfrm>
          <a:prstGeom prst="rect">
            <a:avLst/>
          </a:prstGeom>
          <a:ln>
            <a:solidFill>
              <a:schemeClr val="tx1"/>
            </a:solidFill>
          </a:ln>
        </xdr:spPr>
      </xdr:pic>
      <xdr:sp macro="" textlink="">
        <xdr:nvSpPr>
          <xdr:cNvPr id="15" name="Rectangle 14"/>
          <xdr:cNvSpPr/>
        </xdr:nvSpPr>
        <xdr:spPr>
          <a:xfrm rot="1116711">
            <a:off x="3432234" y="5380917"/>
            <a:ext cx="755099" cy="1247775"/>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0</xdr:col>
      <xdr:colOff>472888</xdr:colOff>
      <xdr:row>212</xdr:row>
      <xdr:rowOff>44822</xdr:rowOff>
    </xdr:from>
    <xdr:to>
      <xdr:col>7</xdr:col>
      <xdr:colOff>896472</xdr:colOff>
      <xdr:row>254</xdr:row>
      <xdr:rowOff>109321</xdr:rowOff>
    </xdr:to>
    <xdr:grpSp>
      <xdr:nvGrpSpPr>
        <xdr:cNvPr id="3" name="Group 2"/>
        <xdr:cNvGrpSpPr/>
      </xdr:nvGrpSpPr>
      <xdr:grpSpPr>
        <a:xfrm>
          <a:off x="472888" y="35954072"/>
          <a:ext cx="6005234" cy="8456024"/>
          <a:chOff x="472888" y="35970881"/>
          <a:chExt cx="6004113" cy="8524940"/>
        </a:xfrm>
      </xdr:grpSpPr>
      <xdr:pic>
        <xdr:nvPicPr>
          <xdr:cNvPr id="17" name="Picture 16" descr="https://vsjcllp.vsjadon.com/upload/insp-240155-152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2767852" y="42463820"/>
            <a:ext cx="1524001" cy="20320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40155-845.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662517" y="39989312"/>
            <a:ext cx="1786778" cy="23823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240155-847.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72888" y="35973123"/>
            <a:ext cx="2958354" cy="394447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40155-848.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784411" y="40002759"/>
            <a:ext cx="1786778" cy="23823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40155-849.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4565277" y="39998277"/>
            <a:ext cx="1786778" cy="23823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40155-850.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518647" y="35970881"/>
            <a:ext cx="2958354" cy="394447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15</xdr:col>
      <xdr:colOff>101974</xdr:colOff>
      <xdr:row>52</xdr:row>
      <xdr:rowOff>76200</xdr:rowOff>
    </xdr:to>
    <xdr:pic>
      <xdr:nvPicPr>
        <xdr:cNvPr id="3" name="Picture 2"/>
        <xdr:cNvPicPr>
          <a:picLocks noChangeAspect="1"/>
        </xdr:cNvPicPr>
      </xdr:nvPicPr>
      <xdr:blipFill>
        <a:blip xmlns:r="http://schemas.openxmlformats.org/officeDocument/2006/relationships" r:embed="rId2"/>
        <a:stretch>
          <a:fillRect/>
        </a:stretch>
      </xdr:blipFill>
      <xdr:spPr>
        <a:xfrm>
          <a:off x="582706" y="2678206"/>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gurukrupa-gyanam.com/" TargetMode="External"/><Relationship Id="rId1" Type="http://schemas.openxmlformats.org/officeDocument/2006/relationships/hyperlink" Target="https://maps.app.goo.gl/AVQ9zxBcHG3cwDsV6"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00"/>
  <sheetViews>
    <sheetView tabSelected="1" view="pageBreakPreview" zoomScaleNormal="100" zoomScaleSheetLayoutView="100" zoomScalePageLayoutView="70" workbookViewId="0">
      <selection activeCell="I18" sqref="I18"/>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7" width="11" style="40" customWidth="1"/>
    <col min="8" max="8" width="19.7109375"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78" t="s">
        <v>166</v>
      </c>
      <c r="B1" s="178"/>
      <c r="C1" s="178"/>
      <c r="D1" s="178"/>
      <c r="E1" s="178"/>
      <c r="F1" s="178"/>
      <c r="G1" s="178"/>
      <c r="H1" s="178"/>
    </row>
    <row r="2" spans="1:26" ht="16.5" customHeight="1" x14ac:dyDescent="0.25">
      <c r="A2" s="179" t="s">
        <v>0</v>
      </c>
      <c r="B2" s="179"/>
      <c r="C2" s="179"/>
      <c r="D2" s="179"/>
      <c r="E2" s="179"/>
      <c r="F2" s="179"/>
      <c r="G2" s="179"/>
      <c r="H2" s="179"/>
    </row>
    <row r="3" spans="1:26" x14ac:dyDescent="0.25">
      <c r="A3" s="123" t="s">
        <v>1</v>
      </c>
      <c r="B3" s="123"/>
      <c r="C3" s="123"/>
      <c r="D3" s="123"/>
      <c r="E3" s="123" t="str">
        <f ca="1">TEXT(TODAY(),"DD/MM/YYYY")</f>
        <v>14/07/2025</v>
      </c>
      <c r="F3" s="123"/>
      <c r="G3" s="123"/>
      <c r="H3" s="123"/>
      <c r="K3" s="62" t="s">
        <v>242</v>
      </c>
      <c r="L3" s="58" t="s">
        <v>240</v>
      </c>
      <c r="M3" s="58" t="s">
        <v>245</v>
      </c>
      <c r="N3" s="58" t="s">
        <v>243</v>
      </c>
      <c r="O3" s="58" t="s">
        <v>244</v>
      </c>
      <c r="P3" s="58" t="s">
        <v>246</v>
      </c>
    </row>
    <row r="4" spans="1:26" ht="15" customHeight="1" x14ac:dyDescent="0.25">
      <c r="A4" s="123" t="s">
        <v>239</v>
      </c>
      <c r="B4" s="123"/>
      <c r="C4" s="123"/>
      <c r="D4" s="123"/>
      <c r="E4" s="123" t="s">
        <v>240</v>
      </c>
      <c r="F4" s="123"/>
      <c r="G4" s="123"/>
      <c r="H4" s="123"/>
      <c r="K4" s="57" t="s">
        <v>241</v>
      </c>
      <c r="L4" s="58" t="s">
        <v>174</v>
      </c>
      <c r="M4" s="58" t="s">
        <v>250</v>
      </c>
      <c r="N4" s="58" t="s">
        <v>252</v>
      </c>
      <c r="O4" s="58" t="s">
        <v>254</v>
      </c>
      <c r="P4" s="58"/>
    </row>
    <row r="5" spans="1:26" ht="15" customHeight="1" x14ac:dyDescent="0.25">
      <c r="A5" s="123" t="s">
        <v>2</v>
      </c>
      <c r="B5" s="123"/>
      <c r="C5" s="123"/>
      <c r="D5" s="123"/>
      <c r="E5" s="123" t="s">
        <v>247</v>
      </c>
      <c r="F5" s="123"/>
      <c r="G5" s="123"/>
      <c r="H5" s="123"/>
      <c r="K5" s="57"/>
      <c r="L5" s="58" t="s">
        <v>247</v>
      </c>
      <c r="M5" s="58" t="s">
        <v>251</v>
      </c>
      <c r="N5" s="58" t="s">
        <v>253</v>
      </c>
      <c r="O5" s="58" t="s">
        <v>255</v>
      </c>
      <c r="P5" s="58"/>
    </row>
    <row r="6" spans="1:26" x14ac:dyDescent="0.25">
      <c r="A6" s="123" t="s">
        <v>3</v>
      </c>
      <c r="B6" s="123"/>
      <c r="C6" s="123"/>
      <c r="D6" s="123"/>
      <c r="E6" s="181">
        <v>45847</v>
      </c>
      <c r="F6" s="182"/>
      <c r="G6" s="182"/>
      <c r="H6" s="182"/>
      <c r="K6" s="57"/>
      <c r="L6" s="58" t="s">
        <v>248</v>
      </c>
      <c r="M6" s="58"/>
      <c r="N6" s="58"/>
      <c r="O6" s="58" t="s">
        <v>256</v>
      </c>
      <c r="P6" s="58"/>
    </row>
    <row r="7" spans="1:26" ht="16.5" customHeight="1" x14ac:dyDescent="0.25">
      <c r="A7" s="123" t="s">
        <v>4</v>
      </c>
      <c r="B7" s="123"/>
      <c r="C7" s="123"/>
      <c r="D7" s="123"/>
      <c r="E7" s="123" t="s">
        <v>303</v>
      </c>
      <c r="F7" s="123"/>
      <c r="G7" s="123"/>
      <c r="H7" s="123"/>
      <c r="K7" s="57"/>
      <c r="L7" s="58" t="s">
        <v>249</v>
      </c>
      <c r="M7" s="58"/>
      <c r="N7" s="58"/>
      <c r="O7" s="58" t="s">
        <v>256</v>
      </c>
      <c r="P7" s="58"/>
    </row>
    <row r="8" spans="1:26" ht="15" customHeight="1" x14ac:dyDescent="0.25">
      <c r="A8" s="123" t="s">
        <v>5</v>
      </c>
      <c r="B8" s="123"/>
      <c r="C8" s="123"/>
      <c r="D8" s="123"/>
      <c r="E8" s="123" t="str">
        <f>E7</f>
        <v>Gurukrupa Realcon Infrabuild LLP</v>
      </c>
      <c r="F8" s="123"/>
      <c r="G8" s="123"/>
      <c r="H8" s="123"/>
      <c r="K8" s="57"/>
      <c r="L8" s="58"/>
      <c r="M8" s="58"/>
      <c r="N8" s="58"/>
      <c r="O8" s="58" t="s">
        <v>257</v>
      </c>
      <c r="P8" s="58"/>
    </row>
    <row r="9" spans="1:26" x14ac:dyDescent="0.25">
      <c r="A9" s="123" t="s">
        <v>6</v>
      </c>
      <c r="B9" s="123"/>
      <c r="C9" s="123"/>
      <c r="D9" s="123"/>
      <c r="E9" s="180" t="s">
        <v>304</v>
      </c>
      <c r="F9" s="180"/>
      <c r="G9" s="180"/>
      <c r="H9" s="180"/>
      <c r="K9" s="57"/>
      <c r="L9" s="58"/>
      <c r="M9" s="58"/>
      <c r="N9" s="58"/>
      <c r="O9" s="58" t="s">
        <v>258</v>
      </c>
      <c r="P9" s="58"/>
    </row>
    <row r="10" spans="1:26" x14ac:dyDescent="0.25">
      <c r="A10" s="123" t="s">
        <v>170</v>
      </c>
      <c r="B10" s="123"/>
      <c r="C10" s="123"/>
      <c r="D10" s="123"/>
      <c r="E10" s="123" t="s">
        <v>305</v>
      </c>
      <c r="F10" s="123"/>
      <c r="G10" s="123"/>
      <c r="H10" s="123"/>
      <c r="K10" s="57"/>
      <c r="L10" s="58"/>
      <c r="M10" s="58"/>
      <c r="N10" s="58"/>
      <c r="O10" s="58"/>
      <c r="P10" s="58"/>
    </row>
    <row r="11" spans="1:26" x14ac:dyDescent="0.25">
      <c r="A11" s="123" t="s">
        <v>171</v>
      </c>
      <c r="B11" s="123"/>
      <c r="C11" s="123"/>
      <c r="D11" s="123"/>
      <c r="E11" s="182" t="s">
        <v>344</v>
      </c>
      <c r="F11" s="182"/>
      <c r="G11" s="182"/>
      <c r="H11" s="182"/>
    </row>
    <row r="12" spans="1:26" x14ac:dyDescent="0.25">
      <c r="A12" s="123" t="s">
        <v>7</v>
      </c>
      <c r="B12" s="123"/>
      <c r="C12" s="123"/>
      <c r="D12" s="123"/>
      <c r="E12" s="123" t="s">
        <v>119</v>
      </c>
      <c r="F12" s="123"/>
      <c r="G12" s="123"/>
      <c r="H12" s="123"/>
    </row>
    <row r="13" spans="1:26" ht="34.5" customHeight="1" x14ac:dyDescent="0.25">
      <c r="A13" s="123" t="s">
        <v>175</v>
      </c>
      <c r="B13" s="123"/>
      <c r="C13" s="123"/>
      <c r="D13" s="123"/>
      <c r="E13" s="122" t="s">
        <v>306</v>
      </c>
      <c r="F13" s="122"/>
      <c r="G13" s="122"/>
      <c r="H13" s="122"/>
      <c r="S13" s="58" t="s">
        <v>184</v>
      </c>
      <c r="T13" s="58" t="s">
        <v>194</v>
      </c>
      <c r="U13" s="58" t="s">
        <v>176</v>
      </c>
      <c r="V13" s="58" t="s">
        <v>199</v>
      </c>
      <c r="W13" s="58" t="s">
        <v>217</v>
      </c>
      <c r="X13"/>
      <c r="Y13" t="s">
        <v>199</v>
      </c>
      <c r="Z13" t="e">
        <f ca="1">OFFSET($S$13,1,MATCH($G20,$S$13:$W$13,0)-1,15,1)</f>
        <v>#VALUE!</v>
      </c>
    </row>
    <row r="14" spans="1:26" x14ac:dyDescent="0.25">
      <c r="A14" s="93" t="s">
        <v>285</v>
      </c>
      <c r="B14" s="93"/>
      <c r="C14" s="93"/>
      <c r="D14" s="93"/>
      <c r="E14" s="122" t="s">
        <v>307</v>
      </c>
      <c r="F14" s="122"/>
      <c r="G14" s="122"/>
      <c r="H14" s="122"/>
      <c r="S14" s="58" t="s">
        <v>185</v>
      </c>
      <c r="T14" s="58" t="s">
        <v>192</v>
      </c>
      <c r="U14" s="58" t="s">
        <v>214</v>
      </c>
      <c r="V14" s="58" t="s">
        <v>200</v>
      </c>
      <c r="W14" s="58" t="s">
        <v>218</v>
      </c>
      <c r="X14"/>
      <c r="Y14"/>
      <c r="Z14"/>
    </row>
    <row r="15" spans="1:26" x14ac:dyDescent="0.25">
      <c r="A15" s="93" t="s">
        <v>8</v>
      </c>
      <c r="B15" s="93"/>
      <c r="C15" s="93"/>
      <c r="D15" s="93"/>
      <c r="E15" s="122" t="s">
        <v>308</v>
      </c>
      <c r="F15" s="123"/>
      <c r="G15" s="123"/>
      <c r="H15" s="123"/>
      <c r="I15" s="86" t="e">
        <f ca="1">OFFSET($D$5,1,MATCH($J13,$D$5:$H$5,0)-1,15,1)</f>
        <v>#N/A</v>
      </c>
      <c r="J15" s="87"/>
      <c r="K15" s="87"/>
      <c r="L15" s="87"/>
      <c r="M15" s="87"/>
      <c r="N15" s="87"/>
      <c r="O15" s="87"/>
      <c r="P15" s="87"/>
      <c r="S15" s="58" t="s">
        <v>186</v>
      </c>
      <c r="T15" s="58" t="s">
        <v>193</v>
      </c>
      <c r="U15" s="58" t="s">
        <v>215</v>
      </c>
      <c r="V15" s="58" t="s">
        <v>201</v>
      </c>
      <c r="W15" s="58" t="s">
        <v>231</v>
      </c>
      <c r="X15"/>
      <c r="Y15"/>
      <c r="Z15"/>
    </row>
    <row r="16" spans="1:26" ht="48" customHeight="1" x14ac:dyDescent="0.25">
      <c r="A16" s="102" t="s">
        <v>9</v>
      </c>
      <c r="B16" s="102"/>
      <c r="C16" s="102" t="str">
        <f>CONCATENATE((IF(OR(E9="",E9="NA"),"",E9)),", ",(IF(OR(A17="",A17="NA"),"",A17)),".",(IF(OR(C17="",C17="NA"),"",C17)),", near ",(IF(OR(C22="",C22="NA"),"",C22)),", ",(IF(OR(C19="",C19="NA"),"",C19)),", ",(IF(OR(C18="",C18="NA"),"",C18)),", ",(IF(OR(G19="",G19="NA"),"",G19)),", ",(IF(OR(C20="",C20="NA"),"",C20)),", ",(IF(OR(C21="",C21="NA"),"",C21)),", ",(IF(OR(G20="",G20="NA"),"",G20))," - ",(IF(OR(G21="",G21="NA"),"",G21)),".")</f>
        <v>Gurukrupa Gyanam, CTS No.7/18, Redevlopement of "Powai Manidwip Commercial Premises Co-Op. Housing Society Ltd", near Vijay Vihar, Mhada Colony Complex Road, Powai Mhada Colony, Kopari, Powai East, Kurla, Mumbai - 400076.</v>
      </c>
      <c r="D16" s="102"/>
      <c r="E16" s="102"/>
      <c r="F16" s="102"/>
      <c r="G16" s="102"/>
      <c r="H16" s="102"/>
      <c r="S16" s="58" t="s">
        <v>187</v>
      </c>
      <c r="T16" s="58" t="s">
        <v>195</v>
      </c>
      <c r="U16" s="58" t="s">
        <v>216</v>
      </c>
      <c r="V16" s="58" t="s">
        <v>202</v>
      </c>
      <c r="W16" s="58" t="s">
        <v>219</v>
      </c>
      <c r="X16"/>
      <c r="Y16"/>
      <c r="Z16"/>
    </row>
    <row r="17" spans="1:26" ht="30.75" customHeight="1" x14ac:dyDescent="0.25">
      <c r="A17" s="122" t="s">
        <v>180</v>
      </c>
      <c r="B17" s="122"/>
      <c r="C17" s="122" t="s">
        <v>309</v>
      </c>
      <c r="D17" s="122"/>
      <c r="E17" s="122"/>
      <c r="F17" s="122"/>
      <c r="G17" s="122"/>
      <c r="H17" s="122"/>
      <c r="S17" s="58" t="s">
        <v>188</v>
      </c>
      <c r="T17" s="58" t="s">
        <v>196</v>
      </c>
      <c r="U17" s="58" t="s">
        <v>176</v>
      </c>
      <c r="V17" s="58" t="s">
        <v>203</v>
      </c>
      <c r="W17" s="58" t="s">
        <v>220</v>
      </c>
      <c r="X17"/>
      <c r="Y17"/>
      <c r="Z17"/>
    </row>
    <row r="18" spans="1:26" ht="15.75" customHeight="1" x14ac:dyDescent="0.25">
      <c r="A18" s="122" t="s">
        <v>164</v>
      </c>
      <c r="B18" s="122"/>
      <c r="C18" s="122" t="s">
        <v>311</v>
      </c>
      <c r="D18" s="122"/>
      <c r="E18" s="122"/>
      <c r="F18" s="122"/>
      <c r="G18" s="122"/>
      <c r="H18" s="122"/>
      <c r="S18" s="58" t="s">
        <v>189</v>
      </c>
      <c r="T18" s="58" t="s">
        <v>194</v>
      </c>
      <c r="U18" s="58"/>
      <c r="V18" s="58" t="s">
        <v>204</v>
      </c>
      <c r="W18" s="58" t="s">
        <v>221</v>
      </c>
      <c r="X18"/>
      <c r="Y18"/>
      <c r="Z18"/>
    </row>
    <row r="19" spans="1:26" ht="34.5" customHeight="1" x14ac:dyDescent="0.25">
      <c r="A19" s="102" t="s">
        <v>10</v>
      </c>
      <c r="B19" s="102"/>
      <c r="C19" s="122" t="s">
        <v>320</v>
      </c>
      <c r="D19" s="122"/>
      <c r="E19" s="102" t="s">
        <v>70</v>
      </c>
      <c r="F19" s="102"/>
      <c r="G19" s="122" t="s">
        <v>310</v>
      </c>
      <c r="H19" s="122"/>
      <c r="S19" s="58" t="s">
        <v>190</v>
      </c>
      <c r="T19" s="58" t="s">
        <v>197</v>
      </c>
      <c r="U19" s="58"/>
      <c r="V19" s="58" t="s">
        <v>205</v>
      </c>
      <c r="W19" s="58" t="s">
        <v>222</v>
      </c>
      <c r="X19"/>
      <c r="Y19"/>
      <c r="Z19"/>
    </row>
    <row r="20" spans="1:26" x14ac:dyDescent="0.25">
      <c r="A20" s="93" t="s">
        <v>12</v>
      </c>
      <c r="B20" s="93"/>
      <c r="C20" s="122" t="s">
        <v>314</v>
      </c>
      <c r="D20" s="122"/>
      <c r="E20" s="122" t="s">
        <v>11</v>
      </c>
      <c r="F20" s="122"/>
      <c r="G20" s="184" t="s">
        <v>176</v>
      </c>
      <c r="H20" s="184"/>
      <c r="S20" s="58" t="s">
        <v>191</v>
      </c>
      <c r="T20" s="58" t="s">
        <v>198</v>
      </c>
      <c r="U20" s="58"/>
      <c r="V20" s="58" t="s">
        <v>206</v>
      </c>
      <c r="W20" s="58" t="s">
        <v>223</v>
      </c>
      <c r="X20"/>
      <c r="Y20"/>
      <c r="Z20"/>
    </row>
    <row r="21" spans="1:26" x14ac:dyDescent="0.25">
      <c r="A21" s="93" t="s">
        <v>71</v>
      </c>
      <c r="B21" s="93"/>
      <c r="C21" s="122" t="s">
        <v>216</v>
      </c>
      <c r="D21" s="122"/>
      <c r="E21" s="122" t="s">
        <v>13</v>
      </c>
      <c r="F21" s="122"/>
      <c r="G21" s="122">
        <v>400076</v>
      </c>
      <c r="H21" s="122"/>
      <c r="S21" s="58"/>
      <c r="T21" s="58"/>
      <c r="U21" s="58"/>
      <c r="V21" s="58" t="s">
        <v>207</v>
      </c>
      <c r="W21" s="58" t="s">
        <v>224</v>
      </c>
      <c r="X21"/>
      <c r="Y21"/>
      <c r="Z21"/>
    </row>
    <row r="22" spans="1:26" ht="32.25" customHeight="1" x14ac:dyDescent="0.25">
      <c r="A22" s="93" t="s">
        <v>121</v>
      </c>
      <c r="B22" s="93"/>
      <c r="C22" s="122" t="s">
        <v>315</v>
      </c>
      <c r="D22" s="122"/>
      <c r="E22" s="102" t="s">
        <v>14</v>
      </c>
      <c r="F22" s="102"/>
      <c r="G22" s="122" t="s">
        <v>316</v>
      </c>
      <c r="H22" s="122"/>
      <c r="S22" s="58"/>
      <c r="T22" s="58"/>
      <c r="U22" s="58"/>
      <c r="V22" s="58" t="s">
        <v>208</v>
      </c>
      <c r="W22" s="58" t="s">
        <v>225</v>
      </c>
      <c r="X22"/>
      <c r="Y22"/>
      <c r="Z22"/>
    </row>
    <row r="23" spans="1:26" ht="15" customHeight="1" x14ac:dyDescent="0.25">
      <c r="A23" s="102" t="s">
        <v>73</v>
      </c>
      <c r="B23" s="102"/>
      <c r="C23" s="102"/>
      <c r="D23" s="102"/>
      <c r="E23" s="123" t="s">
        <v>15</v>
      </c>
      <c r="F23" s="123"/>
      <c r="G23" s="123"/>
      <c r="H23" s="123"/>
      <c r="S23" s="58"/>
      <c r="T23" s="58"/>
      <c r="U23" s="58"/>
      <c r="V23" s="58" t="s">
        <v>209</v>
      </c>
      <c r="W23" s="58" t="s">
        <v>226</v>
      </c>
      <c r="X23"/>
      <c r="Y23"/>
      <c r="Z23"/>
    </row>
    <row r="24" spans="1:26" ht="18.75" customHeight="1" x14ac:dyDescent="0.25">
      <c r="A24" s="102"/>
      <c r="B24" s="102"/>
      <c r="C24" s="102"/>
      <c r="D24" s="102"/>
      <c r="E24" s="123"/>
      <c r="F24" s="123"/>
      <c r="G24" s="123"/>
      <c r="H24" s="123"/>
      <c r="S24" s="58"/>
      <c r="T24" s="58"/>
      <c r="U24" s="58"/>
      <c r="V24" s="58" t="s">
        <v>210</v>
      </c>
      <c r="W24" s="58" t="s">
        <v>227</v>
      </c>
      <c r="X24"/>
      <c r="Y24"/>
      <c r="Z24"/>
    </row>
    <row r="25" spans="1:26" ht="15" customHeight="1" x14ac:dyDescent="0.25">
      <c r="A25" s="102" t="s">
        <v>16</v>
      </c>
      <c r="B25" s="102"/>
      <c r="C25" s="102"/>
      <c r="D25" s="102"/>
      <c r="E25" s="122" t="s">
        <v>17</v>
      </c>
      <c r="F25" s="122"/>
      <c r="G25" s="122"/>
      <c r="H25" s="122"/>
      <c r="S25" s="58"/>
      <c r="T25" s="58"/>
      <c r="U25" s="58"/>
      <c r="V25" s="58" t="s">
        <v>211</v>
      </c>
      <c r="W25" s="58" t="s">
        <v>228</v>
      </c>
      <c r="X25"/>
      <c r="Y25"/>
      <c r="Z25"/>
    </row>
    <row r="26" spans="1:26" ht="15" customHeight="1" x14ac:dyDescent="0.25">
      <c r="A26" s="93" t="s">
        <v>18</v>
      </c>
      <c r="B26" s="93"/>
      <c r="C26" s="93"/>
      <c r="D26" s="93"/>
      <c r="E26" s="122" t="str">
        <f>IF(AND(G20="Mumbai"),"Upper Class","Middle Class")</f>
        <v>Upper Class</v>
      </c>
      <c r="F26" s="122"/>
      <c r="G26" s="122"/>
      <c r="H26" s="122"/>
      <c r="S26" s="58"/>
      <c r="T26" s="58"/>
      <c r="U26" s="58"/>
      <c r="V26" s="58" t="s">
        <v>212</v>
      </c>
      <c r="W26" s="58" t="s">
        <v>229</v>
      </c>
      <c r="X26"/>
      <c r="Y26"/>
      <c r="Z26"/>
    </row>
    <row r="27" spans="1:26" x14ac:dyDescent="0.25">
      <c r="A27" s="93" t="s">
        <v>19</v>
      </c>
      <c r="B27" s="93"/>
      <c r="C27" s="93"/>
      <c r="D27" s="93"/>
      <c r="E27" s="122" t="s">
        <v>20</v>
      </c>
      <c r="F27" s="122"/>
      <c r="G27" s="122"/>
      <c r="H27" s="122"/>
      <c r="S27" s="58"/>
      <c r="T27" s="58"/>
      <c r="U27" s="58"/>
      <c r="V27" s="58" t="s">
        <v>213</v>
      </c>
      <c r="W27" s="58" t="s">
        <v>230</v>
      </c>
      <c r="X27"/>
      <c r="Y27"/>
      <c r="Z27"/>
    </row>
    <row r="28" spans="1:26" ht="15.75" customHeight="1" x14ac:dyDescent="0.25">
      <c r="A28" s="93" t="s">
        <v>21</v>
      </c>
      <c r="B28" s="93"/>
      <c r="C28" s="93"/>
      <c r="D28" s="93"/>
      <c r="E28" s="122" t="str">
        <f>IF(AND(G20="Mumbai"),"Developed","Developing")</f>
        <v>Developed</v>
      </c>
      <c r="F28" s="122"/>
      <c r="G28" s="122"/>
      <c r="H28" s="122"/>
    </row>
    <row r="29" spans="1:26" x14ac:dyDescent="0.25">
      <c r="A29" s="93" t="s">
        <v>22</v>
      </c>
      <c r="B29" s="93"/>
      <c r="C29" s="93"/>
      <c r="D29" s="93"/>
      <c r="E29" s="122" t="s">
        <v>23</v>
      </c>
      <c r="F29" s="122"/>
      <c r="G29" s="122"/>
      <c r="H29" s="122"/>
    </row>
    <row r="30" spans="1:26" ht="15.75" customHeight="1" x14ac:dyDescent="0.25">
      <c r="A30" s="93" t="s">
        <v>78</v>
      </c>
      <c r="B30" s="93"/>
      <c r="C30" s="93"/>
      <c r="D30" s="93"/>
      <c r="E30" s="122" t="s">
        <v>79</v>
      </c>
      <c r="F30" s="122"/>
      <c r="G30" s="122"/>
      <c r="H30" s="122"/>
    </row>
    <row r="31" spans="1:26" ht="15" customHeight="1" x14ac:dyDescent="0.25">
      <c r="A31" s="93" t="s">
        <v>30</v>
      </c>
      <c r="B31" s="93"/>
      <c r="C31" s="93"/>
      <c r="D31" s="93"/>
      <c r="E31" s="122" t="str">
        <f>IF(AND(ISNUMBER(SEARCH("Flat",D58)),ISNUMBER(SEARCH("Shop",D58)),ISNUMBER(SEARCH("Office",D58))),"Residential + Commercial",IF(AND(ISNUMBER(SEARCH("Flat",D58)),ISNUMBER(SEARCH("Shop",D58))),"Residential + Commercial",IF(AND(ISNUMBER(SEARCH("Flat",D58)),ISNUMBER(SEARCH("Office",D58))),"Residential + Commercial",IF(AND(ISNUMBER(SEARCH("Shop",D58)),ISNUMBER(SEARCH("Office",D58))),"Commercial",IF(ISNUMBER(SEARCH("Shop",D58)),"Commercial",IF(ISNUMBER(SEARCH("Office",D58)),"Commercial",IF(ISNUMBER(SEARCH("Flat",D58)),"Residential")))))))</f>
        <v>Residential + Commercial</v>
      </c>
      <c r="F31" s="122"/>
      <c r="G31" s="122"/>
      <c r="H31" s="122"/>
    </row>
    <row r="32" spans="1:26" ht="15.75" customHeight="1" x14ac:dyDescent="0.25">
      <c r="A32" s="93" t="s">
        <v>89</v>
      </c>
      <c r="B32" s="93"/>
      <c r="C32" s="93"/>
      <c r="D32" s="93"/>
      <c r="E32" s="122" t="s">
        <v>31</v>
      </c>
      <c r="F32" s="122"/>
      <c r="G32" s="122"/>
      <c r="H32" s="122"/>
    </row>
    <row r="33" spans="1:19" s="22" customFormat="1" x14ac:dyDescent="0.25">
      <c r="A33" s="187" t="s">
        <v>90</v>
      </c>
      <c r="B33" s="187"/>
      <c r="C33" s="91" t="s">
        <v>177</v>
      </c>
      <c r="D33" s="91"/>
      <c r="E33" s="91"/>
      <c r="F33" s="91" t="s">
        <v>29</v>
      </c>
      <c r="G33" s="91"/>
      <c r="H33" s="91"/>
      <c r="S33" s="22" t="e">
        <f ca="1">OFFSET($S$13,1,MATCH($G20,$S$13:$W$13,0)-1,15,1)</f>
        <v>#VALUE!</v>
      </c>
    </row>
    <row r="34" spans="1:19" s="22" customFormat="1" x14ac:dyDescent="0.25">
      <c r="A34" s="185" t="s">
        <v>24</v>
      </c>
      <c r="B34" s="185" t="s">
        <v>28</v>
      </c>
      <c r="C34" s="183" t="s">
        <v>318</v>
      </c>
      <c r="D34" s="183"/>
      <c r="E34" s="183"/>
      <c r="F34" s="183" t="s">
        <v>320</v>
      </c>
      <c r="G34" s="183"/>
      <c r="H34" s="183"/>
    </row>
    <row r="35" spans="1:19" x14ac:dyDescent="0.25">
      <c r="A35" s="185" t="s">
        <v>25</v>
      </c>
      <c r="B35" s="185" t="s">
        <v>28</v>
      </c>
      <c r="C35" s="183" t="s">
        <v>319</v>
      </c>
      <c r="D35" s="183"/>
      <c r="E35" s="183"/>
      <c r="F35" s="183" t="s">
        <v>315</v>
      </c>
      <c r="G35" s="183"/>
      <c r="H35" s="183"/>
    </row>
    <row r="36" spans="1:19" s="22" customFormat="1" x14ac:dyDescent="0.25">
      <c r="A36" s="185" t="s">
        <v>27</v>
      </c>
      <c r="B36" s="185" t="s">
        <v>28</v>
      </c>
      <c r="C36" s="183" t="s">
        <v>317</v>
      </c>
      <c r="D36" s="183"/>
      <c r="E36" s="183"/>
      <c r="F36" s="186" t="s">
        <v>321</v>
      </c>
      <c r="G36" s="183"/>
      <c r="H36" s="183"/>
    </row>
    <row r="37" spans="1:19" x14ac:dyDescent="0.25">
      <c r="A37" s="185" t="s">
        <v>26</v>
      </c>
      <c r="B37" s="185" t="s">
        <v>28</v>
      </c>
      <c r="C37" s="183" t="s">
        <v>319</v>
      </c>
      <c r="D37" s="183"/>
      <c r="E37" s="183"/>
      <c r="F37" s="183" t="s">
        <v>320</v>
      </c>
      <c r="G37" s="183"/>
      <c r="H37" s="183"/>
    </row>
    <row r="38" spans="1:19" x14ac:dyDescent="0.25">
      <c r="A38" s="93" t="s">
        <v>286</v>
      </c>
      <c r="B38" s="93"/>
      <c r="C38" s="93"/>
      <c r="D38" s="93"/>
      <c r="E38" s="93"/>
      <c r="F38" s="93"/>
      <c r="G38" s="93"/>
      <c r="H38" s="93"/>
    </row>
    <row r="39" spans="1:19" ht="15.75" customHeight="1" x14ac:dyDescent="0.25">
      <c r="A39" s="93" t="s">
        <v>167</v>
      </c>
      <c r="B39" s="93"/>
      <c r="C39" s="172" t="s">
        <v>312</v>
      </c>
      <c r="D39" s="172"/>
      <c r="E39" s="172"/>
      <c r="F39" s="172"/>
      <c r="G39" s="172"/>
      <c r="H39" s="172"/>
    </row>
    <row r="40" spans="1:19" x14ac:dyDescent="0.25">
      <c r="A40" s="93" t="s">
        <v>163</v>
      </c>
      <c r="B40" s="93"/>
      <c r="C40" s="202" t="s">
        <v>313</v>
      </c>
      <c r="D40" s="122"/>
      <c r="E40" s="122"/>
      <c r="F40" s="122"/>
      <c r="G40" s="122"/>
      <c r="H40" s="122"/>
    </row>
    <row r="41" spans="1:19" x14ac:dyDescent="0.25">
      <c r="A41" s="172" t="s">
        <v>32</v>
      </c>
      <c r="B41" s="172"/>
      <c r="C41" s="172"/>
      <c r="D41" s="172"/>
      <c r="E41" s="172"/>
      <c r="F41" s="172"/>
      <c r="G41" s="172"/>
      <c r="H41" s="172"/>
      <c r="I41" s="21">
        <f>39000/1.5</f>
        <v>26000</v>
      </c>
    </row>
    <row r="42" spans="1:19" x14ac:dyDescent="0.25">
      <c r="A42" s="93" t="s">
        <v>33</v>
      </c>
      <c r="B42" s="93"/>
      <c r="C42" s="93"/>
      <c r="D42" s="93"/>
      <c r="E42" s="191">
        <v>704.19</v>
      </c>
      <c r="F42" s="191"/>
      <c r="G42" s="191"/>
      <c r="H42" s="191"/>
    </row>
    <row r="43" spans="1:19" x14ac:dyDescent="0.25">
      <c r="A43" s="93" t="s">
        <v>34</v>
      </c>
      <c r="B43" s="93"/>
      <c r="C43" s="93"/>
      <c r="D43" s="93"/>
      <c r="E43" s="103">
        <v>3</v>
      </c>
      <c r="F43" s="103"/>
      <c r="G43" s="103"/>
      <c r="H43" s="103"/>
      <c r="I43" s="21">
        <f>2118.57/E42</f>
        <v>3.0085204277254718</v>
      </c>
    </row>
    <row r="44" spans="1:19" x14ac:dyDescent="0.25">
      <c r="A44" s="93" t="s">
        <v>35</v>
      </c>
      <c r="B44" s="93"/>
      <c r="C44" s="93"/>
      <c r="D44" s="93"/>
      <c r="E44" s="103">
        <f>E46/E42-E43</f>
        <v>2.3580851758758286</v>
      </c>
      <c r="F44" s="103"/>
      <c r="G44" s="103"/>
      <c r="H44" s="103"/>
    </row>
    <row r="45" spans="1:19" x14ac:dyDescent="0.25">
      <c r="A45" s="93" t="s">
        <v>36</v>
      </c>
      <c r="B45" s="93"/>
      <c r="C45" s="93"/>
      <c r="D45" s="93"/>
      <c r="E45" s="103">
        <f>E43+E44</f>
        <v>5.3580851758758286</v>
      </c>
      <c r="F45" s="103"/>
      <c r="G45" s="103"/>
      <c r="H45" s="103"/>
      <c r="I45" s="68"/>
    </row>
    <row r="46" spans="1:19" x14ac:dyDescent="0.25">
      <c r="A46" s="102" t="s">
        <v>346</v>
      </c>
      <c r="B46" s="102"/>
      <c r="C46" s="102"/>
      <c r="D46" s="102"/>
      <c r="E46" s="98">
        <v>3773.11</v>
      </c>
      <c r="F46" s="98"/>
      <c r="G46" s="98"/>
      <c r="H46" s="98"/>
    </row>
    <row r="47" spans="1:19" ht="33" hidden="1" customHeight="1" x14ac:dyDescent="0.25">
      <c r="A47" s="111" t="s">
        <v>329</v>
      </c>
      <c r="B47" s="113"/>
      <c r="C47" s="113"/>
      <c r="D47" s="112"/>
      <c r="E47" s="213">
        <v>1226.71</v>
      </c>
      <c r="F47" s="214"/>
      <c r="G47" s="214"/>
      <c r="H47" s="215"/>
    </row>
    <row r="48" spans="1:19" x14ac:dyDescent="0.25">
      <c r="A48" s="123" t="s">
        <v>37</v>
      </c>
      <c r="B48" s="123"/>
      <c r="C48" s="123"/>
      <c r="D48" s="123"/>
      <c r="E48" s="123" t="s">
        <v>119</v>
      </c>
      <c r="F48" s="123"/>
      <c r="G48" s="123"/>
      <c r="H48" s="123"/>
    </row>
    <row r="49" spans="1:22" x14ac:dyDescent="0.25">
      <c r="A49" s="172" t="s">
        <v>38</v>
      </c>
      <c r="B49" s="172"/>
      <c r="C49" s="172"/>
      <c r="D49" s="172"/>
      <c r="E49" s="172"/>
      <c r="F49" s="172"/>
      <c r="G49" s="172"/>
      <c r="H49" s="172"/>
    </row>
    <row r="50" spans="1:22" ht="33.75" customHeight="1" x14ac:dyDescent="0.25">
      <c r="A50" s="111" t="s">
        <v>153</v>
      </c>
      <c r="B50" s="112"/>
      <c r="C50" s="209" t="s">
        <v>262</v>
      </c>
      <c r="D50" s="210"/>
      <c r="E50" s="210"/>
      <c r="F50" s="210"/>
      <c r="G50" s="210"/>
      <c r="H50" s="211"/>
      <c r="R50" t="s">
        <v>259</v>
      </c>
      <c r="S50" t="s">
        <v>176</v>
      </c>
      <c r="T50" t="s">
        <v>184</v>
      </c>
      <c r="U50" t="s">
        <v>199</v>
      </c>
      <c r="V50" t="s">
        <v>194</v>
      </c>
    </row>
    <row r="51" spans="1:22" ht="15.75" customHeight="1" x14ac:dyDescent="0.25">
      <c r="A51" s="111" t="s">
        <v>39</v>
      </c>
      <c r="B51" s="112"/>
      <c r="C51" s="111" t="s">
        <v>328</v>
      </c>
      <c r="D51" s="113"/>
      <c r="E51" s="112"/>
      <c r="F51" s="18" t="s">
        <v>40</v>
      </c>
      <c r="G51" s="114">
        <v>45420</v>
      </c>
      <c r="H51" s="115"/>
      <c r="R51"/>
      <c r="S51" t="s">
        <v>260</v>
      </c>
      <c r="T51" t="s">
        <v>265</v>
      </c>
      <c r="U51" t="s">
        <v>276</v>
      </c>
      <c r="V51" t="s">
        <v>281</v>
      </c>
    </row>
    <row r="52" spans="1:22" ht="15.75" customHeight="1" x14ac:dyDescent="0.25">
      <c r="A52" s="111" t="s">
        <v>41</v>
      </c>
      <c r="B52" s="112"/>
      <c r="C52" s="111" t="str">
        <f>C51</f>
        <v>Mhada - 36/1299/2024</v>
      </c>
      <c r="D52" s="113"/>
      <c r="E52" s="112"/>
      <c r="F52" s="18" t="s">
        <v>40</v>
      </c>
      <c r="G52" s="117">
        <f>G51</f>
        <v>45420</v>
      </c>
      <c r="H52" s="112"/>
      <c r="R52"/>
      <c r="S52" t="s">
        <v>261</v>
      </c>
      <c r="T52" t="s">
        <v>266</v>
      </c>
      <c r="U52" t="s">
        <v>274</v>
      </c>
      <c r="V52" t="s">
        <v>282</v>
      </c>
    </row>
    <row r="53" spans="1:22" s="23" customFormat="1" ht="31.5" customHeight="1" x14ac:dyDescent="0.25">
      <c r="A53" s="118" t="s">
        <v>157</v>
      </c>
      <c r="B53" s="119"/>
      <c r="C53" s="111" t="s">
        <v>348</v>
      </c>
      <c r="D53" s="113"/>
      <c r="E53" s="112"/>
      <c r="F53" s="18" t="s">
        <v>40</v>
      </c>
      <c r="G53" s="117">
        <v>45716</v>
      </c>
      <c r="H53" s="112"/>
      <c r="R53"/>
      <c r="S53" t="s">
        <v>262</v>
      </c>
      <c r="T53" t="s">
        <v>267</v>
      </c>
      <c r="U53" t="s">
        <v>264</v>
      </c>
      <c r="V53" t="s">
        <v>283</v>
      </c>
    </row>
    <row r="54" spans="1:22" s="23" customFormat="1" ht="219" customHeight="1" x14ac:dyDescent="0.25">
      <c r="A54" s="120"/>
      <c r="B54" s="121"/>
      <c r="C54" s="111" t="s">
        <v>353</v>
      </c>
      <c r="D54" s="113"/>
      <c r="E54" s="112"/>
      <c r="F54" s="18" t="s">
        <v>120</v>
      </c>
      <c r="G54" s="117">
        <v>45865</v>
      </c>
      <c r="H54" s="112"/>
      <c r="R54"/>
      <c r="S54" t="s">
        <v>263</v>
      </c>
      <c r="T54" t="s">
        <v>270</v>
      </c>
      <c r="U54" t="s">
        <v>277</v>
      </c>
    </row>
    <row r="55" spans="1:22" x14ac:dyDescent="0.25">
      <c r="A55" s="95" t="s">
        <v>42</v>
      </c>
      <c r="B55" s="96"/>
      <c r="C55" s="95" t="s">
        <v>102</v>
      </c>
      <c r="D55" s="97"/>
      <c r="E55" s="96"/>
      <c r="F55" s="45" t="s">
        <v>40</v>
      </c>
      <c r="G55" s="124" t="s">
        <v>28</v>
      </c>
      <c r="H55" s="125"/>
      <c r="R55"/>
      <c r="T55" t="s">
        <v>275</v>
      </c>
    </row>
    <row r="56" spans="1:22" x14ac:dyDescent="0.25">
      <c r="A56" s="116" t="s">
        <v>44</v>
      </c>
      <c r="B56" s="116"/>
      <c r="C56" s="116"/>
      <c r="D56" s="116"/>
      <c r="E56" s="116"/>
      <c r="F56" s="116"/>
      <c r="G56" s="116"/>
      <c r="H56" s="116"/>
      <c r="T56" t="s">
        <v>284</v>
      </c>
    </row>
    <row r="57" spans="1:22" x14ac:dyDescent="0.25">
      <c r="A57" s="102" t="s">
        <v>88</v>
      </c>
      <c r="B57" s="102"/>
      <c r="C57" s="102"/>
      <c r="D57" s="98">
        <v>1226.71</v>
      </c>
      <c r="E57" s="93"/>
      <c r="F57" s="93"/>
      <c r="G57" s="93"/>
      <c r="H57" s="93"/>
      <c r="R57"/>
    </row>
    <row r="58" spans="1:22" x14ac:dyDescent="0.25">
      <c r="A58" s="122" t="s">
        <v>45</v>
      </c>
      <c r="B58" s="123"/>
      <c r="C58" s="123"/>
      <c r="D58" s="123" t="s">
        <v>347</v>
      </c>
      <c r="E58" s="123"/>
      <c r="F58" s="123"/>
      <c r="G58" s="123"/>
      <c r="H58" s="123"/>
      <c r="I58" s="24"/>
      <c r="R58"/>
    </row>
    <row r="59" spans="1:22" x14ac:dyDescent="0.25">
      <c r="A59" s="129" t="s">
        <v>46</v>
      </c>
      <c r="B59" s="130"/>
      <c r="C59" s="197"/>
      <c r="D59" s="195" t="s">
        <v>333</v>
      </c>
      <c r="E59" s="196"/>
      <c r="F59" s="196"/>
      <c r="G59" s="196"/>
      <c r="H59" s="196"/>
      <c r="R59"/>
    </row>
    <row r="60" spans="1:22" ht="15.75" customHeight="1" x14ac:dyDescent="0.25">
      <c r="A60" s="129" t="s">
        <v>86</v>
      </c>
      <c r="B60" s="130"/>
      <c r="C60" s="130"/>
      <c r="D60" s="135" t="s">
        <v>334</v>
      </c>
      <c r="E60" s="136"/>
      <c r="F60" s="136"/>
      <c r="G60" s="136"/>
      <c r="H60" s="137"/>
      <c r="I60" s="69" t="s">
        <v>322</v>
      </c>
      <c r="R60"/>
    </row>
    <row r="61" spans="1:22" ht="15.75" hidden="1" customHeight="1" x14ac:dyDescent="0.25">
      <c r="A61" s="131"/>
      <c r="B61" s="132"/>
      <c r="C61" s="132"/>
      <c r="D61" s="138" t="s">
        <v>169</v>
      </c>
      <c r="E61" s="139"/>
      <c r="F61" s="139"/>
      <c r="G61" s="139"/>
      <c r="H61" s="140"/>
      <c r="R61"/>
    </row>
    <row r="62" spans="1:22" ht="15.75" hidden="1" customHeight="1" x14ac:dyDescent="0.25">
      <c r="A62" s="133"/>
      <c r="B62" s="134"/>
      <c r="C62" s="134"/>
      <c r="D62" s="126" t="s">
        <v>172</v>
      </c>
      <c r="E62" s="127"/>
      <c r="F62" s="127"/>
      <c r="G62" s="127"/>
      <c r="H62" s="128"/>
      <c r="S62"/>
    </row>
    <row r="63" spans="1:22" ht="15.75" customHeight="1" x14ac:dyDescent="0.25">
      <c r="A63" s="93" t="s">
        <v>43</v>
      </c>
      <c r="B63" s="93"/>
      <c r="C63" s="93"/>
      <c r="D63" s="192" t="s">
        <v>327</v>
      </c>
      <c r="E63" s="192"/>
      <c r="F63" s="192"/>
      <c r="G63" s="192"/>
      <c r="H63" s="192"/>
      <c r="J63" s="25"/>
      <c r="K63" s="24"/>
      <c r="N63" s="24"/>
      <c r="S63"/>
    </row>
    <row r="64" spans="1:22" ht="15.75" customHeight="1" x14ac:dyDescent="0.25">
      <c r="A64" s="93" t="s">
        <v>84</v>
      </c>
      <c r="B64" s="93"/>
      <c r="C64" s="93"/>
      <c r="D64" s="193" t="str">
        <f>(IF(G55="NA","60 Years After Completion",IF(G55&lt;&gt;"NA",""&amp;60-ROUNDDOWN((E3-G55)/360,0)&amp;" Years"," ")))</f>
        <v>60 Years After Completion</v>
      </c>
      <c r="E64" s="193"/>
      <c r="F64" s="193"/>
      <c r="G64" s="193"/>
      <c r="H64" s="193"/>
      <c r="N64" s="24"/>
      <c r="S64"/>
    </row>
    <row r="65" spans="1:19" ht="15.75" customHeight="1" x14ac:dyDescent="0.25">
      <c r="A65" s="93" t="s">
        <v>85</v>
      </c>
      <c r="B65" s="93"/>
      <c r="C65" s="93"/>
      <c r="D65" s="102" t="s">
        <v>23</v>
      </c>
      <c r="E65" s="102"/>
      <c r="F65" s="102"/>
      <c r="G65" s="102"/>
      <c r="H65" s="102"/>
      <c r="J65" s="26"/>
      <c r="K65" s="26"/>
      <c r="S65"/>
    </row>
    <row r="66" spans="1:19" ht="38.450000000000003" customHeight="1" x14ac:dyDescent="0.25">
      <c r="A66" s="123" t="s">
        <v>323</v>
      </c>
      <c r="B66" s="123"/>
      <c r="C66" s="123"/>
      <c r="D66" s="122" t="s">
        <v>324</v>
      </c>
      <c r="E66" s="102"/>
      <c r="F66" s="102"/>
      <c r="G66" s="102"/>
      <c r="H66" s="102"/>
      <c r="I66" s="21" t="s">
        <v>325</v>
      </c>
      <c r="S66"/>
    </row>
    <row r="67" spans="1:19" x14ac:dyDescent="0.25">
      <c r="A67" s="102" t="s">
        <v>149</v>
      </c>
      <c r="B67" s="102"/>
      <c r="C67" s="102"/>
      <c r="D67" s="102" t="s">
        <v>28</v>
      </c>
      <c r="E67" s="102"/>
      <c r="F67" s="102"/>
      <c r="G67" s="102"/>
      <c r="H67" s="102"/>
      <c r="I67" s="27"/>
      <c r="J67" s="27"/>
      <c r="K67" s="27"/>
      <c r="L67" s="27"/>
      <c r="M67" s="27"/>
      <c r="N67" s="27"/>
    </row>
    <row r="68" spans="1:19" ht="15.75" customHeight="1" x14ac:dyDescent="0.25">
      <c r="A68" s="93" t="s">
        <v>83</v>
      </c>
      <c r="B68" s="93"/>
      <c r="C68" s="93"/>
      <c r="D68" s="122" t="str">
        <f ca="1">(IF(G74&gt;95%,"Nothing",IF(G74&gt;0%,"Cement, Aggregate, Steel, etc",IF(G74=0%,"Work not yet Started"))))</f>
        <v>Cement, Aggregate, Steel, etc</v>
      </c>
      <c r="E68" s="122"/>
      <c r="F68" s="122"/>
      <c r="G68" s="122"/>
      <c r="H68" s="122"/>
      <c r="J68" s="26"/>
      <c r="S68"/>
    </row>
    <row r="69" spans="1:19" ht="33.75" customHeight="1" thickBot="1" x14ac:dyDescent="0.3">
      <c r="A69" s="102" t="s">
        <v>115</v>
      </c>
      <c r="B69" s="102"/>
      <c r="C69" s="102"/>
      <c r="D69" s="122" t="str">
        <f ca="1">(IF(D68="Nothing","Yes",IF(D68="Cement, Aggregate, Steel, etc","Under Construction",IF(D68="Work not yet Started","Work not yet Started"))))</f>
        <v>Under Construction</v>
      </c>
      <c r="E69" s="122"/>
      <c r="F69" s="122" t="str">
        <f ca="1">(IF(D68="Nothing","Yes",IF(D68="Cement, Aggregate, Steel, etc","Under Construction",IF(D68="Work not yet Started","Work not yet Started"))))</f>
        <v>Under Construction</v>
      </c>
      <c r="G69" s="122"/>
      <c r="H69" s="122"/>
      <c r="I69" s="68">
        <f>E43+E44</f>
        <v>5.3580851758758286</v>
      </c>
      <c r="S69"/>
    </row>
    <row r="70" spans="1:19" ht="15.75" customHeight="1" x14ac:dyDescent="0.25">
      <c r="A70" s="200" t="s">
        <v>139</v>
      </c>
      <c r="B70" s="200"/>
      <c r="C70" s="201" t="str">
        <f>D60</f>
        <v>B (pt) + Gr + 1st to 15th Floor</v>
      </c>
      <c r="D70" s="201"/>
      <c r="E70" s="201"/>
      <c r="F70" s="201"/>
      <c r="G70" s="201"/>
      <c r="H70" s="201"/>
      <c r="I70" s="80" t="str">
        <f ca="1">IF(D83=100%,"All work Completed. Possession granted to the Building.",IF(D82=100%,"All work Completed, Waiting for OC",I71&amp;""&amp;I72&amp;""&amp;J71&amp;""&amp;J70&amp;" "&amp;J72))</f>
        <v>Excavation, Plinth, RCC Slab, Brickwork, Internal Plaster, External Plaster Completed, Flooring upto 13 Floor, Painting upto 11 Floor, Finishing upto 5 Floor Completed</v>
      </c>
      <c r="J70" s="50" t="str">
        <f ca="1">(IF(C76=(D71+F71+H71),"",IF(C76&gt;0,", RCC upto "&amp;C76&amp;" Slab","")))&amp;(IF(C77=H71,"",IF(C77&gt;0,", Brickwork upto "&amp;C77&amp;" Floor","")))&amp;(IF(C78=H71,"",IF(C78&gt;0,", Internal Plaster upto "&amp;C78&amp;" Floor","")))&amp;(IF(C79=H71,"",IF(C79&gt;0,", External Plaster upto "&amp;C79&amp;" Floor","")))&amp;(IF(C80=H71,"",IF(C80&gt;0,", Flooring upto "&amp;C80&amp;" Floor","")))&amp;(IF(C81=H71,"",IF(C81&gt;0,", Painting upto "&amp;C81&amp;" Floor","")))&amp;(IF(C82=H71,"",IF(C82&gt;0,", Finishing upto "&amp;C82&amp;" Floor","")))&amp;(IF(C83=H71,"",IF(C83&gt;0,", Possession upto "&amp;C83&amp;" Floor","")))</f>
        <v>, Flooring upto 13 Floor, Painting upto 11 Floor, Finishing upto 5 Floor</v>
      </c>
      <c r="S70"/>
    </row>
    <row r="71" spans="1:19" x14ac:dyDescent="0.25">
      <c r="A71" s="16" t="s">
        <v>141</v>
      </c>
      <c r="B71" s="53">
        <v>1</v>
      </c>
      <c r="C71" s="47" t="s">
        <v>69</v>
      </c>
      <c r="D71" s="47">
        <v>1</v>
      </c>
      <c r="E71" s="47" t="s">
        <v>68</v>
      </c>
      <c r="F71" s="54">
        <v>0</v>
      </c>
      <c r="G71" s="48" t="s">
        <v>77</v>
      </c>
      <c r="H71" s="17">
        <f ca="1">--TRIM(RIGHT(SUBSTITUTE(LEFT(C70,_xlfn.AGGREGATE(16,6,FIND({0,1,2,3,4,5,6,7,8,9},C70,ROW(INDIRECT("1:"&amp;LEN(C70)))),1))," ",REPT(" ",LEN(C70))),LEN(C70)))</f>
        <v>15</v>
      </c>
      <c r="I71" s="51" t="str">
        <f ca="1">IF(D74=100%,"Excavation","")&amp;IF(D75=100%,", Plinth","")&amp;IF(D76=100%,", RCC Slab","")&amp;IF(D77=100%,", Brickwork","")&amp;IF(D78=100%,", Internal Plaster","")&amp;IF(D79=100%,", External Plaster","")&amp;IF(D80=100%,", Flooring","")&amp;IF(D81=100%,", Painting","")&amp;IF(D82=100%,", Building common Amenities","")</f>
        <v>Excavation, Plinth, RCC Slab, Brickwork, Internal Plaster, External Plaster</v>
      </c>
      <c r="J71" s="52" t="str">
        <f ca="1">(IF(C74=0,"Work not yet Started.",IF(D74=25%,"Piling work in process",IF(D74=50%,"Excavation work in process",IF(D74=100%,"","0")))))&amp;(IF(C75=0%,"",IF(C75=J76,", Footing work is process",IF(C75=J77,", Footing work Completed",IF(C75=J78,", 1st Basement Completed",IF(C75=J79,", 1st &amp; 2nd Basement Completed",IF(C75=J80,", 1st to 3rd Basement Completed",IF(C75=J81,", 1st to 4th Basement Completed",IF(C75=J82,", Plinth work is process",IF(C75=J83,"","0"))))))))))</f>
        <v/>
      </c>
      <c r="S71"/>
    </row>
    <row r="72" spans="1:19" ht="48.75" customHeight="1" x14ac:dyDescent="0.25">
      <c r="A72" s="194" t="s">
        <v>87</v>
      </c>
      <c r="B72" s="180"/>
      <c r="C72" s="198" t="str">
        <f ca="1">I70</f>
        <v>Excavation, Plinth, RCC Slab, Brickwork, Internal Plaster, External Plaster Completed, Flooring upto 13 Floor, Painting upto 11 Floor, Finishing upto 5 Floor Completed</v>
      </c>
      <c r="D72" s="198"/>
      <c r="E72" s="198"/>
      <c r="F72" s="198"/>
      <c r="G72" s="198"/>
      <c r="H72" s="199"/>
      <c r="I72" s="51" t="str">
        <f ca="1">IF(I71&lt;&gt;""," Completed","")</f>
        <v xml:space="preserve"> Completed</v>
      </c>
      <c r="J72" s="52" t="str">
        <f ca="1">IF(J70&lt;&gt;"","Completed","")</f>
        <v>Completed</v>
      </c>
      <c r="S72"/>
    </row>
    <row r="73" spans="1:19" ht="15.75" customHeight="1" x14ac:dyDescent="0.25">
      <c r="A73" s="109" t="s">
        <v>47</v>
      </c>
      <c r="B73" s="110"/>
      <c r="C73" s="43" t="s">
        <v>138</v>
      </c>
      <c r="D73" s="43" t="s">
        <v>80</v>
      </c>
      <c r="E73" s="110" t="s">
        <v>82</v>
      </c>
      <c r="F73" s="110"/>
      <c r="G73" s="110" t="s">
        <v>81</v>
      </c>
      <c r="H73" s="161"/>
      <c r="I73" s="13" t="s">
        <v>140</v>
      </c>
      <c r="J73" s="28">
        <f ca="1">H71*25%</f>
        <v>3.75</v>
      </c>
      <c r="S73"/>
    </row>
    <row r="74" spans="1:19" x14ac:dyDescent="0.25">
      <c r="A74" s="109" t="s">
        <v>127</v>
      </c>
      <c r="B74" s="110"/>
      <c r="C74" s="43">
        <f ca="1">J75</f>
        <v>15</v>
      </c>
      <c r="D74" s="19">
        <f ca="1">((100/H71)*C74)/100</f>
        <v>1</v>
      </c>
      <c r="E74" s="162">
        <f ca="1">(((C75/H71*10)+(40/(D71+F71+H71)*C76)+(7.5/(H71)*C77)+(7.5/(H71)*C78)+(10/H71*C79)+(10/H71*C80)+(5/H71*C81)+(5/H71*C82)+(5/H71*C83))/100)</f>
        <v>0.89000000000000012</v>
      </c>
      <c r="F74" s="163"/>
      <c r="G74" s="162">
        <f ca="1">((((C74/H71)*20)+((C75/H71)*25)+(30/(H71+F71+D71)*C76)+(5/H71*C77)+(5/H71*C78)+(5/H71*C79)+(5/H71*C80)+(0/H71*C81)+(0/H71*C82)+(5/H71*C83))/100)</f>
        <v>0.94333333333333325</v>
      </c>
      <c r="H74" s="188"/>
      <c r="I74" s="13" t="s">
        <v>97</v>
      </c>
      <c r="J74" s="29">
        <f ca="1">H71*50%</f>
        <v>7.5</v>
      </c>
    </row>
    <row r="75" spans="1:19" x14ac:dyDescent="0.25">
      <c r="A75" s="109" t="s">
        <v>48</v>
      </c>
      <c r="B75" s="110"/>
      <c r="C75" s="43">
        <f ca="1">J83</f>
        <v>15</v>
      </c>
      <c r="D75" s="19">
        <f ca="1">((100/H71)*C75)/100</f>
        <v>1</v>
      </c>
      <c r="E75" s="164"/>
      <c r="F75" s="165"/>
      <c r="G75" s="164"/>
      <c r="H75" s="189"/>
      <c r="I75" s="13" t="s">
        <v>98</v>
      </c>
      <c r="J75" s="29">
        <f ca="1">H71</f>
        <v>15</v>
      </c>
      <c r="S75"/>
    </row>
    <row r="76" spans="1:19" ht="15.75" customHeight="1" x14ac:dyDescent="0.25">
      <c r="A76" s="109" t="s">
        <v>128</v>
      </c>
      <c r="B76" s="110"/>
      <c r="C76" s="43">
        <v>16</v>
      </c>
      <c r="D76" s="19">
        <f ca="1">((100/(D71+F71+H71))*C76)/100</f>
        <v>1</v>
      </c>
      <c r="E76" s="164"/>
      <c r="F76" s="165"/>
      <c r="G76" s="164"/>
      <c r="H76" s="189"/>
      <c r="I76" s="13" t="s">
        <v>99</v>
      </c>
      <c r="J76" s="30">
        <f ca="1">(IF(B71&gt;1,(H71/(B71+2)),H71/4))</f>
        <v>3.75</v>
      </c>
      <c r="S76"/>
    </row>
    <row r="77" spans="1:19" ht="15.75" customHeight="1" x14ac:dyDescent="0.25">
      <c r="A77" s="109" t="s">
        <v>135</v>
      </c>
      <c r="B77" s="110" t="s">
        <v>129</v>
      </c>
      <c r="C77" s="43">
        <v>15</v>
      </c>
      <c r="D77" s="19">
        <f ca="1">((100/H71)*C77)/100</f>
        <v>1</v>
      </c>
      <c r="E77" s="164"/>
      <c r="F77" s="165"/>
      <c r="G77" s="164"/>
      <c r="H77" s="189"/>
      <c r="I77" s="13" t="s">
        <v>100</v>
      </c>
      <c r="J77" s="30">
        <f ca="1">(IF(B71&gt;1,(H71/(B71+2)+J76),H71/4+J76))</f>
        <v>7.5</v>
      </c>
    </row>
    <row r="78" spans="1:19" ht="15.75" customHeight="1" x14ac:dyDescent="0.25">
      <c r="A78" s="109" t="s">
        <v>136</v>
      </c>
      <c r="B78" s="110" t="s">
        <v>129</v>
      </c>
      <c r="C78" s="43">
        <v>15</v>
      </c>
      <c r="D78" s="19">
        <f ca="1">((100/H71)*C78)/100</f>
        <v>1</v>
      </c>
      <c r="E78" s="164"/>
      <c r="F78" s="165"/>
      <c r="G78" s="164"/>
      <c r="H78" s="189"/>
      <c r="I78" s="13" t="s">
        <v>147</v>
      </c>
      <c r="J78" s="30">
        <f>(IF(B71&gt;1,(H71/(B71+2)+J77),0))</f>
        <v>0</v>
      </c>
    </row>
    <row r="79" spans="1:19" ht="15" customHeight="1" x14ac:dyDescent="0.25">
      <c r="A79" s="109" t="s">
        <v>134</v>
      </c>
      <c r="B79" s="110" t="s">
        <v>131</v>
      </c>
      <c r="C79" s="43">
        <v>15</v>
      </c>
      <c r="D79" s="19">
        <f ca="1">((100/(H71))*C79)/100</f>
        <v>1</v>
      </c>
      <c r="E79" s="164"/>
      <c r="F79" s="165"/>
      <c r="G79" s="164"/>
      <c r="H79" s="189"/>
      <c r="I79" s="13" t="s">
        <v>142</v>
      </c>
      <c r="J79" s="30">
        <f>(IF(B71&gt;2,(H71/(B71+2)+J78),0))</f>
        <v>0</v>
      </c>
    </row>
    <row r="80" spans="1:19" ht="15.75" customHeight="1" x14ac:dyDescent="0.25">
      <c r="A80" s="109" t="s">
        <v>130</v>
      </c>
      <c r="B80" s="110" t="s">
        <v>130</v>
      </c>
      <c r="C80" s="43">
        <v>13</v>
      </c>
      <c r="D80" s="19">
        <f ca="1">((100/H71)*C80)/100</f>
        <v>0.8666666666666667</v>
      </c>
      <c r="E80" s="164"/>
      <c r="F80" s="165"/>
      <c r="G80" s="164"/>
      <c r="H80" s="189"/>
      <c r="I80" s="13" t="s">
        <v>143</v>
      </c>
      <c r="J80" s="31">
        <f>(IF(B71&gt;3,(H71/(B71+2)+J79),0))</f>
        <v>0</v>
      </c>
    </row>
    <row r="81" spans="1:10" ht="15.75" customHeight="1" x14ac:dyDescent="0.25">
      <c r="A81" s="109" t="s">
        <v>137</v>
      </c>
      <c r="B81" s="110"/>
      <c r="C81" s="43">
        <v>11</v>
      </c>
      <c r="D81" s="19">
        <f ca="1">((100/H71)*C81)/100</f>
        <v>0.73333333333333339</v>
      </c>
      <c r="E81" s="164"/>
      <c r="F81" s="165"/>
      <c r="G81" s="164"/>
      <c r="H81" s="189"/>
      <c r="I81" s="13" t="s">
        <v>144</v>
      </c>
      <c r="J81" s="30">
        <f>(IF(B71&gt;4,(H71/(B71+2)+J80),0))</f>
        <v>0</v>
      </c>
    </row>
    <row r="82" spans="1:10" ht="15.75" customHeight="1" x14ac:dyDescent="0.25">
      <c r="A82" s="109" t="s">
        <v>132</v>
      </c>
      <c r="B82" s="110" t="s">
        <v>132</v>
      </c>
      <c r="C82" s="43">
        <v>5</v>
      </c>
      <c r="D82" s="19">
        <f ca="1">((100/(H71))*C82)/100</f>
        <v>0.33333333333333337</v>
      </c>
      <c r="E82" s="164"/>
      <c r="F82" s="165"/>
      <c r="G82" s="164"/>
      <c r="H82" s="189"/>
      <c r="I82" s="13" t="s">
        <v>148</v>
      </c>
      <c r="J82" s="30">
        <f ca="1">(IF(B71=1,(H71/(B71+3)+J77),IF(B71=0,(H71/4+J77),IF(B71&gt;1,0))))</f>
        <v>11.25</v>
      </c>
    </row>
    <row r="83" spans="1:10" ht="16.5" thickBot="1" x14ac:dyDescent="0.3">
      <c r="A83" s="145" t="s">
        <v>133</v>
      </c>
      <c r="B83" s="146"/>
      <c r="C83" s="44">
        <v>0</v>
      </c>
      <c r="D83" s="20">
        <f ca="1">((100/(H71))*C83)/100</f>
        <v>0</v>
      </c>
      <c r="E83" s="166"/>
      <c r="F83" s="167"/>
      <c r="G83" s="166"/>
      <c r="H83" s="190"/>
      <c r="I83" s="15" t="s">
        <v>101</v>
      </c>
      <c r="J83" s="32">
        <f ca="1">(IF(B71&gt;1.5,(H71/(B71+2)+J77+MAX(0,J78-J77)+MAX(0,J79-J78)+MAX(0,J80-J79)+MAX(0,J81-J80)+MAX(0,J82-J81)),IF(B71=1,(H71/(B71+3)+J82),IF(B71=0,H71/4+J82))))</f>
        <v>15</v>
      </c>
    </row>
    <row r="84" spans="1:10" ht="15.75" hidden="1" customHeight="1" x14ac:dyDescent="0.25">
      <c r="A84" s="104" t="s">
        <v>139</v>
      </c>
      <c r="B84" s="105"/>
      <c r="C84" s="106" t="str">
        <f>D61</f>
        <v>B Wing = 1B + G + 1st to 20th Floor</v>
      </c>
      <c r="D84" s="107"/>
      <c r="E84" s="107"/>
      <c r="F84" s="107"/>
      <c r="G84" s="107"/>
      <c r="H84" s="108"/>
      <c r="I84" s="49" t="str">
        <f ca="1">IF(D97=100%,"All work Completed. Possession granted to the Building.",IF(D96=100%,"All work Completed, Waiting for OC",I85&amp;""&amp;I86&amp;""&amp;J85&amp;""&amp;J84&amp;" "&amp;J86))</f>
        <v xml:space="preserve">Excavation, Plinth Completed </v>
      </c>
      <c r="J84" s="50" t="str">
        <f ca="1">(IF(C90=(D85+F85+H85),"",IF(C90&gt;0,", RCC upto "&amp;C90&amp;" Slab","")))&amp;(IF(C91=H85,"",IF(C91&gt;0,", Brickwork upto "&amp;C91&amp;" Floor","")))&amp;(IF(C92=H85,"",IF(C92&gt;0,", Internal Plaster upto "&amp;C92&amp;" Floor","")))&amp;(IF(C93=H85,"",IF(C93&gt;0,", External Plaster upto "&amp;C93&amp;" Floor","")))&amp;(IF(C94=H85,"",IF(C94&gt;0,", Flooring upto "&amp;C94&amp;" Floor","")))&amp;(IF(C95=H85,"",IF(C95&gt;0,", Painting upto "&amp;C95&amp;" Floor","")))&amp;(IF(C96=H85,"",IF(C96&gt;0,", Finishing upto "&amp;C96&amp;" Floor","")))&amp;(IF(C97=H85,"",IF(C97&gt;0,", Possession upto "&amp;C97&amp;" Floor","")))</f>
        <v/>
      </c>
    </row>
    <row r="85" spans="1:10" hidden="1" x14ac:dyDescent="0.25">
      <c r="A85" s="16" t="s">
        <v>141</v>
      </c>
      <c r="B85" s="54">
        <f>IF(AND(ISNUMBER(SEARCH("1B",C84))),1,IF(AND(ISNUMBER(SEARCH("2B",C84))),2,IF(AND(ISNUMBER(SEARCH("3B",C84))),3,IF(AND(ISNUMBER(SEARCH("4B",C84))),4,IF(ISNUMBER(SEARCH("5B",C84)),5,0)))))</f>
        <v>1</v>
      </c>
      <c r="C85" s="47" t="s">
        <v>69</v>
      </c>
      <c r="D85" s="47">
        <v>1</v>
      </c>
      <c r="E85" s="47" t="s">
        <v>68</v>
      </c>
      <c r="F85" s="14">
        <v>0</v>
      </c>
      <c r="G85" s="48" t="s">
        <v>77</v>
      </c>
      <c r="H85" s="17">
        <f ca="1">--TRIM(RIGHT(SUBSTITUTE(LEFT(C84,_xlfn.AGGREGATE(16,6,FIND({0,1,2,3,4,5,6,7,8,9},C84,ROW(INDIRECT("1:"&amp;LEN(C84)))),1))," ",REPT(" ",LEN(C84))),LEN(C84)))</f>
        <v>20</v>
      </c>
      <c r="I85" s="51" t="str">
        <f ca="1">IF(D88=100%,"Excavation","")&amp;IF(D89=100%,", Plinth","")&amp;IF(D90=100%,", RCC Slab","")&amp;IF(D91=100%,", Brickwork","")&amp;IF(D92=100%,", Internal Plaster","")&amp;IF(D93=100%,", External Plaster","")&amp;IF(D94=100%,", Flooring","")&amp;IF(D95=100%,", Painting","")&amp;IF(D96=100%,", Building common Amenities","")</f>
        <v>Excavation, Plinth</v>
      </c>
      <c r="J85" s="52" t="str">
        <f ca="1">(IF(C88=0,"Work not yet Started.",IF(D88=25%,"Piling work in process",IF(D88=50%,"Excavation work in process",IF(D88=100%,"","0")))))&amp;(IF(C89=0%,"",IF(C89=J90,", Footing work is process",IF(C89=J91,", Footing work Completed",IF(C89=J92,", 1st Basement Completed",IF(C89=J93,", 1st &amp; 2nd Basement Completed",IF(C89=J94,", 1st to 3rd Basement Completed",IF(C89=J95,", 1st to 4th Basement Completed",IF(C89=J96,", Plinth work is process",IF(C89=J97,"","0"))))))))))</f>
        <v/>
      </c>
    </row>
    <row r="86" spans="1:10" ht="33.75" hidden="1" customHeight="1" x14ac:dyDescent="0.25">
      <c r="A86" s="194" t="s">
        <v>87</v>
      </c>
      <c r="B86" s="180"/>
      <c r="C86" s="198" t="str">
        <f ca="1">(IF($G$55="NA",I84,"All work Completed. OC Received."))</f>
        <v xml:space="preserve">Excavation, Plinth Completed </v>
      </c>
      <c r="D86" s="198"/>
      <c r="E86" s="198"/>
      <c r="F86" s="198"/>
      <c r="G86" s="198"/>
      <c r="H86" s="199"/>
      <c r="I86" s="51" t="str">
        <f ca="1">IF(I85&lt;&gt;""," Completed","")</f>
        <v xml:space="preserve"> Completed</v>
      </c>
      <c r="J86" s="52" t="str">
        <f ca="1">IF(J84&lt;&gt;"","Completed","")</f>
        <v/>
      </c>
    </row>
    <row r="87" spans="1:10" ht="15.75" hidden="1" customHeight="1" x14ac:dyDescent="0.25">
      <c r="A87" s="109" t="s">
        <v>47</v>
      </c>
      <c r="B87" s="110"/>
      <c r="C87" s="43" t="s">
        <v>138</v>
      </c>
      <c r="D87" s="43" t="s">
        <v>80</v>
      </c>
      <c r="E87" s="110" t="s">
        <v>82</v>
      </c>
      <c r="F87" s="110"/>
      <c r="G87" s="110" t="s">
        <v>81</v>
      </c>
      <c r="H87" s="161"/>
      <c r="I87" s="13" t="s">
        <v>140</v>
      </c>
      <c r="J87" s="28">
        <f ca="1">H85*25%</f>
        <v>5</v>
      </c>
    </row>
    <row r="88" spans="1:10" hidden="1" x14ac:dyDescent="0.25">
      <c r="A88" s="109" t="s">
        <v>127</v>
      </c>
      <c r="B88" s="110"/>
      <c r="C88" s="43">
        <f ca="1">J89</f>
        <v>20</v>
      </c>
      <c r="D88" s="19">
        <f ca="1">((100/H85)*C88)/100</f>
        <v>1</v>
      </c>
      <c r="E88" s="162">
        <f ca="1">(((C89/H85*10)+(40/(D85+F85+H85)*C90)+(7.5/(H85)*C91)+(7.5/(H85)*C92)+(10/H85*C93)+(10/H85*C94)+(5/H85*C95)+(5/H85*C96)+(5/H85*C97))/100)</f>
        <v>0.1</v>
      </c>
      <c r="F88" s="163"/>
      <c r="G88" s="162">
        <f ca="1">((((C88/H85)*20)+((C89/H85)*25)+(30/(H85+F85+D85)*C90)+(5/H85*C91)+(5/H85*C92)+(5/H85*C93)+(5/H85*C94)+(0/H85*C95)+(0/H85*C96)+(5/H85*C97))/100)</f>
        <v>0.45</v>
      </c>
      <c r="H88" s="188"/>
      <c r="I88" s="13" t="s">
        <v>97</v>
      </c>
      <c r="J88" s="29">
        <f ca="1">H85*50%</f>
        <v>10</v>
      </c>
    </row>
    <row r="89" spans="1:10" hidden="1" x14ac:dyDescent="0.25">
      <c r="A89" s="109" t="s">
        <v>48</v>
      </c>
      <c r="B89" s="110"/>
      <c r="C89" s="55">
        <v>20</v>
      </c>
      <c r="D89" s="19">
        <f ca="1">((100/H85)*C89)/100</f>
        <v>1</v>
      </c>
      <c r="E89" s="164"/>
      <c r="F89" s="165"/>
      <c r="G89" s="164"/>
      <c r="H89" s="189"/>
      <c r="I89" s="13" t="s">
        <v>98</v>
      </c>
      <c r="J89" s="29">
        <f ca="1">H85</f>
        <v>20</v>
      </c>
    </row>
    <row r="90" spans="1:10" ht="15.75" hidden="1" customHeight="1" x14ac:dyDescent="0.25">
      <c r="A90" s="109" t="s">
        <v>128</v>
      </c>
      <c r="B90" s="110"/>
      <c r="C90" s="43">
        <v>0</v>
      </c>
      <c r="D90" s="19">
        <f ca="1">((100/(D85+F85+H85))*C90)/100</f>
        <v>0</v>
      </c>
      <c r="E90" s="164"/>
      <c r="F90" s="165"/>
      <c r="G90" s="164"/>
      <c r="H90" s="189"/>
      <c r="I90" s="13" t="s">
        <v>99</v>
      </c>
      <c r="J90" s="30">
        <f ca="1">(IF(B85&gt;1,(H85/(B85+2)),H85/4))</f>
        <v>5</v>
      </c>
    </row>
    <row r="91" spans="1:10" ht="15.75" hidden="1" customHeight="1" x14ac:dyDescent="0.25">
      <c r="A91" s="109" t="s">
        <v>135</v>
      </c>
      <c r="B91" s="110" t="s">
        <v>129</v>
      </c>
      <c r="C91" s="43">
        <v>0</v>
      </c>
      <c r="D91" s="19">
        <f ca="1">((100/H85)*C91)/100</f>
        <v>0</v>
      </c>
      <c r="E91" s="164"/>
      <c r="F91" s="165"/>
      <c r="G91" s="164"/>
      <c r="H91" s="189"/>
      <c r="I91" s="13" t="s">
        <v>100</v>
      </c>
      <c r="J91" s="30">
        <f ca="1">(IF(B85&gt;1,(H85/(B85+2)+J90),H85/4+J90))</f>
        <v>10</v>
      </c>
    </row>
    <row r="92" spans="1:10" ht="15.75" hidden="1" customHeight="1" x14ac:dyDescent="0.25">
      <c r="A92" s="109" t="s">
        <v>136</v>
      </c>
      <c r="B92" s="110" t="s">
        <v>129</v>
      </c>
      <c r="C92" s="43">
        <v>0</v>
      </c>
      <c r="D92" s="19">
        <f ca="1">((100/H85)*C92)/100</f>
        <v>0</v>
      </c>
      <c r="E92" s="164"/>
      <c r="F92" s="165"/>
      <c r="G92" s="164"/>
      <c r="H92" s="189"/>
      <c r="I92" s="13" t="s">
        <v>147</v>
      </c>
      <c r="J92" s="30">
        <f>(IF(B85&gt;1,(H85/(B85+2)+J91),0))</f>
        <v>0</v>
      </c>
    </row>
    <row r="93" spans="1:10" ht="15" hidden="1" customHeight="1" x14ac:dyDescent="0.25">
      <c r="A93" s="109" t="s">
        <v>134</v>
      </c>
      <c r="B93" s="110" t="s">
        <v>131</v>
      </c>
      <c r="C93" s="43">
        <v>0</v>
      </c>
      <c r="D93" s="19">
        <f ca="1">((100/(H85))*C93)/100</f>
        <v>0</v>
      </c>
      <c r="E93" s="164"/>
      <c r="F93" s="165"/>
      <c r="G93" s="164"/>
      <c r="H93" s="189"/>
      <c r="I93" s="13" t="s">
        <v>142</v>
      </c>
      <c r="J93" s="30">
        <f>(IF(B85&gt;2,(H85/(B85+2)+J92),0))</f>
        <v>0</v>
      </c>
    </row>
    <row r="94" spans="1:10" ht="15.75" hidden="1" customHeight="1" x14ac:dyDescent="0.25">
      <c r="A94" s="109" t="s">
        <v>130</v>
      </c>
      <c r="B94" s="110" t="s">
        <v>130</v>
      </c>
      <c r="C94" s="43">
        <v>0</v>
      </c>
      <c r="D94" s="19">
        <f ca="1">((100/H85)*C94)/100</f>
        <v>0</v>
      </c>
      <c r="E94" s="164"/>
      <c r="F94" s="165"/>
      <c r="G94" s="164"/>
      <c r="H94" s="189"/>
      <c r="I94" s="13" t="s">
        <v>143</v>
      </c>
      <c r="J94" s="31">
        <f>(IF(B85&gt;3,(H85/(B85+2)+J93),0))</f>
        <v>0</v>
      </c>
    </row>
    <row r="95" spans="1:10" ht="15.75" hidden="1" customHeight="1" x14ac:dyDescent="0.25">
      <c r="A95" s="109" t="s">
        <v>137</v>
      </c>
      <c r="B95" s="110"/>
      <c r="C95" s="43">
        <v>0</v>
      </c>
      <c r="D95" s="19">
        <f ca="1">((100/H85)*C95)/100</f>
        <v>0</v>
      </c>
      <c r="E95" s="164"/>
      <c r="F95" s="165"/>
      <c r="G95" s="164"/>
      <c r="H95" s="189"/>
      <c r="I95" s="13" t="s">
        <v>144</v>
      </c>
      <c r="J95" s="30">
        <f>(IF(B85&gt;4,(H85/(B85+2)+J94),0))</f>
        <v>0</v>
      </c>
    </row>
    <row r="96" spans="1:10" ht="15.75" hidden="1" customHeight="1" x14ac:dyDescent="0.25">
      <c r="A96" s="109" t="s">
        <v>132</v>
      </c>
      <c r="B96" s="110" t="s">
        <v>132</v>
      </c>
      <c r="C96" s="43">
        <v>0</v>
      </c>
      <c r="D96" s="19">
        <f ca="1">((100/(H85))*C96)/100</f>
        <v>0</v>
      </c>
      <c r="E96" s="164"/>
      <c r="F96" s="165"/>
      <c r="G96" s="164"/>
      <c r="H96" s="189"/>
      <c r="I96" s="13" t="s">
        <v>148</v>
      </c>
      <c r="J96" s="30">
        <f ca="1">(IF(B85=1,(H85/(B85+3)+J91),IF(B85=0,(H85/4+J91),IF(B85&gt;1,0))))</f>
        <v>15</v>
      </c>
    </row>
    <row r="97" spans="1:22" ht="16.5" hidden="1" thickBot="1" x14ac:dyDescent="0.3">
      <c r="A97" s="145" t="s">
        <v>133</v>
      </c>
      <c r="B97" s="146"/>
      <c r="C97" s="44">
        <v>0</v>
      </c>
      <c r="D97" s="20">
        <f ca="1">((100/(H85))*C97)/100</f>
        <v>0</v>
      </c>
      <c r="E97" s="166"/>
      <c r="F97" s="167"/>
      <c r="G97" s="166"/>
      <c r="H97" s="190"/>
      <c r="I97" s="15" t="s">
        <v>101</v>
      </c>
      <c r="J97" s="32">
        <f ca="1">(IF(B85&gt;1.5,(H85/(B85+2)+J91+MAX(0,J92-J91)+MAX(0,J93-J92)+MAX(0,J94-J93)+MAX(0,J95-J94)+MAX(0,J96-J95)),IF(B85=1,(H85/(B85+3)+J96),IF(B85=0,H85/4+J96))))</f>
        <v>20</v>
      </c>
    </row>
    <row r="98" spans="1:22" ht="15.75" hidden="1" customHeight="1" x14ac:dyDescent="0.25">
      <c r="A98" s="104" t="s">
        <v>139</v>
      </c>
      <c r="B98" s="105"/>
      <c r="C98" s="106" t="str">
        <f>D62</f>
        <v>C Wing = 1B + G + 1st to 20th Floor</v>
      </c>
      <c r="D98" s="107"/>
      <c r="E98" s="107"/>
      <c r="F98" s="107"/>
      <c r="G98" s="107"/>
      <c r="H98" s="108"/>
      <c r="I98" s="49" t="str">
        <f ca="1">IF(D111=100%,"All work Completed. Possession granted to the Building.",IF(D110=100%,"All work Completed, Waiting for OC",I99&amp;""&amp;I100&amp;""&amp;J99&amp;""&amp;J98&amp;" "&amp;J100))</f>
        <v xml:space="preserve">Excavation, Plinth, RCC Slab Completed </v>
      </c>
      <c r="J98" s="50" t="str">
        <f ca="1">(IF(C104=(D99+F99+H99),"",IF(C104&gt;0,", RCC upto "&amp;C104&amp;" Slab","")))&amp;(IF(C105=H99,"",IF(C105&gt;0,", Brickwork upto "&amp;C105&amp;" Floor","")))&amp;(IF(C106=H99,"",IF(C106&gt;0,", Internal Plaster upto "&amp;C106&amp;" Floor","")))&amp;(IF(C107=H99,"",IF(C107&gt;0,", External Plaster upto "&amp;C107&amp;" Floor","")))&amp;(IF(C108=H99,"",IF(C108&gt;0,", Flooring upto "&amp;C108&amp;" Floor","")))&amp;(IF(C109=H99,"",IF(C109&gt;0,", Painting upto "&amp;C109&amp;" Floor","")))&amp;(IF(C110=H99,"",IF(C110&gt;0,", Finishing upto "&amp;C110&amp;" Floor","")))&amp;(IF(C111=H99,"",IF(C111&gt;0,", Possession upto "&amp;C111&amp;" Floor","")))</f>
        <v/>
      </c>
    </row>
    <row r="99" spans="1:22" hidden="1" x14ac:dyDescent="0.25">
      <c r="A99" s="16" t="s">
        <v>141</v>
      </c>
      <c r="B99" s="54">
        <f>IF(AND(ISNUMBER(SEARCH("1B",C98))),1,IF(AND(ISNUMBER(SEARCH("2B",C98))),2,IF(AND(ISNUMBER(SEARCH("3B",C98))),3,IF(AND(ISNUMBER(SEARCH("4B",C98))),4,IF(ISNUMBER(SEARCH("5B",C98)),5,0)))))</f>
        <v>1</v>
      </c>
      <c r="C99" s="47" t="s">
        <v>69</v>
      </c>
      <c r="D99" s="47">
        <v>1</v>
      </c>
      <c r="E99" s="47" t="s">
        <v>68</v>
      </c>
      <c r="F99" s="14">
        <v>0</v>
      </c>
      <c r="G99" s="48" t="s">
        <v>77</v>
      </c>
      <c r="H99" s="17">
        <f ca="1">--TRIM(RIGHT(SUBSTITUTE(LEFT(C98,_xlfn.AGGREGATE(16,6,FIND({0,1,2,3,4,5,6,7,8,9},C98,ROW(INDIRECT("1:"&amp;LEN(C98)))),1))," ",REPT(" ",LEN(C98))),LEN(C98)))</f>
        <v>20</v>
      </c>
      <c r="I99" s="51" t="str">
        <f ca="1">IF(D102=100%,"Excavation","")&amp;IF(D103=100%,", Plinth","")&amp;IF(D104=100%,", RCC Slab","")&amp;IF(D105=100%,", Brickwork","")&amp;IF(D106=100%,", Internal Plaster","")&amp;IF(D107=100%,", External Plaster","")&amp;IF(D108=100%,", Flooring","")&amp;IF(D109=100%,", Painting","")&amp;IF(D110=100%,", Building common Amenities","")</f>
        <v>Excavation, Plinth, RCC Slab</v>
      </c>
      <c r="J99" s="52" t="str">
        <f ca="1">(IF(C102=0,"Work not yet Started.",IF(D102=25%,"Piling work in process",IF(D102=50%,"Excavation work in process",IF(D102=100%,"","0")))))&amp;(IF(C103=0%,"",IF(C103=J104,", Footing work is process",IF(C103=J105,", Footing work Completed",IF(C103=J106,", 1st Basement Completed",IF(C103=J107,", 1st &amp; 2nd Basement Completed",IF(C103=J108,", 1st to 3rd Basement Completed",IF(C103=J109,", 1st to 4th Basement Completed",IF(C103=J110,", Plinth work is process",IF(C103=J111,"","0"))))))))))</f>
        <v/>
      </c>
    </row>
    <row r="100" spans="1:22" hidden="1" x14ac:dyDescent="0.25">
      <c r="A100" s="194" t="s">
        <v>87</v>
      </c>
      <c r="B100" s="180"/>
      <c r="C100" s="198" t="str">
        <f ca="1">(IF($G$55="NA",I98,"All work Completed. OC Received."))</f>
        <v xml:space="preserve">Excavation, Plinth, RCC Slab Completed </v>
      </c>
      <c r="D100" s="198"/>
      <c r="E100" s="198"/>
      <c r="F100" s="198"/>
      <c r="G100" s="198"/>
      <c r="H100" s="199"/>
      <c r="I100" s="51" t="str">
        <f ca="1">IF(I99&lt;&gt;""," Completed","")</f>
        <v xml:space="preserve"> Completed</v>
      </c>
      <c r="J100" s="52" t="str">
        <f ca="1">IF(J98&lt;&gt;"","Completed","")</f>
        <v/>
      </c>
    </row>
    <row r="101" spans="1:22" ht="15.75" hidden="1" customHeight="1" x14ac:dyDescent="0.25">
      <c r="A101" s="109" t="s">
        <v>47</v>
      </c>
      <c r="B101" s="110"/>
      <c r="C101" s="43" t="s">
        <v>138</v>
      </c>
      <c r="D101" s="43" t="s">
        <v>80</v>
      </c>
      <c r="E101" s="110" t="s">
        <v>82</v>
      </c>
      <c r="F101" s="110"/>
      <c r="G101" s="110" t="s">
        <v>81</v>
      </c>
      <c r="H101" s="161"/>
      <c r="I101" s="13" t="s">
        <v>140</v>
      </c>
      <c r="J101" s="28">
        <f ca="1">H99*25%</f>
        <v>5</v>
      </c>
    </row>
    <row r="102" spans="1:22" hidden="1" x14ac:dyDescent="0.25">
      <c r="A102" s="109" t="s">
        <v>127</v>
      </c>
      <c r="B102" s="110"/>
      <c r="C102" s="43">
        <f ca="1">J103</f>
        <v>20</v>
      </c>
      <c r="D102" s="19">
        <f ca="1">((100/H99)*C102)/100</f>
        <v>1</v>
      </c>
      <c r="E102" s="162">
        <f ca="1">(((C103/H99*10)+(40/(D99+F99+H99)*C104)+(7.5/(H99)*C105)+(7.5/(H99)*C106)+(10/H99*C107)+(10/H99*C108)+(5/H99*C109)+(5/H99*C110)+(5/H99*C111))/100)</f>
        <v>0.5</v>
      </c>
      <c r="F102" s="163"/>
      <c r="G102" s="162">
        <f ca="1">((((C102/H99)*20)+((C103/H99)*25)+(30/(H99+F99+D99)*C104)+(5/H99*C105)+(5/H99*C106)+(5/H99*C107)+(5/H99*C108)+(0/H99*C109)+(0/H99*C110)+(5/H99*C111))/100)</f>
        <v>0.75</v>
      </c>
      <c r="H102" s="188"/>
      <c r="I102" s="13" t="s">
        <v>97</v>
      </c>
      <c r="J102" s="29">
        <f ca="1">H99*50%</f>
        <v>10</v>
      </c>
    </row>
    <row r="103" spans="1:22" hidden="1" x14ac:dyDescent="0.25">
      <c r="A103" s="109" t="s">
        <v>48</v>
      </c>
      <c r="B103" s="110"/>
      <c r="C103" s="43">
        <f ca="1">J111</f>
        <v>20</v>
      </c>
      <c r="D103" s="19">
        <f ca="1">((100/H99)*C103)/100</f>
        <v>1</v>
      </c>
      <c r="E103" s="164"/>
      <c r="F103" s="165"/>
      <c r="G103" s="164"/>
      <c r="H103" s="189"/>
      <c r="I103" s="13" t="s">
        <v>98</v>
      </c>
      <c r="J103" s="29">
        <f ca="1">H99</f>
        <v>20</v>
      </c>
    </row>
    <row r="104" spans="1:22" ht="15.75" hidden="1" customHeight="1" x14ac:dyDescent="0.25">
      <c r="A104" s="109" t="s">
        <v>128</v>
      </c>
      <c r="B104" s="110"/>
      <c r="C104" s="43">
        <f ca="1">D99+H99</f>
        <v>21</v>
      </c>
      <c r="D104" s="19">
        <f ca="1">((100/(D99+F99+H99))*C104)/100</f>
        <v>1</v>
      </c>
      <c r="E104" s="164"/>
      <c r="F104" s="165"/>
      <c r="G104" s="164"/>
      <c r="H104" s="189"/>
      <c r="I104" s="13" t="s">
        <v>99</v>
      </c>
      <c r="J104" s="30">
        <f ca="1">(IF(B99&gt;1,(H99/(B99+2)),H99/4))</f>
        <v>5</v>
      </c>
    </row>
    <row r="105" spans="1:22" ht="15.75" hidden="1" customHeight="1" x14ac:dyDescent="0.25">
      <c r="A105" s="109" t="s">
        <v>135</v>
      </c>
      <c r="B105" s="110" t="s">
        <v>129</v>
      </c>
      <c r="C105" s="43">
        <v>0</v>
      </c>
      <c r="D105" s="19">
        <f ca="1">((100/H99)*C105)/100</f>
        <v>0</v>
      </c>
      <c r="E105" s="164"/>
      <c r="F105" s="165"/>
      <c r="G105" s="164"/>
      <c r="H105" s="189"/>
      <c r="I105" s="13" t="s">
        <v>100</v>
      </c>
      <c r="J105" s="30">
        <f ca="1">(IF(B99&gt;1,(H99/(B99+2)+J104),H99/4+J104))</f>
        <v>10</v>
      </c>
    </row>
    <row r="106" spans="1:22" ht="15.75" hidden="1" customHeight="1" x14ac:dyDescent="0.25">
      <c r="A106" s="109" t="s">
        <v>136</v>
      </c>
      <c r="B106" s="110" t="s">
        <v>129</v>
      </c>
      <c r="C106" s="43">
        <v>0</v>
      </c>
      <c r="D106" s="19">
        <f ca="1">((100/H99)*C106)/100</f>
        <v>0</v>
      </c>
      <c r="E106" s="164"/>
      <c r="F106" s="165"/>
      <c r="G106" s="164"/>
      <c r="H106" s="189"/>
      <c r="I106" s="13" t="s">
        <v>147</v>
      </c>
      <c r="J106" s="30">
        <f>(IF(B99&gt;1,(H99/(B99+2)+J105),0))</f>
        <v>0</v>
      </c>
    </row>
    <row r="107" spans="1:22" ht="15" hidden="1" customHeight="1" x14ac:dyDescent="0.25">
      <c r="A107" s="109" t="s">
        <v>134</v>
      </c>
      <c r="B107" s="110" t="s">
        <v>131</v>
      </c>
      <c r="C107" s="43">
        <v>0</v>
      </c>
      <c r="D107" s="19">
        <f ca="1">((100/(H99))*C107)/100</f>
        <v>0</v>
      </c>
      <c r="E107" s="164"/>
      <c r="F107" s="165"/>
      <c r="G107" s="164"/>
      <c r="H107" s="189"/>
      <c r="I107" s="13" t="s">
        <v>142</v>
      </c>
      <c r="J107" s="30">
        <f>(IF(B99&gt;2,(H99/(B99+2)+J106),0))</f>
        <v>0</v>
      </c>
    </row>
    <row r="108" spans="1:22" ht="15.75" hidden="1" customHeight="1" x14ac:dyDescent="0.25">
      <c r="A108" s="109" t="s">
        <v>130</v>
      </c>
      <c r="B108" s="110" t="s">
        <v>130</v>
      </c>
      <c r="C108" s="43">
        <v>0</v>
      </c>
      <c r="D108" s="19">
        <f ca="1">((100/H99)*C108)/100</f>
        <v>0</v>
      </c>
      <c r="E108" s="164"/>
      <c r="F108" s="165"/>
      <c r="G108" s="164"/>
      <c r="H108" s="189"/>
      <c r="I108" s="13" t="s">
        <v>143</v>
      </c>
      <c r="J108" s="31">
        <f>(IF(B99&gt;3,(H99/(B99+2)+J107),0))</f>
        <v>0</v>
      </c>
    </row>
    <row r="109" spans="1:22" ht="15.75" hidden="1" customHeight="1" x14ac:dyDescent="0.25">
      <c r="A109" s="109" t="s">
        <v>137</v>
      </c>
      <c r="B109" s="110"/>
      <c r="C109" s="43">
        <v>0</v>
      </c>
      <c r="D109" s="19">
        <f ca="1">((100/H99)*C109)/100</f>
        <v>0</v>
      </c>
      <c r="E109" s="164"/>
      <c r="F109" s="165"/>
      <c r="G109" s="164"/>
      <c r="H109" s="189"/>
      <c r="I109" s="13" t="s">
        <v>144</v>
      </c>
      <c r="J109" s="30">
        <f>(IF(B99&gt;4,(H99/(B99+2)+J108),0))</f>
        <v>0</v>
      </c>
    </row>
    <row r="110" spans="1:22" ht="15.75" hidden="1" customHeight="1" x14ac:dyDescent="0.25">
      <c r="A110" s="109" t="s">
        <v>132</v>
      </c>
      <c r="B110" s="110" t="s">
        <v>132</v>
      </c>
      <c r="C110" s="43">
        <v>0</v>
      </c>
      <c r="D110" s="19">
        <f ca="1">((100/(H99))*C110)/100</f>
        <v>0</v>
      </c>
      <c r="E110" s="164"/>
      <c r="F110" s="165"/>
      <c r="G110" s="164"/>
      <c r="H110" s="189"/>
      <c r="I110" s="13" t="s">
        <v>148</v>
      </c>
      <c r="J110" s="30">
        <f ca="1">(IF(B99=1,(H99/(B99+3)+J105),IF(B99=0,(H99/4+J105),IF(B99&gt;1,0))))</f>
        <v>15</v>
      </c>
    </row>
    <row r="111" spans="1:22" ht="16.5" hidden="1" thickBot="1" x14ac:dyDescent="0.3">
      <c r="A111" s="145" t="s">
        <v>133</v>
      </c>
      <c r="B111" s="146"/>
      <c r="C111" s="44">
        <v>0</v>
      </c>
      <c r="D111" s="20">
        <f ca="1">((100/(H99))*C111)/100</f>
        <v>0</v>
      </c>
      <c r="E111" s="166"/>
      <c r="F111" s="167"/>
      <c r="G111" s="166"/>
      <c r="H111" s="190"/>
      <c r="I111" s="15" t="s">
        <v>101</v>
      </c>
      <c r="J111" s="32">
        <f ca="1">(IF(B99&gt;1.5,(H99/(B99+2)+J105+MAX(0,J106-J105)+MAX(0,J107-J106)+MAX(0,J108-J107)+MAX(0,J109-J108)+MAX(0,J110-J109)),IF(B99=1,(H99/(B99+3)+J110),IF(B99=0,H99/4+J110))))</f>
        <v>20</v>
      </c>
    </row>
    <row r="112" spans="1:22" x14ac:dyDescent="0.25">
      <c r="A112" s="212" t="s">
        <v>158</v>
      </c>
      <c r="B112" s="212"/>
      <c r="C112" s="212"/>
      <c r="D112" s="212"/>
      <c r="E112" s="212"/>
      <c r="F112" s="160" t="s">
        <v>162</v>
      </c>
      <c r="G112" s="160"/>
      <c r="H112" s="160"/>
      <c r="R112" t="s">
        <v>259</v>
      </c>
      <c r="S112" t="s">
        <v>176</v>
      </c>
      <c r="T112" t="s">
        <v>184</v>
      </c>
      <c r="U112" t="s">
        <v>199</v>
      </c>
      <c r="V112" t="s">
        <v>194</v>
      </c>
    </row>
    <row r="113" spans="1:22" x14ac:dyDescent="0.25">
      <c r="A113" s="93" t="s">
        <v>160</v>
      </c>
      <c r="B113" s="93"/>
      <c r="C113" s="93"/>
      <c r="D113" s="93"/>
      <c r="E113" s="93"/>
      <c r="F113" s="88">
        <v>19500</v>
      </c>
      <c r="G113" s="88"/>
      <c r="H113" s="88"/>
      <c r="R113"/>
      <c r="S113">
        <v>800000</v>
      </c>
      <c r="T113">
        <v>300000</v>
      </c>
      <c r="U113">
        <v>100000</v>
      </c>
      <c r="V113">
        <v>100000</v>
      </c>
    </row>
    <row r="114" spans="1:22" x14ac:dyDescent="0.25">
      <c r="A114" s="93" t="s">
        <v>159</v>
      </c>
      <c r="B114" s="93"/>
      <c r="C114" s="93"/>
      <c r="D114" s="93"/>
      <c r="E114" s="93"/>
      <c r="F114" s="88">
        <v>30000</v>
      </c>
      <c r="G114" s="88"/>
      <c r="H114" s="88"/>
      <c r="R114"/>
      <c r="S114">
        <v>900000</v>
      </c>
      <c r="T114">
        <v>350000</v>
      </c>
      <c r="U114">
        <v>150000</v>
      </c>
      <c r="V114">
        <v>150000</v>
      </c>
    </row>
    <row r="115" spans="1:22" hidden="1" x14ac:dyDescent="0.25">
      <c r="A115" s="93" t="s">
        <v>161</v>
      </c>
      <c r="B115" s="93"/>
      <c r="C115" s="93"/>
      <c r="D115" s="93"/>
      <c r="E115" s="93"/>
      <c r="F115" s="88"/>
      <c r="G115" s="88"/>
      <c r="H115" s="88"/>
      <c r="R115"/>
      <c r="S115">
        <v>1000000</v>
      </c>
      <c r="T115">
        <v>400000</v>
      </c>
      <c r="U115">
        <v>200000</v>
      </c>
      <c r="V115">
        <v>200000</v>
      </c>
    </row>
    <row r="116" spans="1:22" s="33" customFormat="1" hidden="1" x14ac:dyDescent="0.25">
      <c r="A116" s="93" t="s">
        <v>179</v>
      </c>
      <c r="B116" s="93"/>
      <c r="C116" s="93"/>
      <c r="D116" s="93"/>
      <c r="E116" s="93"/>
      <c r="F116" s="88"/>
      <c r="G116" s="88"/>
      <c r="H116" s="88"/>
      <c r="R116"/>
      <c r="S116">
        <v>1100000</v>
      </c>
      <c r="T116">
        <v>500000</v>
      </c>
      <c r="U116">
        <v>250000</v>
      </c>
      <c r="V116" s="23">
        <v>250000</v>
      </c>
    </row>
    <row r="117" spans="1:22" s="33" customFormat="1" hidden="1" x14ac:dyDescent="0.25">
      <c r="A117" s="93" t="s">
        <v>91</v>
      </c>
      <c r="B117" s="93"/>
      <c r="C117" s="93"/>
      <c r="D117" s="93"/>
      <c r="E117" s="93"/>
      <c r="F117" s="88"/>
      <c r="G117" s="88"/>
      <c r="H117" s="88"/>
      <c r="R117"/>
      <c r="S117">
        <v>1200000</v>
      </c>
      <c r="T117">
        <v>600000</v>
      </c>
      <c r="U117">
        <v>300000</v>
      </c>
      <c r="V117">
        <v>300000</v>
      </c>
    </row>
    <row r="118" spans="1:22" s="33" customFormat="1" hidden="1" x14ac:dyDescent="0.25">
      <c r="A118" s="93" t="s">
        <v>92</v>
      </c>
      <c r="B118" s="93"/>
      <c r="C118" s="93"/>
      <c r="D118" s="93"/>
      <c r="E118" s="93"/>
      <c r="F118" s="88"/>
      <c r="G118" s="88"/>
      <c r="H118" s="88"/>
      <c r="R118"/>
      <c r="S118">
        <v>1300000</v>
      </c>
      <c r="T118">
        <v>700000</v>
      </c>
      <c r="U118">
        <v>350000</v>
      </c>
      <c r="V118" s="23">
        <v>400000</v>
      </c>
    </row>
    <row r="119" spans="1:22" s="33" customFormat="1" hidden="1" x14ac:dyDescent="0.25">
      <c r="A119" s="93" t="s">
        <v>93</v>
      </c>
      <c r="B119" s="93"/>
      <c r="C119" s="93"/>
      <c r="D119" s="93"/>
      <c r="E119" s="93"/>
      <c r="F119" s="88"/>
      <c r="G119" s="88"/>
      <c r="H119" s="88"/>
      <c r="J119" s="33">
        <f>572*1.5</f>
        <v>858</v>
      </c>
      <c r="K119" s="33">
        <f>16000000/J119</f>
        <v>18648.018648018649</v>
      </c>
      <c r="R119"/>
      <c r="S119">
        <v>1400000</v>
      </c>
      <c r="T119">
        <v>800000</v>
      </c>
      <c r="U119">
        <v>400000</v>
      </c>
      <c r="V119"/>
    </row>
    <row r="120" spans="1:22" s="33" customFormat="1" hidden="1" x14ac:dyDescent="0.25">
      <c r="A120" s="93" t="s">
        <v>94</v>
      </c>
      <c r="B120" s="93"/>
      <c r="C120" s="93"/>
      <c r="D120" s="93"/>
      <c r="E120" s="93"/>
      <c r="F120" s="88"/>
      <c r="G120" s="88"/>
      <c r="H120" s="88"/>
      <c r="R120"/>
      <c r="S120">
        <v>1500000</v>
      </c>
      <c r="T120">
        <v>900000</v>
      </c>
      <c r="U120">
        <v>500000</v>
      </c>
      <c r="V120" s="23"/>
    </row>
    <row r="121" spans="1:22" s="33" customFormat="1" hidden="1" x14ac:dyDescent="0.25">
      <c r="A121" s="93" t="s">
        <v>95</v>
      </c>
      <c r="B121" s="93"/>
      <c r="C121" s="93"/>
      <c r="D121" s="93"/>
      <c r="E121" s="93"/>
      <c r="F121" s="88"/>
      <c r="G121" s="88"/>
      <c r="H121" s="88"/>
      <c r="R121"/>
      <c r="S121">
        <v>1600000</v>
      </c>
      <c r="T121">
        <v>1000000</v>
      </c>
      <c r="U121">
        <v>600000</v>
      </c>
      <c r="V121"/>
    </row>
    <row r="122" spans="1:22" s="33" customFormat="1" hidden="1" x14ac:dyDescent="0.25">
      <c r="A122" s="93" t="s">
        <v>96</v>
      </c>
      <c r="B122" s="93"/>
      <c r="C122" s="93"/>
      <c r="D122" s="93"/>
      <c r="E122" s="93"/>
      <c r="F122" s="88"/>
      <c r="G122" s="88"/>
      <c r="H122" s="88"/>
      <c r="R122"/>
      <c r="S122">
        <v>1700000</v>
      </c>
      <c r="T122"/>
      <c r="U122"/>
      <c r="V122" s="23"/>
    </row>
    <row r="123" spans="1:22" x14ac:dyDescent="0.25">
      <c r="A123" s="93" t="s">
        <v>49</v>
      </c>
      <c r="B123" s="93"/>
      <c r="C123" s="93"/>
      <c r="D123" s="93"/>
      <c r="E123" s="93"/>
      <c r="F123" s="88">
        <v>900000</v>
      </c>
      <c r="G123" s="88"/>
      <c r="H123" s="88"/>
      <c r="R123"/>
      <c r="S123">
        <v>1800000</v>
      </c>
      <c r="T123"/>
      <c r="U123"/>
    </row>
    <row r="124" spans="1:22" s="34" customFormat="1" x14ac:dyDescent="0.25">
      <c r="A124" s="172" t="s">
        <v>50</v>
      </c>
      <c r="B124" s="172"/>
      <c r="C124" s="172"/>
      <c r="D124" s="172"/>
      <c r="E124" s="172"/>
      <c r="F124" s="88">
        <f>F113*0.8</f>
        <v>15600</v>
      </c>
      <c r="G124" s="88"/>
      <c r="H124" s="88"/>
      <c r="R124" s="21"/>
      <c r="S124" s="21"/>
      <c r="T124"/>
      <c r="U124"/>
      <c r="V124" s="21"/>
    </row>
    <row r="125" spans="1:22" s="35" customFormat="1" ht="15.75" customHeight="1" x14ac:dyDescent="0.25">
      <c r="A125" s="171" t="s">
        <v>72</v>
      </c>
      <c r="B125" s="171"/>
      <c r="C125" s="171"/>
      <c r="D125" s="171"/>
      <c r="E125" s="171"/>
      <c r="F125" s="171"/>
      <c r="G125" s="171"/>
      <c r="H125" s="171"/>
      <c r="R125"/>
      <c r="S125" s="21"/>
      <c r="T125"/>
      <c r="U125"/>
      <c r="V125" s="21"/>
    </row>
    <row r="126" spans="1:22" s="35" customFormat="1" ht="15.75" customHeight="1" x14ac:dyDescent="0.25">
      <c r="A126" s="92" t="s">
        <v>51</v>
      </c>
      <c r="B126" s="92"/>
      <c r="C126" s="101" t="s">
        <v>75</v>
      </c>
      <c r="D126" s="101"/>
      <c r="E126" s="99" t="s">
        <v>52</v>
      </c>
      <c r="F126" s="99"/>
      <c r="G126" s="92" t="s">
        <v>53</v>
      </c>
      <c r="H126" s="92"/>
      <c r="R126"/>
      <c r="S126" s="21"/>
      <c r="T126"/>
      <c r="U126" s="21"/>
      <c r="V126" s="21"/>
    </row>
    <row r="127" spans="1:22" s="35" customFormat="1" x14ac:dyDescent="0.25">
      <c r="A127" s="100" t="s">
        <v>330</v>
      </c>
      <c r="B127" s="100"/>
      <c r="C127" s="143">
        <f>COUNT(D142:D149)</f>
        <v>8</v>
      </c>
      <c r="D127" s="144"/>
      <c r="E127" s="143">
        <f>SUM(F142:F149)</f>
        <v>2592.4017600000002</v>
      </c>
      <c r="F127" s="144"/>
      <c r="G127" s="143">
        <f>SUM(H142:H149)</f>
        <v>4018.2227280000006</v>
      </c>
      <c r="H127" s="144"/>
      <c r="R127"/>
      <c r="S127" s="21"/>
      <c r="T127"/>
      <c r="U127" s="21"/>
      <c r="V127" s="21"/>
    </row>
    <row r="128" spans="1:22" s="35" customFormat="1" hidden="1" x14ac:dyDescent="0.25">
      <c r="A128" s="100"/>
      <c r="B128" s="100"/>
      <c r="C128" s="144"/>
      <c r="D128" s="144"/>
      <c r="E128" s="207"/>
      <c r="F128" s="207"/>
      <c r="G128" s="208"/>
      <c r="H128" s="208"/>
      <c r="R128"/>
      <c r="S128" s="21"/>
      <c r="T128"/>
      <c r="U128" s="21"/>
      <c r="V128" s="21"/>
    </row>
    <row r="129" spans="1:22" s="35" customFormat="1" hidden="1" x14ac:dyDescent="0.25">
      <c r="A129" s="171" t="s">
        <v>152</v>
      </c>
      <c r="B129" s="171"/>
      <c r="C129" s="101"/>
      <c r="D129" s="101"/>
      <c r="E129" s="99"/>
      <c r="F129" s="99"/>
      <c r="G129" s="92"/>
      <c r="H129" s="92"/>
      <c r="R129"/>
      <c r="S129" s="21"/>
      <c r="T129"/>
      <c r="U129" s="21"/>
      <c r="V129" s="21"/>
    </row>
    <row r="130" spans="1:22" s="35" customFormat="1" x14ac:dyDescent="0.25">
      <c r="A130" s="171" t="s">
        <v>67</v>
      </c>
      <c r="B130" s="171"/>
      <c r="C130" s="171"/>
      <c r="D130" s="171"/>
      <c r="E130" s="171"/>
      <c r="F130" s="171"/>
      <c r="G130" s="171"/>
      <c r="H130" s="171"/>
      <c r="T130"/>
    </row>
    <row r="131" spans="1:22" s="35" customFormat="1" ht="15.75" customHeight="1" x14ac:dyDescent="0.25">
      <c r="A131" s="92" t="s">
        <v>51</v>
      </c>
      <c r="B131" s="92"/>
      <c r="C131" s="101" t="s">
        <v>75</v>
      </c>
      <c r="D131" s="101"/>
      <c r="E131" s="99" t="s">
        <v>52</v>
      </c>
      <c r="F131" s="99"/>
      <c r="G131" s="92" t="s">
        <v>53</v>
      </c>
      <c r="H131" s="92"/>
      <c r="T131"/>
    </row>
    <row r="132" spans="1:22" s="35" customFormat="1" ht="16.5" thickBot="1" x14ac:dyDescent="0.3">
      <c r="A132" s="100" t="s">
        <v>343</v>
      </c>
      <c r="B132" s="100"/>
      <c r="C132" s="144">
        <f>COUNT(D156:D159)*3+COUNT(D154)</f>
        <v>13</v>
      </c>
      <c r="D132" s="144"/>
      <c r="E132" s="143">
        <f>SUM(F156:F159)*3+SUM(F154)</f>
        <v>9449.5003199999992</v>
      </c>
      <c r="F132" s="143"/>
      <c r="G132" s="143">
        <f>SUM(H156:H159)*3+SUM(H154)</f>
        <v>14174.250480000002</v>
      </c>
      <c r="H132" s="143"/>
      <c r="T132"/>
    </row>
    <row r="133" spans="1:22" s="35" customFormat="1" hidden="1" x14ac:dyDescent="0.25">
      <c r="A133" s="100"/>
      <c r="B133" s="100"/>
      <c r="C133" s="144"/>
      <c r="D133" s="144"/>
      <c r="E133" s="207"/>
      <c r="F133" s="207"/>
      <c r="G133" s="208"/>
      <c r="H133" s="208"/>
    </row>
    <row r="134" spans="1:22" s="35" customFormat="1" ht="16.5" hidden="1" thickBot="1" x14ac:dyDescent="0.3">
      <c r="A134" s="219" t="s">
        <v>152</v>
      </c>
      <c r="B134" s="219"/>
      <c r="C134" s="147"/>
      <c r="D134" s="147"/>
      <c r="E134" s="220"/>
      <c r="F134" s="220"/>
      <c r="G134" s="221"/>
      <c r="H134" s="221"/>
    </row>
    <row r="135" spans="1:22" s="35" customFormat="1" ht="16.5" thickBot="1" x14ac:dyDescent="0.3">
      <c r="A135" s="151" t="s">
        <v>168</v>
      </c>
      <c r="B135" s="152"/>
      <c r="C135" s="153">
        <f>C127+C132</f>
        <v>21</v>
      </c>
      <c r="D135" s="154"/>
      <c r="E135" s="153">
        <f t="shared" ref="E135" si="0">E127+E132</f>
        <v>12041.90208</v>
      </c>
      <c r="F135" s="154"/>
      <c r="G135" s="153">
        <f t="shared" ref="G135" si="1">G127+G132</f>
        <v>18192.473208000003</v>
      </c>
      <c r="H135" s="154"/>
    </row>
    <row r="136" spans="1:22" s="34" customFormat="1" x14ac:dyDescent="0.25">
      <c r="A136" s="160" t="s">
        <v>54</v>
      </c>
      <c r="B136" s="160"/>
      <c r="C136" s="160"/>
      <c r="D136" s="160"/>
      <c r="E136" s="160"/>
      <c r="F136" s="160"/>
      <c r="G136" s="160"/>
      <c r="H136" s="160"/>
      <c r="T136" s="35"/>
    </row>
    <row r="137" spans="1:22" x14ac:dyDescent="0.25">
      <c r="A137" s="91" t="s">
        <v>326</v>
      </c>
      <c r="B137" s="91"/>
      <c r="C137" s="91"/>
      <c r="D137" s="91"/>
      <c r="E137" s="91"/>
      <c r="F137" s="91"/>
      <c r="G137" s="91"/>
      <c r="H137" s="91"/>
      <c r="I137" s="21" t="s">
        <v>178</v>
      </c>
      <c r="T137" s="35"/>
    </row>
    <row r="138" spans="1:22" ht="47.25" customHeight="1" x14ac:dyDescent="0.25">
      <c r="A138" s="176" t="s">
        <v>117</v>
      </c>
      <c r="B138" s="176" t="s">
        <v>181</v>
      </c>
      <c r="C138" s="176" t="s">
        <v>55</v>
      </c>
      <c r="D138" s="176" t="s">
        <v>237</v>
      </c>
      <c r="E138" s="204" t="s">
        <v>332</v>
      </c>
      <c r="F138" s="176" t="s">
        <v>56</v>
      </c>
      <c r="G138" s="204" t="s">
        <v>57</v>
      </c>
      <c r="H138" s="60" t="s">
        <v>150</v>
      </c>
      <c r="T138" s="35"/>
    </row>
    <row r="139" spans="1:22" s="37" customFormat="1" ht="17.25" customHeight="1" x14ac:dyDescent="0.25">
      <c r="A139" s="177"/>
      <c r="B139" s="177"/>
      <c r="C139" s="177"/>
      <c r="D139" s="177"/>
      <c r="E139" s="205"/>
      <c r="F139" s="177"/>
      <c r="G139" s="205"/>
      <c r="H139" s="70">
        <v>0.55000000000000004</v>
      </c>
      <c r="T139" s="34"/>
    </row>
    <row r="140" spans="1:22" s="72" customFormat="1" x14ac:dyDescent="0.25">
      <c r="A140" s="159" t="s">
        <v>335</v>
      </c>
      <c r="B140" s="159"/>
      <c r="C140" s="159"/>
      <c r="D140" s="159"/>
      <c r="E140" s="159"/>
      <c r="F140" s="159"/>
      <c r="G140" s="159"/>
      <c r="H140" s="159"/>
      <c r="J140" s="36"/>
      <c r="T140" s="21"/>
    </row>
    <row r="141" spans="1:22" s="37" customFormat="1" x14ac:dyDescent="0.25">
      <c r="A141" s="159" t="s">
        <v>336</v>
      </c>
      <c r="B141" s="159"/>
      <c r="C141" s="159"/>
      <c r="D141" s="159"/>
      <c r="E141" s="159"/>
      <c r="F141" s="159"/>
      <c r="G141" s="159"/>
      <c r="H141" s="159"/>
      <c r="J141" s="36"/>
      <c r="T141" s="21"/>
    </row>
    <row r="142" spans="1:22" s="37" customFormat="1" ht="15.75" customHeight="1" x14ac:dyDescent="0.25">
      <c r="A142" s="94">
        <v>1</v>
      </c>
      <c r="B142" s="94"/>
      <c r="C142" s="79" t="s">
        <v>330</v>
      </c>
      <c r="D142" s="79">
        <f>(25.77)*10.764</f>
        <v>277.38827999999995</v>
      </c>
      <c r="E142" s="79">
        <f>(4.4)*10.764</f>
        <v>47.361600000000003</v>
      </c>
      <c r="F142" s="79">
        <f>D142+E142</f>
        <v>324.74987999999996</v>
      </c>
      <c r="G142" s="79">
        <v>0</v>
      </c>
      <c r="H142" s="79">
        <f>(D142+E142)*(($H$139)+1)</f>
        <v>503.36231399999997</v>
      </c>
      <c r="I142" s="36"/>
      <c r="L142" s="74"/>
      <c r="M142" s="71">
        <v>10.763999999999999</v>
      </c>
      <c r="N142" s="36"/>
      <c r="O142" s="72"/>
      <c r="T142" s="21"/>
    </row>
    <row r="143" spans="1:22" s="37" customFormat="1" ht="15.75" customHeight="1" x14ac:dyDescent="0.25">
      <c r="A143" s="94">
        <f>A142+1</f>
        <v>2</v>
      </c>
      <c r="B143" s="94"/>
      <c r="C143" s="79" t="s">
        <v>330</v>
      </c>
      <c r="D143" s="79">
        <f>(25.77)*10.764</f>
        <v>277.38827999999995</v>
      </c>
      <c r="E143" s="79">
        <f>(4.4)*10.764</f>
        <v>47.361600000000003</v>
      </c>
      <c r="F143" s="79">
        <f>D143+E143</f>
        <v>324.74987999999996</v>
      </c>
      <c r="G143" s="79">
        <v>0</v>
      </c>
      <c r="H143" s="79">
        <f>(D143+E143)*(($H$139)+1)</f>
        <v>503.36231399999997</v>
      </c>
      <c r="I143" s="36"/>
      <c r="L143" s="72"/>
      <c r="M143" s="72"/>
      <c r="N143" s="36"/>
      <c r="O143" s="72"/>
    </row>
    <row r="144" spans="1:22" s="37" customFormat="1" ht="15.75" customHeight="1" x14ac:dyDescent="0.25">
      <c r="A144" s="94">
        <f>A143+1</f>
        <v>3</v>
      </c>
      <c r="B144" s="94"/>
      <c r="C144" s="79" t="s">
        <v>330</v>
      </c>
      <c r="D144" s="79">
        <f t="shared" ref="D144:D149" si="2">(25.62)*10.764</f>
        <v>275.77368000000001</v>
      </c>
      <c r="E144" s="79">
        <f>(4.47)*10.764</f>
        <v>48.115079999999992</v>
      </c>
      <c r="F144" s="79">
        <f>D144+E144</f>
        <v>323.88875999999999</v>
      </c>
      <c r="G144" s="79">
        <v>0</v>
      </c>
      <c r="H144" s="79">
        <f>(D144+E144)*(($H$139)+1)</f>
        <v>502.02757800000001</v>
      </c>
      <c r="I144" s="36"/>
      <c r="L144" s="74"/>
      <c r="M144" s="74"/>
      <c r="N144" s="36"/>
      <c r="O144" s="72"/>
    </row>
    <row r="145" spans="1:20" s="37" customFormat="1" ht="15.75" customHeight="1" x14ac:dyDescent="0.25">
      <c r="A145" s="94">
        <f>A144+1</f>
        <v>4</v>
      </c>
      <c r="B145" s="94"/>
      <c r="C145" s="79" t="s">
        <v>330</v>
      </c>
      <c r="D145" s="79">
        <f t="shared" si="2"/>
        <v>275.77368000000001</v>
      </c>
      <c r="E145" s="79">
        <f>(4.47)*10.764</f>
        <v>48.115079999999992</v>
      </c>
      <c r="F145" s="79">
        <f>D145+E145</f>
        <v>323.88875999999999</v>
      </c>
      <c r="G145" s="79">
        <v>0</v>
      </c>
      <c r="H145" s="79">
        <f>(D145+E145)*(($H$139)+1)</f>
        <v>502.02757800000001</v>
      </c>
      <c r="I145" s="36"/>
      <c r="L145" s="74"/>
      <c r="M145" s="74"/>
      <c r="N145" s="36"/>
      <c r="O145" s="72"/>
    </row>
    <row r="146" spans="1:20" s="72" customFormat="1" ht="15.75" customHeight="1" x14ac:dyDescent="0.25">
      <c r="A146" s="94">
        <f t="shared" ref="A146:A149" si="3">A145+1</f>
        <v>5</v>
      </c>
      <c r="B146" s="94"/>
      <c r="C146" s="79" t="s">
        <v>330</v>
      </c>
      <c r="D146" s="79">
        <f t="shared" si="2"/>
        <v>275.77368000000001</v>
      </c>
      <c r="E146" s="79">
        <f>(4.47)*10.764</f>
        <v>48.115079999999992</v>
      </c>
      <c r="F146" s="79">
        <f t="shared" ref="F146:F149" si="4">D146+E146</f>
        <v>323.88875999999999</v>
      </c>
      <c r="G146" s="79">
        <v>0</v>
      </c>
      <c r="H146" s="79">
        <f t="shared" ref="H146:H149" si="5">(D146+E146)*(($H$139)+1)</f>
        <v>502.02757800000001</v>
      </c>
      <c r="I146" s="36"/>
      <c r="L146" s="74"/>
      <c r="M146" s="74"/>
      <c r="N146" s="36"/>
    </row>
    <row r="147" spans="1:20" s="72" customFormat="1" ht="15.75" customHeight="1" x14ac:dyDescent="0.25">
      <c r="A147" s="94">
        <f t="shared" si="3"/>
        <v>6</v>
      </c>
      <c r="B147" s="94"/>
      <c r="C147" s="79" t="s">
        <v>330</v>
      </c>
      <c r="D147" s="79">
        <f t="shared" si="2"/>
        <v>275.77368000000001</v>
      </c>
      <c r="E147" s="79">
        <f>(4.47)*10.764</f>
        <v>48.115079999999992</v>
      </c>
      <c r="F147" s="79">
        <f t="shared" si="4"/>
        <v>323.88875999999999</v>
      </c>
      <c r="G147" s="79">
        <v>0</v>
      </c>
      <c r="H147" s="79">
        <f t="shared" si="5"/>
        <v>502.02757800000001</v>
      </c>
      <c r="I147" s="36"/>
      <c r="L147" s="74"/>
      <c r="M147" s="74"/>
      <c r="N147" s="36"/>
    </row>
    <row r="148" spans="1:20" s="72" customFormat="1" ht="15.75" customHeight="1" x14ac:dyDescent="0.25">
      <c r="A148" s="94">
        <f t="shared" si="3"/>
        <v>7</v>
      </c>
      <c r="B148" s="94"/>
      <c r="C148" s="79" t="s">
        <v>330</v>
      </c>
      <c r="D148" s="79">
        <f t="shared" si="2"/>
        <v>275.77368000000001</v>
      </c>
      <c r="E148" s="79">
        <f>(4.47)*10.764</f>
        <v>48.115079999999992</v>
      </c>
      <c r="F148" s="79">
        <f t="shared" si="4"/>
        <v>323.88875999999999</v>
      </c>
      <c r="G148" s="79">
        <v>0</v>
      </c>
      <c r="H148" s="79">
        <f t="shared" si="5"/>
        <v>502.02757800000001</v>
      </c>
      <c r="I148" s="36"/>
      <c r="L148" s="74"/>
      <c r="M148" s="74"/>
      <c r="N148" s="36"/>
    </row>
    <row r="149" spans="1:20" s="72" customFormat="1" ht="15.75" customHeight="1" x14ac:dyDescent="0.25">
      <c r="A149" s="94">
        <f t="shared" si="3"/>
        <v>8</v>
      </c>
      <c r="B149" s="94"/>
      <c r="C149" s="79" t="s">
        <v>330</v>
      </c>
      <c r="D149" s="79">
        <f t="shared" si="2"/>
        <v>275.77368000000001</v>
      </c>
      <c r="E149" s="79">
        <f>(4.43)*10.764</f>
        <v>47.684519999999992</v>
      </c>
      <c r="F149" s="79">
        <f t="shared" si="4"/>
        <v>323.45820000000003</v>
      </c>
      <c r="G149" s="79">
        <v>0</v>
      </c>
      <c r="H149" s="79">
        <f t="shared" si="5"/>
        <v>501.36021000000005</v>
      </c>
      <c r="I149" s="36"/>
      <c r="L149" s="74"/>
      <c r="M149" s="74"/>
      <c r="N149" s="74"/>
      <c r="O149" s="74"/>
    </row>
    <row r="150" spans="1:20" s="37" customFormat="1" x14ac:dyDescent="0.25">
      <c r="A150" s="94"/>
      <c r="B150" s="94"/>
      <c r="C150" s="94"/>
      <c r="D150" s="94"/>
      <c r="E150" s="94"/>
      <c r="F150" s="94"/>
      <c r="G150" s="94"/>
      <c r="H150" s="94"/>
      <c r="I150" s="36"/>
      <c r="N150" s="36"/>
    </row>
    <row r="151" spans="1:20" ht="47.25" customHeight="1" x14ac:dyDescent="0.25">
      <c r="A151" s="142" t="s">
        <v>118</v>
      </c>
      <c r="B151" s="142" t="s">
        <v>182</v>
      </c>
      <c r="C151" s="142" t="s">
        <v>55</v>
      </c>
      <c r="D151" s="142" t="s">
        <v>237</v>
      </c>
      <c r="E151" s="142" t="s">
        <v>341</v>
      </c>
      <c r="F151" s="142" t="s">
        <v>56</v>
      </c>
      <c r="G151" s="203" t="s">
        <v>57</v>
      </c>
      <c r="H151" s="81" t="s">
        <v>150</v>
      </c>
      <c r="I151" s="36"/>
      <c r="T151" s="37"/>
    </row>
    <row r="152" spans="1:20" s="37" customFormat="1" x14ac:dyDescent="0.25">
      <c r="A152" s="142"/>
      <c r="B152" s="142"/>
      <c r="C152" s="142"/>
      <c r="D152" s="142"/>
      <c r="E152" s="142"/>
      <c r="F152" s="142"/>
      <c r="G152" s="203"/>
      <c r="H152" s="82">
        <v>0.5</v>
      </c>
      <c r="I152" s="36"/>
      <c r="J152" s="37">
        <f>29000/1.5</f>
        <v>19333.333333333332</v>
      </c>
    </row>
    <row r="153" spans="1:20" s="76" customFormat="1" x14ac:dyDescent="0.25">
      <c r="A153" s="148" t="s">
        <v>336</v>
      </c>
      <c r="B153" s="149"/>
      <c r="C153" s="149"/>
      <c r="D153" s="149"/>
      <c r="E153" s="149"/>
      <c r="F153" s="149"/>
      <c r="G153" s="149"/>
      <c r="H153" s="150"/>
      <c r="J153" s="36"/>
      <c r="T153" s="21"/>
    </row>
    <row r="154" spans="1:20" s="72" customFormat="1" ht="31.5" x14ac:dyDescent="0.25">
      <c r="A154" s="89">
        <f>A149+1</f>
        <v>9</v>
      </c>
      <c r="B154" s="90"/>
      <c r="C154" s="71" t="s">
        <v>331</v>
      </c>
      <c r="D154" s="71">
        <f>(19.97)*10.764</f>
        <v>214.95707999999996</v>
      </c>
      <c r="E154" s="71">
        <v>0</v>
      </c>
      <c r="F154" s="71">
        <f>D154+E154</f>
        <v>214.95707999999996</v>
      </c>
      <c r="G154" s="71">
        <v>0</v>
      </c>
      <c r="H154" s="71">
        <f>(D154+E154)*(($H$152)+1)</f>
        <v>322.43561999999997</v>
      </c>
      <c r="I154" s="36"/>
      <c r="L154" s="74"/>
      <c r="M154" s="74"/>
      <c r="N154" s="36"/>
    </row>
    <row r="155" spans="1:20" s="37" customFormat="1" x14ac:dyDescent="0.25">
      <c r="A155" s="148" t="s">
        <v>337</v>
      </c>
      <c r="B155" s="149"/>
      <c r="C155" s="149"/>
      <c r="D155" s="149"/>
      <c r="E155" s="149"/>
      <c r="F155" s="149"/>
      <c r="G155" s="149"/>
      <c r="H155" s="150"/>
      <c r="J155" s="36"/>
      <c r="L155" s="37">
        <f>572*1.5</f>
        <v>858</v>
      </c>
    </row>
    <row r="156" spans="1:20" s="37" customFormat="1" ht="15.75" customHeight="1" x14ac:dyDescent="0.25">
      <c r="A156" s="89">
        <v>1</v>
      </c>
      <c r="B156" s="90"/>
      <c r="C156" s="42" t="s">
        <v>338</v>
      </c>
      <c r="D156" s="73">
        <f>(53.14)*10.764</f>
        <v>571.99896000000001</v>
      </c>
      <c r="E156" s="73">
        <v>0</v>
      </c>
      <c r="F156" s="42">
        <f>D156+E156</f>
        <v>571.99896000000001</v>
      </c>
      <c r="G156" s="59">
        <v>0</v>
      </c>
      <c r="H156" s="59">
        <f>F156*(($H$152)+1)+(IF(G156&lt;101,G156,IF(G156&lt;201,G156/2,IF(G156&lt;=301,G156/3,G156/4))))</f>
        <v>857.99844000000007</v>
      </c>
      <c r="I156" s="36"/>
      <c r="L156" s="206"/>
      <c r="M156" s="206"/>
      <c r="N156" s="73">
        <v>10.763999999999999</v>
      </c>
      <c r="T156" s="21"/>
    </row>
    <row r="157" spans="1:20" s="37" customFormat="1" ht="15.75" customHeight="1" x14ac:dyDescent="0.25">
      <c r="A157" s="89">
        <f>A156+1</f>
        <v>2</v>
      </c>
      <c r="B157" s="90"/>
      <c r="C157" s="42" t="s">
        <v>338</v>
      </c>
      <c r="D157" s="73">
        <f>(64.81)*10.764</f>
        <v>697.61483999999996</v>
      </c>
      <c r="E157" s="73">
        <f>(5.79)*10.764</f>
        <v>62.323559999999993</v>
      </c>
      <c r="F157" s="59">
        <f>D157+E157</f>
        <v>759.9384</v>
      </c>
      <c r="G157" s="59">
        <v>0</v>
      </c>
      <c r="H157" s="59">
        <f>F157*(($H$152)+1)+(IF(G157&lt;101,G157,IF(G157&lt;201,G157/2,IF(G157&lt;=301,G157/3,G157/4))))</f>
        <v>1139.9076</v>
      </c>
      <c r="I157" s="36"/>
      <c r="L157" s="206"/>
      <c r="M157" s="206"/>
      <c r="N157" s="36"/>
    </row>
    <row r="158" spans="1:20" s="37" customFormat="1" ht="15.75" customHeight="1" x14ac:dyDescent="0.25">
      <c r="A158" s="89">
        <f>A157+1</f>
        <v>3</v>
      </c>
      <c r="B158" s="90"/>
      <c r="C158" s="42" t="s">
        <v>339</v>
      </c>
      <c r="D158" s="73">
        <f>(75.06)*10.764</f>
        <v>807.94583999999998</v>
      </c>
      <c r="E158" s="73">
        <f>(2.72)*10.764</f>
        <v>29.278079999999999</v>
      </c>
      <c r="F158" s="59">
        <f>D158+E158</f>
        <v>837.22392000000002</v>
      </c>
      <c r="G158" s="59">
        <v>0</v>
      </c>
      <c r="H158" s="59">
        <f>F158*(($H$152)+1)+(IF(G158&lt;101,G158,IF(G158&lt;201,G158/2,IF(G158&lt;=301,G158/3,G158/4))))</f>
        <v>1255.8358800000001</v>
      </c>
      <c r="I158" s="36"/>
      <c r="L158" s="206"/>
      <c r="M158" s="206"/>
      <c r="N158" s="36"/>
    </row>
    <row r="159" spans="1:20" s="37" customFormat="1" ht="15.75" customHeight="1" x14ac:dyDescent="0.25">
      <c r="A159" s="89">
        <f>A158+1</f>
        <v>4</v>
      </c>
      <c r="B159" s="90"/>
      <c r="C159" s="42" t="s">
        <v>340</v>
      </c>
      <c r="D159" s="73">
        <f>(82.36)*10.764</f>
        <v>886.52303999999992</v>
      </c>
      <c r="E159" s="73">
        <f>(2.09)*10.764</f>
        <v>22.496759999999998</v>
      </c>
      <c r="F159" s="59">
        <f>D159+E159</f>
        <v>909.01979999999992</v>
      </c>
      <c r="G159" s="59">
        <v>0</v>
      </c>
      <c r="H159" s="59">
        <f>F159*(($H$152)+1)+(IF(G159&lt;101,G159,IF(G159&lt;201,G159/2,IF(G159&lt;=301,G159/3,G159/4))))</f>
        <v>1363.5296999999998</v>
      </c>
      <c r="I159" s="36"/>
      <c r="L159" s="206"/>
      <c r="M159" s="206"/>
      <c r="N159" s="36"/>
    </row>
    <row r="160" spans="1:20" s="37" customFormat="1" hidden="1" x14ac:dyDescent="0.25">
      <c r="A160" s="159" t="s">
        <v>116</v>
      </c>
      <c r="B160" s="159"/>
      <c r="C160" s="159"/>
      <c r="D160" s="159"/>
      <c r="E160" s="159"/>
      <c r="F160" s="159"/>
      <c r="G160" s="159"/>
      <c r="H160" s="159"/>
      <c r="I160" s="36"/>
      <c r="L160" s="206"/>
      <c r="M160" s="206"/>
    </row>
    <row r="161" spans="1:14" s="37" customFormat="1" hidden="1" x14ac:dyDescent="0.25">
      <c r="A161" s="94">
        <f>LEFT(A160,SUM(LEN(A160)-LEN(SUBSTITUTE(A160,{"0","1","2","3","4","5","6","7","8","9"},""))))*100+1</f>
        <v>201</v>
      </c>
      <c r="B161" s="94"/>
      <c r="C161" s="42"/>
      <c r="D161" s="42"/>
      <c r="E161" s="59">
        <v>0</v>
      </c>
      <c r="F161" s="59">
        <f>D161+E161</f>
        <v>0</v>
      </c>
      <c r="G161" s="59">
        <v>0</v>
      </c>
      <c r="H161" s="59">
        <f>F161*(($H$152)+1)+(IF(G161&lt;101,G161,IF(G161&lt;201,G161/2,IF(G161&lt;=301,G161/3,G161/4))))</f>
        <v>0</v>
      </c>
      <c r="I161" s="36"/>
      <c r="N161" s="36"/>
    </row>
    <row r="162" spans="1:14" s="37" customFormat="1" hidden="1" x14ac:dyDescent="0.25">
      <c r="A162" s="94">
        <f>A161+1</f>
        <v>202</v>
      </c>
      <c r="B162" s="94"/>
      <c r="C162" s="42"/>
      <c r="D162" s="42"/>
      <c r="E162" s="59">
        <v>0</v>
      </c>
      <c r="F162" s="59">
        <f>D162+E162</f>
        <v>0</v>
      </c>
      <c r="G162" s="59">
        <v>0</v>
      </c>
      <c r="H162" s="59">
        <f>F162*(($H$152)+1)+(IF(G162&lt;101,G162,IF(G162&lt;201,G162/2,IF(G162&lt;=301,G162/3,G162/4))))</f>
        <v>0</v>
      </c>
      <c r="I162" s="36"/>
      <c r="N162" s="36"/>
    </row>
    <row r="163" spans="1:14" s="37" customFormat="1" hidden="1" x14ac:dyDescent="0.25">
      <c r="A163" s="94">
        <f>A162+1</f>
        <v>203</v>
      </c>
      <c r="B163" s="94"/>
      <c r="C163" s="42"/>
      <c r="D163" s="42"/>
      <c r="E163" s="59">
        <v>0</v>
      </c>
      <c r="F163" s="59">
        <f>D163+E163</f>
        <v>0</v>
      </c>
      <c r="G163" s="59">
        <v>0</v>
      </c>
      <c r="H163" s="59">
        <f>F163*(($H$152)+1)+(IF(G163&lt;101,G163,IF(G163&lt;201,G163/2,IF(G163&lt;=301,G163/3,G163/4))))</f>
        <v>0</v>
      </c>
      <c r="I163" s="36"/>
      <c r="N163" s="36"/>
    </row>
    <row r="164" spans="1:14" s="37" customFormat="1" hidden="1" x14ac:dyDescent="0.25">
      <c r="A164" s="94">
        <f>A163+1</f>
        <v>204</v>
      </c>
      <c r="B164" s="94"/>
      <c r="C164" s="42"/>
      <c r="D164" s="42"/>
      <c r="E164" s="59">
        <v>0</v>
      </c>
      <c r="F164" s="59">
        <f>D164+E164</f>
        <v>0</v>
      </c>
      <c r="G164" s="59">
        <v>0</v>
      </c>
      <c r="H164" s="59">
        <f>F164*(($H$152)+1)+(IF(G164&lt;101,G164,IF(G164&lt;201,G164/2,IF(G164&lt;=301,G164/3,G164/4))))</f>
        <v>0</v>
      </c>
      <c r="I164" s="36"/>
      <c r="N164" s="36"/>
    </row>
    <row r="165" spans="1:14" s="37" customFormat="1" hidden="1" x14ac:dyDescent="0.25">
      <c r="A165" s="94">
        <f>A164+1</f>
        <v>205</v>
      </c>
      <c r="B165" s="94"/>
      <c r="C165" s="42"/>
      <c r="D165" s="42"/>
      <c r="E165" s="59">
        <v>0</v>
      </c>
      <c r="F165" s="59">
        <f>D165+E165</f>
        <v>0</v>
      </c>
      <c r="G165" s="59">
        <v>0</v>
      </c>
      <c r="H165" s="59">
        <f>F165*(($H$152)+1)+(IF(G165&lt;101,G165,IF(G165&lt;201,G165/2,IF(G165&lt;=301,G165/3,G165/4))))</f>
        <v>0</v>
      </c>
      <c r="I165" s="36"/>
      <c r="N165" s="36"/>
    </row>
    <row r="166" spans="1:14" s="37" customFormat="1" ht="15.75" hidden="1" customHeight="1" x14ac:dyDescent="0.25">
      <c r="A166" s="148" t="s">
        <v>151</v>
      </c>
      <c r="B166" s="149"/>
      <c r="C166" s="149"/>
      <c r="D166" s="149"/>
      <c r="E166" s="149"/>
      <c r="F166" s="149"/>
      <c r="G166" s="149"/>
      <c r="H166" s="150"/>
      <c r="I166" s="36"/>
    </row>
    <row r="167" spans="1:14" s="37" customFormat="1" ht="15.75" hidden="1" customHeight="1" x14ac:dyDescent="0.25">
      <c r="A167" s="89" t="str">
        <f ca="1">(SUMPRODUCT(MID(0&amp;(LEFT(A166,SUM(LEN(A166)-LEN(SUBSTITUTE(A166,{"0","1","2"},""))))), LARGE(INDEX(ISNUMBER(--MID((LEFT(A166,SUM(LEN(A166)-LEN(SUBSTITUTE(A166,{"0","1","2"},""))))), ROW(INDIRECT("1:"&amp;LEN((LEFT(A166,SUM(LEN(A166)-LEN(SUBSTITUTE(A166,{"0","1","2"},"")))))))), 1)) * ROW(INDIRECT("1:"&amp;LEN((LEFT(A166,SUM(LEN(A166)-LEN(SUBSTITUTE(A166,{"0","1","2"},"")))))))), 0), ROW(INDIRECT("1:"&amp;LEN((LEFT(A166,SUM(LEN(A166)-LEN(SUBSTITUTE(A166,{"0","1","2"},"")))))))))+1, 1) * 10^ROW(INDIRECT("1:"&amp;LEN((LEFT(A166,SUM(LEN(A166)-LEN(SUBSTITUTE(A166,{"0","1","2"},""))))))))/10))*100+1&amp;""&amp;" ,.., "&amp;""&amp;(SUMPRODUCT(MID(0&amp;(--TRIM(RIGHT(SUBSTITUTE(LEFT(A166,_xlfn.AGGREGATE(16,6,FIND({0,1,2,3,4,5,6,7,8,9},A166,ROW(INDIRECT("1:"&amp;LEN(A166)))),1))," ",REPT(" ",LEN(A166))),LEN(A166)))), LARGE(INDEX(ISNUMBER(--MID((--TRIM(RIGHT(SUBSTITUTE(LEFT(A166,_xlfn.AGGREGATE(16,6,FIND({0,1,2,3,4,5,6,7,8,9},A166,ROW(INDIRECT("1:"&amp;LEN(A166)))),1))," ",REPT(" ",LEN(A166))),LEN(A166)))), ROW(INDIRECT("1:"&amp;LEN((--TRIM(RIGHT(SUBSTITUTE(LEFT(A166,_xlfn.AGGREGATE(16,6,FIND({0,1,2,3,4,5,6,7,8,9},A166,ROW(INDIRECT("1:"&amp;LEN(A166)))),1))," ",REPT(" ",LEN(A166))),LEN(A166))))))), 1)) * ROW(INDIRECT("1:"&amp;LEN((--TRIM(RIGHT(SUBSTITUTE(LEFT(A166,_xlfn.AGGREGATE(16,6,FIND({0,1,2,3,4,5,6,7,8,9},A166,ROW(INDIRECT("1:"&amp;LEN(A166)))),1))," ",REPT(" ",LEN(A166))),LEN(A166))))))), 0), ROW(INDIRECT("1:"&amp;LEN((--TRIM(RIGHT(SUBSTITUTE(LEFT(A166,_xlfn.AGGREGATE(16,6,FIND({0,1,2,3,4,5,6,7,8,9},A166,ROW(INDIRECT("1:"&amp;LEN(A166)))),1))," ",REPT(" ",LEN(A166))),LEN(A166))))))))+1, 1) * 10^ROW(INDIRECT("1:"&amp;LEN((--TRIM(RIGHT(SUBSTITUTE(LEFT(A166,_xlfn.AGGREGATE(16,6,FIND({0,1,2,3,4,5,6,7,8,9},A166,ROW(INDIRECT("1:"&amp;LEN(A166)))),1))," ",REPT(" ",LEN(A166))),LEN(A166)))))))/10))*100+1</f>
        <v>301 ,.., 1501</v>
      </c>
      <c r="B167" s="90"/>
      <c r="C167" s="42"/>
      <c r="D167" s="42"/>
      <c r="E167" s="59">
        <v>0</v>
      </c>
      <c r="F167" s="59">
        <f>D167+E167</f>
        <v>0</v>
      </c>
      <c r="G167" s="59">
        <v>0</v>
      </c>
      <c r="H167" s="59">
        <f>F167*(($H$152)+1)+(IF(G167&lt;101,G167,IF(G167&lt;201,G167/2,IF(G167&lt;=301,G167/3,G167/4))))</f>
        <v>0</v>
      </c>
      <c r="I167" s="36"/>
    </row>
    <row r="168" spans="1:14" s="37" customFormat="1" ht="15.75" hidden="1" customHeight="1" x14ac:dyDescent="0.25">
      <c r="A168" s="89" t="str">
        <f ca="1">(SUMPRODUCT(MID(0&amp;(LEFT(A167,SUM(LEN(A167)-LEN(SUBSTITUTE(A167,{"0","1","2"},""))))), LARGE(INDEX(ISNUMBER(--MID((LEFT(A167,SUM(LEN(A167)-LEN(SUBSTITUTE(A167,{"0","1","2"},""))))), ROW(INDIRECT("1:"&amp;LEN((LEFT(A167,SUM(LEN(A167)-LEN(SUBSTITUTE(A167,{"0","1","2"},"")))))))), 1)) * ROW(INDIRECT("1:"&amp;LEN((LEFT(A167,SUM(LEN(A167)-LEN(SUBSTITUTE(A167,{"0","1","2"},"")))))))), 0), ROW(INDIRECT("1:"&amp;LEN((LEFT(A167,SUM(LEN(A167)-LEN(SUBSTITUTE(A167,{"0","1","2"},"")))))))))+1, 1) * 10^ROW(INDIRECT("1:"&amp;LEN((LEFT(A167,SUM(LEN(A167)-LEN(SUBSTITUTE(A167,{"0","1","2"},""))))))))/10))*1+1&amp;""&amp;" ,.., "&amp;""&amp;(SUMPRODUCT(MID(0&amp;(--TRIM(RIGHT(SUBSTITUTE(LEFT(A167,_xlfn.AGGREGATE(16,6,FIND({0,1,2,3,4,5,6,7,8,9},A167,ROW(INDIRECT("1:"&amp;LEN(A167)))),1))," ",REPT(" ",LEN(A167))),LEN(A167)))), LARGE(INDEX(ISNUMBER(--MID((--TRIM(RIGHT(SUBSTITUTE(LEFT(A167,_xlfn.AGGREGATE(16,6,FIND({0,1,2,3,4,5,6,7,8,9},A167,ROW(INDIRECT("1:"&amp;LEN(A167)))),1))," ",REPT(" ",LEN(A167))),LEN(A167)))), ROW(INDIRECT("1:"&amp;LEN((--TRIM(RIGHT(SUBSTITUTE(LEFT(A167,_xlfn.AGGREGATE(16,6,FIND({0,1,2,3,4,5,6,7,8,9},A167,ROW(INDIRECT("1:"&amp;LEN(A167)))),1))," ",REPT(" ",LEN(A167))),LEN(A167))))))), 1)) * ROW(INDIRECT("1:"&amp;LEN((--TRIM(RIGHT(SUBSTITUTE(LEFT(A167,_xlfn.AGGREGATE(16,6,FIND({0,1,2,3,4,5,6,7,8,9},A167,ROW(INDIRECT("1:"&amp;LEN(A167)))),1))," ",REPT(" ",LEN(A167))),LEN(A167))))))), 0), ROW(INDIRECT("1:"&amp;LEN((--TRIM(RIGHT(SUBSTITUTE(LEFT(A167,_xlfn.AGGREGATE(16,6,FIND({0,1,2,3,4,5,6,7,8,9},A167,ROW(INDIRECT("1:"&amp;LEN(A167)))),1))," ",REPT(" ",LEN(A167))),LEN(A167))))))))+1, 1) * 10^ROW(INDIRECT("1:"&amp;LEN((--TRIM(RIGHT(SUBSTITUTE(LEFT(A167,_xlfn.AGGREGATE(16,6,FIND({0,1,2,3,4,5,6,7,8,9},A167,ROW(INDIRECT("1:"&amp;LEN(A167)))),1))," ",REPT(" ",LEN(A167))),LEN(A167)))))))/10))*1+1</f>
        <v>302 ,.., 1502</v>
      </c>
      <c r="B168" s="90"/>
      <c r="C168" s="42"/>
      <c r="D168" s="42"/>
      <c r="E168" s="59">
        <v>0</v>
      </c>
      <c r="F168" s="59">
        <f>D168+E168</f>
        <v>0</v>
      </c>
      <c r="G168" s="59">
        <v>0</v>
      </c>
      <c r="H168" s="59">
        <f>F168*(($H$152)+1)+(IF(G168&lt;101,G168,IF(G168&lt;201,G168/2,IF(G168&lt;=301,G168/3,G168/4))))</f>
        <v>0</v>
      </c>
      <c r="I168" s="36"/>
    </row>
    <row r="169" spans="1:14" s="37" customFormat="1" ht="15.75" hidden="1" customHeight="1" x14ac:dyDescent="0.25">
      <c r="A169" s="89" t="str">
        <f ca="1">(SUMPRODUCT(MID(0&amp;(LEFT(A168,SUM(LEN(A168)-LEN(SUBSTITUTE(A168,{"0","1","2"},""))))), LARGE(INDEX(ISNUMBER(--MID((LEFT(A168,SUM(LEN(A168)-LEN(SUBSTITUTE(A168,{"0","1","2"},""))))), ROW(INDIRECT("1:"&amp;LEN((LEFT(A168,SUM(LEN(A168)-LEN(SUBSTITUTE(A168,{"0","1","2"},"")))))))), 1)) * ROW(INDIRECT("1:"&amp;LEN((LEFT(A168,SUM(LEN(A168)-LEN(SUBSTITUTE(A168,{"0","1","2"},"")))))))), 0), ROW(INDIRECT("1:"&amp;LEN((LEFT(A168,SUM(LEN(A168)-LEN(SUBSTITUTE(A168,{"0","1","2"},"")))))))))+1, 1) * 10^ROW(INDIRECT("1:"&amp;LEN((LEFT(A168,SUM(LEN(A168)-LEN(SUBSTITUTE(A168,{"0","1","2"},""))))))))/10))*1+1&amp;""&amp;" ,.., "&amp;""&amp;(SUMPRODUCT(MID(0&amp;(--TRIM(RIGHT(SUBSTITUTE(LEFT(A168,_xlfn.AGGREGATE(16,6,FIND({0,1,2,3,4,5,6,7,8,9},A168,ROW(INDIRECT("1:"&amp;LEN(A168)))),1))," ",REPT(" ",LEN(A168))),LEN(A168)))), LARGE(INDEX(ISNUMBER(--MID((--TRIM(RIGHT(SUBSTITUTE(LEFT(A168,_xlfn.AGGREGATE(16,6,FIND({0,1,2,3,4,5,6,7,8,9},A168,ROW(INDIRECT("1:"&amp;LEN(A168)))),1))," ",REPT(" ",LEN(A168))),LEN(A168)))), ROW(INDIRECT("1:"&amp;LEN((--TRIM(RIGHT(SUBSTITUTE(LEFT(A168,_xlfn.AGGREGATE(16,6,FIND({0,1,2,3,4,5,6,7,8,9},A168,ROW(INDIRECT("1:"&amp;LEN(A168)))),1))," ",REPT(" ",LEN(A168))),LEN(A168))))))), 1)) * ROW(INDIRECT("1:"&amp;LEN((--TRIM(RIGHT(SUBSTITUTE(LEFT(A168,_xlfn.AGGREGATE(16,6,FIND({0,1,2,3,4,5,6,7,8,9},A168,ROW(INDIRECT("1:"&amp;LEN(A168)))),1))," ",REPT(" ",LEN(A168))),LEN(A168))))))), 0), ROW(INDIRECT("1:"&amp;LEN((--TRIM(RIGHT(SUBSTITUTE(LEFT(A168,_xlfn.AGGREGATE(16,6,FIND({0,1,2,3,4,5,6,7,8,9},A168,ROW(INDIRECT("1:"&amp;LEN(A168)))),1))," ",REPT(" ",LEN(A168))),LEN(A168))))))))+1, 1) * 10^ROW(INDIRECT("1:"&amp;LEN((--TRIM(RIGHT(SUBSTITUTE(LEFT(A168,_xlfn.AGGREGATE(16,6,FIND({0,1,2,3,4,5,6,7,8,9},A168,ROW(INDIRECT("1:"&amp;LEN(A168)))),1))," ",REPT(" ",LEN(A168))),LEN(A168)))))))/10))*1+1</f>
        <v>303 ,.., 1503</v>
      </c>
      <c r="B169" s="90"/>
      <c r="C169" s="42"/>
      <c r="D169" s="42"/>
      <c r="E169" s="59">
        <v>0</v>
      </c>
      <c r="F169" s="59">
        <f>D169+E169</f>
        <v>0</v>
      </c>
      <c r="G169" s="59">
        <v>0</v>
      </c>
      <c r="H169" s="59">
        <f>F169*(($H$152)+1)+(IF(G169&lt;101,G169,IF(G169&lt;201,G169/2,IF(G169&lt;=301,G169/3,G169/4))))</f>
        <v>0</v>
      </c>
      <c r="I169" s="36"/>
    </row>
    <row r="170" spans="1:14" s="37" customFormat="1" ht="15.75" hidden="1" customHeight="1" x14ac:dyDescent="0.25">
      <c r="A170" s="89" t="str">
        <f ca="1">(SUMPRODUCT(MID(0&amp;(LEFT(A169,SUM(LEN(A169)-LEN(SUBSTITUTE(A169,{"0","1","2"},""))))), LARGE(INDEX(ISNUMBER(--MID((LEFT(A169,SUM(LEN(A169)-LEN(SUBSTITUTE(A169,{"0","1","2"},""))))), ROW(INDIRECT("1:"&amp;LEN((LEFT(A169,SUM(LEN(A169)-LEN(SUBSTITUTE(A169,{"0","1","2"},"")))))))), 1)) * ROW(INDIRECT("1:"&amp;LEN((LEFT(A169,SUM(LEN(A169)-LEN(SUBSTITUTE(A169,{"0","1","2"},"")))))))), 0), ROW(INDIRECT("1:"&amp;LEN((LEFT(A169,SUM(LEN(A169)-LEN(SUBSTITUTE(A169,{"0","1","2"},"")))))))))+1, 1) * 10^ROW(INDIRECT("1:"&amp;LEN((LEFT(A169,SUM(LEN(A169)-LEN(SUBSTITUTE(A169,{"0","1","2"},""))))))))/10))*1+1&amp;""&amp;" ,.., "&amp;""&amp;(SUMPRODUCT(MID(0&amp;(--TRIM(RIGHT(SUBSTITUTE(LEFT(A169,_xlfn.AGGREGATE(16,6,FIND({0,1,2,3,4,5,6,7,8,9},A169,ROW(INDIRECT("1:"&amp;LEN(A169)))),1))," ",REPT(" ",LEN(A169))),LEN(A169)))), LARGE(INDEX(ISNUMBER(--MID((--TRIM(RIGHT(SUBSTITUTE(LEFT(A169,_xlfn.AGGREGATE(16,6,FIND({0,1,2,3,4,5,6,7,8,9},A169,ROW(INDIRECT("1:"&amp;LEN(A169)))),1))," ",REPT(" ",LEN(A169))),LEN(A169)))), ROW(INDIRECT("1:"&amp;LEN((--TRIM(RIGHT(SUBSTITUTE(LEFT(A169,_xlfn.AGGREGATE(16,6,FIND({0,1,2,3,4,5,6,7,8,9},A169,ROW(INDIRECT("1:"&amp;LEN(A169)))),1))," ",REPT(" ",LEN(A169))),LEN(A169))))))), 1)) * ROW(INDIRECT("1:"&amp;LEN((--TRIM(RIGHT(SUBSTITUTE(LEFT(A169,_xlfn.AGGREGATE(16,6,FIND({0,1,2,3,4,5,6,7,8,9},A169,ROW(INDIRECT("1:"&amp;LEN(A169)))),1))," ",REPT(" ",LEN(A169))),LEN(A169))))))), 0), ROW(INDIRECT("1:"&amp;LEN((--TRIM(RIGHT(SUBSTITUTE(LEFT(A169,_xlfn.AGGREGATE(16,6,FIND({0,1,2,3,4,5,6,7,8,9},A169,ROW(INDIRECT("1:"&amp;LEN(A169)))),1))," ",REPT(" ",LEN(A169))),LEN(A169))))))))+1, 1) * 10^ROW(INDIRECT("1:"&amp;LEN((--TRIM(RIGHT(SUBSTITUTE(LEFT(A169,_xlfn.AGGREGATE(16,6,FIND({0,1,2,3,4,5,6,7,8,9},A169,ROW(INDIRECT("1:"&amp;LEN(A169)))),1))," ",REPT(" ",LEN(A169))),LEN(A169)))))))/10))*1+1</f>
        <v>304 ,.., 1504</v>
      </c>
      <c r="B170" s="90"/>
      <c r="C170" s="42"/>
      <c r="D170" s="42"/>
      <c r="E170" s="59">
        <v>0</v>
      </c>
      <c r="F170" s="59">
        <f>D170+E170</f>
        <v>0</v>
      </c>
      <c r="G170" s="59">
        <v>0</v>
      </c>
      <c r="H170" s="59">
        <f>F170*(($H$152)+1)+(IF(G170&lt;101,G170,IF(G170&lt;201,G170/2,IF(G170&lt;=301,G170/3,G170/4))))</f>
        <v>0</v>
      </c>
      <c r="I170" s="36"/>
    </row>
    <row r="171" spans="1:14" s="37" customFormat="1" ht="15.75" hidden="1" customHeight="1" x14ac:dyDescent="0.25">
      <c r="A171" s="89" t="str">
        <f ca="1">(SUMPRODUCT(MID(0&amp;(LEFT(A170,SUM(LEN(A170)-LEN(SUBSTITUTE(A170,{"0","1","2"},""))))), LARGE(INDEX(ISNUMBER(--MID((LEFT(A170,SUM(LEN(A170)-LEN(SUBSTITUTE(A170,{"0","1","2"},""))))), ROW(INDIRECT("1:"&amp;LEN((LEFT(A170,SUM(LEN(A170)-LEN(SUBSTITUTE(A170,{"0","1","2"},"")))))))), 1)) * ROW(INDIRECT("1:"&amp;LEN((LEFT(A170,SUM(LEN(A170)-LEN(SUBSTITUTE(A170,{"0","1","2"},"")))))))), 0), ROW(INDIRECT("1:"&amp;LEN((LEFT(A170,SUM(LEN(A170)-LEN(SUBSTITUTE(A170,{"0","1","2"},"")))))))))+1, 1) * 10^ROW(INDIRECT("1:"&amp;LEN((LEFT(A170,SUM(LEN(A170)-LEN(SUBSTITUTE(A170,{"0","1","2"},""))))))))/10))*1+1&amp;""&amp;" ,.., "&amp;""&amp;(SUMPRODUCT(MID(0&amp;(--TRIM(RIGHT(SUBSTITUTE(LEFT(A170,_xlfn.AGGREGATE(16,6,FIND({0,1,2,3,4,5,6,7,8,9},A170,ROW(INDIRECT("1:"&amp;LEN(A170)))),1))," ",REPT(" ",LEN(A170))),LEN(A170)))), LARGE(INDEX(ISNUMBER(--MID((--TRIM(RIGHT(SUBSTITUTE(LEFT(A170,_xlfn.AGGREGATE(16,6,FIND({0,1,2,3,4,5,6,7,8,9},A170,ROW(INDIRECT("1:"&amp;LEN(A170)))),1))," ",REPT(" ",LEN(A170))),LEN(A170)))), ROW(INDIRECT("1:"&amp;LEN((--TRIM(RIGHT(SUBSTITUTE(LEFT(A170,_xlfn.AGGREGATE(16,6,FIND({0,1,2,3,4,5,6,7,8,9},A170,ROW(INDIRECT("1:"&amp;LEN(A170)))),1))," ",REPT(" ",LEN(A170))),LEN(A170))))))), 1)) * ROW(INDIRECT("1:"&amp;LEN((--TRIM(RIGHT(SUBSTITUTE(LEFT(A170,_xlfn.AGGREGATE(16,6,FIND({0,1,2,3,4,5,6,7,8,9},A170,ROW(INDIRECT("1:"&amp;LEN(A170)))),1))," ",REPT(" ",LEN(A170))),LEN(A170))))))), 0), ROW(INDIRECT("1:"&amp;LEN((--TRIM(RIGHT(SUBSTITUTE(LEFT(A170,_xlfn.AGGREGATE(16,6,FIND({0,1,2,3,4,5,6,7,8,9},A170,ROW(INDIRECT("1:"&amp;LEN(A170)))),1))," ",REPT(" ",LEN(A170))),LEN(A170))))))))+1, 1) * 10^ROW(INDIRECT("1:"&amp;LEN((--TRIM(RIGHT(SUBSTITUTE(LEFT(A170,_xlfn.AGGREGATE(16,6,FIND({0,1,2,3,4,5,6,7,8,9},A170,ROW(INDIRECT("1:"&amp;LEN(A170)))),1))," ",REPT(" ",LEN(A170))),LEN(A170)))))))/10))*1+1</f>
        <v>305 ,.., 1505</v>
      </c>
      <c r="B171" s="90"/>
      <c r="C171" s="42"/>
      <c r="D171" s="42"/>
      <c r="E171" s="59">
        <v>0</v>
      </c>
      <c r="F171" s="59">
        <f>D171+E171</f>
        <v>0</v>
      </c>
      <c r="G171" s="59">
        <v>0</v>
      </c>
      <c r="H171" s="59">
        <f>F171*(($H$152)+1)+(IF(G171&lt;101,G171,IF(G171&lt;201,G171/2,IF(G171&lt;=301,G171/3,G171/4))))</f>
        <v>0</v>
      </c>
      <c r="I171" s="36"/>
    </row>
    <row r="172" spans="1:14" s="37" customFormat="1" hidden="1" x14ac:dyDescent="0.25">
      <c r="A172" s="148" t="s">
        <v>145</v>
      </c>
      <c r="B172" s="149"/>
      <c r="C172" s="149"/>
      <c r="D172" s="149"/>
      <c r="E172" s="149"/>
      <c r="F172" s="149"/>
      <c r="G172" s="149"/>
      <c r="H172" s="150"/>
      <c r="I172" s="36"/>
    </row>
    <row r="173" spans="1:14" s="37" customFormat="1" ht="15.75" hidden="1" customHeight="1" x14ac:dyDescent="0.25">
      <c r="A173" s="89" t="str">
        <f ca="1">(SUMPRODUCT(MID(0&amp;(LEFT(A172,SUM(LEN(A172)-LEN(SUBSTITUTE(A172,{"0","1","2"},""))))), LARGE(INDEX(ISNUMBER(--MID((LEFT(A172,SUM(LEN(A172)-LEN(SUBSTITUTE(A172,{"0","1","2"},""))))), ROW(INDIRECT("1:"&amp;LEN((LEFT(A172,SUM(LEN(A172)-LEN(SUBSTITUTE(A172,{"0","1","2"},"")))))))), 1)) * ROW(INDIRECT("1:"&amp;LEN((LEFT(A172,SUM(LEN(A172)-LEN(SUBSTITUTE(A172,{"0","1","2"},"")))))))), 0), ROW(INDIRECT("1:"&amp;LEN((LEFT(A172,SUM(LEN(A172)-LEN(SUBSTITUTE(A172,{"0","1","2"},"")))))))))+1, 1) * 10^ROW(INDIRECT("1:"&amp;LEN((LEFT(A172,SUM(LEN(A172)-LEN(SUBSTITUTE(A172,{"0","1","2"},""))))))))/10))*100+1&amp;""&amp;" to "&amp;""&amp;(SUMPRODUCT(MID(0&amp;(--TRIM(RIGHT(SUBSTITUTE(LEFT(A172,_xlfn.AGGREGATE(16,6,FIND({0,1,2,3,4,5,6,7,8,9},A172,ROW(INDIRECT("1:"&amp;LEN(A172)))),1))," ",REPT(" ",LEN(A172))),LEN(A172)))), LARGE(INDEX(ISNUMBER(--MID((--TRIM(RIGHT(SUBSTITUTE(LEFT(A172,_xlfn.AGGREGATE(16,6,FIND({0,1,2,3,4,5,6,7,8,9},A172,ROW(INDIRECT("1:"&amp;LEN(A172)))),1))," ",REPT(" ",LEN(A172))),LEN(A172)))), ROW(INDIRECT("1:"&amp;LEN((--TRIM(RIGHT(SUBSTITUTE(LEFT(A172,_xlfn.AGGREGATE(16,6,FIND({0,1,2,3,4,5,6,7,8,9},A172,ROW(INDIRECT("1:"&amp;LEN(A172)))),1))," ",REPT(" ",LEN(A172))),LEN(A172))))))), 1)) * ROW(INDIRECT("1:"&amp;LEN((--TRIM(RIGHT(SUBSTITUTE(LEFT(A172,_xlfn.AGGREGATE(16,6,FIND({0,1,2,3,4,5,6,7,8,9},A172,ROW(INDIRECT("1:"&amp;LEN(A172)))),1))," ",REPT(" ",LEN(A172))),LEN(A172))))))), 0), ROW(INDIRECT("1:"&amp;LEN((--TRIM(RIGHT(SUBSTITUTE(LEFT(A172,_xlfn.AGGREGATE(16,6,FIND({0,1,2,3,4,5,6,7,8,9},A172,ROW(INDIRECT("1:"&amp;LEN(A172)))),1))," ",REPT(" ",LEN(A172))),LEN(A172))))))))+1, 1) * 10^ROW(INDIRECT("1:"&amp;LEN((--TRIM(RIGHT(SUBSTITUTE(LEFT(A172,_xlfn.AGGREGATE(16,6,FIND({0,1,2,3,4,5,6,7,8,9},A172,ROW(INDIRECT("1:"&amp;LEN(A172)))),1))," ",REPT(" ",LEN(A172))),LEN(A172)))))))/10))*100+1</f>
        <v>201 to 501</v>
      </c>
      <c r="B173" s="90"/>
      <c r="C173" s="42"/>
      <c r="D173" s="42"/>
      <c r="E173" s="59">
        <v>0</v>
      </c>
      <c r="F173" s="59">
        <f>D173+E173</f>
        <v>0</v>
      </c>
      <c r="G173" s="59">
        <v>0</v>
      </c>
      <c r="H173" s="59">
        <f>F173*(($H$152)+1)+(IF(G173&lt;101,G173,IF(G173&lt;201,G173/2,IF(G173&lt;=301,G173/3,G173/4))))</f>
        <v>0</v>
      </c>
      <c r="I173" s="36"/>
    </row>
    <row r="174" spans="1:14" s="37" customFormat="1" ht="15.75" hidden="1" customHeight="1" x14ac:dyDescent="0.25">
      <c r="A174" s="89"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10^ROW(INDIRECT("1:"&amp;LEN((LEFT(A173,SUM(LEN(A173)-LEN(SUBSTITUTE(A173,{"0","1","2"},""))))))))/10))*1+1&amp;""&amp;" to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",LEN(A173))),LEN(A173)))))))/10))*1+1</f>
        <v>202 to 502</v>
      </c>
      <c r="B174" s="90"/>
      <c r="C174" s="42"/>
      <c r="D174" s="42"/>
      <c r="E174" s="59">
        <v>0</v>
      </c>
      <c r="F174" s="59">
        <f>D174+E174</f>
        <v>0</v>
      </c>
      <c r="G174" s="59">
        <v>0</v>
      </c>
      <c r="H174" s="59">
        <f>F174*(($H$152)+1)+(IF(G174&lt;101,G174,IF(G174&lt;201,G174/2,IF(G174&lt;=301,G174/3,G174/4))))</f>
        <v>0</v>
      </c>
      <c r="I174" s="36"/>
    </row>
    <row r="175" spans="1:14" s="37" customFormat="1" ht="15.75" hidden="1" customHeight="1" x14ac:dyDescent="0.25">
      <c r="A175" s="89"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10^ROW(INDIRECT("1:"&amp;LEN((LEFT(A174,SUM(LEN(A174)-LEN(SUBSTITUTE(A174,{"0","1","2"},""))))))))/10))*1+1&amp;""&amp;" to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",LEN(A174))),LEN(A174)))))))/10))*1+1</f>
        <v>203 to 503</v>
      </c>
      <c r="B175" s="90"/>
      <c r="C175" s="42"/>
      <c r="D175" s="42"/>
      <c r="E175" s="59">
        <v>0</v>
      </c>
      <c r="F175" s="59">
        <f>D175+E175</f>
        <v>0</v>
      </c>
      <c r="G175" s="59">
        <v>0</v>
      </c>
      <c r="H175" s="59">
        <f>F175*(($H$152)+1)+(IF(G175&lt;101,G175,IF(G175&lt;201,G175/2,IF(G175&lt;=301,G175/3,G175/4))))</f>
        <v>0</v>
      </c>
      <c r="I175" s="36"/>
    </row>
    <row r="176" spans="1:14" s="37" customFormat="1" ht="15.75" hidden="1" customHeight="1" x14ac:dyDescent="0.25">
      <c r="A176" s="89" t="str">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10^ROW(INDIRECT("1:"&amp;LEN((LEFT(A175,SUM(LEN(A175)-LEN(SUBSTITUTE(A175,{"0","1","2"},""))))))))/10))*1+1&amp;""&amp;" to "&amp;""&amp;(SUMPRODUCT(MID(0&amp;(--TRIM(RIGHT(SUBSTITUTE(LEFT(A175,_xlfn.AGGREGATE(16,6,FIND({0,1,2,3,4,5,6,7,8,9},A175,ROW(INDIRECT("1:"&amp;LEN(A175)))),1)),"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",LEN(A175))),LEN(A175)))))))/10))*1+1</f>
        <v>204 to 504</v>
      </c>
      <c r="B176" s="90"/>
      <c r="C176" s="42"/>
      <c r="D176" s="42"/>
      <c r="E176" s="59">
        <v>0</v>
      </c>
      <c r="F176" s="59">
        <f>D176+E176</f>
        <v>0</v>
      </c>
      <c r="G176" s="59">
        <v>0</v>
      </c>
      <c r="H176" s="59">
        <f>F176*(($H$152)+1)+(IF(G176&lt;101,G176,IF(G176&lt;201,G176/2,IF(G176&lt;=301,G176/3,G176/4))))</f>
        <v>0</v>
      </c>
      <c r="I176" s="36"/>
    </row>
    <row r="177" spans="1:20" s="37" customFormat="1" ht="15.75" hidden="1" customHeight="1" x14ac:dyDescent="0.25">
      <c r="A177" s="89"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10^ROW(INDIRECT("1:"&amp;LEN((LEFT(A176,SUM(LEN(A176)-LEN(SUBSTITUTE(A176,{"0","1","2"},""))))))))/10))*1+1&amp;""&amp;" to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",LEN(A176))),LEN(A176)))))))/10))*1+1</f>
        <v>205 to 505</v>
      </c>
      <c r="B177" s="90"/>
      <c r="C177" s="42"/>
      <c r="D177" s="42"/>
      <c r="E177" s="59">
        <v>0</v>
      </c>
      <c r="F177" s="59">
        <f>D177+E177</f>
        <v>0</v>
      </c>
      <c r="G177" s="59">
        <v>0</v>
      </c>
      <c r="H177" s="59">
        <f>F177*(($H$152)+1)+(IF(G177&lt;101,G177,IF(G177&lt;201,G177/2,IF(G177&lt;=301,G177/3,G177/4))))</f>
        <v>0</v>
      </c>
      <c r="I177" s="36"/>
    </row>
    <row r="178" spans="1:20" s="37" customFormat="1" hidden="1" x14ac:dyDescent="0.25">
      <c r="A178" s="148" t="s">
        <v>146</v>
      </c>
      <c r="B178" s="149"/>
      <c r="C178" s="149"/>
      <c r="D178" s="149"/>
      <c r="E178" s="149"/>
      <c r="F178" s="149"/>
      <c r="G178" s="149"/>
      <c r="H178" s="150"/>
      <c r="I178" s="36"/>
    </row>
    <row r="179" spans="1:20" s="37" customFormat="1" ht="15.75" hidden="1" customHeight="1" x14ac:dyDescent="0.25">
      <c r="A179" s="89" t="str">
        <f ca="1">(SUMPRODUCT(MID(0&amp;(LEFT(A178,SUM(LEN(A178)-LEN(SUBSTITUTE(A178,{"0","1","2"},""))))), LARGE(INDEX(ISNUMBER(--MID((LEFT(A178,SUM(LEN(A178)-LEN(SUBSTITUTE(A178,{"0","1","2"},""))))), ROW(INDIRECT("1:"&amp;LEN((LEFT(A178,SUM(LEN(A178)-LEN(SUBSTITUTE(A178,{"0","1","2"},"")))))))), 1)) * ROW(INDIRECT("1:"&amp;LEN((LEFT(A178,SUM(LEN(A178)-LEN(SUBSTITUTE(A178,{"0","1","2"},"")))))))), 0), ROW(INDIRECT("1:"&amp;LEN((LEFT(A178,SUM(LEN(A178)-LEN(SUBSTITUTE(A178,{"0","1","2"},"")))))))))+1, 1) * 10^ROW(INDIRECT("1:"&amp;LEN((LEFT(A178,SUM(LEN(A178)-LEN(SUBSTITUTE(A178,{"0","1","2"},""))))))))/10))*100+1&amp;""&amp;" &amp; "&amp;""&amp;(SUMPRODUCT(MID(0&amp;(--TRIM(RIGHT(SUBSTITUTE(LEFT(A178,_xlfn.AGGREGATE(16,6,FIND({0,1,2,3,4,5,6,7,8,9},A178,ROW(INDIRECT("1:"&amp;LEN(A178)))),1))," ",REPT(" ",LEN(A178))),LEN(A178)))), LARGE(INDEX(ISNUMBER(--MID((--TRIM(RIGHT(SUBSTITUTE(LEFT(A178,_xlfn.AGGREGATE(16,6,FIND({0,1,2,3,4,5,6,7,8,9},A178,ROW(INDIRECT("1:"&amp;LEN(A178)))),1))," ",REPT(" ",LEN(A178))),LEN(A178)))), ROW(INDIRECT("1:"&amp;LEN((--TRIM(RIGHT(SUBSTITUTE(LEFT(A178,_xlfn.AGGREGATE(16,6,FIND({0,1,2,3,4,5,6,7,8,9},A178,ROW(INDIRECT("1:"&amp;LEN(A178)))),1))," ",REPT(" ",LEN(A178))),LEN(A178))))))), 1)) * ROW(INDIRECT("1:"&amp;LEN((--TRIM(RIGHT(SUBSTITUTE(LEFT(A178,_xlfn.AGGREGATE(16,6,FIND({0,1,2,3,4,5,6,7,8,9},A178,ROW(INDIRECT("1:"&amp;LEN(A178)))),1))," ",REPT(" ",LEN(A178))),LEN(A178))))))), 0), ROW(INDIRECT("1:"&amp;LEN((--TRIM(RIGHT(SUBSTITUTE(LEFT(A178,_xlfn.AGGREGATE(16,6,FIND({0,1,2,3,4,5,6,7,8,9},A178,ROW(INDIRECT("1:"&amp;LEN(A178)))),1))," ",REPT(" ",LEN(A178))),LEN(A178))))))))+1, 1) * 10^ROW(INDIRECT("1:"&amp;LEN((--TRIM(RIGHT(SUBSTITUTE(LEFT(A178,_xlfn.AGGREGATE(16,6,FIND({0,1,2,3,4,5,6,7,8,9},A178,ROW(INDIRECT("1:"&amp;LEN(A178)))),1))," ",REPT(" ",LEN(A178))),LEN(A178)))))))/10))*100+1</f>
        <v>201 &amp; 501</v>
      </c>
      <c r="B179" s="90"/>
      <c r="C179" s="42"/>
      <c r="D179" s="42"/>
      <c r="E179" s="59">
        <v>0</v>
      </c>
      <c r="F179" s="59">
        <f>D179+E179</f>
        <v>0</v>
      </c>
      <c r="G179" s="59">
        <v>0</v>
      </c>
      <c r="H179" s="59">
        <f>F179*(($H$152)+1)+(IF(G179&lt;101,G179,IF(G179&lt;201,G179/2,IF(G179&lt;=301,G179/3,G179/4))))</f>
        <v>0</v>
      </c>
      <c r="I179" s="36"/>
    </row>
    <row r="180" spans="1:20" s="37" customFormat="1" ht="15.75" hidden="1" customHeight="1" x14ac:dyDescent="0.25">
      <c r="A180" s="89" t="str">
        <f ca="1">(SUMPRODUCT(MID(0&amp;(LEFT(A179,SUM(LEN(A179)-LEN(SUBSTITUTE(A179,{"0","1","2"},""))))), LARGE(INDEX(ISNUMBER(--MID((LEFT(A179,SUM(LEN(A179)-LEN(SUBSTITUTE(A179,{"0","1","2"},""))))), ROW(INDIRECT("1:"&amp;LEN((LEFT(A179,SUM(LEN(A179)-LEN(SUBSTITUTE(A179,{"0","1","2"},"")))))))), 1)) * ROW(INDIRECT("1:"&amp;LEN((LEFT(A179,SUM(LEN(A179)-LEN(SUBSTITUTE(A179,{"0","1","2"},"")))))))), 0), ROW(INDIRECT("1:"&amp;LEN((LEFT(A179,SUM(LEN(A179)-LEN(SUBSTITUTE(A179,{"0","1","2"},"")))))))))+1, 1) * 10^ROW(INDIRECT("1:"&amp;LEN((LEFT(A179,SUM(LEN(A179)-LEN(SUBSTITUTE(A179,{"0","1","2"},""))))))))/10))*1+1&amp;""&amp;" &amp; "&amp;""&amp;(SUMPRODUCT(MID(0&amp;(--TRIM(RIGHT(SUBSTITUTE(LEFT(A179,_xlfn.AGGREGATE(16,6,FIND({0,1,2,3,4,5,6,7,8,9},A179,ROW(INDIRECT("1:"&amp;LEN(A179)))),1))," ",REPT(" ",LEN(A179))),LEN(A179)))), LARGE(INDEX(ISNUMBER(--MID((--TRIM(RIGHT(SUBSTITUTE(LEFT(A179,_xlfn.AGGREGATE(16,6,FIND({0,1,2,3,4,5,6,7,8,9},A179,ROW(INDIRECT("1:"&amp;LEN(A179)))),1))," ",REPT(" ",LEN(A179))),LEN(A179)))), ROW(INDIRECT("1:"&amp;LEN((--TRIM(RIGHT(SUBSTITUTE(LEFT(A179,_xlfn.AGGREGATE(16,6,FIND({0,1,2,3,4,5,6,7,8,9},A179,ROW(INDIRECT("1:"&amp;LEN(A179)))),1))," ",REPT(" ",LEN(A179))),LEN(A179))))))), 1)) * ROW(INDIRECT("1:"&amp;LEN((--TRIM(RIGHT(SUBSTITUTE(LEFT(A179,_xlfn.AGGREGATE(16,6,FIND({0,1,2,3,4,5,6,7,8,9},A179,ROW(INDIRECT("1:"&amp;LEN(A179)))),1))," ",REPT(" ",LEN(A179))),LEN(A179))))))), 0), ROW(INDIRECT("1:"&amp;LEN((--TRIM(RIGHT(SUBSTITUTE(LEFT(A179,_xlfn.AGGREGATE(16,6,FIND({0,1,2,3,4,5,6,7,8,9},A179,ROW(INDIRECT("1:"&amp;LEN(A179)))),1))," ",REPT(" ",LEN(A179))),LEN(A179))))))))+1, 1) * 10^ROW(INDIRECT("1:"&amp;LEN((--TRIM(RIGHT(SUBSTITUTE(LEFT(A179,_xlfn.AGGREGATE(16,6,FIND({0,1,2,3,4,5,6,7,8,9},A179,ROW(INDIRECT("1:"&amp;LEN(A179)))),1))," ",REPT(" ",LEN(A179))),LEN(A179)))))))/10))*1+1</f>
        <v>202 &amp; 502</v>
      </c>
      <c r="B180" s="90"/>
      <c r="C180" s="42"/>
      <c r="D180" s="42"/>
      <c r="E180" s="59">
        <v>0</v>
      </c>
      <c r="F180" s="59">
        <f>D180+E180</f>
        <v>0</v>
      </c>
      <c r="G180" s="59">
        <v>0</v>
      </c>
      <c r="H180" s="59">
        <f>F180*(($H$152)+1)+(IF(G180&lt;101,G180,IF(G180&lt;201,G180/2,IF(G180&lt;=301,G180/3,G180/4))))</f>
        <v>0</v>
      </c>
      <c r="I180" s="36"/>
    </row>
    <row r="181" spans="1:20" s="37" customFormat="1" ht="15.75" hidden="1" customHeight="1" x14ac:dyDescent="0.25">
      <c r="A181" s="89"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10^ROW(INDIRECT("1:"&amp;LEN((LEFT(A180,SUM(LEN(A180)-LEN(SUBSTITUTE(A180,{"0","1","2"},""))))))))/10))*1+1&amp;""&amp;" &amp;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",LEN(A180))),LEN(A180)))))))/10))*1+1</f>
        <v>203 &amp; 503</v>
      </c>
      <c r="B181" s="90"/>
      <c r="C181" s="42"/>
      <c r="D181" s="42"/>
      <c r="E181" s="59">
        <v>0</v>
      </c>
      <c r="F181" s="59">
        <f>D181+E181</f>
        <v>0</v>
      </c>
      <c r="G181" s="59">
        <v>0</v>
      </c>
      <c r="H181" s="59">
        <f>F181*(($H$152)+1)+(IF(G181&lt;101,G181,IF(G181&lt;201,G181/2,IF(G181&lt;=301,G181/3,G181/4))))</f>
        <v>0</v>
      </c>
      <c r="I181" s="36"/>
    </row>
    <row r="182" spans="1:20" s="37" customFormat="1" ht="15.75" hidden="1" customHeight="1" x14ac:dyDescent="0.25">
      <c r="A182" s="89"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10^ROW(INDIRECT("1:"&amp;LEN((LEFT(A181,SUM(LEN(A181)-LEN(SUBSTITUTE(A181,{"0","1","2"},""))))))))/10))*1+1&amp;""&amp;" &amp;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",LEN(A181))),LEN(A181)))))))/10))*1+1</f>
        <v>204 &amp; 504</v>
      </c>
      <c r="B182" s="90"/>
      <c r="C182" s="42"/>
      <c r="D182" s="42"/>
      <c r="E182" s="59">
        <v>0</v>
      </c>
      <c r="F182" s="59">
        <f>D182+E182</f>
        <v>0</v>
      </c>
      <c r="G182" s="59">
        <v>0</v>
      </c>
      <c r="H182" s="59">
        <f>F182*(($H$152)+1)+(IF(G182&lt;101,G182,IF(G182&lt;201,G182/2,IF(G182&lt;=301,G182/3,G182/4))))</f>
        <v>0</v>
      </c>
      <c r="I182" s="36"/>
    </row>
    <row r="183" spans="1:20" s="37" customFormat="1" ht="15.75" hidden="1" customHeight="1" x14ac:dyDescent="0.25">
      <c r="A183" s="89"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10^ROW(INDIRECT("1:"&amp;LEN((LEFT(A182,SUM(LEN(A182)-LEN(SUBSTITUTE(A182,{"0","1","2"},""))))))))/10))*1+1&amp;""&amp;" &amp;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",LEN(A182))),LEN(A182)))))))/10))*1+1</f>
        <v>205 &amp; 505</v>
      </c>
      <c r="B183" s="90"/>
      <c r="C183" s="42"/>
      <c r="D183" s="42"/>
      <c r="E183" s="59">
        <v>0</v>
      </c>
      <c r="F183" s="59">
        <f>D183+E183</f>
        <v>0</v>
      </c>
      <c r="G183" s="59">
        <v>0</v>
      </c>
      <c r="H183" s="59">
        <f>F183*(($H$152)+1)+(IF(G183&lt;101,G183,IF(G183&lt;201,G183/2,IF(G183&lt;=301,G183/3,G183/4))))</f>
        <v>0</v>
      </c>
      <c r="I183" s="36"/>
    </row>
    <row r="184" spans="1:20" s="35" customFormat="1" x14ac:dyDescent="0.25">
      <c r="A184" s="158" t="s">
        <v>65</v>
      </c>
      <c r="B184" s="158"/>
      <c r="C184" s="158"/>
      <c r="D184" s="158"/>
      <c r="E184" s="158"/>
      <c r="F184" s="158"/>
      <c r="G184" s="158"/>
      <c r="H184" s="158"/>
      <c r="L184" s="35">
        <f>16000000/L155</f>
        <v>18648.018648018649</v>
      </c>
      <c r="T184" s="37"/>
    </row>
    <row r="185" spans="1:20" s="35" customFormat="1" x14ac:dyDescent="0.25">
      <c r="A185" s="46" t="s">
        <v>155</v>
      </c>
      <c r="B185" s="83" t="s">
        <v>355</v>
      </c>
      <c r="C185" s="84"/>
      <c r="D185" s="84"/>
      <c r="E185" s="84"/>
      <c r="F185" s="84"/>
      <c r="G185" s="84"/>
      <c r="H185" s="85"/>
      <c r="T185" s="37"/>
    </row>
    <row r="186" spans="1:20" s="35" customFormat="1" x14ac:dyDescent="0.25">
      <c r="A186" s="46" t="s">
        <v>155</v>
      </c>
      <c r="B186" s="83" t="str">
        <f>(IF(H151="Saleable area Loading :","We have considered Saleable area of Flats as per our Calculation.","We considered Saleable area of Flat as per Builder area Sheet."))</f>
        <v>We have considered Saleable area of Flats as per our Calculation.</v>
      </c>
      <c r="C186" s="84"/>
      <c r="D186" s="84"/>
      <c r="E186" s="84"/>
      <c r="F186" s="84"/>
      <c r="G186" s="84"/>
      <c r="H186" s="85"/>
      <c r="T186" s="37"/>
    </row>
    <row r="187" spans="1:20" s="35" customFormat="1" x14ac:dyDescent="0.25">
      <c r="A187" s="46" t="s">
        <v>155</v>
      </c>
      <c r="B187" s="83" t="str">
        <f>(IF(H138="Saleable area Loading :","We have considered Saleable area of Commercial as per our Calculation.","We considered Saleable area of Commercial as per Builder area Sheet."))</f>
        <v>We have considered Saleable area of Commercial as per our Calculation.</v>
      </c>
      <c r="C187" s="84"/>
      <c r="D187" s="84"/>
      <c r="E187" s="84"/>
      <c r="F187" s="84"/>
      <c r="G187" s="84"/>
      <c r="H187" s="85"/>
    </row>
    <row r="188" spans="1:20" s="35" customFormat="1" x14ac:dyDescent="0.25">
      <c r="A188" s="46" t="s">
        <v>155</v>
      </c>
      <c r="B188" s="155" t="s">
        <v>122</v>
      </c>
      <c r="C188" s="156"/>
      <c r="D188" s="156"/>
      <c r="E188" s="156"/>
      <c r="F188" s="156"/>
      <c r="G188" s="156"/>
      <c r="H188" s="157"/>
      <c r="J188" s="21">
        <f>39000/1.5</f>
        <v>26000</v>
      </c>
    </row>
    <row r="189" spans="1:20" s="35" customFormat="1" x14ac:dyDescent="0.25">
      <c r="A189" s="46" t="s">
        <v>155</v>
      </c>
      <c r="B189" s="155" t="s">
        <v>342</v>
      </c>
      <c r="C189" s="156"/>
      <c r="D189" s="156"/>
      <c r="E189" s="156"/>
      <c r="F189" s="156"/>
      <c r="G189" s="156"/>
      <c r="H189" s="157"/>
    </row>
    <row r="190" spans="1:20" s="35" customFormat="1" x14ac:dyDescent="0.25">
      <c r="A190" s="46" t="s">
        <v>155</v>
      </c>
      <c r="B190" s="155" t="s">
        <v>154</v>
      </c>
      <c r="C190" s="156"/>
      <c r="D190" s="156"/>
      <c r="E190" s="156"/>
      <c r="F190" s="156"/>
      <c r="G190" s="156"/>
      <c r="H190" s="157"/>
    </row>
    <row r="191" spans="1:20" s="35" customFormat="1" x14ac:dyDescent="0.25">
      <c r="A191" s="46" t="s">
        <v>155</v>
      </c>
      <c r="B191" s="155" t="s">
        <v>123</v>
      </c>
      <c r="C191" s="156"/>
      <c r="D191" s="156"/>
      <c r="E191" s="156"/>
      <c r="F191" s="156"/>
      <c r="G191" s="156"/>
      <c r="H191" s="157"/>
    </row>
    <row r="192" spans="1:20" s="35" customFormat="1" ht="34.5" customHeight="1" x14ac:dyDescent="0.25">
      <c r="A192" s="46" t="s">
        <v>155</v>
      </c>
      <c r="B192" s="155" t="s">
        <v>156</v>
      </c>
      <c r="C192" s="156"/>
      <c r="D192" s="156"/>
      <c r="E192" s="156"/>
      <c r="F192" s="156"/>
      <c r="G192" s="156"/>
      <c r="H192" s="157"/>
    </row>
    <row r="193" spans="1:20" s="35" customFormat="1" x14ac:dyDescent="0.25">
      <c r="A193" s="46" t="s">
        <v>155</v>
      </c>
      <c r="B193" s="155" t="s">
        <v>124</v>
      </c>
      <c r="C193" s="156"/>
      <c r="D193" s="156"/>
      <c r="E193" s="156"/>
      <c r="F193" s="156"/>
      <c r="G193" s="156"/>
      <c r="H193" s="157"/>
    </row>
    <row r="194" spans="1:20" s="35" customFormat="1" ht="32.25" customHeight="1" x14ac:dyDescent="0.25">
      <c r="A194" s="77" t="s">
        <v>155</v>
      </c>
      <c r="B194" s="83" t="s">
        <v>183</v>
      </c>
      <c r="C194" s="84"/>
      <c r="D194" s="84"/>
      <c r="E194" s="84"/>
      <c r="F194" s="84"/>
      <c r="G194" s="84"/>
      <c r="H194" s="85"/>
    </row>
    <row r="195" spans="1:20" s="35" customFormat="1" x14ac:dyDescent="0.25">
      <c r="A195" s="56" t="s">
        <v>155</v>
      </c>
      <c r="B195" s="83" t="s">
        <v>351</v>
      </c>
      <c r="C195" s="84"/>
      <c r="D195" s="84"/>
      <c r="E195" s="84"/>
      <c r="F195" s="84"/>
      <c r="G195" s="84"/>
      <c r="H195" s="85"/>
    </row>
    <row r="196" spans="1:20" s="35" customFormat="1" hidden="1" x14ac:dyDescent="0.25">
      <c r="A196" s="61" t="s">
        <v>155</v>
      </c>
      <c r="B196" s="216" t="s">
        <v>238</v>
      </c>
      <c r="C196" s="217"/>
      <c r="D196" s="217"/>
      <c r="E196" s="217"/>
      <c r="F196" s="217"/>
      <c r="G196" s="217"/>
      <c r="H196" s="218"/>
    </row>
    <row r="197" spans="1:20" s="35" customFormat="1" ht="32.25" hidden="1" customHeight="1" x14ac:dyDescent="0.25">
      <c r="A197" s="75" t="s">
        <v>155</v>
      </c>
      <c r="B197" s="83" t="s">
        <v>345</v>
      </c>
      <c r="C197" s="84"/>
      <c r="D197" s="84"/>
      <c r="E197" s="84"/>
      <c r="F197" s="84"/>
      <c r="G197" s="84"/>
      <c r="H197" s="85"/>
    </row>
    <row r="198" spans="1:20" s="35" customFormat="1" x14ac:dyDescent="0.25">
      <c r="A198" s="78" t="s">
        <v>155</v>
      </c>
      <c r="B198" s="83" t="s">
        <v>349</v>
      </c>
      <c r="C198" s="84"/>
      <c r="D198" s="84"/>
      <c r="E198" s="84"/>
      <c r="F198" s="84"/>
      <c r="G198" s="84"/>
      <c r="H198" s="85"/>
    </row>
    <row r="199" spans="1:20" s="35" customFormat="1" x14ac:dyDescent="0.25">
      <c r="A199" s="78" t="s">
        <v>155</v>
      </c>
      <c r="B199" s="83" t="s">
        <v>352</v>
      </c>
      <c r="C199" s="84"/>
      <c r="D199" s="84"/>
      <c r="E199" s="84"/>
      <c r="F199" s="84"/>
      <c r="G199" s="84"/>
      <c r="H199" s="85"/>
    </row>
    <row r="200" spans="1:20" x14ac:dyDescent="0.25">
      <c r="A200" s="173" t="s">
        <v>58</v>
      </c>
      <c r="B200" s="174"/>
      <c r="C200" s="174"/>
      <c r="D200" s="174"/>
      <c r="E200" s="174"/>
      <c r="F200" s="174"/>
      <c r="G200" s="174"/>
      <c r="H200" s="175"/>
      <c r="T200" s="35"/>
    </row>
    <row r="201" spans="1:20" x14ac:dyDescent="0.25">
      <c r="A201" s="93" t="s">
        <v>59</v>
      </c>
      <c r="B201" s="93"/>
      <c r="C201" s="93"/>
      <c r="D201" s="93"/>
      <c r="E201" s="93"/>
      <c r="F201" s="93"/>
      <c r="G201" s="93"/>
      <c r="H201" s="93"/>
      <c r="T201" s="35"/>
    </row>
    <row r="202" spans="1:20" ht="15.75" customHeight="1" x14ac:dyDescent="0.25">
      <c r="A202" s="141" t="s">
        <v>60</v>
      </c>
      <c r="B202" s="141"/>
      <c r="C202" s="141"/>
      <c r="D202" s="141"/>
      <c r="E202" s="141"/>
      <c r="F202" s="141"/>
      <c r="G202" s="141"/>
      <c r="H202" s="141"/>
      <c r="T202" s="35"/>
    </row>
    <row r="203" spans="1:20" x14ac:dyDescent="0.25">
      <c r="A203" s="93" t="s">
        <v>61</v>
      </c>
      <c r="B203" s="93"/>
      <c r="C203" s="93"/>
      <c r="D203" s="93"/>
      <c r="E203" s="93"/>
      <c r="F203" s="93"/>
      <c r="G203" s="93"/>
      <c r="H203" s="93"/>
    </row>
    <row r="204" spans="1:20" x14ac:dyDescent="0.25">
      <c r="A204" s="93" t="s">
        <v>62</v>
      </c>
      <c r="B204" s="93"/>
      <c r="C204" s="93"/>
      <c r="D204" s="93"/>
      <c r="E204" s="93"/>
      <c r="F204" s="93"/>
      <c r="G204" s="93"/>
      <c r="H204" s="93"/>
    </row>
    <row r="205" spans="1:20" x14ac:dyDescent="0.25">
      <c r="A205" s="93" t="s">
        <v>125</v>
      </c>
      <c r="B205" s="93"/>
      <c r="C205" s="93"/>
      <c r="D205" s="93"/>
      <c r="E205" s="93"/>
      <c r="F205" s="93"/>
      <c r="G205" s="93"/>
      <c r="H205" s="93"/>
    </row>
    <row r="206" spans="1:20" ht="32.25" customHeight="1" x14ac:dyDescent="0.25">
      <c r="A206" s="102" t="s">
        <v>126</v>
      </c>
      <c r="B206" s="102"/>
      <c r="C206" s="102"/>
      <c r="D206" s="102"/>
      <c r="E206" s="102"/>
      <c r="F206" s="102"/>
      <c r="G206" s="102"/>
      <c r="H206" s="102"/>
    </row>
    <row r="207" spans="1:20" x14ac:dyDescent="0.25">
      <c r="A207" s="169" t="s">
        <v>74</v>
      </c>
      <c r="B207" s="169"/>
      <c r="C207" s="170" t="s">
        <v>350</v>
      </c>
      <c r="D207" s="170"/>
      <c r="E207" s="169" t="s">
        <v>103</v>
      </c>
      <c r="F207" s="169"/>
      <c r="G207" s="169" t="s">
        <v>354</v>
      </c>
      <c r="H207" s="169"/>
    </row>
    <row r="208" spans="1:20" x14ac:dyDescent="0.25">
      <c r="A208" s="168" t="s">
        <v>76</v>
      </c>
      <c r="B208" s="168"/>
      <c r="C208" s="168"/>
      <c r="D208" s="168"/>
      <c r="E208" s="168"/>
      <c r="F208" s="168"/>
      <c r="G208" s="168"/>
      <c r="H208" s="168"/>
    </row>
    <row r="209" spans="1:8" x14ac:dyDescent="0.25">
      <c r="A209" s="168"/>
      <c r="B209" s="168"/>
      <c r="C209" s="168"/>
      <c r="D209" s="168"/>
      <c r="E209" s="168"/>
      <c r="F209" s="168"/>
      <c r="G209" s="168"/>
      <c r="H209" s="168"/>
    </row>
    <row r="210" spans="1:8" x14ac:dyDescent="0.25">
      <c r="A210" s="168"/>
      <c r="B210" s="168"/>
      <c r="C210" s="168"/>
      <c r="D210" s="168"/>
      <c r="E210" s="168"/>
      <c r="F210" s="168"/>
      <c r="G210" s="168"/>
      <c r="H210" s="168"/>
    </row>
    <row r="211" spans="1:8" x14ac:dyDescent="0.25">
      <c r="A211" s="168"/>
      <c r="B211" s="168"/>
      <c r="C211" s="168"/>
      <c r="D211" s="168"/>
      <c r="E211" s="168"/>
      <c r="F211" s="168"/>
      <c r="G211" s="168"/>
      <c r="H211" s="168"/>
    </row>
    <row r="212" spans="1:8" x14ac:dyDescent="0.25">
      <c r="A212" s="38" t="s">
        <v>63</v>
      </c>
      <c r="B212" s="39"/>
      <c r="C212" s="39"/>
      <c r="D212" s="38" t="str">
        <f>E9</f>
        <v>Gurukrupa Gyanam</v>
      </c>
      <c r="F212" s="39"/>
      <c r="G212" s="39"/>
      <c r="H212" s="39"/>
    </row>
    <row r="213" spans="1:8" x14ac:dyDescent="0.25">
      <c r="A213" s="39"/>
      <c r="B213" s="39"/>
      <c r="C213" s="39"/>
      <c r="D213" s="39"/>
      <c r="E213" s="39"/>
      <c r="F213" s="39"/>
      <c r="G213" s="39"/>
      <c r="H213" s="39"/>
    </row>
    <row r="214" spans="1:8" x14ac:dyDescent="0.25">
      <c r="A214" s="39"/>
      <c r="B214" s="39"/>
      <c r="C214" s="39"/>
      <c r="D214" s="39"/>
      <c r="E214" s="39"/>
      <c r="F214" s="39"/>
      <c r="G214" s="39"/>
      <c r="H214" s="39"/>
    </row>
    <row r="215" spans="1:8" ht="15" customHeight="1" x14ac:dyDescent="0.25"/>
    <row r="256" spans="1:1" x14ac:dyDescent="0.25">
      <c r="A256" s="41" t="s">
        <v>165</v>
      </c>
    </row>
    <row r="300" spans="1:1" x14ac:dyDescent="0.25">
      <c r="A300" s="41" t="s">
        <v>64</v>
      </c>
    </row>
  </sheetData>
  <mergeCells count="358">
    <mergeCell ref="B194:H194"/>
    <mergeCell ref="A47:D47"/>
    <mergeCell ref="E47:H47"/>
    <mergeCell ref="A146:B146"/>
    <mergeCell ref="A147:B147"/>
    <mergeCell ref="A148:B148"/>
    <mergeCell ref="A149:B149"/>
    <mergeCell ref="B196:H196"/>
    <mergeCell ref="A117:E117"/>
    <mergeCell ref="A97:B97"/>
    <mergeCell ref="A102:B102"/>
    <mergeCell ref="A134:B134"/>
    <mergeCell ref="E134:F134"/>
    <mergeCell ref="C100:H100"/>
    <mergeCell ref="A101:B101"/>
    <mergeCell ref="A122:E122"/>
    <mergeCell ref="G134:H134"/>
    <mergeCell ref="C128:D128"/>
    <mergeCell ref="E128:F128"/>
    <mergeCell ref="G128:H128"/>
    <mergeCell ref="A129:B129"/>
    <mergeCell ref="C129:D129"/>
    <mergeCell ref="E129:F129"/>
    <mergeCell ref="G129:H129"/>
    <mergeCell ref="B192:H192"/>
    <mergeCell ref="A175:B175"/>
    <mergeCell ref="A164:B164"/>
    <mergeCell ref="A50:B50"/>
    <mergeCell ref="C50:H50"/>
    <mergeCell ref="B190:H190"/>
    <mergeCell ref="A103:B103"/>
    <mergeCell ref="A104:B104"/>
    <mergeCell ref="G88:H97"/>
    <mergeCell ref="A89:B89"/>
    <mergeCell ref="A90:B90"/>
    <mergeCell ref="A91:B91"/>
    <mergeCell ref="F114:H114"/>
    <mergeCell ref="A114:E114"/>
    <mergeCell ref="D138:D139"/>
    <mergeCell ref="A116:E116"/>
    <mergeCell ref="A107:B107"/>
    <mergeCell ref="A109:B109"/>
    <mergeCell ref="A110:B110"/>
    <mergeCell ref="A115:E115"/>
    <mergeCell ref="A112:E112"/>
    <mergeCell ref="F116:H116"/>
    <mergeCell ref="G101:H101"/>
    <mergeCell ref="L160:M160"/>
    <mergeCell ref="A165:B165"/>
    <mergeCell ref="A162:B162"/>
    <mergeCell ref="A163:B163"/>
    <mergeCell ref="A173:B173"/>
    <mergeCell ref="L159:M159"/>
    <mergeCell ref="L156:M156"/>
    <mergeCell ref="A157:B157"/>
    <mergeCell ref="L157:M157"/>
    <mergeCell ref="A158:B158"/>
    <mergeCell ref="L158:M158"/>
    <mergeCell ref="A159:B159"/>
    <mergeCell ref="A167:B167"/>
    <mergeCell ref="A138:A139"/>
    <mergeCell ref="C151:C152"/>
    <mergeCell ref="G151:G152"/>
    <mergeCell ref="G135:H135"/>
    <mergeCell ref="A73:B73"/>
    <mergeCell ref="A141:H141"/>
    <mergeCell ref="E138:E139"/>
    <mergeCell ref="C72:H72"/>
    <mergeCell ref="A75:B75"/>
    <mergeCell ref="A77:B77"/>
    <mergeCell ref="E73:F73"/>
    <mergeCell ref="A100:B100"/>
    <mergeCell ref="G138:G139"/>
    <mergeCell ref="A76:B76"/>
    <mergeCell ref="B151:B152"/>
    <mergeCell ref="F151:F152"/>
    <mergeCell ref="A142:B142"/>
    <mergeCell ref="C133:D133"/>
    <mergeCell ref="E133:F133"/>
    <mergeCell ref="G133:H133"/>
    <mergeCell ref="A133:B133"/>
    <mergeCell ref="A45:D45"/>
    <mergeCell ref="A72:B72"/>
    <mergeCell ref="A70:B70"/>
    <mergeCell ref="C70:H70"/>
    <mergeCell ref="A78:B78"/>
    <mergeCell ref="A65:C65"/>
    <mergeCell ref="D65:H65"/>
    <mergeCell ref="A40:B40"/>
    <mergeCell ref="C40:H40"/>
    <mergeCell ref="A66:C66"/>
    <mergeCell ref="D66:H66"/>
    <mergeCell ref="A69:C69"/>
    <mergeCell ref="D69:H69"/>
    <mergeCell ref="A67:C67"/>
    <mergeCell ref="D68:H68"/>
    <mergeCell ref="A46:D46"/>
    <mergeCell ref="A81:B81"/>
    <mergeCell ref="C132:D132"/>
    <mergeCell ref="E132:F132"/>
    <mergeCell ref="G132:H132"/>
    <mergeCell ref="A113:E113"/>
    <mergeCell ref="A98:B98"/>
    <mergeCell ref="C98:H98"/>
    <mergeCell ref="A88:B88"/>
    <mergeCell ref="A48:D48"/>
    <mergeCell ref="A49:H49"/>
    <mergeCell ref="D59:H59"/>
    <mergeCell ref="A59:C59"/>
    <mergeCell ref="A80:B80"/>
    <mergeCell ref="C86:H86"/>
    <mergeCell ref="C127:D127"/>
    <mergeCell ref="E127:F127"/>
    <mergeCell ref="A38:H38"/>
    <mergeCell ref="A37:B37"/>
    <mergeCell ref="C37:E37"/>
    <mergeCell ref="G102:H111"/>
    <mergeCell ref="A42:D42"/>
    <mergeCell ref="E42:H42"/>
    <mergeCell ref="A41:H41"/>
    <mergeCell ref="A63:C63"/>
    <mergeCell ref="A64:C64"/>
    <mergeCell ref="D63:H63"/>
    <mergeCell ref="E74:F83"/>
    <mergeCell ref="G74:H83"/>
    <mergeCell ref="A82:B82"/>
    <mergeCell ref="A83:B83"/>
    <mergeCell ref="D64:H64"/>
    <mergeCell ref="A44:D44"/>
    <mergeCell ref="E44:H44"/>
    <mergeCell ref="E45:H45"/>
    <mergeCell ref="E46:H46"/>
    <mergeCell ref="A87:B87"/>
    <mergeCell ref="E48:H48"/>
    <mergeCell ref="A86:B86"/>
    <mergeCell ref="A39:B39"/>
    <mergeCell ref="C39:H39"/>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08:H211"/>
    <mergeCell ref="A207:B207"/>
    <mergeCell ref="E207:F207"/>
    <mergeCell ref="C207:D207"/>
    <mergeCell ref="G207:H207"/>
    <mergeCell ref="A125:H125"/>
    <mergeCell ref="A123:E123"/>
    <mergeCell ref="F123:H123"/>
    <mergeCell ref="A124:E124"/>
    <mergeCell ref="F124:H124"/>
    <mergeCell ref="A160:H160"/>
    <mergeCell ref="A132:B132"/>
    <mergeCell ref="A169:B169"/>
    <mergeCell ref="A127:B127"/>
    <mergeCell ref="A203:H203"/>
    <mergeCell ref="A130:H130"/>
    <mergeCell ref="A206:H206"/>
    <mergeCell ref="A204:H204"/>
    <mergeCell ref="A200:H200"/>
    <mergeCell ref="G131:H131"/>
    <mergeCell ref="A171:B171"/>
    <mergeCell ref="C138:C139"/>
    <mergeCell ref="F138:F139"/>
    <mergeCell ref="B138:B139"/>
    <mergeCell ref="A201:H201"/>
    <mergeCell ref="F112:H112"/>
    <mergeCell ref="F117:H117"/>
    <mergeCell ref="A156:B156"/>
    <mergeCell ref="A145:B145"/>
    <mergeCell ref="A144:B144"/>
    <mergeCell ref="E87:F87"/>
    <mergeCell ref="G87:H87"/>
    <mergeCell ref="A118:E118"/>
    <mergeCell ref="F118:H118"/>
    <mergeCell ref="A120:E120"/>
    <mergeCell ref="F115:H115"/>
    <mergeCell ref="A119:E119"/>
    <mergeCell ref="A105:B105"/>
    <mergeCell ref="A106:B106"/>
    <mergeCell ref="E88:F97"/>
    <mergeCell ref="A95:B95"/>
    <mergeCell ref="A96:B96"/>
    <mergeCell ref="E101:F101"/>
    <mergeCell ref="E102:F111"/>
    <mergeCell ref="A150:H150"/>
    <mergeCell ref="E131:F131"/>
    <mergeCell ref="A136:H136"/>
    <mergeCell ref="A151:A152"/>
    <mergeCell ref="B188:H188"/>
    <mergeCell ref="B189:H189"/>
    <mergeCell ref="A184:H184"/>
    <mergeCell ref="A176:B176"/>
    <mergeCell ref="A177:B177"/>
    <mergeCell ref="A172:H172"/>
    <mergeCell ref="A166:H166"/>
    <mergeCell ref="A154:B154"/>
    <mergeCell ref="A140:H140"/>
    <mergeCell ref="A174:B174"/>
    <mergeCell ref="A153:H153"/>
    <mergeCell ref="B187:H187"/>
    <mergeCell ref="A181:B181"/>
    <mergeCell ref="A178:H178"/>
    <mergeCell ref="A179:B179"/>
    <mergeCell ref="A180:B180"/>
    <mergeCell ref="A183:B183"/>
    <mergeCell ref="A182:B182"/>
    <mergeCell ref="B185:H185"/>
    <mergeCell ref="B186:H186"/>
    <mergeCell ref="A205:H205"/>
    <mergeCell ref="A202:H202"/>
    <mergeCell ref="A161:B161"/>
    <mergeCell ref="A131:B131"/>
    <mergeCell ref="D151:D152"/>
    <mergeCell ref="E151:E152"/>
    <mergeCell ref="A92:B92"/>
    <mergeCell ref="A93:B93"/>
    <mergeCell ref="A94:B94"/>
    <mergeCell ref="A108:B108"/>
    <mergeCell ref="F113:H113"/>
    <mergeCell ref="G127:H127"/>
    <mergeCell ref="A111:B111"/>
    <mergeCell ref="F119:H119"/>
    <mergeCell ref="C126:D126"/>
    <mergeCell ref="C134:D134"/>
    <mergeCell ref="A155:H155"/>
    <mergeCell ref="A170:B170"/>
    <mergeCell ref="B195:H195"/>
    <mergeCell ref="A135:B135"/>
    <mergeCell ref="C135:D135"/>
    <mergeCell ref="E135:F135"/>
    <mergeCell ref="B193:H193"/>
    <mergeCell ref="B191:H191"/>
    <mergeCell ref="C84:H84"/>
    <mergeCell ref="A79:B79"/>
    <mergeCell ref="A51:B51"/>
    <mergeCell ref="C51:E51"/>
    <mergeCell ref="G51:H51"/>
    <mergeCell ref="A52:B52"/>
    <mergeCell ref="A56:H56"/>
    <mergeCell ref="A57:C57"/>
    <mergeCell ref="G52:H52"/>
    <mergeCell ref="A53:B54"/>
    <mergeCell ref="C53:E53"/>
    <mergeCell ref="G53:H53"/>
    <mergeCell ref="C54:E54"/>
    <mergeCell ref="G54:H54"/>
    <mergeCell ref="A58:C58"/>
    <mergeCell ref="D58:H58"/>
    <mergeCell ref="G55:H55"/>
    <mergeCell ref="D62:H62"/>
    <mergeCell ref="A60:C62"/>
    <mergeCell ref="D60:H60"/>
    <mergeCell ref="D61:H61"/>
    <mergeCell ref="C52:E52"/>
    <mergeCell ref="A74:B74"/>
    <mergeCell ref="G73:H73"/>
    <mergeCell ref="B198:H198"/>
    <mergeCell ref="B199:H199"/>
    <mergeCell ref="B197:H197"/>
    <mergeCell ref="I15:P15"/>
    <mergeCell ref="F122:H122"/>
    <mergeCell ref="F120:H120"/>
    <mergeCell ref="A168:B168"/>
    <mergeCell ref="A137:H137"/>
    <mergeCell ref="G126:H126"/>
    <mergeCell ref="A121:E121"/>
    <mergeCell ref="A143:B143"/>
    <mergeCell ref="A55:B55"/>
    <mergeCell ref="C55:E55"/>
    <mergeCell ref="D57:H57"/>
    <mergeCell ref="F121:H121"/>
    <mergeCell ref="E126:F126"/>
    <mergeCell ref="A126:B126"/>
    <mergeCell ref="A128:B128"/>
    <mergeCell ref="C131:D131"/>
    <mergeCell ref="D67:H67"/>
    <mergeCell ref="A68:C68"/>
    <mergeCell ref="E43:H43"/>
    <mergeCell ref="A43:D43"/>
    <mergeCell ref="A84:B84"/>
  </mergeCells>
  <dataValidations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38:E139">
      <formula1>"Attached Loft area,Attached Otla area,Attached Mezzanine area"</formula1>
    </dataValidation>
    <dataValidation type="list" allowBlank="1" showInputMessage="1" showErrorMessage="1" sqref="G207:H207">
      <formula1>"Kunal Kadam,Shruti Tathare,Pranita Mhatre,Shruti Fule,Pooja Kawale,Mansee Mohite,Anjali Kamble, Hitakshi Mhatre, Sachin Sawant"</formula1>
    </dataValidation>
    <dataValidation type="list" allowBlank="1" showInputMessage="1" showErrorMessage="1" sqref="F112:H112">
      <formula1>"On Saleable Area,On Builtup Area,On Carpet Area,On Plot Area"</formula1>
    </dataValidation>
    <dataValidation type="list" allowBlank="1" showInputMessage="1" showErrorMessage="1" sqref="F123:H123">
      <formula1>OFFSET($S$112,1,MATCH($G20,$S$112:$W$112,0)-1,15,1)</formula1>
    </dataValidation>
    <dataValidation type="list" allowBlank="1" showInputMessage="1" showErrorMessage="1" sqref="B138:B139">
      <formula1>"Shop No. (Sale Plan),Sale / Rehab,Sale / Mhada"</formula1>
    </dataValidation>
    <dataValidation type="list" allowBlank="1" showInputMessage="1" showErrorMessage="1" sqref="B151:B15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1:E152">
      <formula1>"Deck,Fungible area,Balcony Area,Chajja Area,Cornice Area,AP Area,WS Area"</formula1>
    </dataValidation>
    <dataValidation type="list" allowBlank="1" showInputMessage="1" showErrorMessage="1" sqref="H139 H152">
      <formula1>".45,.50,.55,.60"</formula1>
    </dataValidation>
    <dataValidation type="list" allowBlank="1" showInputMessage="1" showErrorMessage="1" sqref="E4:H4">
      <formula1>$L$3:$P$3</formula1>
    </dataValidation>
    <dataValidation type="list" allowBlank="1" showInputMessage="1" showErrorMessage="1" sqref="C50:H50">
      <formula1>OFFSET($S$50,1,MATCH($G20,$S$50:$W$50,0)-1,15,1)</formula1>
    </dataValidation>
  </dataValidations>
  <hyperlinks>
    <hyperlink ref="C40" r:id="rId1"/>
    <hyperlink ref="I60" r:id="rId2" location="floor "/>
  </hyperlinks>
  <printOptions horizontalCentered="1"/>
  <pageMargins left="0.39370078740157483" right="0.39370078740157483" top="0.82677165354330706" bottom="0.82677165354330706" header="0.31496062992125984" footer="0.31496062992125984"/>
  <pageSetup paperSize="2" scale="94" fitToHeight="0" orientation="portrait" r:id="rId3"/>
  <headerFooter>
    <oddHeader>&amp;C&amp;G</oddHeader>
    <oddFooter>&amp;L&amp;"Times New Roman,Bold"&amp;12Ref No: &amp;F&amp;C&amp;G&amp;R&amp;"Times New Roman,Bold"&amp;12&amp;P</oddFooter>
  </headerFooter>
  <rowBreaks count="4" manualBreakCount="4">
    <brk id="69" max="7" man="1"/>
    <brk id="211" max="7" man="1"/>
    <brk id="255" max="16383" man="1"/>
    <brk id="299"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22" t="s">
        <v>104</v>
      </c>
      <c r="C3" s="222"/>
      <c r="D3" s="222"/>
      <c r="E3" s="222"/>
      <c r="F3" s="222"/>
      <c r="G3" s="222"/>
      <c r="H3" s="222"/>
    </row>
    <row r="4" spans="1:9" x14ac:dyDescent="0.25">
      <c r="A4" s="2"/>
      <c r="B4" s="3" t="s">
        <v>105</v>
      </c>
      <c r="C4" s="3" t="s">
        <v>106</v>
      </c>
      <c r="D4" s="3" t="s">
        <v>66</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7"/>
      <c r="C4" s="57" t="s">
        <v>11</v>
      </c>
      <c r="D4" s="58" t="s">
        <v>184</v>
      </c>
      <c r="E4" s="58" t="s">
        <v>194</v>
      </c>
      <c r="F4" s="58" t="s">
        <v>176</v>
      </c>
      <c r="G4" s="58" t="s">
        <v>199</v>
      </c>
      <c r="H4" s="58" t="s">
        <v>217</v>
      </c>
      <c r="J4" t="s">
        <v>199</v>
      </c>
      <c r="K4" t="s">
        <v>215</v>
      </c>
    </row>
    <row r="5" spans="2:11" x14ac:dyDescent="0.25">
      <c r="B5" s="57"/>
      <c r="C5" s="57"/>
      <c r="D5" s="58" t="s">
        <v>185</v>
      </c>
      <c r="E5" s="58" t="s">
        <v>192</v>
      </c>
      <c r="F5" s="58" t="s">
        <v>214</v>
      </c>
      <c r="G5" s="58" t="s">
        <v>200</v>
      </c>
      <c r="H5" s="58" t="s">
        <v>218</v>
      </c>
    </row>
    <row r="6" spans="2:11" x14ac:dyDescent="0.25">
      <c r="B6" s="57"/>
      <c r="C6" s="57"/>
      <c r="D6" s="58" t="s">
        <v>186</v>
      </c>
      <c r="E6" s="58" t="s">
        <v>193</v>
      </c>
      <c r="F6" s="58" t="s">
        <v>215</v>
      </c>
      <c r="G6" s="58" t="s">
        <v>201</v>
      </c>
      <c r="H6" s="58" t="s">
        <v>231</v>
      </c>
    </row>
    <row r="7" spans="2:11" x14ac:dyDescent="0.25">
      <c r="B7" s="57"/>
      <c r="C7" s="57"/>
      <c r="D7" s="58" t="s">
        <v>187</v>
      </c>
      <c r="E7" s="58" t="s">
        <v>195</v>
      </c>
      <c r="F7" s="58" t="s">
        <v>216</v>
      </c>
      <c r="G7" s="58" t="s">
        <v>202</v>
      </c>
      <c r="H7" s="58" t="s">
        <v>219</v>
      </c>
    </row>
    <row r="8" spans="2:11" x14ac:dyDescent="0.25">
      <c r="B8" s="57"/>
      <c r="C8" s="57"/>
      <c r="D8" s="58" t="s">
        <v>188</v>
      </c>
      <c r="E8" s="58" t="s">
        <v>196</v>
      </c>
      <c r="F8" s="58"/>
      <c r="G8" s="58" t="s">
        <v>203</v>
      </c>
      <c r="H8" s="58" t="s">
        <v>220</v>
      </c>
    </row>
    <row r="9" spans="2:11" x14ac:dyDescent="0.25">
      <c r="B9" s="57"/>
      <c r="C9" s="57"/>
      <c r="D9" s="58" t="s">
        <v>189</v>
      </c>
      <c r="E9" s="58" t="s">
        <v>194</v>
      </c>
      <c r="F9" s="58"/>
      <c r="G9" s="58" t="s">
        <v>204</v>
      </c>
      <c r="H9" s="58" t="s">
        <v>221</v>
      </c>
    </row>
    <row r="10" spans="2:11" x14ac:dyDescent="0.25">
      <c r="B10" s="57"/>
      <c r="C10" s="57"/>
      <c r="D10" s="58" t="s">
        <v>190</v>
      </c>
      <c r="E10" s="58" t="s">
        <v>197</v>
      </c>
      <c r="F10" s="58"/>
      <c r="G10" s="58" t="s">
        <v>205</v>
      </c>
      <c r="H10" s="58" t="s">
        <v>222</v>
      </c>
    </row>
    <row r="11" spans="2:11" x14ac:dyDescent="0.25">
      <c r="B11" s="57"/>
      <c r="C11" s="57"/>
      <c r="D11" s="58" t="s">
        <v>191</v>
      </c>
      <c r="E11" s="58" t="s">
        <v>198</v>
      </c>
      <c r="F11" s="58"/>
      <c r="G11" s="58" t="s">
        <v>206</v>
      </c>
      <c r="H11" s="58" t="s">
        <v>223</v>
      </c>
    </row>
    <row r="12" spans="2:11" x14ac:dyDescent="0.25">
      <c r="B12" s="57"/>
      <c r="C12" s="57"/>
      <c r="D12" s="58"/>
      <c r="E12" s="58"/>
      <c r="F12" s="58"/>
      <c r="G12" s="58" t="s">
        <v>207</v>
      </c>
      <c r="H12" s="58" t="s">
        <v>224</v>
      </c>
    </row>
    <row r="13" spans="2:11" x14ac:dyDescent="0.25">
      <c r="B13" s="57"/>
      <c r="C13" s="57"/>
      <c r="D13" s="58"/>
      <c r="E13" s="58"/>
      <c r="F13" s="58"/>
      <c r="G13" s="58" t="s">
        <v>208</v>
      </c>
      <c r="H13" s="58" t="s">
        <v>225</v>
      </c>
    </row>
    <row r="14" spans="2:11" x14ac:dyDescent="0.25">
      <c r="B14" s="57"/>
      <c r="C14" s="57"/>
      <c r="D14" s="58"/>
      <c r="E14" s="58"/>
      <c r="F14" s="58"/>
      <c r="G14" s="58" t="s">
        <v>209</v>
      </c>
      <c r="H14" s="58" t="s">
        <v>226</v>
      </c>
    </row>
    <row r="15" spans="2:11" x14ac:dyDescent="0.25">
      <c r="B15" s="57"/>
      <c r="C15" s="57"/>
      <c r="D15" s="58"/>
      <c r="E15" s="58"/>
      <c r="F15" s="58"/>
      <c r="G15" s="58" t="s">
        <v>210</v>
      </c>
      <c r="H15" s="58" t="s">
        <v>227</v>
      </c>
    </row>
    <row r="16" spans="2:11" x14ac:dyDescent="0.25">
      <c r="B16" s="57"/>
      <c r="C16" s="57"/>
      <c r="D16" s="58"/>
      <c r="E16" s="58"/>
      <c r="F16" s="58"/>
      <c r="G16" s="58" t="s">
        <v>211</v>
      </c>
      <c r="H16" s="58" t="s">
        <v>228</v>
      </c>
    </row>
    <row r="17" spans="2:8" x14ac:dyDescent="0.25">
      <c r="B17" s="57"/>
      <c r="C17" s="57"/>
      <c r="D17" s="58"/>
      <c r="E17" s="58"/>
      <c r="F17" s="58"/>
      <c r="G17" s="58" t="s">
        <v>212</v>
      </c>
      <c r="H17" s="58" t="s">
        <v>229</v>
      </c>
    </row>
    <row r="18" spans="2:8" x14ac:dyDescent="0.25">
      <c r="B18" s="57"/>
      <c r="C18" s="57"/>
      <c r="D18" s="58"/>
      <c r="E18" s="58"/>
      <c r="F18" s="58"/>
      <c r="G18" s="58" t="s">
        <v>213</v>
      </c>
      <c r="H18" s="58" t="s">
        <v>230</v>
      </c>
    </row>
    <row r="24" spans="2:8" x14ac:dyDescent="0.25">
      <c r="C24" t="s">
        <v>173</v>
      </c>
    </row>
    <row r="25" spans="2:8" x14ac:dyDescent="0.25">
      <c r="C25" t="s">
        <v>232</v>
      </c>
    </row>
    <row r="26" spans="2:8" x14ac:dyDescent="0.25">
      <c r="C26" t="s">
        <v>233</v>
      </c>
    </row>
    <row r="27" spans="2:8" x14ac:dyDescent="0.25">
      <c r="C27" t="s">
        <v>234</v>
      </c>
    </row>
    <row r="28" spans="2:8" x14ac:dyDescent="0.25">
      <c r="C28" t="s">
        <v>235</v>
      </c>
    </row>
    <row r="29" spans="2:8" x14ac:dyDescent="0.25">
      <c r="C29" t="s">
        <v>236</v>
      </c>
    </row>
    <row r="30" spans="2:8" x14ac:dyDescent="0.25">
      <c r="C30" t="s">
        <v>173</v>
      </c>
    </row>
    <row r="33" spans="3:11" x14ac:dyDescent="0.25">
      <c r="J33">
        <v>1</v>
      </c>
      <c r="K33">
        <v>2</v>
      </c>
    </row>
    <row r="34" spans="3:11" x14ac:dyDescent="0.25">
      <c r="C34" s="62" t="s">
        <v>242</v>
      </c>
      <c r="D34" s="58" t="s">
        <v>240</v>
      </c>
      <c r="E34" s="58" t="s">
        <v>245</v>
      </c>
      <c r="F34" s="58" t="s">
        <v>243</v>
      </c>
      <c r="G34" s="58" t="s">
        <v>244</v>
      </c>
      <c r="H34" s="58" t="s">
        <v>246</v>
      </c>
      <c r="J34" t="s">
        <v>199</v>
      </c>
      <c r="K34" t="s">
        <v>215</v>
      </c>
    </row>
    <row r="35" spans="3:11" x14ac:dyDescent="0.25">
      <c r="C35" s="57" t="s">
        <v>241</v>
      </c>
      <c r="D35" s="58" t="s">
        <v>174</v>
      </c>
      <c r="E35" s="58" t="s">
        <v>250</v>
      </c>
      <c r="F35" s="58" t="s">
        <v>252</v>
      </c>
      <c r="G35" s="58" t="s">
        <v>254</v>
      </c>
      <c r="H35" s="58"/>
    </row>
    <row r="36" spans="3:11" x14ac:dyDescent="0.25">
      <c r="C36" s="57"/>
      <c r="D36" s="58" t="s">
        <v>247</v>
      </c>
      <c r="E36" s="58" t="s">
        <v>251</v>
      </c>
      <c r="F36" s="58" t="s">
        <v>253</v>
      </c>
      <c r="G36" s="58" t="s">
        <v>255</v>
      </c>
      <c r="H36" s="58"/>
    </row>
    <row r="37" spans="3:11" x14ac:dyDescent="0.25">
      <c r="C37" s="57"/>
      <c r="D37" s="58" t="s">
        <v>248</v>
      </c>
      <c r="E37" s="58"/>
      <c r="F37" s="58"/>
      <c r="G37" s="58" t="s">
        <v>256</v>
      </c>
      <c r="H37" s="58"/>
    </row>
    <row r="38" spans="3:11" x14ac:dyDescent="0.25">
      <c r="C38" s="57"/>
      <c r="D38" s="58" t="s">
        <v>249</v>
      </c>
      <c r="E38" s="58"/>
      <c r="F38" s="58"/>
      <c r="G38" s="58" t="s">
        <v>256</v>
      </c>
      <c r="H38" s="58"/>
    </row>
    <row r="39" spans="3:11" x14ac:dyDescent="0.25">
      <c r="C39" s="57"/>
      <c r="D39" s="58"/>
      <c r="E39" s="58"/>
      <c r="F39" s="58"/>
      <c r="G39" s="58" t="s">
        <v>257</v>
      </c>
      <c r="H39" s="58"/>
    </row>
    <row r="40" spans="3:11" x14ac:dyDescent="0.25">
      <c r="C40" s="57"/>
      <c r="D40" s="58"/>
      <c r="E40" s="58"/>
      <c r="F40" s="58"/>
      <c r="G40" s="58" t="s">
        <v>258</v>
      </c>
      <c r="H40" s="58"/>
    </row>
    <row r="41" spans="3:11" x14ac:dyDescent="0.25">
      <c r="C41" s="57"/>
      <c r="D41" s="58"/>
      <c r="E41" s="58"/>
      <c r="F41" s="58"/>
      <c r="G41" s="58"/>
      <c r="H41" s="58"/>
    </row>
    <row r="43" spans="3:11" x14ac:dyDescent="0.25">
      <c r="C43" t="s">
        <v>259</v>
      </c>
    </row>
    <row r="44" spans="3:11" x14ac:dyDescent="0.25">
      <c r="C44" t="s">
        <v>176</v>
      </c>
      <c r="D44" t="s">
        <v>260</v>
      </c>
    </row>
    <row r="45" spans="3:11" x14ac:dyDescent="0.25">
      <c r="D45" t="s">
        <v>261</v>
      </c>
    </row>
    <row r="46" spans="3:11" x14ac:dyDescent="0.25">
      <c r="D46" t="s">
        <v>262</v>
      </c>
    </row>
    <row r="47" spans="3:11" x14ac:dyDescent="0.25">
      <c r="D47" t="s">
        <v>263</v>
      </c>
    </row>
    <row r="48" spans="3:11" x14ac:dyDescent="0.25">
      <c r="D48" t="s">
        <v>264</v>
      </c>
    </row>
    <row r="49" spans="3:4" x14ac:dyDescent="0.25">
      <c r="C49" t="s">
        <v>184</v>
      </c>
      <c r="D49" t="s">
        <v>265</v>
      </c>
    </row>
    <row r="50" spans="3:4" x14ac:dyDescent="0.25">
      <c r="D50" t="s">
        <v>266</v>
      </c>
    </row>
    <row r="51" spans="3:4" x14ac:dyDescent="0.25">
      <c r="D51" t="s">
        <v>267</v>
      </c>
    </row>
    <row r="52" spans="3:4" x14ac:dyDescent="0.25">
      <c r="D52" t="s">
        <v>270</v>
      </c>
    </row>
    <row r="53" spans="3:4" x14ac:dyDescent="0.25">
      <c r="D53" t="s">
        <v>268</v>
      </c>
    </row>
    <row r="54" spans="3:4" x14ac:dyDescent="0.25">
      <c r="D54" t="s">
        <v>269</v>
      </c>
    </row>
    <row r="55" spans="3:4" x14ac:dyDescent="0.25">
      <c r="D55" t="s">
        <v>271</v>
      </c>
    </row>
    <row r="56" spans="3:4" x14ac:dyDescent="0.25">
      <c r="D56" t="s">
        <v>272</v>
      </c>
    </row>
    <row r="57" spans="3:4" x14ac:dyDescent="0.25">
      <c r="D57" t="s">
        <v>273</v>
      </c>
    </row>
    <row r="58" spans="3:4" x14ac:dyDescent="0.25">
      <c r="D58" t="s">
        <v>275</v>
      </c>
    </row>
    <row r="59" spans="3:4" x14ac:dyDescent="0.25">
      <c r="D59" t="s">
        <v>284</v>
      </c>
    </row>
    <row r="60" spans="3:4" x14ac:dyDescent="0.25">
      <c r="C60" t="s">
        <v>199</v>
      </c>
      <c r="D60" t="s">
        <v>276</v>
      </c>
    </row>
    <row r="61" spans="3:4" x14ac:dyDescent="0.25">
      <c r="D61" t="s">
        <v>274</v>
      </c>
    </row>
    <row r="62" spans="3:4" x14ac:dyDescent="0.25">
      <c r="D62" t="s">
        <v>264</v>
      </c>
    </row>
    <row r="63" spans="3:4" x14ac:dyDescent="0.25">
      <c r="D63" t="s">
        <v>277</v>
      </c>
    </row>
    <row r="64" spans="3:4" x14ac:dyDescent="0.25">
      <c r="D64" t="s">
        <v>278</v>
      </c>
    </row>
    <row r="65" spans="3:4" x14ac:dyDescent="0.25">
      <c r="D65" t="s">
        <v>279</v>
      </c>
    </row>
    <row r="66" spans="3:4" x14ac:dyDescent="0.25">
      <c r="D66" t="s">
        <v>280</v>
      </c>
    </row>
    <row r="67" spans="3:4" x14ac:dyDescent="0.25">
      <c r="C67" t="s">
        <v>194</v>
      </c>
      <c r="D67" t="s">
        <v>281</v>
      </c>
    </row>
    <row r="68" spans="3:4" x14ac:dyDescent="0.25">
      <c r="D68" t="s">
        <v>282</v>
      </c>
    </row>
    <row r="69" spans="3:4" x14ac:dyDescent="0.25">
      <c r="D69" t="s">
        <v>283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8"/>
  <sheetViews>
    <sheetView topLeftCell="A4" workbookViewId="0">
      <selection activeCell="C16" sqref="C16"/>
    </sheetView>
  </sheetViews>
  <sheetFormatPr defaultRowHeight="15" x14ac:dyDescent="0.25"/>
  <cols>
    <col min="2" max="2" width="3" bestFit="1" customWidth="1"/>
    <col min="3" max="3" width="167.140625" customWidth="1"/>
  </cols>
  <sheetData>
    <row r="2" spans="2:3" ht="15" customHeight="1" x14ac:dyDescent="0.25">
      <c r="B2" s="63">
        <v>1</v>
      </c>
      <c r="C2" s="66" t="s">
        <v>287</v>
      </c>
    </row>
    <row r="3" spans="2:3" x14ac:dyDescent="0.25">
      <c r="B3" s="63">
        <v>2</v>
      </c>
      <c r="C3" s="64" t="s">
        <v>288</v>
      </c>
    </row>
    <row r="4" spans="2:3" x14ac:dyDescent="0.25">
      <c r="B4" s="63">
        <v>3</v>
      </c>
      <c r="C4" s="65" t="s">
        <v>289</v>
      </c>
    </row>
    <row r="5" spans="2:3" x14ac:dyDescent="0.25">
      <c r="B5" s="63">
        <v>4</v>
      </c>
      <c r="C5" s="64" t="s">
        <v>290</v>
      </c>
    </row>
    <row r="6" spans="2:3" x14ac:dyDescent="0.25">
      <c r="B6" s="63">
        <v>5</v>
      </c>
      <c r="C6" s="65" t="s">
        <v>291</v>
      </c>
    </row>
    <row r="7" spans="2:3" ht="30" x14ac:dyDescent="0.25">
      <c r="B7" s="63">
        <v>6</v>
      </c>
      <c r="C7" s="64" t="s">
        <v>292</v>
      </c>
    </row>
    <row r="8" spans="2:3" ht="75" x14ac:dyDescent="0.25">
      <c r="B8" s="63">
        <v>7</v>
      </c>
      <c r="C8" s="64" t="s">
        <v>293</v>
      </c>
    </row>
    <row r="9" spans="2:3" x14ac:dyDescent="0.25">
      <c r="B9" s="63">
        <v>8</v>
      </c>
      <c r="C9" s="65" t="s">
        <v>294</v>
      </c>
    </row>
    <row r="10" spans="2:3" x14ac:dyDescent="0.25">
      <c r="B10" s="63">
        <v>9</v>
      </c>
      <c r="C10" s="65" t="s">
        <v>295</v>
      </c>
    </row>
    <row r="11" spans="2:3" x14ac:dyDescent="0.25">
      <c r="B11" s="63">
        <v>10</v>
      </c>
      <c r="C11" s="65" t="s">
        <v>296</v>
      </c>
    </row>
    <row r="12" spans="2:3" x14ac:dyDescent="0.25">
      <c r="B12" s="63">
        <v>11</v>
      </c>
      <c r="C12" s="65" t="s">
        <v>297</v>
      </c>
    </row>
    <row r="13" spans="2:3" x14ac:dyDescent="0.25">
      <c r="B13" s="63">
        <v>12</v>
      </c>
      <c r="C13" s="65" t="s">
        <v>298</v>
      </c>
    </row>
    <row r="14" spans="2:3" x14ac:dyDescent="0.25">
      <c r="B14" s="63">
        <v>13</v>
      </c>
      <c r="C14" s="65" t="s">
        <v>299</v>
      </c>
    </row>
    <row r="15" spans="2:3" x14ac:dyDescent="0.25">
      <c r="B15" s="63">
        <v>14</v>
      </c>
      <c r="C15" s="65" t="s">
        <v>300</v>
      </c>
    </row>
    <row r="16" spans="2:3" x14ac:dyDescent="0.25">
      <c r="B16" s="63">
        <v>15</v>
      </c>
      <c r="C16" s="65" t="s">
        <v>301</v>
      </c>
    </row>
    <row r="17" spans="2:3" x14ac:dyDescent="0.25">
      <c r="B17" s="63">
        <v>16</v>
      </c>
      <c r="C17" s="67" t="s">
        <v>302</v>
      </c>
    </row>
    <row r="18" spans="2:3" x14ac:dyDescent="0.25">
      <c r="B18" s="63">
        <v>15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2025-07-14T06:08:23Z</cp:lastPrinted>
  <dcterms:created xsi:type="dcterms:W3CDTF">2019-07-16T09:29:46Z</dcterms:created>
  <dcterms:modified xsi:type="dcterms:W3CDTF">2025-07-14T06:13:37Z</dcterms:modified>
</cp:coreProperties>
</file>