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July 2025\12-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Report!$A$1:$H$315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47" i="1" l="1"/>
  <c r="N148" i="1"/>
  <c r="N149" i="1"/>
  <c r="N150" i="1"/>
  <c r="N151" i="1"/>
  <c r="N152" i="1"/>
  <c r="J164" i="1" l="1"/>
  <c r="J168" i="1"/>
  <c r="N146" i="1"/>
  <c r="O161" i="1"/>
  <c r="M158" i="1"/>
  <c r="M159" i="1"/>
  <c r="M160" i="1"/>
  <c r="M161" i="1"/>
  <c r="M162" i="1"/>
  <c r="M163" i="1"/>
  <c r="M164" i="1"/>
  <c r="M165" i="1"/>
  <c r="M166" i="1"/>
  <c r="M167" i="1"/>
  <c r="M168" i="1"/>
  <c r="M169" i="1"/>
  <c r="M157" i="1"/>
  <c r="E168" i="1"/>
  <c r="E161" i="1"/>
  <c r="E169" i="1"/>
  <c r="D169" i="1"/>
  <c r="D168" i="1"/>
  <c r="E167" i="1"/>
  <c r="D167" i="1"/>
  <c r="E164" i="1"/>
  <c r="D164" i="1"/>
  <c r="D166" i="1"/>
  <c r="E166" i="1"/>
  <c r="D162" i="1"/>
  <c r="E162" i="1"/>
  <c r="D161" i="1"/>
  <c r="D159" i="1"/>
  <c r="E159" i="1"/>
  <c r="D157" i="1"/>
  <c r="E157" i="1"/>
  <c r="J159" i="1"/>
  <c r="I159" i="1"/>
  <c r="D150" i="1"/>
  <c r="I149" i="1"/>
  <c r="G137" i="1" l="1"/>
  <c r="I157" i="1"/>
  <c r="I162" i="1"/>
  <c r="G160" i="1"/>
  <c r="G132" i="1" l="1"/>
  <c r="D152" i="1"/>
  <c r="F152" i="1" s="1"/>
  <c r="L152" i="1" s="1"/>
  <c r="D151" i="1"/>
  <c r="F151" i="1" s="1"/>
  <c r="L151" i="1" s="1"/>
  <c r="D149" i="1"/>
  <c r="D148" i="1"/>
  <c r="D147" i="1"/>
  <c r="D146" i="1"/>
  <c r="E165" i="1"/>
  <c r="D165" i="1"/>
  <c r="E160" i="1"/>
  <c r="D160" i="1"/>
  <c r="F169" i="1"/>
  <c r="L169" i="1" s="1"/>
  <c r="I152" i="1"/>
  <c r="I151" i="1"/>
  <c r="I146" i="1"/>
  <c r="F150" i="1"/>
  <c r="L150" i="1" s="1"/>
  <c r="E43" i="1"/>
  <c r="G140" i="1" l="1"/>
  <c r="F162" i="1"/>
  <c r="L162" i="1" s="1"/>
  <c r="F161" i="1"/>
  <c r="L161" i="1" s="1"/>
  <c r="I45" i="1"/>
  <c r="B172" i="1" l="1"/>
  <c r="F147" i="1" l="1"/>
  <c r="L147" i="1" s="1"/>
  <c r="F148" i="1"/>
  <c r="L148" i="1" s="1"/>
  <c r="F149" i="1"/>
  <c r="L149" i="1" s="1"/>
  <c r="F146" i="1"/>
  <c r="L146" i="1" l="1"/>
  <c r="C132" i="1"/>
  <c r="E132" i="1"/>
  <c r="G58" i="1"/>
  <c r="C58" i="1"/>
  <c r="G56" i="1"/>
  <c r="C56" i="1"/>
  <c r="C54" i="1"/>
  <c r="S33" i="1" l="1"/>
  <c r="F11" i="5" l="1"/>
  <c r="G11" i="5" s="1"/>
  <c r="F10" i="5"/>
  <c r="G10" i="5" s="1"/>
  <c r="F9" i="5"/>
  <c r="G9" i="5" s="1"/>
  <c r="F8" i="5"/>
  <c r="G8" i="5" s="1"/>
  <c r="F7" i="5"/>
  <c r="G7" i="5" s="1"/>
  <c r="F6" i="5"/>
  <c r="G6" i="5" s="1"/>
  <c r="F5" i="5"/>
  <c r="G5" i="5" s="1"/>
  <c r="G12" i="5" s="1"/>
  <c r="D194" i="1"/>
  <c r="B173" i="1"/>
  <c r="F168" i="1"/>
  <c r="L168" i="1" s="1"/>
  <c r="F167" i="1"/>
  <c r="L167" i="1" s="1"/>
  <c r="F166" i="1"/>
  <c r="L166" i="1" s="1"/>
  <c r="F165" i="1"/>
  <c r="L165" i="1" s="1"/>
  <c r="F164" i="1"/>
  <c r="L164" i="1" s="1"/>
  <c r="A165" i="1"/>
  <c r="A166" i="1" s="1"/>
  <c r="A167" i="1" s="1"/>
  <c r="A168" i="1" s="1"/>
  <c r="A169" i="1" s="1"/>
  <c r="F160" i="1"/>
  <c r="L160" i="1" s="1"/>
  <c r="F159" i="1"/>
  <c r="L159" i="1" s="1"/>
  <c r="A158" i="1"/>
  <c r="A159" i="1" s="1"/>
  <c r="A160" i="1" s="1"/>
  <c r="A161" i="1" s="1"/>
  <c r="A162" i="1" s="1"/>
  <c r="F157" i="1"/>
  <c r="A147" i="1"/>
  <c r="A148" i="1" s="1"/>
  <c r="A149" i="1" s="1"/>
  <c r="A150" i="1" s="1"/>
  <c r="A151" i="1" s="1"/>
  <c r="A152" i="1" s="1"/>
  <c r="F129" i="1"/>
  <c r="C103" i="1"/>
  <c r="C89" i="1"/>
  <c r="C75" i="1"/>
  <c r="D69" i="1"/>
  <c r="D62" i="1"/>
  <c r="G51" i="1"/>
  <c r="G52" i="1" s="1"/>
  <c r="C51" i="1"/>
  <c r="E44" i="1"/>
  <c r="E45" i="1" s="1"/>
  <c r="E31" i="1"/>
  <c r="E28" i="1"/>
  <c r="E26" i="1"/>
  <c r="C16" i="1"/>
  <c r="I15" i="1"/>
  <c r="Z13" i="1"/>
  <c r="E8" i="1"/>
  <c r="E3" i="1"/>
  <c r="H104" i="1"/>
  <c r="H76" i="1"/>
  <c r="H90" i="1"/>
  <c r="L157" i="1" l="1"/>
  <c r="C137" i="1"/>
  <c r="C140" i="1" s="1"/>
  <c r="E137" i="1"/>
  <c r="E140" i="1" s="1"/>
  <c r="J75" i="1"/>
  <c r="J77" i="1" s="1"/>
  <c r="J78" i="1"/>
  <c r="J79" i="1"/>
  <c r="J80" i="1"/>
  <c r="C79" i="1" s="1"/>
  <c r="J94" i="1"/>
  <c r="E93" i="1"/>
  <c r="D98" i="1"/>
  <c r="D100" i="1"/>
  <c r="D94" i="1"/>
  <c r="J93" i="1"/>
  <c r="D99" i="1"/>
  <c r="J89" i="1"/>
  <c r="J91" i="1" s="1"/>
  <c r="D97" i="1"/>
  <c r="J92" i="1"/>
  <c r="D96" i="1"/>
  <c r="D102" i="1"/>
  <c r="D101" i="1"/>
  <c r="D95" i="1"/>
  <c r="D83" i="1"/>
  <c r="D85" i="1"/>
  <c r="D84" i="1"/>
  <c r="D88" i="1"/>
  <c r="D82" i="1"/>
  <c r="D87" i="1"/>
  <c r="D81" i="1"/>
  <c r="D86" i="1"/>
  <c r="C109" i="1"/>
  <c r="J103" i="1" s="1"/>
  <c r="J105" i="1" s="1"/>
  <c r="D112" i="1"/>
  <c r="D114" i="1"/>
  <c r="J108" i="1"/>
  <c r="C107" i="1" s="1"/>
  <c r="D107" i="1" s="1"/>
  <c r="D113" i="1"/>
  <c r="J107" i="1"/>
  <c r="D111" i="1"/>
  <c r="J106" i="1"/>
  <c r="D110" i="1"/>
  <c r="D116" i="1"/>
  <c r="D115" i="1"/>
  <c r="B104" i="1"/>
  <c r="B90" i="1"/>
  <c r="B76" i="1"/>
  <c r="J81" i="1" s="1"/>
  <c r="C93" i="1" l="1"/>
  <c r="D93" i="1" s="1"/>
  <c r="I90" i="1" s="1"/>
  <c r="I91" i="1" s="1"/>
  <c r="D79" i="1"/>
  <c r="D109" i="1"/>
  <c r="J114" i="1"/>
  <c r="J111" i="1"/>
  <c r="J113" i="1"/>
  <c r="J112" i="1"/>
  <c r="J109" i="1"/>
  <c r="J110" i="1" s="1"/>
  <c r="J115" i="1" s="1"/>
  <c r="J116" i="1" s="1"/>
  <c r="C108" i="1" s="1"/>
  <c r="E107" i="1" s="1"/>
  <c r="J100" i="1"/>
  <c r="J97" i="1"/>
  <c r="J99" i="1"/>
  <c r="J98" i="1"/>
  <c r="J95" i="1"/>
  <c r="J96" i="1" s="1"/>
  <c r="J85" i="1"/>
  <c r="J83" i="1"/>
  <c r="J84" i="1"/>
  <c r="J82" i="1"/>
  <c r="J87" i="1" s="1"/>
  <c r="J88" i="1" s="1"/>
  <c r="C80" i="1" s="1"/>
  <c r="J86" i="1"/>
  <c r="G93" i="1" l="1"/>
  <c r="J76" i="1"/>
  <c r="J101" i="1"/>
  <c r="J102" i="1" s="1"/>
  <c r="J90" i="1" s="1"/>
  <c r="I89" i="1" s="1"/>
  <c r="C91" i="1" s="1"/>
  <c r="D108" i="1"/>
  <c r="I104" i="1" s="1"/>
  <c r="J104" i="1"/>
  <c r="G107" i="1"/>
  <c r="E79" i="1"/>
  <c r="D80" i="1"/>
  <c r="I76" i="1" s="1"/>
  <c r="G79" i="1"/>
  <c r="D73" i="1" s="1"/>
  <c r="F74" i="1" l="1"/>
  <c r="D74" i="1"/>
  <c r="I105" i="1"/>
  <c r="I103" i="1" s="1"/>
  <c r="C105" i="1" s="1"/>
  <c r="I77" i="1"/>
  <c r="I75" i="1" s="1"/>
  <c r="C77"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5"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<sst xmlns="http://schemas.openxmlformats.org/spreadsheetml/2006/main" count="616" uniqueCount="348">
  <si>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</si>
  <si>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</si>
  <si>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</si>
  <si>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</si>
  <si>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</si>
  <si>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</si>
  <si>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</si>
  <si>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</si>
  <si>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</si>
  <si>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</si>
  <si>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</si>
  <si>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</si>
  <si>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</si>
  <si>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</si>
  <si>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</si>
  <si>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</si>
  <si>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</si>
  <si>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</si>
  <si>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</si>
  <si>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</si>
  <si>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</si>
  <si>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</si>
  <si>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</si>
  <si>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</si>
  <si>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</si>
  <si>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</si>
  <si>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</si>
  <si>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</si>
  <si>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</si>
  <si>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</si>
  <si>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</si>
  <si>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</si>
  <si>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</si>
  <si>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</si>
  <si>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</si>
  <si>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</si>
  <si>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</si>
  <si>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</si>
  <si>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</si>
  <si>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</si>
  <si>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</si>
  <si>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</si>
  <si>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</si>
  <si>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</si>
  <si>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</si>
  <si>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</si>
  <si>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</si>
  <si>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</si>
  <si>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</si>
  <si>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</si>
  <si>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</si>
  <si>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</si>
  <si>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</si>
  <si>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</si>
  <si>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</si>
  <si>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</si>
  <si>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</si>
  <si>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</si>
  <si>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</si>
  <si>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</si>
  <si>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</si>
  <si>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</si>
  <si>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</si>
  <si>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</si>
  <si>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</si>
  <si>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</si>
  <si>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</si>
  <si>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</si>
  <si>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</si>
  <si>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</si>
  <si>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</si>
  <si>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</si>
  <si>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</si>
  <si>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</si>
  <si>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</si>
  <si>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</si>
  <si>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</si>
  <si>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</si>
  <si>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</si>
  <si>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</si>
  <si>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</si>
  <si>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</si>
  <si>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</si>
  <si>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</si>
  <si>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</si>
  <si>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</si>
  <si>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</si>
  <si>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</si>
  <si>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</si>
  <si>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</si>
  <si>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</si>
  <si>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</si>
  <si>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</si>
  <si>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</si>
  <si>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</si>
  <si>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</si>
  <si>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</si>
  <si>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</si>
  <si>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</si>
  <si>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</si>
  <si>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</si>
  <si>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</si>
  <si>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</si>
  <si>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</si>
  <si>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</si>
  <si>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</si>
  <si>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</si>
  <si>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</si>
  <si>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</si>
  <si>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</si>
  <si>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</si>
  <si>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</si>
  <si>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</si>
  <si>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</si>
  <si>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</si>
  <si>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</si>
  <si>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</si>
  <si>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</si>
  <si>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</si>
  <si>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</si>
  <si>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</si>
  <si>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</si>
  <si>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</si>
  <si>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</si>
  <si>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</si>
  <si>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</si>
  <si>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</si>
  <si>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</si>
  <si>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</si>
  <si>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</si>
  <si>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</si>
  <si>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</si>
  <si>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</si>
  <si>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</si>
  <si>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</si>
  <si>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</si>
  <si>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</si>
  <si>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</si>
  <si>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</si>
  <si>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</si>
  <si>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</si>
  <si>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</si>
  <si>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</si>
  <si>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</si>
  <si>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</si>
  <si>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</si>
  <si>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</si>
  <si>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</si>
  <si>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</si>
  <si>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</si>
  <si>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</si>
  <si>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</si>
  <si>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</si>
  <si>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</si>
  <si>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</si>
  <si>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</si>
  <si>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</si>
  <si>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</si>
  <si>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</si>
  <si>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</si>
  <si>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</si>
  <si>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</si>
  <si>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</si>
  <si>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</si>
  <si>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</si>
  <si>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</si>
  <si>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</si>
  <si>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</si>
  <si>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</si>
  <si>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</si>
  <si>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</si>
  <si>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</si>
  <si>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</si>
  <si>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</si>
  <si>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</si>
  <si>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</si>
  <si>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</si>
  <si>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</si>
  <si>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</si>
  <si>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</si>
  <si>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</si>
  <si>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</si>
  <si>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</si>
  <si>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</si>
  <si>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</si>
  <si>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</si>
  <si>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</si>
  <si>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</si>
  <si>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</si>
  <si>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</si>
  <si>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</si>
  <si>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</si>
  <si>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</si>
  <si>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</si>
  <si>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</si>
  <si>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</si>
  <si>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</si>
  <si>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</si>
  <si>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</si>
  <si>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</si>
  <si>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</si>
  <si>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</si>
  <si>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</si>
  <si>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</si>
  <si>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</si>
  <si>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</si>
  <si>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</si>
  <si>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</si>
  <si>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</si>
  <si>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</si>
  <si>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</si>
  <si>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</si>
  <si>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</si>
  <si>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</si>
  <si>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</si>
  <si>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</si>
  <si>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</si>
  <si>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</si>
  <si>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</si>
  <si>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</si>
  <si>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</si>
  <si>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</si>
  <si>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</si>
  <si>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</si>
  <si>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</si>
  <si>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</si>
  <si>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</si>
  <si>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</si>
  <si>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</si>
  <si>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</si>
  <si>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</si>
  <si>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</si>
  <si>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</si>
  <si>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</si>
  <si>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</si>
  <si>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</si>
  <si>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</si>
  <si>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</si>
  <si>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</si>
  <si>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</si>
  <si>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</si>
  <si>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</si>
  <si>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</si>
  <si>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</si>
  <si>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</si>
  <si>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</si>
  <si>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</si>
  <si>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</si>
  <si>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</si>
  <si>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</si>
  <si>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</si>
  <si>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</si>
  <si>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</si>
  <si>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</si>
  <si>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</si>
  <si>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</si>
  <si>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</si>
  <si>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</si>
  <si>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</si>
  <si>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</si>
  <si>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</si>
  <si>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</si>
  <si>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</si>
  <si>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</si>
  <si>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</si>
  <si>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</si>
  <si>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</si>
  <si>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</si>
  <si>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</si>
  <si>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</si>
  <si>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</si>
  <si>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</si>
  <si>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</si>
  <si>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</si>
  <si>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</si>
  <si>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</si>
  <si>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</si>
  <si>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</si>
  <si>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</si>
  <si>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</si>
  <si>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</si>
  <si>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</si>
  <si>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</si>
  <si>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</si>
  <si>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</si>
  <si>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</si>
  <si>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</si>
  <si>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</si>
  <si>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</si>
  <si>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</si>
  <si>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</si>
  <si>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</si>
  <si>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</si>
  <si>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</si>
  <si>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</si>
  <si>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</si>
  <si>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</si>
  <si>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</si>
  <si>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</si>
  <si>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</si>
  <si>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Mr. Vinod 9833877244</t>
  </si>
  <si>
    <t>Plot No</t>
  </si>
  <si>
    <t>18.96714414,73.017056</t>
  </si>
  <si>
    <t>https://maps.app.goo.gl/BvH8qr5EaLVtQ5Zc6</t>
  </si>
  <si>
    <t>Khar Koper</t>
  </si>
  <si>
    <t>Ulwe</t>
  </si>
  <si>
    <t>1.60KM from Kharkopar Railway Station</t>
  </si>
  <si>
    <t>11.00 M. Wide Road</t>
  </si>
  <si>
    <t>15.00 M. Wide Road</t>
  </si>
  <si>
    <t>Internal Road</t>
  </si>
  <si>
    <t>Houses</t>
  </si>
  <si>
    <t>CIDCO/BP-18624/TPO(NM &amp; K)/2023/11162</t>
  </si>
  <si>
    <t>Gr + 1st to 7th Floor</t>
  </si>
  <si>
    <t>As per Builder - March 2025</t>
  </si>
  <si>
    <t xml:space="preserve">Proposed Amenities : </t>
  </si>
  <si>
    <t>Shop</t>
  </si>
  <si>
    <r>
      <t xml:space="preserve">Shop No.
</t>
    </r>
    <r>
      <rPr>
        <b/>
        <sz val="11"/>
        <rFont val="Times New Roman"/>
        <family val="1"/>
      </rPr>
      <t>(Approved Plan)</t>
    </r>
  </si>
  <si>
    <t>RERA Carpet area</t>
  </si>
  <si>
    <t>1BHK</t>
  </si>
  <si>
    <t>1RK</t>
  </si>
  <si>
    <t>Fintess Centre/Socirty Office</t>
  </si>
  <si>
    <t>2nd to 7th Floor</t>
  </si>
  <si>
    <t>Shops</t>
  </si>
  <si>
    <t>Flats</t>
  </si>
  <si>
    <t>We considered Gross carpet area = Net carpet + Enclose balcony + Open Balcony + C.B Area + Chajja.</t>
  </si>
  <si>
    <t>Flats - 41, Shops - 07</t>
  </si>
  <si>
    <t>Vibrant Homes</t>
  </si>
  <si>
    <t>Builder Saleable Area</t>
  </si>
  <si>
    <t>For plan &amp; CC refer pdf in zip</t>
  </si>
  <si>
    <t>As per visitor report</t>
  </si>
  <si>
    <t>E-10, Sector 8</t>
  </si>
  <si>
    <t>Siddhivinayak CHS Plot E-9</t>
  </si>
  <si>
    <t>Internal Rd</t>
  </si>
  <si>
    <t>Plot No. 11, 12 &amp; 13</t>
  </si>
  <si>
    <t>Plot No. 9</t>
  </si>
  <si>
    <t>1Ground Floor + 7Floor
Builtup Area = 1851.2sq.m
Residential Units = 41, Commercial Units = 7.</t>
  </si>
  <si>
    <t>Fitness Centre, Vitrified tiles flooring, Granite Kitchen Platform, Decorative Entrance, etc.</t>
  </si>
  <si>
    <t>Ground Floor For Entrance Lobby &amp; Commercial</t>
  </si>
  <si>
    <t>1st Floor For Residential (Part Society Office &amp; Driver Room)</t>
  </si>
  <si>
    <t>Carpet area +Encl Bal+CB Area</t>
  </si>
  <si>
    <t>Open Bal + Chajja Area</t>
  </si>
  <si>
    <t>Approved Plans, CC, Builder Saleable Area, Cost Sheet.</t>
  </si>
  <si>
    <t>Since the project is not registered on RERA (Plot Area = 499.60), we have referred the promoters' names from the title certificate, which is provided by bank officials via email.</t>
  </si>
  <si>
    <t>Vibrant Infra &amp; Matrix Realty</t>
  </si>
  <si>
    <t>Mr. Ram 8591253811</t>
  </si>
  <si>
    <t>Finishing work is in process.</t>
  </si>
  <si>
    <t>Pooja</t>
  </si>
  <si>
    <t>Mayur Ranvare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</si>
</sst>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0.0"/>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3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7"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15" fillId="0" borderId="1" xfId="1" applyNumberFormat="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165" fontId="7" fillId="0" borderId="0" xfId="1" applyNumberFormat="1" applyFont="1"/>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12" fillId="0" borderId="1" xfId="1" applyFont="1" applyBorder="1" applyAlignment="1" applyProtection="1">
      <alignment horizontal="center" vertical="top" wrapText="1"/>
      <protection locked="0"/>
    </xf>
    <xf numFmtId="2" fontId="7" fillId="0" borderId="0" xfId="1" applyNumberFormat="1" applyFont="1" applyAlignment="1">
      <alignment horizontal="center" vertical="center"/>
    </xf>
    <xf numFmtId="1" fontId="13" fillId="0" borderId="3" xfId="1" applyNumberFormat="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0" xfId="1" applyNumberFormat="1" applyFont="1" applyBorder="1" applyAlignment="1" applyProtection="1">
      <alignment vertical="center" wrapText="1"/>
      <protection locked="0"/>
    </xf>
    <xf numFmtId="1" fontId="6" fillId="0" borderId="0" xfId="1" applyNumberFormat="1" applyFont="1" applyBorder="1" applyAlignment="1" applyProtection="1">
      <alignment horizontal="center" vertical="center" wrapText="1"/>
      <protection locked="0"/>
    </xf>
    <xf numFmtId="1" fontId="24" fillId="0" borderId="0" xfId="1" applyNumberFormat="1" applyFont="1" applyAlignment="1">
      <alignment horizontal="center" vertical="center"/>
    </xf>
    <xf numFmtId="0" fontId="15" fillId="2" borderId="0" xfId="1" applyFont="1" applyFill="1"/>
    <xf numFmtId="1" fontId="6" fillId="0" borderId="1" xfId="1" applyNumberFormat="1" applyFont="1" applyBorder="1" applyAlignment="1" applyProtection="1">
      <alignment horizontal="center" vertical="center" wrapText="1"/>
      <protection locked="0"/>
    </xf>
    <xf numFmtId="165" fontId="7" fillId="0" borderId="0" xfId="1" applyNumberFormat="1" applyFont="1" applyAlignment="1">
      <alignment horizontal="center" vertical="center"/>
    </xf>
    <xf numFmtId="165" fontId="6" fillId="0" borderId="1" xfId="1" applyNumberFormat="1" applyFont="1" applyBorder="1" applyAlignment="1" applyProtection="1">
      <alignment horizontal="center" vertical="center"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6" fillId="0" borderId="1" xfId="1" applyFont="1" applyBorder="1" applyAlignment="1" applyProtection="1">
      <alignment horizontal="left" vertical="top"/>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1" fontId="8" fillId="0" borderId="3"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6" fillId="0" borderId="1" xfId="1" applyNumberFormat="1" applyFont="1" applyBorder="1" applyAlignment="1" applyProtection="1">
      <alignment horizontal="center" vertical="center" wrapText="1"/>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67" fontId="12" fillId="0" borderId="1" xfId="9" applyNumberFormat="1" applyFont="1" applyFill="1" applyBorder="1" applyAlignment="1" applyProtection="1">
      <alignment horizontal="left" vertical="top"/>
      <protection locked="0"/>
    </xf>
    <xf numFmtId="0" fontId="7" fillId="0" borderId="5" xfId="1" applyFont="1" applyBorder="1" applyAlignment="1" applyProtection="1">
      <alignment horizontal="center" vertical="top" wrapText="1"/>
      <protection locked="0"/>
    </xf>
    <xf numFmtId="1" fontId="10" fillId="0" borderId="33" xfId="0" applyNumberFormat="1" applyFont="1" applyBorder="1" applyAlignment="1" applyProtection="1">
      <alignment horizontal="center" vertical="center"/>
      <protection locked="0"/>
    </xf>
    <xf numFmtId="0" fontId="15" fillId="0" borderId="19" xfId="1" applyFont="1" applyBorder="1" applyAlignment="1" applyProtection="1">
      <alignment horizontal="left" vertical="top"/>
      <protection locked="0"/>
    </xf>
    <xf numFmtId="0" fontId="15" fillId="0" borderId="2" xfId="1" applyFont="1" applyBorder="1" applyAlignment="1" applyProtection="1">
      <alignment horizontal="left" vertical="top"/>
      <protection locked="0"/>
    </xf>
    <xf numFmtId="0" fontId="15" fillId="0" borderId="20" xfId="1" applyFont="1" applyBorder="1" applyAlignment="1" applyProtection="1">
      <alignment horizontal="left" vertical="top"/>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15" fillId="0" borderId="25" xfId="1" applyFont="1" applyBorder="1" applyAlignment="1" applyProtection="1">
      <alignment horizontal="left" vertical="top"/>
      <protection locked="0"/>
    </xf>
    <xf numFmtId="0" fontId="15" fillId="0" borderId="0" xfId="1" applyFont="1" applyAlignment="1" applyProtection="1">
      <alignment horizontal="left" vertical="top"/>
      <protection locked="0"/>
    </xf>
    <xf numFmtId="0" fontId="15" fillId="0" borderId="26" xfId="1" applyFont="1" applyBorder="1" applyAlignment="1" applyProtection="1">
      <alignment horizontal="left" vertical="top"/>
      <protection locked="0"/>
    </xf>
    <xf numFmtId="14" fontId="6" fillId="0" borderId="8"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27" fillId="0" borderId="1" xfId="10" applyFill="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2" fontId="6" fillId="0" borderId="1"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1" fontId="6" fillId="0" borderId="1" xfId="1" applyNumberFormat="1" applyFont="1" applyBorder="1" applyAlignment="1" applyProtection="1">
      <alignment horizontal="left" vertical="top" wrapText="1"/>
      <protection locked="0"/>
    </xf>
    <xf numFmtId="165"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7" fillId="0" borderId="1"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67" fontId="7" fillId="0" borderId="1" xfId="9" applyNumberFormat="1" applyFont="1" applyFill="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8" fillId="0" borderId="16" xfId="1" applyFont="1" applyBorder="1" applyAlignment="1" applyProtection="1">
      <alignment horizontal="left" vertical="top"/>
      <protection locked="0"/>
    </xf>
    <xf numFmtId="1" fontId="6" fillId="0" borderId="21"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6" fillId="0" borderId="1" xfId="1" applyFont="1" applyBorder="1" applyAlignment="1" applyProtection="1">
      <alignment vertical="top"/>
      <protection locked="0"/>
    </xf>
    <xf numFmtId="0" fontId="10" fillId="0" borderId="3" xfId="0" applyFont="1" applyBorder="1" applyAlignment="1" applyProtection="1">
      <alignment horizontal="center" vertical="center"/>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0" fillId="0" borderId="33" xfId="0" applyFont="1" applyBorder="1" applyAlignment="1" applyProtection="1">
      <alignment horizontal="center" vertical="center"/>
      <protection locked="0"/>
    </xf>
    <xf numFmtId="0" fontId="12" fillId="0" borderId="3" xfId="1" applyFont="1" applyBorder="1" applyAlignment="1" applyProtection="1">
      <alignment horizontal="left" vertical="top"/>
      <protection locked="0"/>
    </xf>
    <xf numFmtId="0" fontId="12" fillId="0" borderId="18"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7" fillId="0" borderId="25"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237</xdr:row>
      <xdr:rowOff>38099</xdr:rowOff>
    </xdr:from>
    <xdr:to>
      <xdr:col>7</xdr:col>
      <xdr:colOff>542925</xdr:colOff>
      <xdr:row>264</xdr:row>
      <xdr:rowOff>106902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9550" y="43910249"/>
          <a:ext cx="5915025" cy="5469477"/>
        </a:xfrm>
        <a:prstGeom prst="rect">
          <a:avLst/>
        </a:prstGeom>
        <a:ln>
          <a:solidFill>
            <a:sysClr val="windowText" lastClr="000000"/>
          </a:solidFill>
        </a:ln>
      </xdr:spPr>
    </xdr:pic>
    <xdr:clientData/>
  </xdr:twoCellAnchor>
  <xdr:twoCellAnchor editAs="oneCell">
    <xdr:from>
      <xdr:col>0</xdr:col>
      <xdr:colOff>707367</xdr:colOff>
      <xdr:row>275</xdr:row>
      <xdr:rowOff>19050</xdr:rowOff>
    </xdr:from>
    <xdr:to>
      <xdr:col>6</xdr:col>
      <xdr:colOff>652177</xdr:colOff>
      <xdr:row>294</xdr:row>
      <xdr:rowOff>115110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07367" y="49727726"/>
          <a:ext cx="4916203" cy="3890294"/>
        </a:xfrm>
        <a:prstGeom prst="rect">
          <a:avLst/>
        </a:prstGeom>
        <a:ln>
          <a:solidFill>
            <a:schemeClr val="tx1"/>
          </a:solidFill>
        </a:ln>
      </xdr:spPr>
    </xdr:pic>
    <xdr:clientData/>
  </xdr:twoCellAnchor>
  <xdr:twoCellAnchor>
    <xdr:from>
      <xdr:col>0</xdr:col>
      <xdr:colOff>478220</xdr:colOff>
      <xdr:row>295</xdr:row>
      <xdr:rowOff>67973</xdr:rowOff>
    </xdr:from>
    <xdr:to>
      <xdr:col>7</xdr:col>
      <xdr:colOff>147144</xdr:colOff>
      <xdr:row>312</xdr:row>
      <xdr:rowOff>99848</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478220" y="52169723"/>
          <a:ext cx="5485524" cy="3378325"/>
          <a:chOff x="474452" y="4382217"/>
          <a:chExt cx="5469148" cy="3933647"/>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74452" y="4382217"/>
            <a:ext cx="5469148" cy="3933647"/>
          </a:xfrm>
          <a:prstGeom prst="rect">
            <a:avLst/>
          </a:prstGeom>
          <a:ln>
            <a:solidFill>
              <a:schemeClr val="tx1"/>
            </a:solidFill>
          </a:ln>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rot="20383475">
            <a:off x="2343874" y="5265677"/>
            <a:ext cx="1256282" cy="1328269"/>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8</xdr:col>
      <xdr:colOff>657225</xdr:colOff>
      <xdr:row>6</xdr:row>
      <xdr:rowOff>38100</xdr:rowOff>
    </xdr:from>
    <xdr:to>
      <xdr:col>14</xdr:col>
      <xdr:colOff>515625</xdr:colOff>
      <xdr:row>15</xdr:row>
      <xdr:rowOff>196634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a:stretch>
          <a:fillRect/>
        </a:stretch>
      </xdr:blipFill>
      <xdr:spPr>
        <a:xfrm>
          <a:off x="6972300" y="1619250"/>
          <a:ext cx="5040000" cy="1968284"/>
        </a:xfrm>
        <a:prstGeom prst="rect">
          <a:avLst/>
        </a:prstGeom>
        <a:ln>
          <a:solidFill>
            <a:sysClr val="windowText" lastClr="000000"/>
          </a:solidFill>
        </a:ln>
      </xdr:spPr>
    </xdr:pic>
    <xdr:clientData/>
  </xdr:twoCellAnchor>
  <xdr:twoCellAnchor editAs="oneCell">
    <xdr:from>
      <xdr:col>9</xdr:col>
      <xdr:colOff>47625</xdr:colOff>
      <xdr:row>46</xdr:row>
      <xdr:rowOff>19050</xdr:rowOff>
    </xdr:from>
    <xdr:to>
      <xdr:col>13</xdr:col>
      <xdr:colOff>466275</xdr:colOff>
      <xdr:row>51</xdr:row>
      <xdr:rowOff>14287</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524750" y="10534650"/>
          <a:ext cx="3600000" cy="1662112"/>
        </a:xfrm>
        <a:prstGeom prst="rect">
          <a:avLst/>
        </a:prstGeom>
        <a:ln>
          <a:solidFill>
            <a:sysClr val="windowText" lastClr="000000"/>
          </a:solidFill>
        </a:ln>
      </xdr:spPr>
    </xdr:pic>
    <xdr:clientData/>
  </xdr:twoCellAnchor>
  <xdr:twoCellAnchor editAs="oneCell">
    <xdr:from>
      <xdr:col>8</xdr:col>
      <xdr:colOff>771525</xdr:colOff>
      <xdr:row>15</xdr:row>
      <xdr:rowOff>209551</xdr:rowOff>
    </xdr:from>
    <xdr:to>
      <xdr:col>13</xdr:col>
      <xdr:colOff>28125</xdr:colOff>
      <xdr:row>22</xdr:row>
      <xdr:rowOff>44113</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086600" y="3800476"/>
          <a:ext cx="3600000" cy="1958637"/>
        </a:xfrm>
        <a:prstGeom prst="rect">
          <a:avLst/>
        </a:prstGeom>
        <a:ln>
          <a:solidFill>
            <a:sysClr val="windowText" lastClr="000000"/>
          </a:solidFill>
        </a:ln>
      </xdr:spPr>
    </xdr:pic>
    <xdr:clientData/>
  </xdr:twoCellAnchor>
  <xdr:twoCellAnchor>
    <xdr:from>
      <xdr:col>8</xdr:col>
      <xdr:colOff>219075</xdr:colOff>
      <xdr:row>194</xdr:row>
      <xdr:rowOff>111125</xdr:rowOff>
    </xdr:from>
    <xdr:to>
      <xdr:col>15</xdr:col>
      <xdr:colOff>470496</xdr:colOff>
      <xdr:row>226</xdr:row>
      <xdr:rowOff>61957</xdr:rowOff>
    </xdr:to>
    <xdr:grpSp>
      <xdr:nvGrpSpPr>
        <xdr:cNvPr id="7" name="Group 6"/>
        <xdr:cNvGrpSpPr/>
      </xdr:nvGrpSpPr>
      <xdr:grpSpPr>
        <a:xfrm>
          <a:off x="6804025" y="32337375"/>
          <a:ext cx="6525221" cy="6243682"/>
          <a:chOff x="38100" y="32556450"/>
          <a:chExt cx="6518871" cy="6243682"/>
        </a:xfrm>
      </xdr:grpSpPr>
      <xdr:pic>
        <xdr:nvPicPr>
          <xdr:cNvPr id="20" name="Picture 19"/>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072865" y="37000132"/>
            <a:ext cx="2397778" cy="1800000"/>
          </a:xfrm>
          <a:prstGeom prst="rect">
            <a:avLst/>
          </a:prstGeom>
          <a:ln>
            <a:solidFill>
              <a:schemeClr val="tx1"/>
            </a:solidFill>
          </a:ln>
        </xdr:spPr>
      </xdr:pic>
      <xdr:pic>
        <xdr:nvPicPr>
          <xdr:cNvPr id="21" name="Picture 20"/>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8100" y="32556450"/>
            <a:ext cx="2973245" cy="2232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960218" y="34886291"/>
            <a:ext cx="1510425" cy="2016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1481" y="37000132"/>
            <a:ext cx="2397778" cy="180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1481" y="34886291"/>
            <a:ext cx="1510425" cy="2016000"/>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721060" y="34886291"/>
            <a:ext cx="1510425" cy="2016000"/>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340639" y="34886291"/>
            <a:ext cx="1510425" cy="2016000"/>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612135" y="37000132"/>
            <a:ext cx="1348594" cy="1800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099201" y="32556450"/>
            <a:ext cx="1672257" cy="2232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884714" y="32556450"/>
            <a:ext cx="1672257" cy="2232000"/>
          </a:xfrm>
          <a:prstGeom prst="rect">
            <a:avLst/>
          </a:prstGeom>
          <a:ln>
            <a:solidFill>
              <a:schemeClr val="tx1"/>
            </a:solidFill>
          </a:ln>
        </xdr:spPr>
      </xdr:pic>
    </xdr:grpSp>
    <xdr:clientData/>
  </xdr:twoCellAnchor>
  <xdr:twoCellAnchor>
    <xdr:from>
      <xdr:col>0</xdr:col>
      <xdr:colOff>69850</xdr:colOff>
      <xdr:row>194</xdr:row>
      <xdr:rowOff>76200</xdr:rowOff>
    </xdr:from>
    <xdr:to>
      <xdr:col>7</xdr:col>
      <xdr:colOff>707071</xdr:colOff>
      <xdr:row>222</xdr:row>
      <xdr:rowOff>160859</xdr:rowOff>
    </xdr:to>
    <xdr:grpSp>
      <xdr:nvGrpSpPr>
        <xdr:cNvPr id="8" name="Group 7"/>
        <xdr:cNvGrpSpPr/>
      </xdr:nvGrpSpPr>
      <xdr:grpSpPr>
        <a:xfrm>
          <a:off x="69850" y="32302450"/>
          <a:ext cx="6453821" cy="5590109"/>
          <a:chOff x="69850" y="32302450"/>
          <a:chExt cx="6453821" cy="5590109"/>
        </a:xfrm>
      </xdr:grpSpPr>
      <xdr:pic>
        <xdr:nvPicPr>
          <xdr:cNvPr id="42" name="Picture 4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465258" y="35156559"/>
            <a:ext cx="2058413" cy="2736000"/>
          </a:xfrm>
          <a:prstGeom prst="rect">
            <a:avLst/>
          </a:prstGeom>
          <a:ln>
            <a:solidFill>
              <a:schemeClr val="tx1"/>
            </a:solidFill>
          </a:ln>
        </xdr:spPr>
      </xdr:pic>
      <xdr:pic>
        <xdr:nvPicPr>
          <xdr:cNvPr id="43" name="Picture 4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69850" y="32302450"/>
            <a:ext cx="2058413" cy="2736000"/>
          </a:xfrm>
          <a:prstGeom prst="rect">
            <a:avLst/>
          </a:prstGeom>
          <a:ln>
            <a:solidFill>
              <a:schemeClr val="tx1"/>
            </a:solidFill>
          </a:ln>
        </xdr:spPr>
      </xdr:pic>
      <xdr:pic>
        <xdr:nvPicPr>
          <xdr:cNvPr id="44" name="Picture 4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2267554" y="32302450"/>
            <a:ext cx="2058413" cy="2736000"/>
          </a:xfrm>
          <a:prstGeom prst="rect">
            <a:avLst/>
          </a:prstGeom>
          <a:ln>
            <a:solidFill>
              <a:schemeClr val="tx1"/>
            </a:solidFill>
          </a:ln>
        </xdr:spPr>
      </xdr:pic>
      <xdr:pic>
        <xdr:nvPicPr>
          <xdr:cNvPr id="45" name="Picture 4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69850" y="35156559"/>
            <a:ext cx="2058413" cy="2736000"/>
          </a:xfrm>
          <a:prstGeom prst="rect">
            <a:avLst/>
          </a:prstGeom>
          <a:ln>
            <a:solidFill>
              <a:schemeClr val="tx1"/>
            </a:solidFill>
          </a:ln>
        </xdr:spPr>
      </xdr:pic>
      <xdr:pic>
        <xdr:nvPicPr>
          <xdr:cNvPr id="46" name="Picture 4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4465258" y="32302450"/>
            <a:ext cx="2058413" cy="2736000"/>
          </a:xfrm>
          <a:prstGeom prst="rect">
            <a:avLst/>
          </a:prstGeom>
          <a:ln>
            <a:solidFill>
              <a:schemeClr val="tx1"/>
            </a:solidFill>
          </a:ln>
        </xdr:spPr>
      </xdr:pic>
      <xdr:pic>
        <xdr:nvPicPr>
          <xdr:cNvPr id="47" name="Picture 4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2267554" y="35156559"/>
            <a:ext cx="2049863"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BvH8qr5EaLVtQ5Zc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74"/>
  <sheetViews>
    <sheetView tabSelected="1" view="pageBreakPreview" topLeftCell="A38" zoomScaleNormal="100" zoomScaleSheetLayoutView="100" zoomScalePageLayoutView="85" workbookViewId="0">
      <selection activeCell="C39" sqref="C39:H39"/>
    </sheetView>
  </sheetViews>
  <sheetFormatPr defaultColWidth="9.1796875" defaultRowHeight="15.5" x14ac:dyDescent="0.35"/>
  <cols>
    <col min="1" max="1" width="11.453125" style="40" customWidth="1"/>
    <col min="2" max="2" width="12" style="40" customWidth="1"/>
    <col min="3" max="3" width="12.54296875" style="40" customWidth="1"/>
    <col min="4" max="4" width="13.54296875" style="40" customWidth="1"/>
    <col min="5" max="5" width="11.54296875" style="40" customWidth="1"/>
    <col min="6" max="6" width="11.1796875" style="40" customWidth="1"/>
    <col min="7" max="8" width="11" style="40" customWidth="1"/>
    <col min="9" max="9" width="17.453125" style="21" customWidth="1"/>
    <col min="10" max="10" width="11.453125" style="21" customWidth="1"/>
    <col min="11" max="11" width="10.54296875" style="21" bestFit="1" customWidth="1"/>
    <col min="12" max="12" width="13.81640625" style="21" bestFit="1" customWidth="1"/>
    <col min="13" max="13" width="11.81640625" style="21" customWidth="1"/>
    <col min="14" max="14" width="12.54296875" style="21" customWidth="1"/>
    <col min="15" max="15" width="12.1796875" style="21" customWidth="1"/>
    <col min="16" max="16" width="11.54296875" style="21" customWidth="1"/>
    <col min="17" max="18" width="9.1796875" style="21"/>
    <col min="19" max="19" width="10.81640625" style="21" bestFit="1" customWidth="1"/>
    <col min="20" max="20" width="10.54296875" style="21" customWidth="1"/>
    <col min="21" max="247" width="9.1796875" style="21"/>
    <col min="248" max="248" width="8.54296875" style="21" customWidth="1"/>
    <col min="249" max="249" width="9.81640625" style="21" customWidth="1"/>
    <col min="250" max="250" width="14.453125" style="21" customWidth="1"/>
    <col min="251" max="251" width="7.4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54296875" style="21" customWidth="1"/>
    <col min="505" max="505" width="9.81640625" style="21" customWidth="1"/>
    <col min="506" max="506" width="14.453125" style="21" customWidth="1"/>
    <col min="507" max="507" width="7.4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54296875" style="21" customWidth="1"/>
    <col min="761" max="761" width="9.81640625" style="21" customWidth="1"/>
    <col min="762" max="762" width="14.453125" style="21" customWidth="1"/>
    <col min="763" max="763" width="7.4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54296875" style="21" customWidth="1"/>
    <col min="1017" max="1017" width="9.81640625" style="21" customWidth="1"/>
    <col min="1018" max="1018" width="14.453125" style="21" customWidth="1"/>
    <col min="1019" max="1019" width="7.4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54296875" style="21" customWidth="1"/>
    <col min="1273" max="1273" width="9.81640625" style="21" customWidth="1"/>
    <col min="1274" max="1274" width="14.453125" style="21" customWidth="1"/>
    <col min="1275" max="1275" width="7.4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54296875" style="21" customWidth="1"/>
    <col min="1529" max="1529" width="9.81640625" style="21" customWidth="1"/>
    <col min="1530" max="1530" width="14.453125" style="21" customWidth="1"/>
    <col min="1531" max="1531" width="7.4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54296875" style="21" customWidth="1"/>
    <col min="1785" max="1785" width="9.81640625" style="21" customWidth="1"/>
    <col min="1786" max="1786" width="14.453125" style="21" customWidth="1"/>
    <col min="1787" max="1787" width="7.4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54296875" style="21" customWidth="1"/>
    <col min="2041" max="2041" width="9.81640625" style="21" customWidth="1"/>
    <col min="2042" max="2042" width="14.453125" style="21" customWidth="1"/>
    <col min="2043" max="2043" width="7.4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54296875" style="21" customWidth="1"/>
    <col min="2297" max="2297" width="9.81640625" style="21" customWidth="1"/>
    <col min="2298" max="2298" width="14.453125" style="21" customWidth="1"/>
    <col min="2299" max="2299" width="7.4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54296875" style="21" customWidth="1"/>
    <col min="2553" max="2553" width="9.81640625" style="21" customWidth="1"/>
    <col min="2554" max="2554" width="14.453125" style="21" customWidth="1"/>
    <col min="2555" max="2555" width="7.4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54296875" style="21" customWidth="1"/>
    <col min="2809" max="2809" width="9.81640625" style="21" customWidth="1"/>
    <col min="2810" max="2810" width="14.453125" style="21" customWidth="1"/>
    <col min="2811" max="2811" width="7.4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54296875" style="21" customWidth="1"/>
    <col min="3065" max="3065" width="9.81640625" style="21" customWidth="1"/>
    <col min="3066" max="3066" width="14.453125" style="21" customWidth="1"/>
    <col min="3067" max="3067" width="7.4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54296875" style="21" customWidth="1"/>
    <col min="3321" max="3321" width="9.81640625" style="21" customWidth="1"/>
    <col min="3322" max="3322" width="14.453125" style="21" customWidth="1"/>
    <col min="3323" max="3323" width="7.4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54296875" style="21" customWidth="1"/>
    <col min="3577" max="3577" width="9.81640625" style="21" customWidth="1"/>
    <col min="3578" max="3578" width="14.453125" style="21" customWidth="1"/>
    <col min="3579" max="3579" width="7.4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54296875" style="21" customWidth="1"/>
    <col min="3833" max="3833" width="9.81640625" style="21" customWidth="1"/>
    <col min="3834" max="3834" width="14.453125" style="21" customWidth="1"/>
    <col min="3835" max="3835" width="7.4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54296875" style="21" customWidth="1"/>
    <col min="4089" max="4089" width="9.81640625" style="21" customWidth="1"/>
    <col min="4090" max="4090" width="14.453125" style="21" customWidth="1"/>
    <col min="4091" max="4091" width="7.4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54296875" style="21" customWidth="1"/>
    <col min="4345" max="4345" width="9.81640625" style="21" customWidth="1"/>
    <col min="4346" max="4346" width="14.453125" style="21" customWidth="1"/>
    <col min="4347" max="4347" width="7.4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54296875" style="21" customWidth="1"/>
    <col min="4601" max="4601" width="9.81640625" style="21" customWidth="1"/>
    <col min="4602" max="4602" width="14.453125" style="21" customWidth="1"/>
    <col min="4603" max="4603" width="7.4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54296875" style="21" customWidth="1"/>
    <col min="4857" max="4857" width="9.81640625" style="21" customWidth="1"/>
    <col min="4858" max="4858" width="14.453125" style="21" customWidth="1"/>
    <col min="4859" max="4859" width="7.4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54296875" style="21" customWidth="1"/>
    <col min="5113" max="5113" width="9.81640625" style="21" customWidth="1"/>
    <col min="5114" max="5114" width="14.453125" style="21" customWidth="1"/>
    <col min="5115" max="5115" width="7.4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54296875" style="21" customWidth="1"/>
    <col min="5369" max="5369" width="9.81640625" style="21" customWidth="1"/>
    <col min="5370" max="5370" width="14.453125" style="21" customWidth="1"/>
    <col min="5371" max="5371" width="7.4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54296875" style="21" customWidth="1"/>
    <col min="5625" max="5625" width="9.81640625" style="21" customWidth="1"/>
    <col min="5626" max="5626" width="14.453125" style="21" customWidth="1"/>
    <col min="5627" max="5627" width="7.4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54296875" style="21" customWidth="1"/>
    <col min="5881" max="5881" width="9.81640625" style="21" customWidth="1"/>
    <col min="5882" max="5882" width="14.453125" style="21" customWidth="1"/>
    <col min="5883" max="5883" width="7.4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54296875" style="21" customWidth="1"/>
    <col min="6137" max="6137" width="9.81640625" style="21" customWidth="1"/>
    <col min="6138" max="6138" width="14.453125" style="21" customWidth="1"/>
    <col min="6139" max="6139" width="7.4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54296875" style="21" customWidth="1"/>
    <col min="6393" max="6393" width="9.81640625" style="21" customWidth="1"/>
    <col min="6394" max="6394" width="14.453125" style="21" customWidth="1"/>
    <col min="6395" max="6395" width="7.4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54296875" style="21" customWidth="1"/>
    <col min="6649" max="6649" width="9.81640625" style="21" customWidth="1"/>
    <col min="6650" max="6650" width="14.453125" style="21" customWidth="1"/>
    <col min="6651" max="6651" width="7.4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54296875" style="21" customWidth="1"/>
    <col min="6905" max="6905" width="9.81640625" style="21" customWidth="1"/>
    <col min="6906" max="6906" width="14.453125" style="21" customWidth="1"/>
    <col min="6907" max="6907" width="7.4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54296875" style="21" customWidth="1"/>
    <col min="7161" max="7161" width="9.81640625" style="21" customWidth="1"/>
    <col min="7162" max="7162" width="14.453125" style="21" customWidth="1"/>
    <col min="7163" max="7163" width="7.4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54296875" style="21" customWidth="1"/>
    <col min="7417" max="7417" width="9.81640625" style="21" customWidth="1"/>
    <col min="7418" max="7418" width="14.453125" style="21" customWidth="1"/>
    <col min="7419" max="7419" width="7.4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54296875" style="21" customWidth="1"/>
    <col min="7673" max="7673" width="9.81640625" style="21" customWidth="1"/>
    <col min="7674" max="7674" width="14.453125" style="21" customWidth="1"/>
    <col min="7675" max="7675" width="7.4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54296875" style="21" customWidth="1"/>
    <col min="7929" max="7929" width="9.81640625" style="21" customWidth="1"/>
    <col min="7930" max="7930" width="14.453125" style="21" customWidth="1"/>
    <col min="7931" max="7931" width="7.4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54296875" style="21" customWidth="1"/>
    <col min="8185" max="8185" width="9.81640625" style="21" customWidth="1"/>
    <col min="8186" max="8186" width="14.453125" style="21" customWidth="1"/>
    <col min="8187" max="8187" width="7.4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54296875" style="21" customWidth="1"/>
    <col min="8441" max="8441" width="9.81640625" style="21" customWidth="1"/>
    <col min="8442" max="8442" width="14.453125" style="21" customWidth="1"/>
    <col min="8443" max="8443" width="7.4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54296875" style="21" customWidth="1"/>
    <col min="8697" max="8697" width="9.81640625" style="21" customWidth="1"/>
    <col min="8698" max="8698" width="14.453125" style="21" customWidth="1"/>
    <col min="8699" max="8699" width="7.4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54296875" style="21" customWidth="1"/>
    <col min="8953" max="8953" width="9.81640625" style="21" customWidth="1"/>
    <col min="8954" max="8954" width="14.453125" style="21" customWidth="1"/>
    <col min="8955" max="8955" width="7.4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54296875" style="21" customWidth="1"/>
    <col min="9209" max="9209" width="9.81640625" style="21" customWidth="1"/>
    <col min="9210" max="9210" width="14.453125" style="21" customWidth="1"/>
    <col min="9211" max="9211" width="7.4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54296875" style="21" customWidth="1"/>
    <col min="9465" max="9465" width="9.81640625" style="21" customWidth="1"/>
    <col min="9466" max="9466" width="14.453125" style="21" customWidth="1"/>
    <col min="9467" max="9467" width="7.4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54296875" style="21" customWidth="1"/>
    <col min="9721" max="9721" width="9.81640625" style="21" customWidth="1"/>
    <col min="9722" max="9722" width="14.453125" style="21" customWidth="1"/>
    <col min="9723" max="9723" width="7.4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54296875" style="21" customWidth="1"/>
    <col min="9977" max="9977" width="9.81640625" style="21" customWidth="1"/>
    <col min="9978" max="9978" width="14.453125" style="21" customWidth="1"/>
    <col min="9979" max="9979" width="7.4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54296875" style="21" customWidth="1"/>
    <col min="10233" max="10233" width="9.81640625" style="21" customWidth="1"/>
    <col min="10234" max="10234" width="14.453125" style="21" customWidth="1"/>
    <col min="10235" max="10235" width="7.4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54296875" style="21" customWidth="1"/>
    <col min="10489" max="10489" width="9.81640625" style="21" customWidth="1"/>
    <col min="10490" max="10490" width="14.453125" style="21" customWidth="1"/>
    <col min="10491" max="10491" width="7.4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54296875" style="21" customWidth="1"/>
    <col min="10745" max="10745" width="9.81640625" style="21" customWidth="1"/>
    <col min="10746" max="10746" width="14.453125" style="21" customWidth="1"/>
    <col min="10747" max="10747" width="7.4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54296875" style="21" customWidth="1"/>
    <col min="11001" max="11001" width="9.81640625" style="21" customWidth="1"/>
    <col min="11002" max="11002" width="14.453125" style="21" customWidth="1"/>
    <col min="11003" max="11003" width="7.4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54296875" style="21" customWidth="1"/>
    <col min="11257" max="11257" width="9.81640625" style="21" customWidth="1"/>
    <col min="11258" max="11258" width="14.453125" style="21" customWidth="1"/>
    <col min="11259" max="11259" width="7.4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54296875" style="21" customWidth="1"/>
    <col min="11513" max="11513" width="9.81640625" style="21" customWidth="1"/>
    <col min="11514" max="11514" width="14.453125" style="21" customWidth="1"/>
    <col min="11515" max="11515" width="7.4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54296875" style="21" customWidth="1"/>
    <col min="11769" max="11769" width="9.81640625" style="21" customWidth="1"/>
    <col min="11770" max="11770" width="14.453125" style="21" customWidth="1"/>
    <col min="11771" max="11771" width="7.4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54296875" style="21" customWidth="1"/>
    <col min="12025" max="12025" width="9.81640625" style="21" customWidth="1"/>
    <col min="12026" max="12026" width="14.453125" style="21" customWidth="1"/>
    <col min="12027" max="12027" width="7.4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54296875" style="21" customWidth="1"/>
    <col min="12281" max="12281" width="9.81640625" style="21" customWidth="1"/>
    <col min="12282" max="12282" width="14.453125" style="21" customWidth="1"/>
    <col min="12283" max="12283" width="7.4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54296875" style="21" customWidth="1"/>
    <col min="12537" max="12537" width="9.81640625" style="21" customWidth="1"/>
    <col min="12538" max="12538" width="14.453125" style="21" customWidth="1"/>
    <col min="12539" max="12539" width="7.4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54296875" style="21" customWidth="1"/>
    <col min="12793" max="12793" width="9.81640625" style="21" customWidth="1"/>
    <col min="12794" max="12794" width="14.453125" style="21" customWidth="1"/>
    <col min="12795" max="12795" width="7.4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54296875" style="21" customWidth="1"/>
    <col min="13049" max="13049" width="9.81640625" style="21" customWidth="1"/>
    <col min="13050" max="13050" width="14.453125" style="21" customWidth="1"/>
    <col min="13051" max="13051" width="7.4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54296875" style="21" customWidth="1"/>
    <col min="13305" max="13305" width="9.81640625" style="21" customWidth="1"/>
    <col min="13306" max="13306" width="14.453125" style="21" customWidth="1"/>
    <col min="13307" max="13307" width="7.4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54296875" style="21" customWidth="1"/>
    <col min="13561" max="13561" width="9.81640625" style="21" customWidth="1"/>
    <col min="13562" max="13562" width="14.453125" style="21" customWidth="1"/>
    <col min="13563" max="13563" width="7.4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54296875" style="21" customWidth="1"/>
    <col min="13817" max="13817" width="9.81640625" style="21" customWidth="1"/>
    <col min="13818" max="13818" width="14.453125" style="21" customWidth="1"/>
    <col min="13819" max="13819" width="7.4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54296875" style="21" customWidth="1"/>
    <col min="14073" max="14073" width="9.81640625" style="21" customWidth="1"/>
    <col min="14074" max="14074" width="14.453125" style="21" customWidth="1"/>
    <col min="14075" max="14075" width="7.4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54296875" style="21" customWidth="1"/>
    <col min="14329" max="14329" width="9.81640625" style="21" customWidth="1"/>
    <col min="14330" max="14330" width="14.453125" style="21" customWidth="1"/>
    <col min="14331" max="14331" width="7.4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54296875" style="21" customWidth="1"/>
    <col min="14585" max="14585" width="9.81640625" style="21" customWidth="1"/>
    <col min="14586" max="14586" width="14.453125" style="21" customWidth="1"/>
    <col min="14587" max="14587" width="7.4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54296875" style="21" customWidth="1"/>
    <col min="14841" max="14841" width="9.81640625" style="21" customWidth="1"/>
    <col min="14842" max="14842" width="14.453125" style="21" customWidth="1"/>
    <col min="14843" max="14843" width="7.4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54296875" style="21" customWidth="1"/>
    <col min="15097" max="15097" width="9.81640625" style="21" customWidth="1"/>
    <col min="15098" max="15098" width="14.453125" style="21" customWidth="1"/>
    <col min="15099" max="15099" width="7.4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54296875" style="21" customWidth="1"/>
    <col min="15353" max="15353" width="9.81640625" style="21" customWidth="1"/>
    <col min="15354" max="15354" width="14.453125" style="21" customWidth="1"/>
    <col min="15355" max="15355" width="7.4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54296875" style="21" customWidth="1"/>
    <col min="15609" max="15609" width="9.81640625" style="21" customWidth="1"/>
    <col min="15610" max="15610" width="14.453125" style="21" customWidth="1"/>
    <col min="15611" max="15611" width="7.4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54296875" style="21" customWidth="1"/>
    <col min="15865" max="15865" width="9.81640625" style="21" customWidth="1"/>
    <col min="15866" max="15866" width="14.453125" style="21" customWidth="1"/>
    <col min="15867" max="15867" width="7.4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54296875" style="21" customWidth="1"/>
    <col min="16121" max="16121" width="9.81640625" style="21" customWidth="1"/>
    <col min="16122" max="16122" width="14.453125" style="21" customWidth="1"/>
    <col min="16123" max="16123" width="7.4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184" t="s">
        <v>161</v>
      </c>
      <c r="B1" s="184"/>
      <c r="C1" s="184"/>
      <c r="D1" s="184"/>
      <c r="E1" s="184"/>
      <c r="F1" s="184"/>
      <c r="G1" s="184"/>
      <c r="H1" s="184"/>
    </row>
    <row r="2" spans="1:26" ht="16.5" customHeight="1" x14ac:dyDescent="0.35">
      <c r="A2" s="185" t="s">
        <v>0</v>
      </c>
      <c r="B2" s="185"/>
      <c r="C2" s="185"/>
      <c r="D2" s="185"/>
      <c r="E2" s="185"/>
      <c r="F2" s="185"/>
      <c r="G2" s="185"/>
      <c r="H2" s="185"/>
    </row>
    <row r="3" spans="1:26" x14ac:dyDescent="0.35">
      <c r="A3" s="155" t="s">
        <v>1</v>
      </c>
      <c r="B3" s="155"/>
      <c r="C3" s="155"/>
      <c r="D3" s="155"/>
      <c r="E3" s="155" t="str">
        <f ca="1">TEXT(TODAY(),"DD/MM/YYYY")</f>
        <v>12/07/2025</v>
      </c>
      <c r="F3" s="155"/>
      <c r="G3" s="155"/>
      <c r="H3" s="155"/>
      <c r="K3" s="60" t="s">
        <v>233</v>
      </c>
      <c r="L3" s="57" t="s">
        <v>231</v>
      </c>
      <c r="M3" s="57" t="s">
        <v>236</v>
      </c>
      <c r="N3" s="57" t="s">
        <v>234</v>
      </c>
      <c r="O3" s="57" t="s">
        <v>235</v>
      </c>
      <c r="P3" s="57" t="s">
        <v>237</v>
      </c>
    </row>
    <row r="4" spans="1:26" ht="15" customHeight="1" x14ac:dyDescent="0.35">
      <c r="A4" s="155" t="s">
        <v>230</v>
      </c>
      <c r="B4" s="155"/>
      <c r="C4" s="155"/>
      <c r="D4" s="155"/>
      <c r="E4" s="155" t="s">
        <v>231</v>
      </c>
      <c r="F4" s="155"/>
      <c r="G4" s="155"/>
      <c r="H4" s="155"/>
      <c r="K4" s="56" t="s">
        <v>232</v>
      </c>
      <c r="L4" s="57" t="s">
        <v>168</v>
      </c>
      <c r="M4" s="57" t="s">
        <v>241</v>
      </c>
      <c r="N4" s="57" t="s">
        <v>243</v>
      </c>
      <c r="O4" s="57" t="s">
        <v>245</v>
      </c>
      <c r="P4" s="57"/>
    </row>
    <row r="5" spans="1:26" ht="15" customHeight="1" x14ac:dyDescent="0.35">
      <c r="A5" s="155" t="s">
        <v>2</v>
      </c>
      <c r="B5" s="155"/>
      <c r="C5" s="155"/>
      <c r="D5" s="155"/>
      <c r="E5" s="155" t="s">
        <v>239</v>
      </c>
      <c r="F5" s="155"/>
      <c r="G5" s="155"/>
      <c r="H5" s="155"/>
      <c r="K5" s="56"/>
      <c r="L5" s="57" t="s">
        <v>238</v>
      </c>
      <c r="M5" s="57" t="s">
        <v>242</v>
      </c>
      <c r="N5" s="57" t="s">
        <v>244</v>
      </c>
      <c r="O5" s="57" t="s">
        <v>246</v>
      </c>
      <c r="P5" s="57"/>
    </row>
    <row r="6" spans="1:26" x14ac:dyDescent="0.35">
      <c r="A6" s="155" t="s">
        <v>3</v>
      </c>
      <c r="B6" s="155"/>
      <c r="C6" s="155"/>
      <c r="D6" s="155"/>
      <c r="E6" s="186">
        <v>45847</v>
      </c>
      <c r="F6" s="155"/>
      <c r="G6" s="155"/>
      <c r="H6" s="155"/>
      <c r="K6" s="56"/>
      <c r="L6" s="57" t="s">
        <v>239</v>
      </c>
      <c r="M6" s="57"/>
      <c r="N6" s="57"/>
      <c r="O6" s="57" t="s">
        <v>247</v>
      </c>
      <c r="P6" s="57"/>
    </row>
    <row r="7" spans="1:26" ht="16.5" customHeight="1" x14ac:dyDescent="0.35">
      <c r="A7" s="155" t="s">
        <v>4</v>
      </c>
      <c r="B7" s="155"/>
      <c r="C7" s="155"/>
      <c r="D7" s="155"/>
      <c r="E7" s="155" t="s">
        <v>343</v>
      </c>
      <c r="F7" s="155"/>
      <c r="G7" s="155"/>
      <c r="H7" s="155"/>
      <c r="K7" s="56"/>
      <c r="L7" s="57" t="s">
        <v>240</v>
      </c>
      <c r="M7" s="57"/>
      <c r="N7" s="57"/>
      <c r="O7" s="57" t="s">
        <v>247</v>
      </c>
      <c r="P7" s="57"/>
    </row>
    <row r="8" spans="1:26" ht="15" customHeight="1" x14ac:dyDescent="0.35">
      <c r="A8" s="155" t="s">
        <v>5</v>
      </c>
      <c r="B8" s="155"/>
      <c r="C8" s="155"/>
      <c r="D8" s="155"/>
      <c r="E8" s="155" t="str">
        <f>E7</f>
        <v>Vibrant Infra &amp; Matrix Realty</v>
      </c>
      <c r="F8" s="155"/>
      <c r="G8" s="155"/>
      <c r="H8" s="155"/>
      <c r="K8" s="56"/>
      <c r="L8" s="57"/>
      <c r="M8" s="57"/>
      <c r="N8" s="57"/>
      <c r="O8" s="57" t="s">
        <v>248</v>
      </c>
      <c r="P8" s="57"/>
    </row>
    <row r="9" spans="1:26" x14ac:dyDescent="0.35">
      <c r="A9" s="155" t="s">
        <v>6</v>
      </c>
      <c r="B9" s="155"/>
      <c r="C9" s="155"/>
      <c r="D9" s="155"/>
      <c r="E9" s="119" t="s">
        <v>326</v>
      </c>
      <c r="F9" s="119"/>
      <c r="G9" s="119"/>
      <c r="H9" s="119"/>
      <c r="K9" s="56"/>
      <c r="L9" s="57"/>
      <c r="M9" s="57"/>
      <c r="N9" s="57"/>
      <c r="O9" s="57" t="s">
        <v>249</v>
      </c>
      <c r="P9" s="57"/>
    </row>
    <row r="10" spans="1:26" x14ac:dyDescent="0.35">
      <c r="A10" s="155" t="s">
        <v>164</v>
      </c>
      <c r="B10" s="155"/>
      <c r="C10" s="155"/>
      <c r="D10" s="155"/>
      <c r="E10" s="155" t="s">
        <v>300</v>
      </c>
      <c r="F10" s="155"/>
      <c r="G10" s="155"/>
      <c r="H10" s="155"/>
      <c r="K10" s="56"/>
      <c r="L10" s="57"/>
      <c r="M10" s="57"/>
      <c r="N10" s="57"/>
      <c r="O10" s="57"/>
      <c r="P10" s="57"/>
    </row>
    <row r="11" spans="1:26" hidden="1" x14ac:dyDescent="0.35">
      <c r="A11" s="155" t="s">
        <v>165</v>
      </c>
      <c r="B11" s="155"/>
      <c r="C11" s="155"/>
      <c r="D11" s="155"/>
      <c r="E11" s="155" t="s">
        <v>344</v>
      </c>
      <c r="F11" s="155"/>
      <c r="G11" s="155"/>
      <c r="H11" s="155"/>
    </row>
    <row r="12" spans="1:26" x14ac:dyDescent="0.35">
      <c r="A12" s="155" t="s">
        <v>7</v>
      </c>
      <c r="B12" s="155"/>
      <c r="C12" s="155"/>
      <c r="D12" s="155"/>
      <c r="E12" s="155" t="s">
        <v>118</v>
      </c>
      <c r="F12" s="155"/>
      <c r="G12" s="155"/>
      <c r="H12" s="155"/>
    </row>
    <row r="13" spans="1:26" x14ac:dyDescent="0.35">
      <c r="A13" s="155" t="s">
        <v>169</v>
      </c>
      <c r="B13" s="155"/>
      <c r="C13" s="155"/>
      <c r="D13" s="155"/>
      <c r="E13" s="155" t="s">
        <v>28</v>
      </c>
      <c r="F13" s="155"/>
      <c r="G13" s="155"/>
      <c r="H13" s="155"/>
      <c r="S13" s="57" t="s">
        <v>176</v>
      </c>
      <c r="T13" s="57" t="s">
        <v>186</v>
      </c>
      <c r="U13" s="57" t="s">
        <v>170</v>
      </c>
      <c r="V13" s="57" t="s">
        <v>191</v>
      </c>
      <c r="W13" s="57" t="s">
        <v>209</v>
      </c>
      <c r="X13"/>
      <c r="Y13" t="s">
        <v>191</v>
      </c>
      <c r="Z13" t="e">
        <f ca="1">OFFSET($S$13,1,MATCH($G20,$S$13:$W$13,0)-1,15,1)</f>
        <v>#VALUE!</v>
      </c>
    </row>
    <row r="14" spans="1:26" ht="32.25" customHeight="1" x14ac:dyDescent="0.35">
      <c r="A14" s="94" t="s">
        <v>276</v>
      </c>
      <c r="B14" s="94"/>
      <c r="C14" s="94"/>
      <c r="D14" s="94"/>
      <c r="E14" s="183" t="s">
        <v>341</v>
      </c>
      <c r="F14" s="183"/>
      <c r="G14" s="183"/>
      <c r="H14" s="183"/>
      <c r="S14" s="57" t="s">
        <v>177</v>
      </c>
      <c r="T14" s="57" t="s">
        <v>184</v>
      </c>
      <c r="U14" s="57" t="s">
        <v>206</v>
      </c>
      <c r="V14" s="57" t="s">
        <v>192</v>
      </c>
      <c r="W14" s="57" t="s">
        <v>210</v>
      </c>
      <c r="X14"/>
      <c r="Y14"/>
      <c r="Z14"/>
    </row>
    <row r="15" spans="1:26" x14ac:dyDescent="0.35">
      <c r="A15" s="94" t="s">
        <v>8</v>
      </c>
      <c r="B15" s="94"/>
      <c r="C15" s="94"/>
      <c r="D15" s="94"/>
      <c r="E15" s="154" t="s">
        <v>28</v>
      </c>
      <c r="F15" s="155"/>
      <c r="G15" s="155"/>
      <c r="H15" s="155"/>
      <c r="I15" s="231" t="e">
        <f ca="1">OFFSET($D$5,1,MATCH($J13,$D$5:$H$5,0)-1,15,1)</f>
        <v>#N/A</v>
      </c>
      <c r="J15" s="232"/>
      <c r="K15" s="232"/>
      <c r="L15" s="232"/>
      <c r="M15" s="232"/>
      <c r="N15" s="232"/>
      <c r="O15" s="232"/>
      <c r="P15" s="232"/>
      <c r="S15" s="57" t="s">
        <v>178</v>
      </c>
      <c r="T15" s="57" t="s">
        <v>185</v>
      </c>
      <c r="U15" s="57" t="s">
        <v>207</v>
      </c>
      <c r="V15" s="57" t="s">
        <v>193</v>
      </c>
      <c r="W15" s="57" t="s">
        <v>223</v>
      </c>
      <c r="X15"/>
      <c r="Y15"/>
      <c r="Z15"/>
    </row>
    <row r="16" spans="1:26" ht="34.5" customHeight="1" x14ac:dyDescent="0.35">
      <c r="A16" s="125" t="s">
        <v>9</v>
      </c>
      <c r="B16" s="125"/>
      <c r="C16" s="125" t="str">
        <f>CONCATENATE((IF(OR(E9="",E9="NA"),"",E9)),", ",(IF(OR(A17="",A17="NA"),"",A17)),".",(IF(OR(C17="",C17="NA"),"",C17)),", near ",(IF(OR(C22="",C22="NA"),"",C22)),", ",(IF(OR(C19="",C19="NA"),"",C19)),", ",(IF(OR(C18="",C18="NA"),"",C18)),", ",(IF(OR(G19="",G19="NA"),"",G19)),", ",(IF(OR(C20="",C20="NA"),"",C20)),", ",(IF(OR(C21="",C21="NA"),"",C21)),", ",(IF(OR(G20="",G20="NA"),"",G20))," - ",(IF(OR(G21="",G21="NA"),"",G21)),".")</f>
        <v>Vibrant Homes, Plot No.E-10, Sector 8, near Siddhivinayak CHS Plot E-9, Internal Rd, Khar Koper, Ulwe, Ulwe, Panvel, Raigad - 410206.</v>
      </c>
      <c r="D16" s="125"/>
      <c r="E16" s="125"/>
      <c r="F16" s="125"/>
      <c r="G16" s="125"/>
      <c r="H16" s="125"/>
      <c r="S16" s="57" t="s">
        <v>179</v>
      </c>
      <c r="T16" s="57" t="s">
        <v>187</v>
      </c>
      <c r="U16" s="57" t="s">
        <v>208</v>
      </c>
      <c r="V16" s="57" t="s">
        <v>194</v>
      </c>
      <c r="W16" s="57" t="s">
        <v>211</v>
      </c>
      <c r="X16"/>
      <c r="Y16"/>
      <c r="Z16"/>
    </row>
    <row r="17" spans="1:26" x14ac:dyDescent="0.35">
      <c r="A17" s="154" t="s">
        <v>301</v>
      </c>
      <c r="B17" s="154"/>
      <c r="C17" s="154" t="s">
        <v>330</v>
      </c>
      <c r="D17" s="154"/>
      <c r="E17" s="154"/>
      <c r="F17" s="154"/>
      <c r="G17" s="154"/>
      <c r="H17" s="154"/>
      <c r="J17" s="87" t="s">
        <v>328</v>
      </c>
      <c r="K17" s="87"/>
      <c r="L17" s="87"/>
      <c r="S17" s="57" t="s">
        <v>180</v>
      </c>
      <c r="T17" s="57" t="s">
        <v>188</v>
      </c>
      <c r="U17" s="57" t="s">
        <v>170</v>
      </c>
      <c r="V17" s="57" t="s">
        <v>195</v>
      </c>
      <c r="W17" s="57" t="s">
        <v>212</v>
      </c>
      <c r="X17"/>
      <c r="Y17"/>
      <c r="Z17"/>
    </row>
    <row r="18" spans="1:26" ht="15.75" customHeight="1" x14ac:dyDescent="0.35">
      <c r="A18" s="154" t="s">
        <v>159</v>
      </c>
      <c r="B18" s="154"/>
      <c r="C18" s="154" t="s">
        <v>304</v>
      </c>
      <c r="D18" s="154"/>
      <c r="E18" s="154"/>
      <c r="F18" s="154"/>
      <c r="G18" s="154"/>
      <c r="H18" s="154"/>
      <c r="S18" s="57" t="s">
        <v>181</v>
      </c>
      <c r="T18" s="57" t="s">
        <v>186</v>
      </c>
      <c r="U18" s="57"/>
      <c r="V18" s="57" t="s">
        <v>196</v>
      </c>
      <c r="W18" s="57" t="s">
        <v>213</v>
      </c>
      <c r="X18"/>
      <c r="Y18"/>
      <c r="Z18"/>
    </row>
    <row r="19" spans="1:26" ht="15.75" customHeight="1" x14ac:dyDescent="0.35">
      <c r="A19" s="125" t="s">
        <v>10</v>
      </c>
      <c r="B19" s="125"/>
      <c r="C19" s="155" t="s">
        <v>332</v>
      </c>
      <c r="D19" s="155"/>
      <c r="E19" s="125" t="s">
        <v>70</v>
      </c>
      <c r="F19" s="125"/>
      <c r="G19" s="154" t="s">
        <v>305</v>
      </c>
      <c r="H19" s="154"/>
      <c r="S19" s="57" t="s">
        <v>182</v>
      </c>
      <c r="T19" s="57" t="s">
        <v>189</v>
      </c>
      <c r="U19" s="57"/>
      <c r="V19" s="57" t="s">
        <v>197</v>
      </c>
      <c r="W19" s="57" t="s">
        <v>214</v>
      </c>
      <c r="X19"/>
      <c r="Y19"/>
      <c r="Z19"/>
    </row>
    <row r="20" spans="1:26" x14ac:dyDescent="0.35">
      <c r="A20" s="94" t="s">
        <v>12</v>
      </c>
      <c r="B20" s="94"/>
      <c r="C20" s="154" t="s">
        <v>305</v>
      </c>
      <c r="D20" s="154"/>
      <c r="E20" s="154" t="s">
        <v>11</v>
      </c>
      <c r="F20" s="154"/>
      <c r="G20" s="182" t="s">
        <v>191</v>
      </c>
      <c r="H20" s="182"/>
      <c r="S20" s="57" t="s">
        <v>183</v>
      </c>
      <c r="T20" s="57" t="s">
        <v>190</v>
      </c>
      <c r="U20" s="57"/>
      <c r="V20" s="57" t="s">
        <v>198</v>
      </c>
      <c r="W20" s="57" t="s">
        <v>215</v>
      </c>
      <c r="X20"/>
      <c r="Y20"/>
      <c r="Z20"/>
    </row>
    <row r="21" spans="1:26" x14ac:dyDescent="0.35">
      <c r="A21" s="94" t="s">
        <v>71</v>
      </c>
      <c r="B21" s="94"/>
      <c r="C21" s="154" t="s">
        <v>193</v>
      </c>
      <c r="D21" s="154"/>
      <c r="E21" s="154" t="s">
        <v>13</v>
      </c>
      <c r="F21" s="154"/>
      <c r="G21" s="154">
        <v>410206</v>
      </c>
      <c r="H21" s="154"/>
      <c r="S21" s="57"/>
      <c r="T21" s="57"/>
      <c r="U21" s="57"/>
      <c r="V21" s="57" t="s">
        <v>199</v>
      </c>
      <c r="W21" s="57" t="s">
        <v>216</v>
      </c>
      <c r="X21"/>
      <c r="Y21"/>
      <c r="Z21"/>
    </row>
    <row r="22" spans="1:26" ht="54" customHeight="1" x14ac:dyDescent="0.35">
      <c r="A22" s="94" t="s">
        <v>119</v>
      </c>
      <c r="B22" s="94"/>
      <c r="C22" s="154" t="s">
        <v>331</v>
      </c>
      <c r="D22" s="154"/>
      <c r="E22" s="154" t="s">
        <v>14</v>
      </c>
      <c r="F22" s="154"/>
      <c r="G22" s="154" t="s">
        <v>306</v>
      </c>
      <c r="H22" s="154"/>
      <c r="S22" s="57"/>
      <c r="T22" s="57"/>
      <c r="U22" s="57"/>
      <c r="V22" s="57" t="s">
        <v>200</v>
      </c>
      <c r="W22" s="57" t="s">
        <v>217</v>
      </c>
      <c r="X22"/>
      <c r="Y22"/>
      <c r="Z22"/>
    </row>
    <row r="23" spans="1:26" ht="15" customHeight="1" x14ac:dyDescent="0.35">
      <c r="A23" s="125" t="s">
        <v>73</v>
      </c>
      <c r="B23" s="125"/>
      <c r="C23" s="125"/>
      <c r="D23" s="125"/>
      <c r="E23" s="155" t="s">
        <v>15</v>
      </c>
      <c r="F23" s="155"/>
      <c r="G23" s="155"/>
      <c r="H23" s="155"/>
      <c r="S23" s="57"/>
      <c r="T23" s="57"/>
      <c r="U23" s="57"/>
      <c r="V23" s="57" t="s">
        <v>201</v>
      </c>
      <c r="W23" s="57" t="s">
        <v>218</v>
      </c>
      <c r="X23"/>
      <c r="Y23"/>
      <c r="Z23"/>
    </row>
    <row r="24" spans="1:26" ht="18.75" customHeight="1" x14ac:dyDescent="0.35">
      <c r="A24" s="125"/>
      <c r="B24" s="125"/>
      <c r="C24" s="125"/>
      <c r="D24" s="125"/>
      <c r="E24" s="155"/>
      <c r="F24" s="155"/>
      <c r="G24" s="155"/>
      <c r="H24" s="155"/>
      <c r="S24" s="57"/>
      <c r="T24" s="57"/>
      <c r="U24" s="57"/>
      <c r="V24" s="57" t="s">
        <v>202</v>
      </c>
      <c r="W24" s="57" t="s">
        <v>219</v>
      </c>
      <c r="X24"/>
      <c r="Y24"/>
      <c r="Z24"/>
    </row>
    <row r="25" spans="1:26" ht="15" customHeight="1" x14ac:dyDescent="0.35">
      <c r="A25" s="125" t="s">
        <v>16</v>
      </c>
      <c r="B25" s="125"/>
      <c r="C25" s="125"/>
      <c r="D25" s="125"/>
      <c r="E25" s="154" t="s">
        <v>17</v>
      </c>
      <c r="F25" s="154"/>
      <c r="G25" s="154"/>
      <c r="H25" s="154"/>
      <c r="S25" s="57"/>
      <c r="T25" s="57"/>
      <c r="U25" s="57"/>
      <c r="V25" s="57" t="s">
        <v>203</v>
      </c>
      <c r="W25" s="57" t="s">
        <v>220</v>
      </c>
      <c r="X25"/>
      <c r="Y25"/>
      <c r="Z25"/>
    </row>
    <row r="26" spans="1:26" ht="15" customHeight="1" x14ac:dyDescent="0.35">
      <c r="A26" s="94" t="s">
        <v>18</v>
      </c>
      <c r="B26" s="94"/>
      <c r="C26" s="94"/>
      <c r="D26" s="94"/>
      <c r="E26" s="154" t="str">
        <f>IF(AND(G20="Mumbai"),"Upper Class","Middle Class")</f>
        <v>Middle Class</v>
      </c>
      <c r="F26" s="154"/>
      <c r="G26" s="154"/>
      <c r="H26" s="154"/>
      <c r="S26" s="57"/>
      <c r="T26" s="57"/>
      <c r="U26" s="57"/>
      <c r="V26" s="57" t="s">
        <v>204</v>
      </c>
      <c r="W26" s="57" t="s">
        <v>221</v>
      </c>
      <c r="X26"/>
      <c r="Y26"/>
      <c r="Z26"/>
    </row>
    <row r="27" spans="1:26" x14ac:dyDescent="0.35">
      <c r="A27" s="94" t="s">
        <v>19</v>
      </c>
      <c r="B27" s="94"/>
      <c r="C27" s="94"/>
      <c r="D27" s="94"/>
      <c r="E27" s="154" t="s">
        <v>20</v>
      </c>
      <c r="F27" s="154"/>
      <c r="G27" s="154"/>
      <c r="H27" s="154"/>
      <c r="S27" s="57"/>
      <c r="T27" s="57"/>
      <c r="U27" s="57"/>
      <c r="V27" s="57" t="s">
        <v>205</v>
      </c>
      <c r="W27" s="57" t="s">
        <v>222</v>
      </c>
      <c r="X27"/>
      <c r="Y27"/>
      <c r="Z27"/>
    </row>
    <row r="28" spans="1:26" ht="15.75" customHeight="1" x14ac:dyDescent="0.35">
      <c r="A28" s="94" t="s">
        <v>21</v>
      </c>
      <c r="B28" s="94"/>
      <c r="C28" s="94"/>
      <c r="D28" s="94"/>
      <c r="E28" s="154" t="str">
        <f>IF(AND(G20="Mumbai"),"Developed","Developing")</f>
        <v>Developing</v>
      </c>
      <c r="F28" s="154"/>
      <c r="G28" s="154"/>
      <c r="H28" s="154"/>
    </row>
    <row r="29" spans="1:26" x14ac:dyDescent="0.35">
      <c r="A29" s="94" t="s">
        <v>22</v>
      </c>
      <c r="B29" s="94"/>
      <c r="C29" s="94"/>
      <c r="D29" s="94"/>
      <c r="E29" s="154" t="s">
        <v>23</v>
      </c>
      <c r="F29" s="154"/>
      <c r="G29" s="154"/>
      <c r="H29" s="154"/>
    </row>
    <row r="30" spans="1:26" ht="15.75" customHeight="1" x14ac:dyDescent="0.35">
      <c r="A30" s="94" t="s">
        <v>78</v>
      </c>
      <c r="B30" s="94"/>
      <c r="C30" s="94"/>
      <c r="D30" s="94"/>
      <c r="E30" s="154" t="s">
        <v>79</v>
      </c>
      <c r="F30" s="154"/>
      <c r="G30" s="154"/>
      <c r="H30" s="154"/>
    </row>
    <row r="31" spans="1:26" ht="15" customHeight="1" x14ac:dyDescent="0.35">
      <c r="A31" s="94" t="s">
        <v>30</v>
      </c>
      <c r="B31" s="94"/>
      <c r="C31" s="94"/>
      <c r="D31" s="94"/>
      <c r="E31" s="154"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54"/>
      <c r="G31" s="154"/>
      <c r="H31" s="154"/>
    </row>
    <row r="32" spans="1:26" ht="15.75" customHeight="1" x14ac:dyDescent="0.35">
      <c r="A32" s="94" t="s">
        <v>90</v>
      </c>
      <c r="B32" s="94"/>
      <c r="C32" s="94"/>
      <c r="D32" s="94"/>
      <c r="E32" s="154" t="s">
        <v>31</v>
      </c>
      <c r="F32" s="154"/>
      <c r="G32" s="154"/>
      <c r="H32" s="154"/>
    </row>
    <row r="33" spans="1:19" s="22" customFormat="1" x14ac:dyDescent="0.35">
      <c r="A33" s="181" t="s">
        <v>91</v>
      </c>
      <c r="B33" s="181"/>
      <c r="C33" s="177" t="s">
        <v>171</v>
      </c>
      <c r="D33" s="178"/>
      <c r="E33" s="179"/>
      <c r="F33" s="177" t="s">
        <v>29</v>
      </c>
      <c r="G33" s="178"/>
      <c r="H33" s="179"/>
      <c r="S33" s="22" t="e">
        <f ca="1">OFFSET($S$13,1,MATCH($G20,$S$13:$W$13,0)-1,15,1)</f>
        <v>#VALUE!</v>
      </c>
    </row>
    <row r="34" spans="1:19" s="22" customFormat="1" x14ac:dyDescent="0.35">
      <c r="A34" s="180" t="s">
        <v>24</v>
      </c>
      <c r="B34" s="180" t="s">
        <v>28</v>
      </c>
      <c r="C34" s="174" t="s">
        <v>308</v>
      </c>
      <c r="D34" s="175"/>
      <c r="E34" s="176"/>
      <c r="F34" s="174" t="s">
        <v>309</v>
      </c>
      <c r="G34" s="175"/>
      <c r="H34" s="176"/>
    </row>
    <row r="35" spans="1:19" x14ac:dyDescent="0.35">
      <c r="A35" s="180" t="s">
        <v>25</v>
      </c>
      <c r="B35" s="180" t="s">
        <v>28</v>
      </c>
      <c r="C35" s="174" t="s">
        <v>333</v>
      </c>
      <c r="D35" s="175"/>
      <c r="E35" s="176"/>
      <c r="F35" s="174" t="s">
        <v>310</v>
      </c>
      <c r="G35" s="175"/>
      <c r="H35" s="176"/>
    </row>
    <row r="36" spans="1:19" s="22" customFormat="1" x14ac:dyDescent="0.35">
      <c r="A36" s="180" t="s">
        <v>27</v>
      </c>
      <c r="B36" s="180" t="s">
        <v>28</v>
      </c>
      <c r="C36" s="174" t="s">
        <v>307</v>
      </c>
      <c r="D36" s="175"/>
      <c r="E36" s="176"/>
      <c r="F36" s="174" t="s">
        <v>309</v>
      </c>
      <c r="G36" s="175"/>
      <c r="H36" s="176"/>
    </row>
    <row r="37" spans="1:19" x14ac:dyDescent="0.35">
      <c r="A37" s="180" t="s">
        <v>26</v>
      </c>
      <c r="B37" s="180" t="s">
        <v>28</v>
      </c>
      <c r="C37" s="174" t="s">
        <v>334</v>
      </c>
      <c r="D37" s="175"/>
      <c r="E37" s="176"/>
      <c r="F37" s="174" t="s">
        <v>331</v>
      </c>
      <c r="G37" s="175"/>
      <c r="H37" s="176"/>
    </row>
    <row r="38" spans="1:19" x14ac:dyDescent="0.35">
      <c r="A38" s="94" t="s">
        <v>277</v>
      </c>
      <c r="B38" s="94"/>
      <c r="C38" s="94"/>
      <c r="D38" s="94"/>
      <c r="E38" s="94"/>
      <c r="F38" s="94"/>
      <c r="G38" s="94"/>
      <c r="H38" s="94"/>
    </row>
    <row r="39" spans="1:19" ht="15.75" customHeight="1" x14ac:dyDescent="0.35">
      <c r="A39" s="94" t="s">
        <v>162</v>
      </c>
      <c r="B39" s="94"/>
      <c r="C39" s="156" t="s">
        <v>302</v>
      </c>
      <c r="D39" s="156"/>
      <c r="E39" s="156"/>
      <c r="F39" s="156"/>
      <c r="G39" s="156"/>
      <c r="H39" s="156"/>
    </row>
    <row r="40" spans="1:19" x14ac:dyDescent="0.35">
      <c r="A40" s="94" t="s">
        <v>158</v>
      </c>
      <c r="B40" s="94"/>
      <c r="C40" s="157" t="s">
        <v>303</v>
      </c>
      <c r="D40" s="154"/>
      <c r="E40" s="154"/>
      <c r="F40" s="154"/>
      <c r="G40" s="154"/>
      <c r="H40" s="154"/>
    </row>
    <row r="41" spans="1:19" x14ac:dyDescent="0.35">
      <c r="A41" s="156" t="s">
        <v>32</v>
      </c>
      <c r="B41" s="156"/>
      <c r="C41" s="156"/>
      <c r="D41" s="156"/>
      <c r="E41" s="156"/>
      <c r="F41" s="156"/>
      <c r="G41" s="156"/>
      <c r="H41" s="156"/>
    </row>
    <row r="42" spans="1:19" x14ac:dyDescent="0.35">
      <c r="A42" s="94" t="s">
        <v>33</v>
      </c>
      <c r="B42" s="94"/>
      <c r="C42" s="94"/>
      <c r="D42" s="94"/>
      <c r="E42" s="166">
        <v>499.6</v>
      </c>
      <c r="F42" s="166"/>
      <c r="G42" s="166"/>
      <c r="H42" s="166"/>
    </row>
    <row r="43" spans="1:19" x14ac:dyDescent="0.35">
      <c r="A43" s="94" t="s">
        <v>34</v>
      </c>
      <c r="B43" s="94"/>
      <c r="C43" s="94"/>
      <c r="D43" s="94"/>
      <c r="E43" s="172">
        <f>749.94/E42</f>
        <v>1.5010808646917535</v>
      </c>
      <c r="F43" s="172"/>
      <c r="G43" s="172"/>
      <c r="H43" s="172"/>
    </row>
    <row r="44" spans="1:19" x14ac:dyDescent="0.35">
      <c r="A44" s="94" t="s">
        <v>35</v>
      </c>
      <c r="B44" s="94"/>
      <c r="C44" s="94"/>
      <c r="D44" s="94"/>
      <c r="E44" s="172">
        <f>E46/E42-E43</f>
        <v>2.2043234587670133</v>
      </c>
      <c r="F44" s="172"/>
      <c r="G44" s="172"/>
      <c r="H44" s="172"/>
    </row>
    <row r="45" spans="1:19" x14ac:dyDescent="0.35">
      <c r="A45" s="94" t="s">
        <v>36</v>
      </c>
      <c r="B45" s="94"/>
      <c r="C45" s="94"/>
      <c r="D45" s="94"/>
      <c r="E45" s="172">
        <f>E43+E44</f>
        <v>3.705404323458767</v>
      </c>
      <c r="F45" s="172"/>
      <c r="G45" s="172"/>
      <c r="H45" s="172"/>
      <c r="I45" s="76">
        <f>E46/E42</f>
        <v>3.705404323458767</v>
      </c>
    </row>
    <row r="46" spans="1:19" x14ac:dyDescent="0.35">
      <c r="A46" s="94" t="s">
        <v>89</v>
      </c>
      <c r="B46" s="94"/>
      <c r="C46" s="94"/>
      <c r="D46" s="94"/>
      <c r="E46" s="173">
        <v>1851.22</v>
      </c>
      <c r="F46" s="173"/>
      <c r="G46" s="173"/>
      <c r="H46" s="173"/>
    </row>
    <row r="47" spans="1:19" x14ac:dyDescent="0.35">
      <c r="A47" s="155" t="s">
        <v>37</v>
      </c>
      <c r="B47" s="155"/>
      <c r="C47" s="155"/>
      <c r="D47" s="155"/>
      <c r="E47" s="155" t="s">
        <v>118</v>
      </c>
      <c r="F47" s="155"/>
      <c r="G47" s="155"/>
      <c r="H47" s="155"/>
    </row>
    <row r="48" spans="1:19" x14ac:dyDescent="0.35">
      <c r="A48" s="156" t="s">
        <v>38</v>
      </c>
      <c r="B48" s="156"/>
      <c r="C48" s="156"/>
      <c r="D48" s="156"/>
      <c r="E48" s="156"/>
      <c r="F48" s="156"/>
      <c r="G48" s="156"/>
      <c r="H48" s="156"/>
    </row>
    <row r="49" spans="1:24" ht="33.75" customHeight="1" x14ac:dyDescent="0.35">
      <c r="A49" s="137" t="s">
        <v>147</v>
      </c>
      <c r="B49" s="139"/>
      <c r="C49" s="215" t="s">
        <v>265</v>
      </c>
      <c r="D49" s="216"/>
      <c r="E49" s="216"/>
      <c r="F49" s="216"/>
      <c r="G49" s="216"/>
      <c r="H49" s="217"/>
      <c r="R49" t="s">
        <v>250</v>
      </c>
      <c r="S49" t="s">
        <v>170</v>
      </c>
      <c r="T49" t="s">
        <v>176</v>
      </c>
      <c r="U49" t="s">
        <v>191</v>
      </c>
      <c r="V49" t="s">
        <v>186</v>
      </c>
    </row>
    <row r="50" spans="1:24" ht="35.25" customHeight="1" x14ac:dyDescent="0.35">
      <c r="A50" s="137" t="s">
        <v>39</v>
      </c>
      <c r="B50" s="139"/>
      <c r="C50" s="137" t="s">
        <v>311</v>
      </c>
      <c r="D50" s="138"/>
      <c r="E50" s="139"/>
      <c r="F50" s="18" t="s">
        <v>40</v>
      </c>
      <c r="G50" s="152">
        <v>45161</v>
      </c>
      <c r="H50" s="139"/>
      <c r="R50"/>
      <c r="S50" t="s">
        <v>251</v>
      </c>
      <c r="T50" t="s">
        <v>256</v>
      </c>
      <c r="U50" t="s">
        <v>267</v>
      </c>
      <c r="V50" t="s">
        <v>272</v>
      </c>
    </row>
    <row r="51" spans="1:24" ht="30.75" customHeight="1" x14ac:dyDescent="0.35">
      <c r="A51" s="137" t="s">
        <v>41</v>
      </c>
      <c r="B51" s="139"/>
      <c r="C51" s="137" t="str">
        <f>C50</f>
        <v>CIDCO/BP-18624/TPO(NM &amp; K)/2023/11162</v>
      </c>
      <c r="D51" s="138"/>
      <c r="E51" s="139"/>
      <c r="F51" s="18" t="s">
        <v>40</v>
      </c>
      <c r="G51" s="152">
        <f>G50</f>
        <v>45161</v>
      </c>
      <c r="H51" s="139"/>
      <c r="R51"/>
      <c r="S51" t="s">
        <v>252</v>
      </c>
      <c r="T51" t="s">
        <v>257</v>
      </c>
      <c r="U51" t="s">
        <v>265</v>
      </c>
      <c r="V51" t="s">
        <v>273</v>
      </c>
    </row>
    <row r="52" spans="1:24" s="23" customFormat="1" ht="31.5" customHeight="1" x14ac:dyDescent="0.35">
      <c r="A52" s="227" t="s">
        <v>151</v>
      </c>
      <c r="B52" s="228"/>
      <c r="C52" s="137" t="s">
        <v>311</v>
      </c>
      <c r="D52" s="138"/>
      <c r="E52" s="139"/>
      <c r="F52" s="18" t="s">
        <v>40</v>
      </c>
      <c r="G52" s="152">
        <f>G51</f>
        <v>45161</v>
      </c>
      <c r="H52" s="139"/>
      <c r="R52"/>
      <c r="S52" t="s">
        <v>253</v>
      </c>
      <c r="T52" t="s">
        <v>258</v>
      </c>
      <c r="U52" t="s">
        <v>255</v>
      </c>
      <c r="V52" t="s">
        <v>274</v>
      </c>
    </row>
    <row r="53" spans="1:24" s="23" customFormat="1" ht="46.5" customHeight="1" x14ac:dyDescent="0.35">
      <c r="A53" s="229"/>
      <c r="B53" s="230"/>
      <c r="C53" s="137" t="s">
        <v>335</v>
      </c>
      <c r="D53" s="138"/>
      <c r="E53" s="138"/>
      <c r="F53" s="138"/>
      <c r="G53" s="138"/>
      <c r="H53" s="139"/>
      <c r="R53"/>
      <c r="S53" t="s">
        <v>254</v>
      </c>
      <c r="T53" t="s">
        <v>261</v>
      </c>
      <c r="U53" t="s">
        <v>268</v>
      </c>
    </row>
    <row r="54" spans="1:24" s="23" customFormat="1" hidden="1" x14ac:dyDescent="0.35">
      <c r="A54" s="223" t="s">
        <v>278</v>
      </c>
      <c r="B54" s="224"/>
      <c r="C54" s="137" t="str">
        <f>C53</f>
        <v>1Ground Floor + 7Floor
Builtup Area = 1851.2sq.m
Residential Units = 41, Commercial Units = 7.</v>
      </c>
      <c r="D54" s="138"/>
      <c r="E54" s="139"/>
      <c r="F54" s="18" t="s">
        <v>40</v>
      </c>
      <c r="G54" s="137"/>
      <c r="H54" s="139"/>
      <c r="R54"/>
      <c r="S54" t="s">
        <v>253</v>
      </c>
      <c r="T54" t="s">
        <v>258</v>
      </c>
      <c r="U54" t="s">
        <v>255</v>
      </c>
      <c r="V54" t="s">
        <v>274</v>
      </c>
    </row>
    <row r="55" spans="1:24" s="23" customFormat="1" ht="32.25" hidden="1" customHeight="1" x14ac:dyDescent="0.35">
      <c r="A55" s="225"/>
      <c r="B55" s="226"/>
      <c r="C55" s="218"/>
      <c r="D55" s="219"/>
      <c r="E55" s="219"/>
      <c r="F55" s="219"/>
      <c r="G55" s="219"/>
      <c r="H55" s="220"/>
      <c r="R55"/>
      <c r="S55" t="s">
        <v>255</v>
      </c>
      <c r="T55" t="s">
        <v>259</v>
      </c>
      <c r="U55" t="s">
        <v>269</v>
      </c>
      <c r="V55" s="21"/>
      <c r="W55" s="21"/>
      <c r="X55" s="21"/>
    </row>
    <row r="56" spans="1:24" s="23" customFormat="1" ht="34.5" hidden="1" customHeight="1" x14ac:dyDescent="0.35">
      <c r="A56" s="223" t="s">
        <v>279</v>
      </c>
      <c r="B56" s="224"/>
      <c r="C56" s="137">
        <f>C55</f>
        <v>0</v>
      </c>
      <c r="D56" s="138"/>
      <c r="E56" s="139"/>
      <c r="F56" s="18" t="s">
        <v>40</v>
      </c>
      <c r="G56" s="137">
        <f>G55</f>
        <v>0</v>
      </c>
      <c r="H56" s="139"/>
      <c r="R56"/>
      <c r="S56" s="21"/>
      <c r="T56" t="s">
        <v>260</v>
      </c>
      <c r="U56" t="s">
        <v>270</v>
      </c>
      <c r="V56" s="21"/>
      <c r="W56" s="21"/>
      <c r="X56" s="21"/>
    </row>
    <row r="57" spans="1:24" s="23" customFormat="1" ht="41.25" hidden="1" customHeight="1" x14ac:dyDescent="0.35">
      <c r="A57" s="225"/>
      <c r="B57" s="226"/>
      <c r="C57" s="137"/>
      <c r="D57" s="138"/>
      <c r="E57" s="138"/>
      <c r="F57" s="138"/>
      <c r="G57" s="138"/>
      <c r="H57" s="139"/>
      <c r="R57"/>
      <c r="S57" s="21"/>
      <c r="T57" t="s">
        <v>262</v>
      </c>
      <c r="U57" t="s">
        <v>271</v>
      </c>
      <c r="V57" s="21"/>
      <c r="W57" s="21"/>
      <c r="X57" s="21"/>
    </row>
    <row r="58" spans="1:24" s="23" customFormat="1" ht="15.75" hidden="1" customHeight="1" x14ac:dyDescent="0.35">
      <c r="A58" s="223" t="s">
        <v>280</v>
      </c>
      <c r="B58" s="224"/>
      <c r="C58" s="137">
        <f>C57</f>
        <v>0</v>
      </c>
      <c r="D58" s="138"/>
      <c r="E58" s="139"/>
      <c r="F58" s="18" t="s">
        <v>40</v>
      </c>
      <c r="G58" s="137">
        <f>G57</f>
        <v>0</v>
      </c>
      <c r="H58" s="139"/>
      <c r="R58"/>
      <c r="S58" s="21"/>
      <c r="T58" t="s">
        <v>263</v>
      </c>
      <c r="U58" s="21" t="s">
        <v>294</v>
      </c>
      <c r="V58" s="21"/>
      <c r="W58" s="21"/>
      <c r="X58" s="21"/>
    </row>
    <row r="59" spans="1:24" s="23" customFormat="1" ht="33.75" hidden="1" customHeight="1" x14ac:dyDescent="0.35">
      <c r="A59" s="225"/>
      <c r="B59" s="226"/>
      <c r="C59" s="137"/>
      <c r="D59" s="138"/>
      <c r="E59" s="138"/>
      <c r="F59" s="138"/>
      <c r="G59" s="138"/>
      <c r="H59" s="139"/>
      <c r="R59"/>
      <c r="S59" s="21"/>
      <c r="T59" t="s">
        <v>264</v>
      </c>
      <c r="U59" s="21"/>
      <c r="V59" s="21"/>
      <c r="W59" s="21"/>
      <c r="X59" s="21"/>
    </row>
    <row r="60" spans="1:24" x14ac:dyDescent="0.35">
      <c r="A60" s="234" t="s">
        <v>42</v>
      </c>
      <c r="B60" s="235"/>
      <c r="C60" s="234" t="s">
        <v>103</v>
      </c>
      <c r="D60" s="236"/>
      <c r="E60" s="235"/>
      <c r="F60" s="45" t="s">
        <v>40</v>
      </c>
      <c r="G60" s="221" t="s">
        <v>28</v>
      </c>
      <c r="H60" s="222"/>
      <c r="R60"/>
      <c r="T60" t="s">
        <v>266</v>
      </c>
    </row>
    <row r="61" spans="1:24" x14ac:dyDescent="0.35">
      <c r="A61" s="153" t="s">
        <v>44</v>
      </c>
      <c r="B61" s="153"/>
      <c r="C61" s="153"/>
      <c r="D61" s="153"/>
      <c r="E61" s="153"/>
      <c r="F61" s="153"/>
      <c r="G61" s="153"/>
      <c r="H61" s="153"/>
      <c r="T61" t="s">
        <v>275</v>
      </c>
    </row>
    <row r="62" spans="1:24" x14ac:dyDescent="0.35">
      <c r="A62" s="125" t="s">
        <v>88</v>
      </c>
      <c r="B62" s="125"/>
      <c r="C62" s="125"/>
      <c r="D62" s="94">
        <f>E46</f>
        <v>1851.22</v>
      </c>
      <c r="E62" s="94"/>
      <c r="F62" s="94"/>
      <c r="G62" s="94"/>
      <c r="H62" s="94"/>
      <c r="R62"/>
    </row>
    <row r="63" spans="1:24" x14ac:dyDescent="0.35">
      <c r="A63" s="154" t="s">
        <v>45</v>
      </c>
      <c r="B63" s="155"/>
      <c r="C63" s="155"/>
      <c r="D63" s="155" t="s">
        <v>325</v>
      </c>
      <c r="E63" s="155"/>
      <c r="F63" s="155"/>
      <c r="G63" s="155"/>
      <c r="H63" s="155"/>
      <c r="I63" s="24"/>
      <c r="R63"/>
    </row>
    <row r="64" spans="1:24" x14ac:dyDescent="0.35">
      <c r="A64" s="140" t="s">
        <v>46</v>
      </c>
      <c r="B64" s="141"/>
      <c r="C64" s="214"/>
      <c r="D64" s="159" t="s">
        <v>312</v>
      </c>
      <c r="E64" s="213"/>
      <c r="F64" s="213"/>
      <c r="G64" s="213"/>
      <c r="H64" s="213"/>
      <c r="R64"/>
    </row>
    <row r="65" spans="1:19" ht="15.75" customHeight="1" x14ac:dyDescent="0.35">
      <c r="A65" s="140" t="s">
        <v>86</v>
      </c>
      <c r="B65" s="141"/>
      <c r="C65" s="141"/>
      <c r="D65" s="146" t="s">
        <v>312</v>
      </c>
      <c r="E65" s="147"/>
      <c r="F65" s="147"/>
      <c r="G65" s="147"/>
      <c r="H65" s="148"/>
      <c r="R65"/>
    </row>
    <row r="66" spans="1:19" ht="15.75" hidden="1" customHeight="1" x14ac:dyDescent="0.35">
      <c r="A66" s="142"/>
      <c r="B66" s="143"/>
      <c r="C66" s="143"/>
      <c r="D66" s="149" t="s">
        <v>295</v>
      </c>
      <c r="E66" s="150"/>
      <c r="F66" s="150"/>
      <c r="G66" s="150"/>
      <c r="H66" s="151"/>
      <c r="R66"/>
    </row>
    <row r="67" spans="1:19" ht="15.75" hidden="1" customHeight="1" x14ac:dyDescent="0.35">
      <c r="A67" s="144"/>
      <c r="B67" s="145"/>
      <c r="C67" s="145"/>
      <c r="D67" s="134" t="s">
        <v>166</v>
      </c>
      <c r="E67" s="135"/>
      <c r="F67" s="135"/>
      <c r="G67" s="135"/>
      <c r="H67" s="136"/>
      <c r="S67"/>
    </row>
    <row r="68" spans="1:19" ht="15.75" customHeight="1" x14ac:dyDescent="0.35">
      <c r="A68" s="94" t="s">
        <v>43</v>
      </c>
      <c r="B68" s="94"/>
      <c r="C68" s="94"/>
      <c r="D68" s="167" t="s">
        <v>313</v>
      </c>
      <c r="E68" s="167"/>
      <c r="F68" s="167"/>
      <c r="G68" s="167"/>
      <c r="H68" s="167"/>
      <c r="I68" s="87" t="s">
        <v>329</v>
      </c>
      <c r="J68" s="25"/>
      <c r="K68" s="24"/>
      <c r="N68" s="24"/>
      <c r="S68"/>
    </row>
    <row r="69" spans="1:19" ht="15.75" customHeight="1" x14ac:dyDescent="0.35">
      <c r="A69" s="94" t="s">
        <v>84</v>
      </c>
      <c r="B69" s="94"/>
      <c r="C69" s="94"/>
      <c r="D69" s="171" t="str">
        <f>(IF(G60="NA","60 Years After Completion",IF(G60&lt;&gt;"NA",""&amp;60-ROUNDDOWN((E3-G60)/360,0)&amp;" Years"," ")))</f>
        <v>60 Years After Completion</v>
      </c>
      <c r="E69" s="171"/>
      <c r="F69" s="171"/>
      <c r="G69" s="171"/>
      <c r="H69" s="171"/>
      <c r="N69" s="24"/>
      <c r="S69"/>
    </row>
    <row r="70" spans="1:19" ht="15.75" customHeight="1" x14ac:dyDescent="0.35">
      <c r="A70" s="94" t="s">
        <v>85</v>
      </c>
      <c r="B70" s="94"/>
      <c r="C70" s="94"/>
      <c r="D70" s="125" t="s">
        <v>23</v>
      </c>
      <c r="E70" s="125"/>
      <c r="F70" s="125"/>
      <c r="G70" s="125"/>
      <c r="H70" s="125"/>
      <c r="J70" s="26"/>
      <c r="K70" s="26"/>
      <c r="S70"/>
    </row>
    <row r="71" spans="1:19" ht="33.75" customHeight="1" x14ac:dyDescent="0.35">
      <c r="A71" s="155" t="s">
        <v>314</v>
      </c>
      <c r="B71" s="155"/>
      <c r="C71" s="155"/>
      <c r="D71" s="154" t="s">
        <v>336</v>
      </c>
      <c r="E71" s="154"/>
      <c r="F71" s="154"/>
      <c r="G71" s="154"/>
      <c r="H71" s="154"/>
      <c r="S71"/>
    </row>
    <row r="72" spans="1:19" x14ac:dyDescent="0.35">
      <c r="A72" s="125" t="s">
        <v>145</v>
      </c>
      <c r="B72" s="125"/>
      <c r="C72" s="125"/>
      <c r="D72" s="125" t="s">
        <v>28</v>
      </c>
      <c r="E72" s="125"/>
      <c r="F72" s="125"/>
      <c r="G72" s="125"/>
      <c r="H72" s="125"/>
      <c r="I72" s="27"/>
      <c r="J72" s="27"/>
      <c r="K72" s="27"/>
      <c r="L72" s="27"/>
      <c r="M72" s="27"/>
      <c r="N72" s="27"/>
    </row>
    <row r="73" spans="1:19" ht="15.75" customHeight="1" x14ac:dyDescent="0.35">
      <c r="A73" s="237" t="s">
        <v>83</v>
      </c>
      <c r="B73" s="237"/>
      <c r="C73" s="237"/>
      <c r="D73" s="159" t="str">
        <f ca="1">(IF(G79&gt;95%,"Nothing",IF(G79&gt;0%,"Cement, Aggregate, Steel, etc",IF(G79=0%,"Work not yet Started"))))</f>
        <v>Cement, Aggregate, Steel, etc</v>
      </c>
      <c r="E73" s="159"/>
      <c r="F73" s="159"/>
      <c r="G73" s="159"/>
      <c r="H73" s="159"/>
      <c r="J73" s="26"/>
      <c r="S73"/>
    </row>
    <row r="74" spans="1:19" ht="33.75" customHeight="1" thickBot="1" x14ac:dyDescent="0.4">
      <c r="A74" s="158" t="s">
        <v>116</v>
      </c>
      <c r="B74" s="158"/>
      <c r="C74" s="158"/>
      <c r="D74" s="159" t="str">
        <f ca="1">(IF(D73="Nothing","Yes",IF(D73="Cement, Aggregate, Steel, etc","Under Construction",IF(D73="Work not yet Started","Work not yet Started"))))</f>
        <v>Under Construction</v>
      </c>
      <c r="E74" s="159"/>
      <c r="F74" s="159" t="str">
        <f ca="1">(IF(D73="Nothing","Yes",IF(D73="Cement, Aggregate, Steel, etc","Under Construction",IF(D73="Work not yet Started","Work not yet Started"))))</f>
        <v>Under Construction</v>
      </c>
      <c r="G74" s="159"/>
      <c r="H74" s="159"/>
      <c r="S74"/>
    </row>
    <row r="75" spans="1:19" ht="15.75" customHeight="1" x14ac:dyDescent="0.35">
      <c r="A75" s="120" t="s">
        <v>137</v>
      </c>
      <c r="B75" s="121"/>
      <c r="C75" s="122" t="str">
        <f>D65</f>
        <v>Gr + 1st to 7th Floor</v>
      </c>
      <c r="D75" s="123"/>
      <c r="E75" s="123"/>
      <c r="F75" s="123"/>
      <c r="G75" s="123"/>
      <c r="H75" s="124"/>
      <c r="I75" s="49" t="str">
        <f ca="1">IF(D88=100%,"All work Completed. Possession granted to the Building.",IF(D87=100%,"All work Completed, Waiting for OC",I76&amp;""&amp;I77&amp;""&amp;J76&amp;""&amp;J75&amp;" "&amp;J77))</f>
        <v>Excavation, Plinth, RCC Slab, Brickwork, Internal Plaster, External Plaster, Flooring, Painting Completed, Finishing upto 3 Floor Completed</v>
      </c>
      <c r="J75" s="50"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Finishing upto 3 Floor</v>
      </c>
      <c r="S75"/>
    </row>
    <row r="76" spans="1:19" x14ac:dyDescent="0.35">
      <c r="A76" s="16" t="s">
        <v>139</v>
      </c>
      <c r="B76" s="53">
        <f>IF(AND(ISNUMBER(SEARCH("1B",C75))),1,IF(AND(ISNUMBER(SEARCH("2B",C75))),2,IF(AND(ISNUMBER(SEARCH("3B",C75))),3,IF(AND(ISNUMBER(SEARCH("4B",C75))),4,IF(ISNUMBER(SEARCH("5B",C75)),5,0)))))</f>
        <v>0</v>
      </c>
      <c r="C76" s="47" t="s">
        <v>69</v>
      </c>
      <c r="D76" s="47">
        <v>1</v>
      </c>
      <c r="E76" s="47" t="s">
        <v>68</v>
      </c>
      <c r="F76" s="54">
        <v>0</v>
      </c>
      <c r="G76" s="48" t="s">
        <v>77</v>
      </c>
      <c r="H76" s="17">
        <f ca="1">--TRIM(RIGHT(SUBSTITUTE(LEFT(C75,_xlfn.AGGREGATE(16,6,FIND({0,1,2,3,4,5,6,7,8,9},C75,ROW(INDIRECT("1:"&amp;LEN(C75)))),1))," ",REPT(" ",LEN(C75))),LEN(C75)))</f>
        <v>7</v>
      </c>
      <c r="I76" s="51" t="str">
        <f ca="1">IF(D79=100%,"Excavation","")&amp;IF(D80=100%,", Plinth","")&amp;IF(D81=100%,", RCC Slab","")&amp;IF(D82=100%,", Brickwork","")&amp;IF(D83=100%,", Internal Plaster","")&amp;IF(D84=100%,", External Plaster","")&amp;IF(D85=100%,", Flooring","")&amp;IF(D86=100%,", Painting","")&amp;IF(D87=100%,", Building common Amenities","")</f>
        <v>Excavation, Plinth, RCC Slab, Brickwork, Internal Plaster, External Plaster, Flooring, Painting</v>
      </c>
      <c r="J76" s="52"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3.5" customHeight="1" x14ac:dyDescent="0.35">
      <c r="A77" s="118" t="s">
        <v>87</v>
      </c>
      <c r="B77" s="119"/>
      <c r="C77" s="101" t="str">
        <f ca="1">I75</f>
        <v>Excavation, Plinth, RCC Slab, Brickwork, Internal Plaster, External Plaster, Flooring, Painting Completed, Finishing upto 3 Floor Completed</v>
      </c>
      <c r="D77" s="101"/>
      <c r="E77" s="101"/>
      <c r="F77" s="101"/>
      <c r="G77" s="101"/>
      <c r="H77" s="102"/>
      <c r="I77" s="51" t="str">
        <f ca="1">IF(I76&lt;&gt;""," Completed","")</f>
        <v xml:space="preserve"> Completed</v>
      </c>
      <c r="J77" s="52" t="str">
        <f ca="1">IF(J75&lt;&gt;"","Completed","")</f>
        <v>Completed</v>
      </c>
      <c r="S77"/>
    </row>
    <row r="78" spans="1:19" ht="15.75" customHeight="1" x14ac:dyDescent="0.35">
      <c r="A78" s="97" t="s">
        <v>47</v>
      </c>
      <c r="B78" s="98"/>
      <c r="C78" s="43" t="s">
        <v>136</v>
      </c>
      <c r="D78" s="43" t="s">
        <v>80</v>
      </c>
      <c r="E78" s="98" t="s">
        <v>82</v>
      </c>
      <c r="F78" s="98"/>
      <c r="G78" s="98" t="s">
        <v>81</v>
      </c>
      <c r="H78" s="132"/>
      <c r="I78" s="13" t="s">
        <v>138</v>
      </c>
      <c r="J78" s="28">
        <f ca="1">H76*25%</f>
        <v>1.75</v>
      </c>
      <c r="S78"/>
    </row>
    <row r="79" spans="1:19" x14ac:dyDescent="0.35">
      <c r="A79" s="97" t="s">
        <v>125</v>
      </c>
      <c r="B79" s="98"/>
      <c r="C79" s="79">
        <f ca="1">J80</f>
        <v>7</v>
      </c>
      <c r="D79" s="19">
        <f ca="1">((100/H76)*C79)/100</f>
        <v>1</v>
      </c>
      <c r="E79" s="160">
        <f ca="1">(((C80/H76*10)+(40/(D76+F76+H76)*C81)+(7.5/(H76)*C82)+(7.5/(H76)*C83)+(10/H76*C84)+(10/H76*C85)+(5/H76*C86)+(5/H76*C87)+(5/H76*C88))/100)</f>
        <v>0.92142857142857137</v>
      </c>
      <c r="F79" s="168"/>
      <c r="G79" s="160">
        <f ca="1">((((C79/H76)*20)+((C80/H76)*25)+(30/(H76+F76+D76)*C81)+(5/H76*C82)+(5/H76*C83)+(5/H76*C84)+(5/H76*C85)+(0/H76*C86)+(0/H76*C87)+(5/H76*C88))/100)</f>
        <v>0.95</v>
      </c>
      <c r="H79" s="161"/>
      <c r="I79" s="13" t="s">
        <v>98</v>
      </c>
      <c r="J79" s="29">
        <f ca="1">H76*50%</f>
        <v>3.5</v>
      </c>
    </row>
    <row r="80" spans="1:19" x14ac:dyDescent="0.35">
      <c r="A80" s="97" t="s">
        <v>48</v>
      </c>
      <c r="B80" s="98"/>
      <c r="C80" s="43">
        <f ca="1">J88</f>
        <v>7</v>
      </c>
      <c r="D80" s="19">
        <f ca="1">((100/H76)*C80)/100</f>
        <v>1</v>
      </c>
      <c r="E80" s="162"/>
      <c r="F80" s="169"/>
      <c r="G80" s="162"/>
      <c r="H80" s="163"/>
      <c r="I80" s="13" t="s">
        <v>99</v>
      </c>
      <c r="J80" s="29">
        <f ca="1">H76</f>
        <v>7</v>
      </c>
      <c r="L80" s="21">
        <v>0</v>
      </c>
      <c r="S80"/>
    </row>
    <row r="81" spans="1:19" ht="15.75" customHeight="1" x14ac:dyDescent="0.35">
      <c r="A81" s="97" t="s">
        <v>126</v>
      </c>
      <c r="B81" s="98"/>
      <c r="C81" s="43">
        <v>8</v>
      </c>
      <c r="D81" s="19">
        <f ca="1">((100/(D76+F76+H76))*C81)/100</f>
        <v>1</v>
      </c>
      <c r="E81" s="162"/>
      <c r="F81" s="169"/>
      <c r="G81" s="162"/>
      <c r="H81" s="163"/>
      <c r="I81" s="13" t="s">
        <v>100</v>
      </c>
      <c r="J81" s="30">
        <f ca="1">(IF(B76&gt;1,(H76/(B76+2)),H76/4))</f>
        <v>1.75</v>
      </c>
      <c r="S81"/>
    </row>
    <row r="82" spans="1:19" ht="15.75" customHeight="1" x14ac:dyDescent="0.35">
      <c r="A82" s="97" t="s">
        <v>133</v>
      </c>
      <c r="B82" s="98" t="s">
        <v>127</v>
      </c>
      <c r="C82" s="43">
        <v>7</v>
      </c>
      <c r="D82" s="19">
        <f ca="1">((100/H76)*C82)/100</f>
        <v>1</v>
      </c>
      <c r="E82" s="162"/>
      <c r="F82" s="169"/>
      <c r="G82" s="162"/>
      <c r="H82" s="163"/>
      <c r="I82" s="13" t="s">
        <v>101</v>
      </c>
      <c r="J82" s="30">
        <f ca="1">(IF(B76&gt;1,(H76/(B76+2)+J81),H76/4+J81))</f>
        <v>3.5</v>
      </c>
    </row>
    <row r="83" spans="1:19" ht="15.75" customHeight="1" x14ac:dyDescent="0.35">
      <c r="A83" s="97" t="s">
        <v>134</v>
      </c>
      <c r="B83" s="98" t="s">
        <v>127</v>
      </c>
      <c r="C83" s="43">
        <v>7</v>
      </c>
      <c r="D83" s="19">
        <f ca="1">((100/H76)*C83)/100</f>
        <v>1</v>
      </c>
      <c r="E83" s="162"/>
      <c r="F83" s="169"/>
      <c r="G83" s="162"/>
      <c r="H83" s="163"/>
      <c r="I83" s="13" t="s">
        <v>143</v>
      </c>
      <c r="J83" s="30">
        <f>(IF(B76&gt;1,(H76/(B76+2)+J82),0))</f>
        <v>0</v>
      </c>
    </row>
    <row r="84" spans="1:19" ht="15" customHeight="1" x14ac:dyDescent="0.35">
      <c r="A84" s="97" t="s">
        <v>132</v>
      </c>
      <c r="B84" s="98" t="s">
        <v>129</v>
      </c>
      <c r="C84" s="66">
        <v>7</v>
      </c>
      <c r="D84" s="19">
        <f ca="1">((100/(H76))*C84)/100</f>
        <v>1</v>
      </c>
      <c r="E84" s="162"/>
      <c r="F84" s="169"/>
      <c r="G84" s="162"/>
      <c r="H84" s="163"/>
      <c r="I84" s="13" t="s">
        <v>140</v>
      </c>
      <c r="J84" s="30">
        <f>(IF(B76&gt;2,(H76/(B76+2)+J83),0))</f>
        <v>0</v>
      </c>
    </row>
    <row r="85" spans="1:19" ht="15.75" customHeight="1" x14ac:dyDescent="0.35">
      <c r="A85" s="97" t="s">
        <v>128</v>
      </c>
      <c r="B85" s="98" t="s">
        <v>128</v>
      </c>
      <c r="C85" s="43">
        <v>7</v>
      </c>
      <c r="D85" s="19">
        <f ca="1">((100/H76)*C85)/100</f>
        <v>1</v>
      </c>
      <c r="E85" s="162"/>
      <c r="F85" s="169"/>
      <c r="G85" s="162"/>
      <c r="H85" s="163"/>
      <c r="I85" s="13" t="s">
        <v>141</v>
      </c>
      <c r="J85" s="31">
        <f>(IF(B76&gt;3,(H76/(B76+2)+J84),0))</f>
        <v>0</v>
      </c>
    </row>
    <row r="86" spans="1:19" ht="15.75" customHeight="1" x14ac:dyDescent="0.35">
      <c r="A86" s="97" t="s">
        <v>135</v>
      </c>
      <c r="B86" s="98"/>
      <c r="C86" s="43">
        <v>7</v>
      </c>
      <c r="D86" s="19">
        <f ca="1">((100/H76)*C86)/100</f>
        <v>1</v>
      </c>
      <c r="E86" s="162"/>
      <c r="F86" s="169"/>
      <c r="G86" s="162"/>
      <c r="H86" s="163"/>
      <c r="I86" s="13" t="s">
        <v>142</v>
      </c>
      <c r="J86" s="30">
        <f>(IF(B76&gt;4,(H76/(B76+2)+J85),0))</f>
        <v>0</v>
      </c>
    </row>
    <row r="87" spans="1:19" ht="15.75" customHeight="1" x14ac:dyDescent="0.35">
      <c r="A87" s="97" t="s">
        <v>130</v>
      </c>
      <c r="B87" s="98" t="s">
        <v>130</v>
      </c>
      <c r="C87" s="43">
        <v>3</v>
      </c>
      <c r="D87" s="19">
        <f ca="1">((100/(H76))*C87)/100</f>
        <v>0.4285714285714286</v>
      </c>
      <c r="E87" s="162"/>
      <c r="F87" s="169"/>
      <c r="G87" s="162"/>
      <c r="H87" s="163"/>
      <c r="I87" s="13" t="s">
        <v>144</v>
      </c>
      <c r="J87" s="30">
        <f ca="1">(IF(B76=1,(H76/(B76+3)+J82),IF(B76=0,(H76/4+J82),IF(B76&gt;1,0))))</f>
        <v>5.25</v>
      </c>
    </row>
    <row r="88" spans="1:19" ht="16" thickBot="1" x14ac:dyDescent="0.4">
      <c r="A88" s="95" t="s">
        <v>131</v>
      </c>
      <c r="B88" s="96"/>
      <c r="C88" s="44">
        <v>0</v>
      </c>
      <c r="D88" s="20">
        <f ca="1">((100/(H76))*C88)/100</f>
        <v>0</v>
      </c>
      <c r="E88" s="164"/>
      <c r="F88" s="170"/>
      <c r="G88" s="164"/>
      <c r="H88" s="165"/>
      <c r="I88" s="15" t="s">
        <v>102</v>
      </c>
      <c r="J88" s="32">
        <f ca="1">(IF(B76&gt;1.5,(H76/(B76+2)+J82+MAX(0,J83-J82)+MAX(0,J84-J83)+MAX(0,J85-J84)+MAX(0,J86-J85)+MAX(0,J87-J86)),IF(B76=1,(H76/(B76+3)+J87),IF(B76=0,H76/4+J87))))</f>
        <v>7</v>
      </c>
    </row>
    <row r="89" spans="1:19" ht="15.75" hidden="1" customHeight="1" x14ac:dyDescent="0.35">
      <c r="A89" s="120" t="s">
        <v>137</v>
      </c>
      <c r="B89" s="121"/>
      <c r="C89" s="122" t="str">
        <f>D66</f>
        <v>B Wing = 1B + G + 1st to 19th Floor</v>
      </c>
      <c r="D89" s="123"/>
      <c r="E89" s="123"/>
      <c r="F89" s="123"/>
      <c r="G89" s="123"/>
      <c r="H89" s="124"/>
      <c r="I89" s="49" t="str">
        <f ca="1">IF(D102=100%,"All work Completed. Possession granted to the Building.",IF(D101=100%,"All work Completed, Waiting for OC",I90&amp;""&amp;I91&amp;""&amp;J90&amp;""&amp;J89&amp;" "&amp;J91))</f>
        <v xml:space="preserve">Excavation, Plinth Completed </v>
      </c>
      <c r="J89" s="50"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row>
    <row r="90" spans="1:19" hidden="1" x14ac:dyDescent="0.35">
      <c r="A90" s="16" t="s">
        <v>139</v>
      </c>
      <c r="B90" s="54">
        <f>IF(AND(ISNUMBER(SEARCH("1B",C89))),1,IF(AND(ISNUMBER(SEARCH("2B",C89))),2,IF(AND(ISNUMBER(SEARCH("3B",C89))),3,IF(AND(ISNUMBER(SEARCH("4B",C89))),4,IF(ISNUMBER(SEARCH("5B",C89)),5,0)))))</f>
        <v>1</v>
      </c>
      <c r="C90" s="47" t="s">
        <v>69</v>
      </c>
      <c r="D90" s="47">
        <v>1</v>
      </c>
      <c r="E90" s="47" t="s">
        <v>68</v>
      </c>
      <c r="F90" s="14">
        <v>0</v>
      </c>
      <c r="G90" s="48" t="s">
        <v>77</v>
      </c>
      <c r="H90" s="17">
        <f ca="1">--TRIM(RIGHT(SUBSTITUTE(LEFT(C89,_xlfn.AGGREGATE(16,6,FIND({0,1,2,3,4,5,6,7,8,9},C89,ROW(INDIRECT("1:"&amp;LEN(C89)))),1))," ",REPT(" ",LEN(C89))),LEN(C89)))</f>
        <v>19</v>
      </c>
      <c r="I90" s="51" t="str">
        <f ca="1">IF(D93=100%,"Excavation","")&amp;IF(D94=100%,", Plinth","")&amp;IF(D95=100%,", RCC Slab","")&amp;IF(D96=100%,", Brickwork","")&amp;IF(D97=100%,", Internal Plaster","")&amp;IF(D98=100%,", External Plaster","")&amp;IF(D99=100%,", Flooring","")&amp;IF(D100=100%,", Painting","")&amp;IF(D101=100%,", Building common Amenities","")</f>
        <v>Excavation, Plinth</v>
      </c>
      <c r="J90" s="52"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row>
    <row r="91" spans="1:19" hidden="1" x14ac:dyDescent="0.35">
      <c r="A91" s="118" t="s">
        <v>87</v>
      </c>
      <c r="B91" s="119"/>
      <c r="C91" s="101" t="str">
        <f ca="1">(IF($G$60="NA",I89,"All work Completed. OC Received."))</f>
        <v xml:space="preserve">Excavation, Plinth Completed </v>
      </c>
      <c r="D91" s="101"/>
      <c r="E91" s="101"/>
      <c r="F91" s="101"/>
      <c r="G91" s="101"/>
      <c r="H91" s="102"/>
      <c r="I91" s="51" t="str">
        <f ca="1">IF(I90&lt;&gt;""," Completed","")</f>
        <v xml:space="preserve"> Completed</v>
      </c>
      <c r="J91" s="52" t="str">
        <f ca="1">IF(J89&lt;&gt;"","Completed","")</f>
        <v/>
      </c>
    </row>
    <row r="92" spans="1:19" ht="15.75" hidden="1" customHeight="1" x14ac:dyDescent="0.35">
      <c r="A92" s="97" t="s">
        <v>47</v>
      </c>
      <c r="B92" s="98"/>
      <c r="C92" s="43" t="s">
        <v>136</v>
      </c>
      <c r="D92" s="43" t="s">
        <v>80</v>
      </c>
      <c r="E92" s="98" t="s">
        <v>82</v>
      </c>
      <c r="F92" s="98"/>
      <c r="G92" s="98" t="s">
        <v>81</v>
      </c>
      <c r="H92" s="132"/>
      <c r="I92" s="13" t="s">
        <v>138</v>
      </c>
      <c r="J92" s="28">
        <f ca="1">H90*25%</f>
        <v>4.75</v>
      </c>
    </row>
    <row r="93" spans="1:19" hidden="1" x14ac:dyDescent="0.35">
      <c r="A93" s="97" t="s">
        <v>125</v>
      </c>
      <c r="B93" s="98"/>
      <c r="C93" s="67">
        <f ca="1">J94</f>
        <v>19</v>
      </c>
      <c r="D93" s="19">
        <f ca="1">((100/H90)*C93)/100</f>
        <v>1</v>
      </c>
      <c r="E93" s="160">
        <f ca="1">(((C94/H90*10)+(40/(D90+F90+H90)*C95)+(7.5/(H90)*C96)+(7.5/(H90)*C97)+(10/H90*C98)+(10/H90*C99)+(5/H90*C100)+(5/H90*C101)+(5/H90*C102))/100)</f>
        <v>0.1</v>
      </c>
      <c r="F93" s="168"/>
      <c r="G93" s="160">
        <f ca="1">((((C93/H90)*20)+((C94/H90)*25)+(30/(H90+F90+D90)*C95)+(5/H90*C96)+(5/H90*C97)+(5/H90*C98)+(5/H90*C99)+(0/H90*C100)+(0/H90*C101)+(5/H90*C102))/100)</f>
        <v>0.45</v>
      </c>
      <c r="H93" s="161"/>
      <c r="I93" s="13" t="s">
        <v>98</v>
      </c>
      <c r="J93" s="29">
        <f ca="1">H90*50%</f>
        <v>9.5</v>
      </c>
    </row>
    <row r="94" spans="1:19" hidden="1" x14ac:dyDescent="0.35">
      <c r="A94" s="97" t="s">
        <v>48</v>
      </c>
      <c r="B94" s="98"/>
      <c r="C94" s="68">
        <v>19</v>
      </c>
      <c r="D94" s="19">
        <f ca="1">((100/H90)*C94)/100</f>
        <v>1</v>
      </c>
      <c r="E94" s="162"/>
      <c r="F94" s="169"/>
      <c r="G94" s="162"/>
      <c r="H94" s="163"/>
      <c r="I94" s="13" t="s">
        <v>99</v>
      </c>
      <c r="J94" s="29">
        <f ca="1">H90</f>
        <v>19</v>
      </c>
    </row>
    <row r="95" spans="1:19" ht="15.75" hidden="1" customHeight="1" x14ac:dyDescent="0.35">
      <c r="A95" s="97" t="s">
        <v>126</v>
      </c>
      <c r="B95" s="98"/>
      <c r="C95" s="43">
        <v>0</v>
      </c>
      <c r="D95" s="19">
        <f ca="1">((100/(D90+F90+H90))*C95)/100</f>
        <v>0</v>
      </c>
      <c r="E95" s="162"/>
      <c r="F95" s="169"/>
      <c r="G95" s="162"/>
      <c r="H95" s="163"/>
      <c r="I95" s="13" t="s">
        <v>100</v>
      </c>
      <c r="J95" s="30">
        <f ca="1">(IF(B90&gt;1,(H90/(B90+2)),H90/4))</f>
        <v>4.75</v>
      </c>
    </row>
    <row r="96" spans="1:19" ht="15.75" hidden="1" customHeight="1" x14ac:dyDescent="0.35">
      <c r="A96" s="97" t="s">
        <v>133</v>
      </c>
      <c r="B96" s="98" t="s">
        <v>127</v>
      </c>
      <c r="C96" s="65">
        <v>0</v>
      </c>
      <c r="D96" s="19">
        <f ca="1">((100/H90)*C96)/100</f>
        <v>0</v>
      </c>
      <c r="E96" s="162"/>
      <c r="F96" s="169"/>
      <c r="G96" s="162"/>
      <c r="H96" s="163"/>
      <c r="I96" s="13" t="s">
        <v>101</v>
      </c>
      <c r="J96" s="30">
        <f ca="1">(IF(B90&gt;1,(H90/(B90+2)+J95),H90/4+J95))</f>
        <v>9.5</v>
      </c>
    </row>
    <row r="97" spans="1:10" ht="15.75" hidden="1" customHeight="1" x14ac:dyDescent="0.35">
      <c r="A97" s="97" t="s">
        <v>134</v>
      </c>
      <c r="B97" s="98" t="s">
        <v>127</v>
      </c>
      <c r="C97" s="65">
        <v>0</v>
      </c>
      <c r="D97" s="19">
        <f ca="1">((100/H90)*C97)/100</f>
        <v>0</v>
      </c>
      <c r="E97" s="162"/>
      <c r="F97" s="169"/>
      <c r="G97" s="162"/>
      <c r="H97" s="163"/>
      <c r="I97" s="13" t="s">
        <v>143</v>
      </c>
      <c r="J97" s="30">
        <f>(IF(B90&gt;1,(H90/(B90+2)+J96),0))</f>
        <v>0</v>
      </c>
    </row>
    <row r="98" spans="1:10" ht="15" hidden="1" customHeight="1" x14ac:dyDescent="0.35">
      <c r="A98" s="97" t="s">
        <v>132</v>
      </c>
      <c r="B98" s="98" t="s">
        <v>129</v>
      </c>
      <c r="C98" s="65">
        <v>0</v>
      </c>
      <c r="D98" s="19">
        <f ca="1">((100/(H90))*C98)/100</f>
        <v>0</v>
      </c>
      <c r="E98" s="162"/>
      <c r="F98" s="169"/>
      <c r="G98" s="162"/>
      <c r="H98" s="163"/>
      <c r="I98" s="13" t="s">
        <v>140</v>
      </c>
      <c r="J98" s="30">
        <f>(IF(B90&gt;2,(H90/(B90+2)+J97),0))</f>
        <v>0</v>
      </c>
    </row>
    <row r="99" spans="1:10" ht="15.75" hidden="1" customHeight="1" x14ac:dyDescent="0.35">
      <c r="A99" s="97" t="s">
        <v>128</v>
      </c>
      <c r="B99" s="98" t="s">
        <v>128</v>
      </c>
      <c r="C99" s="65">
        <v>0</v>
      </c>
      <c r="D99" s="19">
        <f ca="1">((100/H90)*C99)/100</f>
        <v>0</v>
      </c>
      <c r="E99" s="162"/>
      <c r="F99" s="169"/>
      <c r="G99" s="162"/>
      <c r="H99" s="163"/>
      <c r="I99" s="13" t="s">
        <v>141</v>
      </c>
      <c r="J99" s="31">
        <f>(IF(B90&gt;3,(H90/(B90+2)+J98),0))</f>
        <v>0</v>
      </c>
    </row>
    <row r="100" spans="1:10" ht="15.75" hidden="1" customHeight="1" x14ac:dyDescent="0.35">
      <c r="A100" s="97" t="s">
        <v>135</v>
      </c>
      <c r="B100" s="98"/>
      <c r="C100" s="43">
        <v>0</v>
      </c>
      <c r="D100" s="19">
        <f ca="1">((100/H90)*C100)/100</f>
        <v>0</v>
      </c>
      <c r="E100" s="162"/>
      <c r="F100" s="169"/>
      <c r="G100" s="162"/>
      <c r="H100" s="163"/>
      <c r="I100" s="13" t="s">
        <v>142</v>
      </c>
      <c r="J100" s="30">
        <f>(IF(B90&gt;4,(H90/(B90+2)+J99),0))</f>
        <v>0</v>
      </c>
    </row>
    <row r="101" spans="1:10" ht="15.75" hidden="1" customHeight="1" x14ac:dyDescent="0.35">
      <c r="A101" s="97" t="s">
        <v>130</v>
      </c>
      <c r="B101" s="98" t="s">
        <v>130</v>
      </c>
      <c r="C101" s="43">
        <v>0</v>
      </c>
      <c r="D101" s="19">
        <f ca="1">((100/(H90))*C101)/100</f>
        <v>0</v>
      </c>
      <c r="E101" s="162"/>
      <c r="F101" s="169"/>
      <c r="G101" s="162"/>
      <c r="H101" s="163"/>
      <c r="I101" s="13" t="s">
        <v>144</v>
      </c>
      <c r="J101" s="30">
        <f ca="1">(IF(B90=1,(H90/(B90+3)+J96),IF(B90=0,(H90/4+J96),IF(B90&gt;1,0))))</f>
        <v>14.25</v>
      </c>
    </row>
    <row r="102" spans="1:10" ht="16" hidden="1" thickBot="1" x14ac:dyDescent="0.4">
      <c r="A102" s="95" t="s">
        <v>131</v>
      </c>
      <c r="B102" s="96"/>
      <c r="C102" s="44">
        <v>0</v>
      </c>
      <c r="D102" s="20">
        <f ca="1">((100/(H90))*C102)/100</f>
        <v>0</v>
      </c>
      <c r="E102" s="164"/>
      <c r="F102" s="170"/>
      <c r="G102" s="164"/>
      <c r="H102" s="165"/>
      <c r="I102" s="15" t="s">
        <v>102</v>
      </c>
      <c r="J102" s="32">
        <f ca="1">(IF(B90&gt;1.5,(H90/(B90+2)+J96+MAX(0,J97-J96)+MAX(0,J98-J97)+MAX(0,J99-J98)+MAX(0,J100-J99)+MAX(0,J101-J100)),IF(B90=1,(H90/(B90+3)+J101),IF(B90=0,H90/4+J101))))</f>
        <v>19</v>
      </c>
    </row>
    <row r="103" spans="1:10" ht="15.75" hidden="1" customHeight="1" x14ac:dyDescent="0.35">
      <c r="A103" s="120" t="s">
        <v>137</v>
      </c>
      <c r="B103" s="121"/>
      <c r="C103" s="122" t="str">
        <f>D67</f>
        <v>C Wing = 1B + G + 1st to 20th Floor</v>
      </c>
      <c r="D103" s="123"/>
      <c r="E103" s="123"/>
      <c r="F103" s="123"/>
      <c r="G103" s="123"/>
      <c r="H103" s="124"/>
      <c r="I103" s="49" t="str">
        <f ca="1">IF(D116=100%,"All work Completed. Possession granted to the Building.",IF(D115=100%,"All work Completed, Waiting for OC",I104&amp;""&amp;I105&amp;""&amp;J104&amp;""&amp;J103&amp;" "&amp;J105))</f>
        <v xml:space="preserve">Excavation, Plinth, RCC Slab Completed </v>
      </c>
      <c r="J103" s="50"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row>
    <row r="104" spans="1:10" hidden="1" x14ac:dyDescent="0.35">
      <c r="A104" s="16" t="s">
        <v>139</v>
      </c>
      <c r="B104" s="54">
        <f>IF(AND(ISNUMBER(SEARCH("1B",C103))),1,IF(AND(ISNUMBER(SEARCH("2B",C103))),2,IF(AND(ISNUMBER(SEARCH("3B",C103))),3,IF(AND(ISNUMBER(SEARCH("4B",C103))),4,IF(ISNUMBER(SEARCH("5B",C103)),5,0)))))</f>
        <v>1</v>
      </c>
      <c r="C104" s="47" t="s">
        <v>69</v>
      </c>
      <c r="D104" s="47">
        <v>1</v>
      </c>
      <c r="E104" s="47" t="s">
        <v>68</v>
      </c>
      <c r="F104" s="14">
        <v>0</v>
      </c>
      <c r="G104" s="48" t="s">
        <v>77</v>
      </c>
      <c r="H104" s="17">
        <f ca="1">--TRIM(RIGHT(SUBSTITUTE(LEFT(C103,_xlfn.AGGREGATE(16,6,FIND({0,1,2,3,4,5,6,7,8,9},C103,ROW(INDIRECT("1:"&amp;LEN(C103)))),1))," ",REPT(" ",LEN(C103))),LEN(C103)))</f>
        <v>20</v>
      </c>
      <c r="I104" s="51" t="str">
        <f ca="1">IF(D107=100%,"Excavation","")&amp;IF(D108=100%,", Plinth","")&amp;IF(D109=100%,", RCC Slab","")&amp;IF(D110=100%,", Brickwork","")&amp;IF(D111=100%,", Internal Plaster","")&amp;IF(D112=100%,", External Plaster","")&amp;IF(D113=100%,", Flooring","")&amp;IF(D114=100%,", Painting","")&amp;IF(D115=100%,", Building common Amenities","")</f>
        <v>Excavation, Plinth, RCC Slab</v>
      </c>
      <c r="J104" s="52"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row>
    <row r="105" spans="1:10" hidden="1" x14ac:dyDescent="0.35">
      <c r="A105" s="118" t="s">
        <v>87</v>
      </c>
      <c r="B105" s="119"/>
      <c r="C105" s="101" t="str">
        <f ca="1">(IF($G$60="NA",I103,"All work Completed. OC Received."))</f>
        <v xml:space="preserve">Excavation, Plinth, RCC Slab Completed </v>
      </c>
      <c r="D105" s="101"/>
      <c r="E105" s="101"/>
      <c r="F105" s="101"/>
      <c r="G105" s="101"/>
      <c r="H105" s="102"/>
      <c r="I105" s="51" t="str">
        <f ca="1">IF(I104&lt;&gt;""," Completed","")</f>
        <v xml:space="preserve"> Completed</v>
      </c>
      <c r="J105" s="52" t="str">
        <f ca="1">IF(J103&lt;&gt;"","Completed","")</f>
        <v/>
      </c>
    </row>
    <row r="106" spans="1:10" ht="15.75" hidden="1" customHeight="1" x14ac:dyDescent="0.35">
      <c r="A106" s="97" t="s">
        <v>47</v>
      </c>
      <c r="B106" s="98"/>
      <c r="C106" s="43" t="s">
        <v>136</v>
      </c>
      <c r="D106" s="43" t="s">
        <v>80</v>
      </c>
      <c r="E106" s="98" t="s">
        <v>82</v>
      </c>
      <c r="F106" s="98"/>
      <c r="G106" s="98" t="s">
        <v>81</v>
      </c>
      <c r="H106" s="132"/>
      <c r="I106" s="13" t="s">
        <v>138</v>
      </c>
      <c r="J106" s="28">
        <f ca="1">H104*25%</f>
        <v>5</v>
      </c>
    </row>
    <row r="107" spans="1:10" hidden="1" x14ac:dyDescent="0.35">
      <c r="A107" s="97" t="s">
        <v>125</v>
      </c>
      <c r="B107" s="98"/>
      <c r="C107" s="43">
        <f ca="1">J108</f>
        <v>20</v>
      </c>
      <c r="D107" s="19">
        <f ca="1">((100/H104)*C107)/100</f>
        <v>1</v>
      </c>
      <c r="E107" s="160">
        <f ca="1">(((C108/H104*10)+(40/(D104+F104+H104)*C109)+(7.5/(H104)*C110)+(7.5/(H104)*C111)+(10/H104*C112)+(10/H104*C113)+(5/H104*C114)+(5/H104*C115)+(5/H104*C116))/100)</f>
        <v>0.5</v>
      </c>
      <c r="F107" s="168"/>
      <c r="G107" s="160">
        <f ca="1">((((C107/H104)*20)+((C108/H104)*25)+(30/(H104+F104+D104)*C109)+(5/H104*C110)+(5/H104*C111)+(5/H104*C112)+(5/H104*C113)+(0/H104*C114)+(0/H104*C115)+(5/H104*C116))/100)</f>
        <v>0.75</v>
      </c>
      <c r="H107" s="161"/>
      <c r="I107" s="13" t="s">
        <v>98</v>
      </c>
      <c r="J107" s="29">
        <f ca="1">H104*50%</f>
        <v>10</v>
      </c>
    </row>
    <row r="108" spans="1:10" hidden="1" x14ac:dyDescent="0.35">
      <c r="A108" s="97" t="s">
        <v>48</v>
      </c>
      <c r="B108" s="98"/>
      <c r="C108" s="43">
        <f ca="1">J116</f>
        <v>20</v>
      </c>
      <c r="D108" s="19">
        <f ca="1">((100/H104)*C108)/100</f>
        <v>1</v>
      </c>
      <c r="E108" s="162"/>
      <c r="F108" s="169"/>
      <c r="G108" s="162"/>
      <c r="H108" s="163"/>
      <c r="I108" s="13" t="s">
        <v>99</v>
      </c>
      <c r="J108" s="29">
        <f ca="1">H104</f>
        <v>20</v>
      </c>
    </row>
    <row r="109" spans="1:10" ht="15.75" hidden="1" customHeight="1" x14ac:dyDescent="0.35">
      <c r="A109" s="97" t="s">
        <v>126</v>
      </c>
      <c r="B109" s="98"/>
      <c r="C109" s="43">
        <f ca="1">D104+H104</f>
        <v>21</v>
      </c>
      <c r="D109" s="19">
        <f ca="1">((100/(D104+F104+H104))*C109)/100</f>
        <v>1</v>
      </c>
      <c r="E109" s="162"/>
      <c r="F109" s="169"/>
      <c r="G109" s="162"/>
      <c r="H109" s="163"/>
      <c r="I109" s="13" t="s">
        <v>100</v>
      </c>
      <c r="J109" s="30">
        <f ca="1">(IF(B104&gt;1,(H104/(B104+2)),H104/4))</f>
        <v>5</v>
      </c>
    </row>
    <row r="110" spans="1:10" ht="15.75" hidden="1" customHeight="1" x14ac:dyDescent="0.35">
      <c r="A110" s="97" t="s">
        <v>133</v>
      </c>
      <c r="B110" s="98" t="s">
        <v>127</v>
      </c>
      <c r="C110" s="43">
        <v>0</v>
      </c>
      <c r="D110" s="19">
        <f ca="1">((100/H104)*C110)/100</f>
        <v>0</v>
      </c>
      <c r="E110" s="162"/>
      <c r="F110" s="169"/>
      <c r="G110" s="162"/>
      <c r="H110" s="163"/>
      <c r="I110" s="13" t="s">
        <v>101</v>
      </c>
      <c r="J110" s="30">
        <f ca="1">(IF(B104&gt;1,(H104/(B104+2)+J109),H104/4+J109))</f>
        <v>10</v>
      </c>
    </row>
    <row r="111" spans="1:10" ht="15.75" hidden="1" customHeight="1" x14ac:dyDescent="0.35">
      <c r="A111" s="97" t="s">
        <v>134</v>
      </c>
      <c r="B111" s="98" t="s">
        <v>127</v>
      </c>
      <c r="C111" s="43">
        <v>0</v>
      </c>
      <c r="D111" s="19">
        <f ca="1">((100/H104)*C111)/100</f>
        <v>0</v>
      </c>
      <c r="E111" s="162"/>
      <c r="F111" s="169"/>
      <c r="G111" s="162"/>
      <c r="H111" s="163"/>
      <c r="I111" s="13" t="s">
        <v>143</v>
      </c>
      <c r="J111" s="30">
        <f>(IF(B104&gt;1,(H104/(B104+2)+J110),0))</f>
        <v>0</v>
      </c>
    </row>
    <row r="112" spans="1:10" ht="15" hidden="1" customHeight="1" x14ac:dyDescent="0.35">
      <c r="A112" s="97" t="s">
        <v>132</v>
      </c>
      <c r="B112" s="98" t="s">
        <v>129</v>
      </c>
      <c r="C112" s="43">
        <v>0</v>
      </c>
      <c r="D112" s="19">
        <f ca="1">((100/(H104))*C112)/100</f>
        <v>0</v>
      </c>
      <c r="E112" s="162"/>
      <c r="F112" s="169"/>
      <c r="G112" s="162"/>
      <c r="H112" s="163"/>
      <c r="I112" s="13" t="s">
        <v>140</v>
      </c>
      <c r="J112" s="30">
        <f>(IF(B104&gt;2,(H104/(B104+2)+J111),0))</f>
        <v>0</v>
      </c>
    </row>
    <row r="113" spans="1:22" ht="15.75" hidden="1" customHeight="1" x14ac:dyDescent="0.35">
      <c r="A113" s="97" t="s">
        <v>128</v>
      </c>
      <c r="B113" s="98" t="s">
        <v>128</v>
      </c>
      <c r="C113" s="43">
        <v>0</v>
      </c>
      <c r="D113" s="19">
        <f ca="1">((100/H104)*C113)/100</f>
        <v>0</v>
      </c>
      <c r="E113" s="162"/>
      <c r="F113" s="169"/>
      <c r="G113" s="162"/>
      <c r="H113" s="163"/>
      <c r="I113" s="13" t="s">
        <v>141</v>
      </c>
      <c r="J113" s="31">
        <f>(IF(B104&gt;3,(H104/(B104+2)+J112),0))</f>
        <v>0</v>
      </c>
    </row>
    <row r="114" spans="1:22" ht="15.75" hidden="1" customHeight="1" x14ac:dyDescent="0.35">
      <c r="A114" s="97" t="s">
        <v>135</v>
      </c>
      <c r="B114" s="98"/>
      <c r="C114" s="43">
        <v>0</v>
      </c>
      <c r="D114" s="19">
        <f ca="1">((100/H104)*C114)/100</f>
        <v>0</v>
      </c>
      <c r="E114" s="162"/>
      <c r="F114" s="169"/>
      <c r="G114" s="162"/>
      <c r="H114" s="163"/>
      <c r="I114" s="13" t="s">
        <v>142</v>
      </c>
      <c r="J114" s="30">
        <f>(IF(B104&gt;4,(H104/(B104+2)+J113),0))</f>
        <v>0</v>
      </c>
    </row>
    <row r="115" spans="1:22" ht="15.75" hidden="1" customHeight="1" x14ac:dyDescent="0.35">
      <c r="A115" s="97" t="s">
        <v>130</v>
      </c>
      <c r="B115" s="98" t="s">
        <v>130</v>
      </c>
      <c r="C115" s="43">
        <v>0</v>
      </c>
      <c r="D115" s="19">
        <f ca="1">((100/(H104))*C115)/100</f>
        <v>0</v>
      </c>
      <c r="E115" s="162"/>
      <c r="F115" s="169"/>
      <c r="G115" s="162"/>
      <c r="H115" s="163"/>
      <c r="I115" s="13" t="s">
        <v>144</v>
      </c>
      <c r="J115" s="30">
        <f ca="1">(IF(B104=1,(H104/(B104+3)+J110),IF(B104=0,(H104/4+J110),IF(B104&gt;1,0))))</f>
        <v>15</v>
      </c>
    </row>
    <row r="116" spans="1:22" ht="16" hidden="1" thickBot="1" x14ac:dyDescent="0.4">
      <c r="A116" s="95" t="s">
        <v>131</v>
      </c>
      <c r="B116" s="96"/>
      <c r="C116" s="44">
        <v>0</v>
      </c>
      <c r="D116" s="20">
        <f ca="1">((100/(H104))*C116)/100</f>
        <v>0</v>
      </c>
      <c r="E116" s="164"/>
      <c r="F116" s="170"/>
      <c r="G116" s="164"/>
      <c r="H116" s="165"/>
      <c r="I116" s="15" t="s">
        <v>102</v>
      </c>
      <c r="J116" s="32">
        <f ca="1">(IF(B104&gt;1.5,(H104/(B104+2)+J110+MAX(0,J111-J110)+MAX(0,J112-J111)+MAX(0,J113-J112)+MAX(0,J114-J113)+MAX(0,J115-J114)),IF(B104=1,(H104/(B104+3)+J115),IF(B104=0,H104/4+J115))))</f>
        <v>20</v>
      </c>
    </row>
    <row r="117" spans="1:22" x14ac:dyDescent="0.35">
      <c r="A117" s="198" t="s">
        <v>153</v>
      </c>
      <c r="B117" s="198"/>
      <c r="C117" s="198"/>
      <c r="D117" s="198"/>
      <c r="E117" s="198"/>
      <c r="F117" s="130" t="s">
        <v>157</v>
      </c>
      <c r="G117" s="130"/>
      <c r="H117" s="130"/>
      <c r="R117" t="s">
        <v>250</v>
      </c>
      <c r="S117" t="s">
        <v>170</v>
      </c>
      <c r="T117" t="s">
        <v>176</v>
      </c>
      <c r="U117" t="s">
        <v>191</v>
      </c>
      <c r="V117" t="s">
        <v>186</v>
      </c>
    </row>
    <row r="118" spans="1:22" x14ac:dyDescent="0.35">
      <c r="A118" s="94" t="s">
        <v>155</v>
      </c>
      <c r="B118" s="94"/>
      <c r="C118" s="94"/>
      <c r="D118" s="94"/>
      <c r="E118" s="94"/>
      <c r="F118" s="131">
        <v>7500</v>
      </c>
      <c r="G118" s="131"/>
      <c r="H118" s="131"/>
      <c r="R118"/>
      <c r="S118">
        <v>800000</v>
      </c>
      <c r="T118">
        <v>150000</v>
      </c>
      <c r="U118">
        <v>100000</v>
      </c>
      <c r="V118">
        <v>100000</v>
      </c>
    </row>
    <row r="119" spans="1:22" x14ac:dyDescent="0.35">
      <c r="A119" s="94" t="s">
        <v>154</v>
      </c>
      <c r="B119" s="94"/>
      <c r="C119" s="94"/>
      <c r="D119" s="94"/>
      <c r="E119" s="94"/>
      <c r="F119" s="131">
        <v>10000</v>
      </c>
      <c r="G119" s="131"/>
      <c r="H119" s="131"/>
      <c r="R119"/>
      <c r="S119">
        <v>900000</v>
      </c>
      <c r="T119">
        <v>200000</v>
      </c>
      <c r="U119">
        <v>150000</v>
      </c>
      <c r="V119">
        <v>150000</v>
      </c>
    </row>
    <row r="120" spans="1:22" hidden="1" x14ac:dyDescent="0.35">
      <c r="A120" s="94" t="s">
        <v>156</v>
      </c>
      <c r="B120" s="94"/>
      <c r="C120" s="94"/>
      <c r="D120" s="94"/>
      <c r="E120" s="94"/>
      <c r="F120" s="131"/>
      <c r="G120" s="131"/>
      <c r="H120" s="131"/>
      <c r="R120"/>
      <c r="S120">
        <v>1000000</v>
      </c>
      <c r="T120">
        <v>250000</v>
      </c>
      <c r="U120">
        <v>200000</v>
      </c>
      <c r="V120">
        <v>200000</v>
      </c>
    </row>
    <row r="121" spans="1:22" s="33" customFormat="1" hidden="1" x14ac:dyDescent="0.35">
      <c r="A121" s="94" t="s">
        <v>173</v>
      </c>
      <c r="B121" s="94"/>
      <c r="C121" s="94"/>
      <c r="D121" s="94"/>
      <c r="E121" s="94"/>
      <c r="F121" s="131"/>
      <c r="G121" s="131"/>
      <c r="H121" s="131"/>
      <c r="R121"/>
      <c r="S121">
        <v>1100000</v>
      </c>
      <c r="T121">
        <v>300000</v>
      </c>
      <c r="U121">
        <v>250000</v>
      </c>
      <c r="V121" s="23">
        <v>250000</v>
      </c>
    </row>
    <row r="122" spans="1:22" s="33" customFormat="1" hidden="1" x14ac:dyDescent="0.35">
      <c r="A122" s="94" t="s">
        <v>92</v>
      </c>
      <c r="B122" s="94"/>
      <c r="C122" s="94"/>
      <c r="D122" s="94"/>
      <c r="E122" s="94"/>
      <c r="F122" s="131"/>
      <c r="G122" s="131"/>
      <c r="H122" s="131"/>
      <c r="R122"/>
      <c r="S122">
        <v>1200000</v>
      </c>
      <c r="T122">
        <v>350000</v>
      </c>
      <c r="U122">
        <v>300000</v>
      </c>
      <c r="V122">
        <v>300000</v>
      </c>
    </row>
    <row r="123" spans="1:22" s="33" customFormat="1" hidden="1" x14ac:dyDescent="0.35">
      <c r="A123" s="94" t="s">
        <v>93</v>
      </c>
      <c r="B123" s="94"/>
      <c r="C123" s="94"/>
      <c r="D123" s="94"/>
      <c r="E123" s="94"/>
      <c r="F123" s="131"/>
      <c r="G123" s="131"/>
      <c r="H123" s="131"/>
      <c r="R123"/>
      <c r="S123">
        <v>1300000</v>
      </c>
      <c r="T123">
        <v>400000</v>
      </c>
      <c r="U123">
        <v>350000</v>
      </c>
      <c r="V123" s="23">
        <v>400000</v>
      </c>
    </row>
    <row r="124" spans="1:22" s="33" customFormat="1" hidden="1" x14ac:dyDescent="0.35">
      <c r="A124" s="94" t="s">
        <v>94</v>
      </c>
      <c r="B124" s="94"/>
      <c r="C124" s="94"/>
      <c r="D124" s="94"/>
      <c r="E124" s="94"/>
      <c r="F124" s="131"/>
      <c r="G124" s="131"/>
      <c r="H124" s="131"/>
      <c r="R124"/>
      <c r="S124">
        <v>1400000</v>
      </c>
      <c r="T124">
        <v>500000</v>
      </c>
      <c r="U124">
        <v>400000</v>
      </c>
      <c r="V124"/>
    </row>
    <row r="125" spans="1:22" s="33" customFormat="1" hidden="1" x14ac:dyDescent="0.35">
      <c r="A125" s="94" t="s">
        <v>95</v>
      </c>
      <c r="B125" s="94"/>
      <c r="C125" s="94"/>
      <c r="D125" s="94"/>
      <c r="E125" s="94"/>
      <c r="F125" s="131"/>
      <c r="G125" s="131"/>
      <c r="H125" s="131"/>
      <c r="R125"/>
      <c r="S125">
        <v>1500000</v>
      </c>
      <c r="T125">
        <v>600000</v>
      </c>
      <c r="U125">
        <v>500000</v>
      </c>
      <c r="V125" s="23"/>
    </row>
    <row r="126" spans="1:22" s="33" customFormat="1" hidden="1" x14ac:dyDescent="0.35">
      <c r="A126" s="94" t="s">
        <v>96</v>
      </c>
      <c r="B126" s="94"/>
      <c r="C126" s="94"/>
      <c r="D126" s="94"/>
      <c r="E126" s="94"/>
      <c r="F126" s="131"/>
      <c r="G126" s="131"/>
      <c r="H126" s="131"/>
      <c r="R126"/>
      <c r="S126">
        <v>1600000</v>
      </c>
      <c r="T126">
        <v>700000</v>
      </c>
      <c r="U126">
        <v>600000</v>
      </c>
      <c r="V126"/>
    </row>
    <row r="127" spans="1:22" s="33" customFormat="1" hidden="1" x14ac:dyDescent="0.35">
      <c r="A127" s="94" t="s">
        <v>97</v>
      </c>
      <c r="B127" s="94"/>
      <c r="C127" s="94"/>
      <c r="D127" s="94"/>
      <c r="E127" s="94"/>
      <c r="F127" s="131"/>
      <c r="G127" s="131"/>
      <c r="H127" s="131"/>
      <c r="R127"/>
      <c r="S127">
        <v>1700000</v>
      </c>
      <c r="T127">
        <v>800000</v>
      </c>
      <c r="U127"/>
      <c r="V127" s="23"/>
    </row>
    <row r="128" spans="1:22" x14ac:dyDescent="0.35">
      <c r="A128" s="94" t="s">
        <v>49</v>
      </c>
      <c r="B128" s="94"/>
      <c r="C128" s="94"/>
      <c r="D128" s="94"/>
      <c r="E128" s="94"/>
      <c r="F128" s="189">
        <v>400000</v>
      </c>
      <c r="G128" s="189"/>
      <c r="H128" s="189"/>
      <c r="R128"/>
      <c r="S128">
        <v>1800000</v>
      </c>
      <c r="T128">
        <v>900000</v>
      </c>
      <c r="U128"/>
    </row>
    <row r="129" spans="1:22" s="34" customFormat="1" x14ac:dyDescent="0.35">
      <c r="A129" s="156" t="s">
        <v>50</v>
      </c>
      <c r="B129" s="156"/>
      <c r="C129" s="156"/>
      <c r="D129" s="156"/>
      <c r="E129" s="156"/>
      <c r="F129" s="131">
        <f>F118*0.8</f>
        <v>6000</v>
      </c>
      <c r="G129" s="131"/>
      <c r="H129" s="131"/>
      <c r="R129" s="21"/>
      <c r="S129" s="21"/>
      <c r="T129">
        <v>1000000</v>
      </c>
      <c r="U129"/>
      <c r="V129" s="21"/>
    </row>
    <row r="130" spans="1:22" s="35" customFormat="1" ht="15.75" customHeight="1" x14ac:dyDescent="0.35">
      <c r="A130" s="107" t="s">
        <v>72</v>
      </c>
      <c r="B130" s="107"/>
      <c r="C130" s="107"/>
      <c r="D130" s="107"/>
      <c r="E130" s="107"/>
      <c r="F130" s="107"/>
      <c r="G130" s="107"/>
      <c r="H130" s="107"/>
      <c r="R130"/>
      <c r="S130" s="21"/>
      <c r="T130"/>
      <c r="U130"/>
      <c r="V130" s="21"/>
    </row>
    <row r="131" spans="1:22" s="35" customFormat="1" ht="15.75" customHeight="1" x14ac:dyDescent="0.35">
      <c r="A131" s="110" t="s">
        <v>51</v>
      </c>
      <c r="B131" s="110"/>
      <c r="C131" s="108" t="s">
        <v>75</v>
      </c>
      <c r="D131" s="108"/>
      <c r="E131" s="109" t="s">
        <v>52</v>
      </c>
      <c r="F131" s="109"/>
      <c r="G131" s="110" t="s">
        <v>53</v>
      </c>
      <c r="H131" s="110"/>
      <c r="R131"/>
      <c r="S131" s="21"/>
      <c r="T131"/>
      <c r="U131" s="21"/>
      <c r="V131" s="21"/>
    </row>
    <row r="132" spans="1:22" s="35" customFormat="1" x14ac:dyDescent="0.35">
      <c r="A132" s="111" t="s">
        <v>322</v>
      </c>
      <c r="B132" s="111"/>
      <c r="C132" s="128">
        <f>COUNT(F146:F152)</f>
        <v>7</v>
      </c>
      <c r="D132" s="104"/>
      <c r="E132" s="129">
        <f>SUM(F146:F152)</f>
        <v>935.70375599999988</v>
      </c>
      <c r="F132" s="105"/>
      <c r="G132" s="129">
        <f>SUM(H146:H152)</f>
        <v>2070</v>
      </c>
      <c r="H132" s="105"/>
      <c r="R132"/>
      <c r="S132" s="21"/>
      <c r="T132"/>
      <c r="U132" s="21"/>
      <c r="V132" s="21"/>
    </row>
    <row r="133" spans="1:22" s="35" customFormat="1" hidden="1" x14ac:dyDescent="0.35">
      <c r="A133" s="111"/>
      <c r="B133" s="111"/>
      <c r="C133" s="104"/>
      <c r="D133" s="104"/>
      <c r="E133" s="105"/>
      <c r="F133" s="105"/>
      <c r="G133" s="106"/>
      <c r="H133" s="106"/>
      <c r="R133"/>
      <c r="S133" s="21"/>
      <c r="T133"/>
      <c r="U133" s="21"/>
      <c r="V133" s="21"/>
    </row>
    <row r="134" spans="1:22" s="35" customFormat="1" hidden="1" x14ac:dyDescent="0.35">
      <c r="A134" s="107" t="s">
        <v>146</v>
      </c>
      <c r="B134" s="107"/>
      <c r="C134" s="108"/>
      <c r="D134" s="108"/>
      <c r="E134" s="109"/>
      <c r="F134" s="109"/>
      <c r="G134" s="110"/>
      <c r="H134" s="110"/>
      <c r="R134"/>
      <c r="S134" s="21"/>
      <c r="T134"/>
      <c r="U134" s="21"/>
      <c r="V134" s="21"/>
    </row>
    <row r="135" spans="1:22" s="35" customFormat="1" x14ac:dyDescent="0.35">
      <c r="A135" s="107" t="s">
        <v>67</v>
      </c>
      <c r="B135" s="107"/>
      <c r="C135" s="107"/>
      <c r="D135" s="107"/>
      <c r="E135" s="107"/>
      <c r="F135" s="107"/>
      <c r="G135" s="107"/>
      <c r="H135" s="107"/>
      <c r="T135"/>
    </row>
    <row r="136" spans="1:22" s="35" customFormat="1" ht="15.75" customHeight="1" x14ac:dyDescent="0.35">
      <c r="A136" s="110" t="s">
        <v>51</v>
      </c>
      <c r="B136" s="110"/>
      <c r="C136" s="108" t="s">
        <v>75</v>
      </c>
      <c r="D136" s="108"/>
      <c r="E136" s="109" t="s">
        <v>52</v>
      </c>
      <c r="F136" s="109"/>
      <c r="G136" s="110" t="s">
        <v>53</v>
      </c>
      <c r="H136" s="110"/>
      <c r="T136"/>
    </row>
    <row r="137" spans="1:22" s="35" customFormat="1" ht="16" thickBot="1" x14ac:dyDescent="0.4">
      <c r="A137" s="111" t="s">
        <v>323</v>
      </c>
      <c r="B137" s="111"/>
      <c r="C137" s="104">
        <f>COUNT(F157,F159:F162)+COUNT(F164:F169)*6</f>
        <v>41</v>
      </c>
      <c r="D137" s="104"/>
      <c r="E137" s="129">
        <f>SUM(F157,F159:F162)+SUM(F164:F169)*6</f>
        <v>15805.330164000001</v>
      </c>
      <c r="F137" s="129"/>
      <c r="G137" s="129">
        <f>SUM(H157,H159:H162)+SUM(H164:H169)*6</f>
        <v>26530</v>
      </c>
      <c r="H137" s="129"/>
      <c r="T137"/>
    </row>
    <row r="138" spans="1:22" s="35" customFormat="1" hidden="1" x14ac:dyDescent="0.35">
      <c r="A138" s="111"/>
      <c r="B138" s="111"/>
      <c r="C138" s="104"/>
      <c r="D138" s="104"/>
      <c r="E138" s="105"/>
      <c r="F138" s="105"/>
      <c r="G138" s="106"/>
      <c r="H138" s="106"/>
      <c r="T138"/>
    </row>
    <row r="139" spans="1:22" s="35" customFormat="1" ht="16" hidden="1" thickBot="1" x14ac:dyDescent="0.4">
      <c r="A139" s="99" t="s">
        <v>146</v>
      </c>
      <c r="B139" s="99"/>
      <c r="C139" s="209"/>
      <c r="D139" s="209"/>
      <c r="E139" s="100"/>
      <c r="F139" s="100"/>
      <c r="G139" s="103"/>
      <c r="H139" s="103"/>
      <c r="T139"/>
    </row>
    <row r="140" spans="1:22" s="35" customFormat="1" ht="16" thickBot="1" x14ac:dyDescent="0.4">
      <c r="A140" s="210" t="s">
        <v>163</v>
      </c>
      <c r="B140" s="211"/>
      <c r="C140" s="212">
        <f>C132+C137</f>
        <v>48</v>
      </c>
      <c r="D140" s="212"/>
      <c r="E140" s="133">
        <f t="shared" ref="E140" si="0">E132+E137</f>
        <v>16741.033920000002</v>
      </c>
      <c r="F140" s="133"/>
      <c r="G140" s="133">
        <f t="shared" ref="G140" si="1">G132+G137</f>
        <v>28600</v>
      </c>
      <c r="H140" s="133"/>
      <c r="T140"/>
    </row>
    <row r="141" spans="1:22" s="34" customFormat="1" x14ac:dyDescent="0.35">
      <c r="A141" s="130" t="s">
        <v>54</v>
      </c>
      <c r="B141" s="130"/>
      <c r="C141" s="130"/>
      <c r="D141" s="130"/>
      <c r="E141" s="130"/>
      <c r="F141" s="130"/>
      <c r="G141" s="130"/>
      <c r="H141" s="130"/>
      <c r="T141" s="35"/>
    </row>
    <row r="142" spans="1:22" x14ac:dyDescent="0.35">
      <c r="A142" s="233" t="s">
        <v>172</v>
      </c>
      <c r="B142" s="233"/>
      <c r="C142" s="233"/>
      <c r="D142" s="233"/>
      <c r="E142" s="233"/>
      <c r="F142" s="233"/>
      <c r="G142" s="233"/>
      <c r="H142" s="233"/>
      <c r="T142" s="35"/>
    </row>
    <row r="143" spans="1:22" ht="47.25" customHeight="1" x14ac:dyDescent="0.35">
      <c r="A143" s="116" t="s">
        <v>316</v>
      </c>
      <c r="B143" s="116" t="s">
        <v>174</v>
      </c>
      <c r="C143" s="116" t="s">
        <v>55</v>
      </c>
      <c r="D143" s="116" t="s">
        <v>317</v>
      </c>
      <c r="E143" s="126" t="s">
        <v>152</v>
      </c>
      <c r="F143" s="116" t="s">
        <v>56</v>
      </c>
      <c r="G143" s="126" t="s">
        <v>57</v>
      </c>
      <c r="H143" s="81" t="s">
        <v>327</v>
      </c>
      <c r="T143" s="35"/>
    </row>
    <row r="144" spans="1:22" s="37" customFormat="1" hidden="1" x14ac:dyDescent="0.35">
      <c r="A144" s="117"/>
      <c r="B144" s="117"/>
      <c r="C144" s="117"/>
      <c r="D144" s="117"/>
      <c r="E144" s="127"/>
      <c r="F144" s="117"/>
      <c r="G144" s="127"/>
      <c r="H144" s="82">
        <v>0.5</v>
      </c>
      <c r="T144" s="35"/>
    </row>
    <row r="145" spans="1:20" s="37" customFormat="1" x14ac:dyDescent="0.35">
      <c r="A145" s="193" t="s">
        <v>337</v>
      </c>
      <c r="B145" s="194"/>
      <c r="C145" s="194"/>
      <c r="D145" s="194"/>
      <c r="E145" s="194"/>
      <c r="F145" s="194"/>
      <c r="G145" s="194"/>
      <c r="H145" s="195"/>
      <c r="J145" s="36"/>
      <c r="T145" s="35"/>
    </row>
    <row r="146" spans="1:20" s="37" customFormat="1" ht="15.75" customHeight="1" x14ac:dyDescent="0.35">
      <c r="A146" s="191">
        <v>1</v>
      </c>
      <c r="B146" s="192"/>
      <c r="C146" s="42" t="s">
        <v>315</v>
      </c>
      <c r="D146" s="77">
        <f>(9.143)*10.764</f>
        <v>98.415251999999995</v>
      </c>
      <c r="E146" s="42">
        <v>0</v>
      </c>
      <c r="F146" s="69">
        <f>D146+(IF(E146&lt;201,E146,IF(E146&lt;301,E146/2,E146/3)))</f>
        <v>98.415251999999995</v>
      </c>
      <c r="G146" s="70">
        <v>0</v>
      </c>
      <c r="H146" s="83">
        <v>215</v>
      </c>
      <c r="I146" s="36">
        <f>2.1*4.45</f>
        <v>9.3450000000000006</v>
      </c>
      <c r="K146" s="83">
        <v>215</v>
      </c>
      <c r="L146" s="90">
        <f>K146/F146</f>
        <v>2.184620733379822</v>
      </c>
      <c r="M146" s="85"/>
      <c r="N146" s="84">
        <f>22000/2.2</f>
        <v>10000</v>
      </c>
      <c r="O146" s="84"/>
      <c r="P146" s="84"/>
      <c r="Q146" s="84"/>
      <c r="R146" s="84"/>
      <c r="T146" s="35"/>
    </row>
    <row r="147" spans="1:20" s="37" customFormat="1" ht="15.75" customHeight="1" x14ac:dyDescent="0.35">
      <c r="A147" s="191">
        <f>A146+1</f>
        <v>2</v>
      </c>
      <c r="B147" s="192"/>
      <c r="C147" s="77" t="s">
        <v>315</v>
      </c>
      <c r="D147" s="77">
        <f>(9.212)*10.764</f>
        <v>99.157967999999997</v>
      </c>
      <c r="E147" s="42">
        <v>0</v>
      </c>
      <c r="F147" s="69">
        <f t="shared" ref="F147:F149" si="2">D147+(IF(E147&lt;201,E147,IF(E147&lt;301,E147/2,E147/3)))</f>
        <v>99.157967999999997</v>
      </c>
      <c r="G147" s="58">
        <v>0</v>
      </c>
      <c r="H147" s="83">
        <v>215</v>
      </c>
      <c r="I147" s="36"/>
      <c r="K147" s="83">
        <v>215</v>
      </c>
      <c r="L147" s="90">
        <f t="shared" ref="L147:L152" si="3">K147/F147</f>
        <v>2.1682574213299732</v>
      </c>
      <c r="M147" s="85"/>
      <c r="N147" s="84">
        <f t="shared" ref="N147:N152" si="4">22000/2.2</f>
        <v>10000</v>
      </c>
      <c r="O147" s="84"/>
      <c r="P147" s="84"/>
      <c r="Q147" s="84"/>
      <c r="R147" s="84"/>
      <c r="T147" s="34"/>
    </row>
    <row r="148" spans="1:20" s="37" customFormat="1" ht="15.75" customHeight="1" x14ac:dyDescent="0.35">
      <c r="A148" s="191">
        <f>A147+1</f>
        <v>3</v>
      </c>
      <c r="B148" s="192"/>
      <c r="C148" s="77" t="s">
        <v>315</v>
      </c>
      <c r="D148" s="77">
        <f>(11.828)*10.764</f>
        <v>127.31659199999999</v>
      </c>
      <c r="E148" s="42">
        <v>0</v>
      </c>
      <c r="F148" s="69">
        <f t="shared" si="2"/>
        <v>127.31659199999999</v>
      </c>
      <c r="G148" s="58">
        <v>0</v>
      </c>
      <c r="H148" s="83">
        <v>280</v>
      </c>
      <c r="I148" s="36"/>
      <c r="K148" s="83">
        <v>280</v>
      </c>
      <c r="L148" s="90">
        <f t="shared" si="3"/>
        <v>2.1992420280932437</v>
      </c>
      <c r="M148" s="85"/>
      <c r="N148" s="84">
        <f t="shared" si="4"/>
        <v>10000</v>
      </c>
      <c r="O148" s="84"/>
      <c r="P148" s="84"/>
      <c r="Q148" s="84"/>
      <c r="R148" s="84"/>
      <c r="T148" s="21"/>
    </row>
    <row r="149" spans="1:20" s="37" customFormat="1" ht="15.75" customHeight="1" x14ac:dyDescent="0.35">
      <c r="A149" s="191">
        <f>A148+1</f>
        <v>4</v>
      </c>
      <c r="B149" s="192"/>
      <c r="C149" s="77" t="s">
        <v>315</v>
      </c>
      <c r="D149" s="77">
        <f>(11.82)*10.764</f>
        <v>127.23048</v>
      </c>
      <c r="E149" s="42">
        <v>0</v>
      </c>
      <c r="F149" s="69">
        <f t="shared" si="2"/>
        <v>127.23048</v>
      </c>
      <c r="G149" s="58">
        <v>0</v>
      </c>
      <c r="H149" s="83">
        <v>280</v>
      </c>
      <c r="I149" s="36">
        <f>2.1*4.95</f>
        <v>10.395000000000001</v>
      </c>
      <c r="K149" s="83">
        <v>280</v>
      </c>
      <c r="L149" s="90">
        <f t="shared" si="3"/>
        <v>2.2007305167755398</v>
      </c>
      <c r="M149" s="85"/>
      <c r="N149" s="84">
        <f t="shared" si="4"/>
        <v>10000</v>
      </c>
      <c r="O149" s="84"/>
      <c r="P149" s="84"/>
      <c r="Q149" s="84"/>
      <c r="R149" s="84"/>
      <c r="T149" s="21"/>
    </row>
    <row r="150" spans="1:20" s="78" customFormat="1" ht="15.75" customHeight="1" x14ac:dyDescent="0.35">
      <c r="A150" s="191">
        <f t="shared" ref="A150:A152" si="5">A149+1</f>
        <v>5</v>
      </c>
      <c r="B150" s="192"/>
      <c r="C150" s="77" t="s">
        <v>315</v>
      </c>
      <c r="D150" s="77">
        <f>(10.29)*10.764</f>
        <v>110.76155999999999</v>
      </c>
      <c r="E150" s="77">
        <v>0</v>
      </c>
      <c r="F150" s="77">
        <f t="shared" ref="F150:F152" si="6">D150+(IF(E150&lt;201,E150,IF(E150&lt;301,E150/2,E150/3)))</f>
        <v>110.76155999999999</v>
      </c>
      <c r="G150" s="77">
        <v>0</v>
      </c>
      <c r="H150" s="83">
        <v>240</v>
      </c>
      <c r="I150" s="36"/>
      <c r="K150" s="83">
        <v>240</v>
      </c>
      <c r="L150" s="90">
        <f t="shared" si="3"/>
        <v>2.1668167187244385</v>
      </c>
      <c r="M150" s="85"/>
      <c r="N150" s="84">
        <f t="shared" si="4"/>
        <v>10000</v>
      </c>
      <c r="O150" s="84"/>
      <c r="P150" s="84"/>
      <c r="Q150" s="84"/>
      <c r="R150" s="84"/>
      <c r="T150" s="21"/>
    </row>
    <row r="151" spans="1:20" s="78" customFormat="1" ht="15.75" customHeight="1" x14ac:dyDescent="0.35">
      <c r="A151" s="191">
        <f t="shared" si="5"/>
        <v>6</v>
      </c>
      <c r="B151" s="192"/>
      <c r="C151" s="77" t="s">
        <v>315</v>
      </c>
      <c r="D151" s="77">
        <f>(17.637)*10.764</f>
        <v>189.84466799999998</v>
      </c>
      <c r="E151" s="77">
        <v>0</v>
      </c>
      <c r="F151" s="77">
        <f t="shared" si="6"/>
        <v>189.84466799999998</v>
      </c>
      <c r="G151" s="77">
        <v>0</v>
      </c>
      <c r="H151" s="83">
        <v>405</v>
      </c>
      <c r="I151" s="36">
        <f>2.8*6.45</f>
        <v>18.059999999999999</v>
      </c>
      <c r="K151" s="83">
        <v>405</v>
      </c>
      <c r="L151" s="90">
        <f t="shared" si="3"/>
        <v>2.1333230175313642</v>
      </c>
      <c r="M151" s="85"/>
      <c r="N151" s="84">
        <f t="shared" si="4"/>
        <v>10000</v>
      </c>
      <c r="O151" s="84"/>
      <c r="P151" s="84"/>
      <c r="Q151" s="84"/>
      <c r="R151" s="84"/>
      <c r="T151" s="21"/>
    </row>
    <row r="152" spans="1:20" s="78" customFormat="1" ht="15.75" customHeight="1" x14ac:dyDescent="0.35">
      <c r="A152" s="191">
        <f t="shared" si="5"/>
        <v>7</v>
      </c>
      <c r="B152" s="192"/>
      <c r="C152" s="77" t="s">
        <v>315</v>
      </c>
      <c r="D152" s="77">
        <f>(16.999)*10.764</f>
        <v>182.97723599999998</v>
      </c>
      <c r="E152" s="77">
        <v>0</v>
      </c>
      <c r="F152" s="77">
        <f t="shared" si="6"/>
        <v>182.97723599999998</v>
      </c>
      <c r="G152" s="77">
        <v>0</v>
      </c>
      <c r="H152" s="83">
        <v>435</v>
      </c>
      <c r="I152" s="80">
        <f>3.45*5.21</f>
        <v>17.974499999999999</v>
      </c>
      <c r="K152" s="83">
        <v>435</v>
      </c>
      <c r="L152" s="90">
        <f t="shared" si="3"/>
        <v>2.3773449064450838</v>
      </c>
      <c r="M152" s="85"/>
      <c r="N152" s="84">
        <f t="shared" si="4"/>
        <v>10000</v>
      </c>
      <c r="O152" s="84"/>
      <c r="P152" s="84"/>
      <c r="Q152" s="84"/>
      <c r="R152" s="84"/>
      <c r="T152" s="21"/>
    </row>
    <row r="153" spans="1:20" s="37" customFormat="1" x14ac:dyDescent="0.35">
      <c r="A153" s="191"/>
      <c r="B153" s="199"/>
      <c r="C153" s="199"/>
      <c r="D153" s="199"/>
      <c r="E153" s="199"/>
      <c r="F153" s="199"/>
      <c r="G153" s="199"/>
      <c r="H153" s="192"/>
      <c r="I153" s="36"/>
      <c r="K153" s="84"/>
      <c r="L153" s="84"/>
      <c r="M153" s="84"/>
      <c r="N153" s="84"/>
      <c r="O153" s="84"/>
      <c r="P153" s="84"/>
      <c r="Q153" s="84"/>
      <c r="R153" s="84"/>
    </row>
    <row r="154" spans="1:20" ht="52.5" customHeight="1" x14ac:dyDescent="0.35">
      <c r="A154" s="204" t="s">
        <v>117</v>
      </c>
      <c r="B154" s="196" t="s">
        <v>175</v>
      </c>
      <c r="C154" s="196" t="s">
        <v>55</v>
      </c>
      <c r="D154" s="116" t="s">
        <v>339</v>
      </c>
      <c r="E154" s="206" t="s">
        <v>340</v>
      </c>
      <c r="F154" s="196" t="s">
        <v>56</v>
      </c>
      <c r="G154" s="206" t="s">
        <v>57</v>
      </c>
      <c r="H154" s="75" t="s">
        <v>327</v>
      </c>
      <c r="I154" s="86"/>
      <c r="K154" s="84"/>
      <c r="L154" s="84"/>
      <c r="M154" s="84"/>
      <c r="N154" s="84"/>
      <c r="O154" s="84"/>
      <c r="P154" s="84"/>
      <c r="Q154" s="84"/>
      <c r="R154" s="84"/>
      <c r="T154" s="37"/>
    </row>
    <row r="155" spans="1:20" s="37" customFormat="1" ht="15.75" hidden="1" customHeight="1" x14ac:dyDescent="0.35">
      <c r="A155" s="205"/>
      <c r="B155" s="197"/>
      <c r="C155" s="197"/>
      <c r="D155" s="117"/>
      <c r="E155" s="207"/>
      <c r="F155" s="197"/>
      <c r="G155" s="207"/>
      <c r="H155" s="82">
        <v>0.5</v>
      </c>
      <c r="I155" s="36"/>
      <c r="K155" s="84"/>
      <c r="L155" s="84"/>
      <c r="M155" s="84"/>
      <c r="N155" s="84"/>
      <c r="O155" s="84"/>
      <c r="P155" s="84"/>
      <c r="Q155" s="84"/>
      <c r="R155" s="84"/>
    </row>
    <row r="156" spans="1:20" s="37" customFormat="1" x14ac:dyDescent="0.35">
      <c r="A156" s="193" t="s">
        <v>338</v>
      </c>
      <c r="B156" s="194"/>
      <c r="C156" s="194"/>
      <c r="D156" s="194"/>
      <c r="E156" s="194"/>
      <c r="F156" s="194"/>
      <c r="G156" s="194"/>
      <c r="H156" s="195"/>
      <c r="J156" s="36"/>
      <c r="K156" s="84"/>
      <c r="L156" s="84"/>
      <c r="M156" s="84">
        <v>7500</v>
      </c>
      <c r="N156" s="84"/>
      <c r="O156" s="84"/>
      <c r="P156" s="84"/>
      <c r="Q156" s="84"/>
      <c r="R156" s="84"/>
    </row>
    <row r="157" spans="1:20" s="37" customFormat="1" ht="15.75" customHeight="1" x14ac:dyDescent="0.35">
      <c r="A157" s="191">
        <v>1</v>
      </c>
      <c r="B157" s="192"/>
      <c r="C157" s="42" t="s">
        <v>318</v>
      </c>
      <c r="D157" s="77">
        <f>(25.37+5.2+0.968)*10.764</f>
        <v>339.475032</v>
      </c>
      <c r="E157" s="77">
        <f>(8)*10.764</f>
        <v>86.111999999999995</v>
      </c>
      <c r="F157" s="42">
        <f>D157+E157</f>
        <v>425.58703200000002</v>
      </c>
      <c r="G157" s="58">
        <v>0</v>
      </c>
      <c r="H157" s="83">
        <v>715</v>
      </c>
      <c r="I157" s="36">
        <f>3.95*2.7+3*2.1+3*2.7+2.1*1.2+1*1.8</f>
        <v>29.385000000000005</v>
      </c>
      <c r="K157" s="83">
        <v>715</v>
      </c>
      <c r="L157" s="83">
        <f>K157/F157</f>
        <v>1.6800323934682295</v>
      </c>
      <c r="M157" s="84">
        <f>M$156*H157</f>
        <v>5362500</v>
      </c>
      <c r="N157" s="83">
        <v>10.763999999999999</v>
      </c>
      <c r="O157" s="84"/>
      <c r="P157" s="84"/>
      <c r="Q157" s="84"/>
      <c r="R157" s="84"/>
    </row>
    <row r="158" spans="1:20" s="37" customFormat="1" ht="15.75" customHeight="1" x14ac:dyDescent="0.35">
      <c r="A158" s="191">
        <f>A157+1</f>
        <v>2</v>
      </c>
      <c r="B158" s="192"/>
      <c r="C158" s="191" t="s">
        <v>320</v>
      </c>
      <c r="D158" s="199"/>
      <c r="E158" s="199"/>
      <c r="F158" s="199"/>
      <c r="G158" s="199"/>
      <c r="H158" s="192"/>
      <c r="I158" s="36"/>
      <c r="K158" s="83"/>
      <c r="L158" s="83"/>
      <c r="M158" s="84">
        <f t="shared" ref="M158:M169" si="7">M$156*H158</f>
        <v>0</v>
      </c>
      <c r="N158" s="84"/>
      <c r="O158" s="84"/>
      <c r="P158" s="84"/>
      <c r="Q158" s="84"/>
      <c r="R158" s="84"/>
    </row>
    <row r="159" spans="1:20" s="37" customFormat="1" ht="15.75" customHeight="1" x14ac:dyDescent="0.35">
      <c r="A159" s="191">
        <f>A158+1</f>
        <v>3</v>
      </c>
      <c r="B159" s="192"/>
      <c r="C159" s="42" t="s">
        <v>319</v>
      </c>
      <c r="D159" s="77">
        <f>(22.661+3.1+0.967)*10.764</f>
        <v>287.70019200000002</v>
      </c>
      <c r="E159" s="77">
        <f>(2.7)*10.764</f>
        <v>29.062799999999999</v>
      </c>
      <c r="F159" s="58">
        <f>D159+E159</f>
        <v>316.762992</v>
      </c>
      <c r="G159" s="58">
        <v>0</v>
      </c>
      <c r="H159" s="83">
        <v>535</v>
      </c>
      <c r="I159" s="89">
        <f>4.4*2.7+3*2.8+1.2*1.6+1*1.2+0.9*1+0.6*1.1</f>
        <v>24.96</v>
      </c>
      <c r="J159" s="37">
        <f>22.661+3.1+0.967</f>
        <v>26.728000000000002</v>
      </c>
      <c r="K159" s="83">
        <v>535</v>
      </c>
      <c r="L159" s="90">
        <f t="shared" ref="L159:L169" si="8">K159/F159</f>
        <v>1.6889599274905196</v>
      </c>
      <c r="M159" s="84">
        <f t="shared" si="7"/>
        <v>4012500</v>
      </c>
      <c r="N159" s="84"/>
      <c r="O159" s="84"/>
      <c r="P159" s="84"/>
      <c r="Q159" s="84"/>
      <c r="R159" s="84"/>
    </row>
    <row r="160" spans="1:20" s="37" customFormat="1" ht="15.75" customHeight="1" x14ac:dyDescent="0.35">
      <c r="A160" s="191">
        <f>A159+1</f>
        <v>4</v>
      </c>
      <c r="B160" s="192"/>
      <c r="C160" s="42" t="s">
        <v>318</v>
      </c>
      <c r="D160" s="77">
        <f>(29.817+2.85)*10.764</f>
        <v>351.627588</v>
      </c>
      <c r="E160" s="77">
        <f>(5)*10.764</f>
        <v>53.819999999999993</v>
      </c>
      <c r="F160" s="58">
        <f>D160+E160</f>
        <v>405.447588</v>
      </c>
      <c r="G160" s="83">
        <f>((1/2*2.25*3)+(1/2*0.75*2.5))*10.764</f>
        <v>46.419750000000001</v>
      </c>
      <c r="H160" s="83">
        <v>715</v>
      </c>
      <c r="I160" s="36"/>
      <c r="K160" s="83">
        <v>715</v>
      </c>
      <c r="L160" s="90">
        <f t="shared" si="8"/>
        <v>1.7634831755368587</v>
      </c>
      <c r="M160" s="84">
        <f t="shared" si="7"/>
        <v>5362500</v>
      </c>
      <c r="N160" s="84"/>
      <c r="O160" s="84"/>
      <c r="P160" s="84"/>
      <c r="Q160" s="84"/>
      <c r="R160" s="84"/>
      <c r="T160" s="21"/>
    </row>
    <row r="161" spans="1:20" s="78" customFormat="1" ht="15.75" customHeight="1" x14ac:dyDescent="0.35">
      <c r="A161" s="191">
        <f t="shared" ref="A161:A162" si="9">A160+1</f>
        <v>5</v>
      </c>
      <c r="B161" s="192"/>
      <c r="C161" s="77" t="s">
        <v>318</v>
      </c>
      <c r="D161" s="77">
        <f>(28.772+2.7)*10.764</f>
        <v>338.76460799999995</v>
      </c>
      <c r="E161" s="77">
        <f>(2.812+0.75*(2.1+2.76))*10.764</f>
        <v>69.503147999999982</v>
      </c>
      <c r="F161" s="77">
        <f t="shared" ref="F161:F162" si="10">D161+E161</f>
        <v>408.26775599999996</v>
      </c>
      <c r="G161" s="77">
        <v>0</v>
      </c>
      <c r="H161" s="83">
        <v>680</v>
      </c>
      <c r="I161" s="36"/>
      <c r="K161" s="83">
        <v>680</v>
      </c>
      <c r="L161" s="90">
        <f t="shared" si="8"/>
        <v>1.6655736094917084</v>
      </c>
      <c r="M161" s="84">
        <f t="shared" si="7"/>
        <v>5100000</v>
      </c>
      <c r="N161" s="84"/>
      <c r="O161" s="84">
        <f>14000/1.7</f>
        <v>8235.2941176470595</v>
      </c>
      <c r="P161" s="84"/>
      <c r="Q161" s="84"/>
      <c r="R161" s="84"/>
      <c r="T161" s="21"/>
    </row>
    <row r="162" spans="1:20" s="78" customFormat="1" ht="15.75" customHeight="1" x14ac:dyDescent="0.35">
      <c r="A162" s="191">
        <f t="shared" si="9"/>
        <v>6</v>
      </c>
      <c r="B162" s="192"/>
      <c r="C162" s="77" t="s">
        <v>318</v>
      </c>
      <c r="D162" s="77">
        <f>(27.697+2.7+1.35)*10.764</f>
        <v>341.72470799999996</v>
      </c>
      <c r="E162" s="77">
        <f>(2.792+0.75*(2.1+2.7))*10.764</f>
        <v>68.803488000000002</v>
      </c>
      <c r="F162" s="77">
        <f t="shared" si="10"/>
        <v>410.52819599999998</v>
      </c>
      <c r="G162" s="77">
        <v>0</v>
      </c>
      <c r="H162" s="83">
        <v>695</v>
      </c>
      <c r="I162" s="36">
        <f>2.7*4.05+2.1*3+2.7*3+2.1*1.2+1.8*1.2</f>
        <v>30.015000000000001</v>
      </c>
      <c r="K162" s="83">
        <v>695</v>
      </c>
      <c r="L162" s="90">
        <f t="shared" si="8"/>
        <v>1.6929409642791016</v>
      </c>
      <c r="M162" s="84">
        <f t="shared" si="7"/>
        <v>5212500</v>
      </c>
      <c r="N162" s="84"/>
      <c r="O162" s="84"/>
      <c r="P162" s="84"/>
      <c r="Q162" s="84"/>
      <c r="R162" s="84"/>
      <c r="T162" s="21"/>
    </row>
    <row r="163" spans="1:20" s="37" customFormat="1" x14ac:dyDescent="0.35">
      <c r="A163" s="190" t="s">
        <v>321</v>
      </c>
      <c r="B163" s="190"/>
      <c r="C163" s="190"/>
      <c r="D163" s="190"/>
      <c r="E163" s="190"/>
      <c r="F163" s="190"/>
      <c r="G163" s="190"/>
      <c r="H163" s="190"/>
      <c r="I163" s="36"/>
      <c r="K163" s="83"/>
      <c r="L163" s="83"/>
      <c r="M163" s="84">
        <f t="shared" si="7"/>
        <v>0</v>
      </c>
      <c r="N163" s="84"/>
      <c r="O163" s="84"/>
      <c r="P163" s="84"/>
      <c r="Q163" s="84"/>
      <c r="R163" s="84"/>
    </row>
    <row r="164" spans="1:20" s="37" customFormat="1" x14ac:dyDescent="0.35">
      <c r="A164" s="115">
        <v>1</v>
      </c>
      <c r="B164" s="115"/>
      <c r="C164" s="77" t="s">
        <v>318</v>
      </c>
      <c r="D164" s="88">
        <f>(25.37+5.2+0.968)*10.764</f>
        <v>339.475032</v>
      </c>
      <c r="E164" s="88">
        <f>(8)*10.764</f>
        <v>86.111999999999995</v>
      </c>
      <c r="F164" s="58">
        <f t="shared" ref="F164:F169" si="11">D164+E164</f>
        <v>425.58703200000002</v>
      </c>
      <c r="G164" s="58">
        <v>0</v>
      </c>
      <c r="H164" s="83">
        <v>715</v>
      </c>
      <c r="I164" s="36"/>
      <c r="J164" s="37">
        <f>4500000/H164</f>
        <v>6293.7062937062938</v>
      </c>
      <c r="K164" s="83">
        <v>715</v>
      </c>
      <c r="L164" s="90">
        <f t="shared" si="8"/>
        <v>1.6800323934682295</v>
      </c>
      <c r="M164" s="84">
        <f t="shared" si="7"/>
        <v>5362500</v>
      </c>
      <c r="N164" s="84"/>
      <c r="O164" s="84"/>
      <c r="P164" s="84"/>
      <c r="Q164" s="84"/>
      <c r="R164" s="84"/>
    </row>
    <row r="165" spans="1:20" s="37" customFormat="1" x14ac:dyDescent="0.35">
      <c r="A165" s="115">
        <f>A164+1</f>
        <v>2</v>
      </c>
      <c r="B165" s="115"/>
      <c r="C165" s="77" t="s">
        <v>319</v>
      </c>
      <c r="D165" s="77">
        <f>(17.924+2.895)*10.764</f>
        <v>224.09571599999998</v>
      </c>
      <c r="E165" s="77">
        <f>(3+0.75*1.8)*10.764</f>
        <v>46.823399999999992</v>
      </c>
      <c r="F165" s="58">
        <f t="shared" si="11"/>
        <v>270.91911599999997</v>
      </c>
      <c r="G165" s="58">
        <v>0</v>
      </c>
      <c r="H165" s="83">
        <v>455</v>
      </c>
      <c r="I165" s="36"/>
      <c r="K165" s="83">
        <v>455</v>
      </c>
      <c r="L165" s="90">
        <f t="shared" si="8"/>
        <v>1.6794680520070797</v>
      </c>
      <c r="M165" s="84">
        <f t="shared" si="7"/>
        <v>3412500</v>
      </c>
      <c r="N165" s="84"/>
      <c r="O165" s="84"/>
      <c r="P165" s="84"/>
      <c r="Q165" s="84"/>
      <c r="R165" s="84"/>
    </row>
    <row r="166" spans="1:20" s="37" customFormat="1" x14ac:dyDescent="0.35">
      <c r="A166" s="115">
        <f>A165+1</f>
        <v>3</v>
      </c>
      <c r="B166" s="115"/>
      <c r="C166" s="77" t="s">
        <v>318</v>
      </c>
      <c r="D166" s="77">
        <f>(27.086+3.1+0.967)*10.764</f>
        <v>335.33089199999995</v>
      </c>
      <c r="E166" s="77">
        <f>(4.68)*10.764</f>
        <v>50.375519999999995</v>
      </c>
      <c r="F166" s="58">
        <f t="shared" si="11"/>
        <v>385.70641199999994</v>
      </c>
      <c r="G166" s="58">
        <v>0</v>
      </c>
      <c r="H166" s="83">
        <v>645</v>
      </c>
      <c r="I166" s="36"/>
      <c r="K166" s="83">
        <v>645</v>
      </c>
      <c r="L166" s="90">
        <f t="shared" si="8"/>
        <v>1.6722563585486883</v>
      </c>
      <c r="M166" s="84">
        <f t="shared" si="7"/>
        <v>4837500</v>
      </c>
      <c r="N166" s="84"/>
      <c r="O166" s="84"/>
      <c r="P166" s="84"/>
      <c r="Q166" s="84"/>
      <c r="R166" s="84"/>
    </row>
    <row r="167" spans="1:20" s="37" customFormat="1" x14ac:dyDescent="0.35">
      <c r="A167" s="115">
        <f>A166+1</f>
        <v>4</v>
      </c>
      <c r="B167" s="115"/>
      <c r="C167" s="77" t="s">
        <v>318</v>
      </c>
      <c r="D167" s="88">
        <f>(29.817+2.85)*10.764</f>
        <v>351.627588</v>
      </c>
      <c r="E167" s="88">
        <f>(5)*10.764</f>
        <v>53.819999999999993</v>
      </c>
      <c r="F167" s="58">
        <f t="shared" si="11"/>
        <v>405.447588</v>
      </c>
      <c r="G167" s="58">
        <v>0</v>
      </c>
      <c r="H167" s="83">
        <v>675</v>
      </c>
      <c r="I167" s="36"/>
      <c r="K167" s="83">
        <v>675</v>
      </c>
      <c r="L167" s="90">
        <f t="shared" si="8"/>
        <v>1.6648267741082234</v>
      </c>
      <c r="M167" s="84">
        <f t="shared" si="7"/>
        <v>5062500</v>
      </c>
      <c r="N167" s="84"/>
      <c r="O167" s="84"/>
      <c r="P167" s="84"/>
      <c r="Q167" s="84"/>
      <c r="R167" s="84"/>
    </row>
    <row r="168" spans="1:20" s="37" customFormat="1" x14ac:dyDescent="0.35">
      <c r="A168" s="115">
        <f>A167+1</f>
        <v>5</v>
      </c>
      <c r="B168" s="115"/>
      <c r="C168" s="77" t="s">
        <v>318</v>
      </c>
      <c r="D168" s="88">
        <f>(28.772+2.7)*10.764</f>
        <v>338.76460799999995</v>
      </c>
      <c r="E168" s="88">
        <f>(2.812+0.75*(2.1+2.76))*10.764</f>
        <v>69.503147999999982</v>
      </c>
      <c r="F168" s="58">
        <f t="shared" si="11"/>
        <v>408.26775599999996</v>
      </c>
      <c r="G168" s="58">
        <v>0</v>
      </c>
      <c r="H168" s="83">
        <v>680</v>
      </c>
      <c r="I168" s="36"/>
      <c r="J168" s="37">
        <f>4500000/H168</f>
        <v>6617.6470588235297</v>
      </c>
      <c r="K168" s="83">
        <v>680</v>
      </c>
      <c r="L168" s="90">
        <f t="shared" si="8"/>
        <v>1.6655736094917084</v>
      </c>
      <c r="M168" s="84">
        <f t="shared" si="7"/>
        <v>5100000</v>
      </c>
      <c r="N168" s="84"/>
      <c r="O168" s="84"/>
      <c r="P168" s="84"/>
      <c r="Q168" s="84"/>
      <c r="R168" s="84"/>
    </row>
    <row r="169" spans="1:20" s="78" customFormat="1" x14ac:dyDescent="0.35">
      <c r="A169" s="115">
        <f>A168+1</f>
        <v>6</v>
      </c>
      <c r="B169" s="115"/>
      <c r="C169" s="77" t="s">
        <v>318</v>
      </c>
      <c r="D169" s="88">
        <f>(27.697+2.7+1.35)*10.764</f>
        <v>341.72470799999996</v>
      </c>
      <c r="E169" s="88">
        <f>(2.792+0.75*(2.1+2.7))*10.764</f>
        <v>68.803488000000002</v>
      </c>
      <c r="F169" s="77">
        <f t="shared" si="11"/>
        <v>410.52819599999998</v>
      </c>
      <c r="G169" s="77">
        <v>0</v>
      </c>
      <c r="H169" s="83">
        <v>695</v>
      </c>
      <c r="I169" s="36"/>
      <c r="K169" s="83">
        <v>695</v>
      </c>
      <c r="L169" s="90">
        <f t="shared" si="8"/>
        <v>1.6929409642791016</v>
      </c>
      <c r="M169" s="84">
        <f t="shared" si="7"/>
        <v>5212500</v>
      </c>
      <c r="N169" s="84"/>
      <c r="O169" s="84"/>
      <c r="P169" s="84"/>
      <c r="Q169" s="84"/>
      <c r="R169" s="84"/>
    </row>
    <row r="170" spans="1:20" s="35" customFormat="1" x14ac:dyDescent="0.35">
      <c r="A170" s="203" t="s">
        <v>65</v>
      </c>
      <c r="B170" s="203"/>
      <c r="C170" s="203"/>
      <c r="D170" s="203"/>
      <c r="E170" s="203"/>
      <c r="F170" s="203"/>
      <c r="G170" s="203"/>
      <c r="H170" s="203"/>
      <c r="K170" s="84"/>
      <c r="L170" s="84"/>
      <c r="M170" s="84"/>
      <c r="N170" s="84"/>
      <c r="O170" s="84"/>
      <c r="P170" s="84"/>
      <c r="Q170" s="84"/>
      <c r="R170" s="84"/>
      <c r="T170" s="37"/>
    </row>
    <row r="171" spans="1:20" s="35" customFormat="1" x14ac:dyDescent="0.35">
      <c r="A171" s="46" t="s">
        <v>149</v>
      </c>
      <c r="B171" s="200" t="s">
        <v>345</v>
      </c>
      <c r="C171" s="201"/>
      <c r="D171" s="201"/>
      <c r="E171" s="201"/>
      <c r="F171" s="201"/>
      <c r="G171" s="201"/>
      <c r="H171" s="202"/>
      <c r="K171" s="84"/>
      <c r="L171" s="84"/>
      <c r="M171" s="84"/>
      <c r="N171" s="84"/>
      <c r="O171" s="84"/>
      <c r="P171" s="84"/>
      <c r="Q171" s="84"/>
      <c r="R171" s="84"/>
      <c r="T171" s="37"/>
    </row>
    <row r="172" spans="1:20" s="35" customFormat="1" x14ac:dyDescent="0.35">
      <c r="A172" s="46" t="s">
        <v>149</v>
      </c>
      <c r="B172" s="200" t="str">
        <f>(IF(H154="Saleable area Loading :","We have considered Saleable area of Flats as per our Calculation.","We considered Saleable area of Flat as per Builder area Sheet."))</f>
        <v>We considered Saleable area of Flat as per Builder area Sheet.</v>
      </c>
      <c r="C172" s="201"/>
      <c r="D172" s="201"/>
      <c r="E172" s="201"/>
      <c r="F172" s="201"/>
      <c r="G172" s="201"/>
      <c r="H172" s="202"/>
      <c r="K172" s="84"/>
      <c r="L172" s="84"/>
      <c r="M172" s="84"/>
      <c r="N172" s="84"/>
      <c r="O172" s="84"/>
      <c r="P172" s="84"/>
      <c r="Q172" s="84"/>
      <c r="R172" s="84"/>
      <c r="T172" s="37"/>
    </row>
    <row r="173" spans="1:20" s="35" customFormat="1" x14ac:dyDescent="0.35">
      <c r="A173" s="46" t="s">
        <v>149</v>
      </c>
      <c r="B173" s="200" t="str">
        <f>(IF(H143="Saleable area Loading :","We have considered Saleable area of Commercial as per our Calculation.","We considered Saleable area of Commercial as per Builder area Sheet."))</f>
        <v>We considered Saleable area of Commercial as per Builder area Sheet.</v>
      </c>
      <c r="C173" s="201"/>
      <c r="D173" s="201"/>
      <c r="E173" s="201"/>
      <c r="F173" s="201"/>
      <c r="G173" s="201"/>
      <c r="H173" s="202"/>
      <c r="K173" s="84"/>
      <c r="L173" s="84"/>
      <c r="M173" s="84"/>
      <c r="N173" s="84"/>
      <c r="O173" s="84"/>
      <c r="P173" s="84"/>
      <c r="Q173" s="84"/>
      <c r="R173" s="84"/>
      <c r="T173" s="37"/>
    </row>
    <row r="174" spans="1:20" s="35" customFormat="1" x14ac:dyDescent="0.35">
      <c r="A174" s="46" t="s">
        <v>149</v>
      </c>
      <c r="B174" s="112" t="s">
        <v>120</v>
      </c>
      <c r="C174" s="113"/>
      <c r="D174" s="113"/>
      <c r="E174" s="113"/>
      <c r="F174" s="113"/>
      <c r="G174" s="113"/>
      <c r="H174" s="114"/>
      <c r="K174" s="84"/>
      <c r="L174" s="84"/>
      <c r="M174" s="84"/>
      <c r="N174" s="84"/>
      <c r="O174" s="84"/>
      <c r="P174" s="84"/>
      <c r="Q174" s="84"/>
      <c r="R174" s="84"/>
      <c r="T174" s="37"/>
    </row>
    <row r="175" spans="1:20" s="35" customFormat="1" ht="33.75" customHeight="1" x14ac:dyDescent="0.35">
      <c r="A175" s="46" t="s">
        <v>149</v>
      </c>
      <c r="B175" s="112" t="s">
        <v>324</v>
      </c>
      <c r="C175" s="113"/>
      <c r="D175" s="113"/>
      <c r="E175" s="113"/>
      <c r="F175" s="113"/>
      <c r="G175" s="113"/>
      <c r="H175" s="114"/>
      <c r="K175" s="84"/>
      <c r="L175" s="84"/>
      <c r="M175" s="84"/>
      <c r="N175" s="84"/>
      <c r="O175" s="84"/>
      <c r="P175" s="84"/>
      <c r="Q175" s="84"/>
      <c r="R175" s="84"/>
      <c r="T175" s="37"/>
    </row>
    <row r="176" spans="1:20" s="35" customFormat="1" x14ac:dyDescent="0.35">
      <c r="A176" s="46" t="s">
        <v>149</v>
      </c>
      <c r="B176" s="112" t="s">
        <v>148</v>
      </c>
      <c r="C176" s="113"/>
      <c r="D176" s="113"/>
      <c r="E176" s="113"/>
      <c r="F176" s="113"/>
      <c r="G176" s="113"/>
      <c r="H176" s="114"/>
      <c r="K176" s="84"/>
      <c r="L176" s="84"/>
      <c r="M176" s="84"/>
      <c r="N176" s="84"/>
      <c r="O176" s="84"/>
      <c r="P176" s="84"/>
      <c r="Q176" s="84"/>
      <c r="R176" s="84"/>
    </row>
    <row r="177" spans="1:20" s="35" customFormat="1" x14ac:dyDescent="0.35">
      <c r="A177" s="46" t="s">
        <v>149</v>
      </c>
      <c r="B177" s="112" t="s">
        <v>121</v>
      </c>
      <c r="C177" s="113"/>
      <c r="D177" s="113"/>
      <c r="E177" s="113"/>
      <c r="F177" s="113"/>
      <c r="G177" s="113"/>
      <c r="H177" s="114"/>
      <c r="K177" s="84"/>
      <c r="L177" s="84"/>
      <c r="M177" s="84"/>
      <c r="N177" s="84"/>
      <c r="O177" s="84"/>
      <c r="P177" s="84"/>
      <c r="Q177" s="84"/>
      <c r="R177" s="84"/>
    </row>
    <row r="178" spans="1:20" s="35" customFormat="1" ht="34.5" hidden="1" customHeight="1" x14ac:dyDescent="0.35">
      <c r="A178" s="46" t="s">
        <v>149</v>
      </c>
      <c r="B178" s="112" t="s">
        <v>150</v>
      </c>
      <c r="C178" s="113"/>
      <c r="D178" s="113"/>
      <c r="E178" s="113"/>
      <c r="F178" s="113"/>
      <c r="G178" s="113"/>
      <c r="H178" s="114"/>
      <c r="K178" s="84"/>
      <c r="L178" s="84"/>
      <c r="M178" s="84"/>
      <c r="N178" s="84"/>
      <c r="O178" s="84"/>
      <c r="P178" s="84"/>
      <c r="Q178" s="84"/>
      <c r="R178" s="84"/>
    </row>
    <row r="179" spans="1:20" s="35" customFormat="1" x14ac:dyDescent="0.35">
      <c r="A179" s="46" t="s">
        <v>149</v>
      </c>
      <c r="B179" s="112" t="s">
        <v>122</v>
      </c>
      <c r="C179" s="113"/>
      <c r="D179" s="113"/>
      <c r="E179" s="113"/>
      <c r="F179" s="113"/>
      <c r="G179" s="113"/>
      <c r="H179" s="114"/>
      <c r="K179" s="84"/>
      <c r="L179" s="84"/>
      <c r="M179" s="84"/>
      <c r="N179" s="84"/>
      <c r="O179" s="84"/>
      <c r="P179" s="84"/>
      <c r="Q179" s="84"/>
      <c r="R179" s="84"/>
    </row>
    <row r="180" spans="1:20" s="35" customFormat="1" ht="35.5" customHeight="1" x14ac:dyDescent="0.35">
      <c r="A180" s="55" t="s">
        <v>149</v>
      </c>
      <c r="B180" s="200" t="s">
        <v>342</v>
      </c>
      <c r="C180" s="201"/>
      <c r="D180" s="201"/>
      <c r="E180" s="201"/>
      <c r="F180" s="201"/>
      <c r="G180" s="201"/>
      <c r="H180" s="202"/>
      <c r="K180" s="84"/>
      <c r="L180" s="84"/>
      <c r="M180" s="84"/>
      <c r="N180" s="84"/>
      <c r="O180" s="84"/>
      <c r="P180" s="84"/>
      <c r="Q180" s="84"/>
      <c r="R180" s="84"/>
    </row>
    <row r="181" spans="1:20" s="35" customFormat="1" ht="15.75" hidden="1" customHeight="1" x14ac:dyDescent="0.35">
      <c r="A181" s="59" t="s">
        <v>149</v>
      </c>
      <c r="B181" s="91" t="s">
        <v>229</v>
      </c>
      <c r="C181" s="92"/>
      <c r="D181" s="92"/>
      <c r="E181" s="92"/>
      <c r="F181" s="92"/>
      <c r="G181" s="92"/>
      <c r="H181" s="93"/>
      <c r="K181" s="84"/>
      <c r="L181" s="84"/>
      <c r="M181" s="84"/>
      <c r="N181" s="84"/>
      <c r="O181" s="84"/>
      <c r="P181" s="84"/>
      <c r="Q181" s="84"/>
      <c r="R181" s="84"/>
    </row>
    <row r="182" spans="1:20" x14ac:dyDescent="0.35">
      <c r="A182" s="153" t="s">
        <v>58</v>
      </c>
      <c r="B182" s="153"/>
      <c r="C182" s="153"/>
      <c r="D182" s="153"/>
      <c r="E182" s="153"/>
      <c r="F182" s="153"/>
      <c r="G182" s="153"/>
      <c r="H182" s="153"/>
      <c r="K182" s="84"/>
      <c r="L182" s="84"/>
      <c r="M182" s="84"/>
      <c r="N182" s="84"/>
      <c r="O182" s="84"/>
      <c r="P182" s="84"/>
      <c r="Q182" s="84"/>
      <c r="R182" s="84"/>
      <c r="T182" s="35"/>
    </row>
    <row r="183" spans="1:20" x14ac:dyDescent="0.35">
      <c r="A183" s="94" t="s">
        <v>59</v>
      </c>
      <c r="B183" s="94"/>
      <c r="C183" s="94"/>
      <c r="D183" s="94"/>
      <c r="E183" s="94"/>
      <c r="F183" s="94"/>
      <c r="G183" s="94"/>
      <c r="H183" s="94"/>
      <c r="K183" s="84"/>
      <c r="L183" s="84"/>
      <c r="M183" s="84"/>
      <c r="N183" s="84"/>
      <c r="O183" s="84"/>
      <c r="P183" s="84"/>
      <c r="Q183" s="84"/>
      <c r="R183" s="84"/>
      <c r="T183" s="35"/>
    </row>
    <row r="184" spans="1:20" ht="15.75" customHeight="1" x14ac:dyDescent="0.35">
      <c r="A184" s="208" t="s">
        <v>60</v>
      </c>
      <c r="B184" s="208"/>
      <c r="C184" s="208"/>
      <c r="D184" s="208"/>
      <c r="E184" s="208"/>
      <c r="F184" s="208"/>
      <c r="G184" s="208"/>
      <c r="H184" s="208"/>
      <c r="K184" s="84"/>
      <c r="L184" s="84"/>
      <c r="M184" s="84"/>
      <c r="N184" s="84"/>
      <c r="O184" s="84"/>
      <c r="P184" s="84"/>
      <c r="Q184" s="84"/>
      <c r="R184" s="84"/>
      <c r="T184" s="35"/>
    </row>
    <row r="185" spans="1:20" x14ac:dyDescent="0.35">
      <c r="A185" s="94" t="s">
        <v>61</v>
      </c>
      <c r="B185" s="94"/>
      <c r="C185" s="94"/>
      <c r="D185" s="94"/>
      <c r="E185" s="94"/>
      <c r="F185" s="94"/>
      <c r="G185" s="94"/>
      <c r="H185" s="94"/>
      <c r="K185" s="84"/>
      <c r="L185" s="84"/>
      <c r="M185" s="84"/>
      <c r="N185" s="84"/>
      <c r="O185" s="84"/>
      <c r="P185" s="84"/>
      <c r="Q185" s="84"/>
      <c r="R185" s="84"/>
      <c r="T185" s="35"/>
    </row>
    <row r="186" spans="1:20" x14ac:dyDescent="0.35">
      <c r="A186" s="94" t="s">
        <v>62</v>
      </c>
      <c r="B186" s="94"/>
      <c r="C186" s="94"/>
      <c r="D186" s="94"/>
      <c r="E186" s="94"/>
      <c r="F186" s="94"/>
      <c r="G186" s="94"/>
      <c r="H186" s="94"/>
      <c r="K186" s="84"/>
      <c r="L186" s="84"/>
      <c r="M186" s="84"/>
      <c r="N186" s="84"/>
      <c r="O186" s="84"/>
      <c r="P186" s="84"/>
      <c r="Q186" s="84"/>
      <c r="R186" s="84"/>
      <c r="T186" s="35"/>
    </row>
    <row r="187" spans="1:20" x14ac:dyDescent="0.35">
      <c r="A187" s="94" t="s">
        <v>123</v>
      </c>
      <c r="B187" s="94"/>
      <c r="C187" s="94"/>
      <c r="D187" s="94"/>
      <c r="E187" s="94"/>
      <c r="F187" s="94"/>
      <c r="G187" s="94"/>
      <c r="H187" s="94"/>
      <c r="K187" s="84"/>
      <c r="L187" s="84"/>
      <c r="M187" s="84"/>
      <c r="N187" s="84"/>
      <c r="O187" s="84"/>
      <c r="P187" s="84"/>
      <c r="Q187" s="84"/>
      <c r="R187" s="84"/>
      <c r="T187" s="35"/>
    </row>
    <row r="188" spans="1:20" ht="34" hidden="1" customHeight="1" x14ac:dyDescent="0.35">
      <c r="A188" s="125" t="s">
        <v>124</v>
      </c>
      <c r="B188" s="125"/>
      <c r="C188" s="125"/>
      <c r="D188" s="125"/>
      <c r="E188" s="125"/>
      <c r="F188" s="125"/>
      <c r="G188" s="125"/>
      <c r="H188" s="125"/>
      <c r="K188" s="84"/>
      <c r="L188" s="84"/>
      <c r="M188" s="84"/>
      <c r="N188" s="84"/>
      <c r="O188" s="84"/>
      <c r="P188" s="84"/>
      <c r="Q188" s="84"/>
      <c r="R188" s="84"/>
    </row>
    <row r="189" spans="1:20" x14ac:dyDescent="0.35">
      <c r="A189" s="188" t="s">
        <v>74</v>
      </c>
      <c r="B189" s="188"/>
      <c r="C189" s="188" t="s">
        <v>347</v>
      </c>
      <c r="D189" s="188"/>
      <c r="E189" s="188" t="s">
        <v>104</v>
      </c>
      <c r="F189" s="188"/>
      <c r="G189" s="188" t="s">
        <v>346</v>
      </c>
      <c r="H189" s="188"/>
      <c r="K189" s="84"/>
      <c r="L189" s="84"/>
      <c r="M189" s="84"/>
      <c r="N189" s="84"/>
      <c r="O189" s="84"/>
      <c r="P189" s="84"/>
      <c r="Q189" s="84"/>
      <c r="R189" s="84"/>
    </row>
    <row r="190" spans="1:20" x14ac:dyDescent="0.35">
      <c r="A190" s="187" t="s">
        <v>76</v>
      </c>
      <c r="B190" s="187"/>
      <c r="C190" s="187"/>
      <c r="D190" s="187"/>
      <c r="E190" s="187"/>
      <c r="F190" s="187"/>
      <c r="G190" s="187"/>
      <c r="H190" s="187"/>
      <c r="K190" s="84"/>
      <c r="L190" s="84"/>
      <c r="M190" s="84"/>
      <c r="N190" s="84"/>
      <c r="O190" s="84"/>
      <c r="P190" s="84"/>
      <c r="Q190" s="84"/>
      <c r="R190" s="84"/>
    </row>
    <row r="191" spans="1:20" x14ac:dyDescent="0.35">
      <c r="A191" s="187"/>
      <c r="B191" s="187"/>
      <c r="C191" s="187"/>
      <c r="D191" s="187"/>
      <c r="E191" s="187"/>
      <c r="F191" s="187"/>
      <c r="G191" s="187"/>
      <c r="H191" s="187"/>
      <c r="K191" s="84"/>
      <c r="L191" s="84"/>
      <c r="M191" s="84"/>
      <c r="N191" s="84"/>
      <c r="O191" s="84"/>
      <c r="P191" s="84"/>
      <c r="Q191" s="84"/>
      <c r="R191" s="84"/>
    </row>
    <row r="192" spans="1:20" x14ac:dyDescent="0.35">
      <c r="A192" s="187"/>
      <c r="B192" s="187"/>
      <c r="C192" s="187"/>
      <c r="D192" s="187"/>
      <c r="E192" s="187"/>
      <c r="F192" s="187"/>
      <c r="G192" s="187"/>
      <c r="H192" s="187"/>
      <c r="K192" s="84"/>
      <c r="L192" s="84"/>
      <c r="M192" s="84"/>
      <c r="N192" s="84"/>
      <c r="O192" s="84"/>
      <c r="P192" s="84"/>
      <c r="Q192" s="84"/>
      <c r="R192" s="84"/>
    </row>
    <row r="193" spans="1:18" x14ac:dyDescent="0.35">
      <c r="A193" s="187"/>
      <c r="B193" s="187"/>
      <c r="C193" s="187"/>
      <c r="D193" s="187"/>
      <c r="E193" s="187"/>
      <c r="F193" s="187"/>
      <c r="G193" s="187"/>
      <c r="H193" s="187"/>
      <c r="K193" s="84"/>
      <c r="L193" s="84"/>
      <c r="M193" s="84"/>
      <c r="N193" s="84"/>
      <c r="O193" s="84"/>
      <c r="P193" s="84"/>
      <c r="Q193" s="84"/>
      <c r="R193" s="84"/>
    </row>
    <row r="194" spans="1:18" x14ac:dyDescent="0.35">
      <c r="A194" s="38" t="s">
        <v>63</v>
      </c>
      <c r="B194" s="39"/>
      <c r="C194" s="39"/>
      <c r="D194" s="38" t="str">
        <f>E9</f>
        <v>Vibrant Homes</v>
      </c>
      <c r="F194" s="39"/>
      <c r="G194" s="39"/>
      <c r="H194" s="39"/>
      <c r="K194" s="84"/>
      <c r="L194" s="84"/>
      <c r="M194" s="84"/>
      <c r="N194" s="84"/>
      <c r="O194" s="84"/>
      <c r="P194" s="84"/>
      <c r="Q194" s="84"/>
      <c r="R194" s="84"/>
    </row>
    <row r="195" spans="1:18" x14ac:dyDescent="0.35">
      <c r="A195" s="39"/>
      <c r="B195" s="39"/>
      <c r="C195" s="39"/>
      <c r="D195" s="39"/>
      <c r="E195" s="39"/>
      <c r="F195" s="39"/>
      <c r="G195" s="39"/>
      <c r="H195" s="39"/>
      <c r="K195" s="84"/>
      <c r="L195" s="84"/>
      <c r="M195" s="84"/>
      <c r="N195" s="84"/>
      <c r="O195" s="84"/>
      <c r="P195" s="84"/>
      <c r="Q195" s="84"/>
      <c r="R195" s="84"/>
    </row>
    <row r="196" spans="1:18" x14ac:dyDescent="0.35">
      <c r="A196" s="39"/>
      <c r="B196" s="39"/>
      <c r="C196" s="39"/>
      <c r="D196" s="39"/>
      <c r="E196" s="39"/>
      <c r="F196" s="39"/>
      <c r="G196" s="39"/>
      <c r="H196" s="39"/>
      <c r="K196" s="84"/>
      <c r="L196" s="84"/>
      <c r="M196" s="84"/>
      <c r="N196" s="84"/>
      <c r="O196" s="84"/>
      <c r="P196" s="84"/>
      <c r="Q196" s="84"/>
      <c r="R196" s="84"/>
    </row>
    <row r="197" spans="1:18" ht="15" customHeight="1" x14ac:dyDescent="0.35">
      <c r="K197" s="84"/>
      <c r="L197" s="84"/>
      <c r="M197" s="84"/>
      <c r="N197" s="84"/>
      <c r="O197" s="84"/>
      <c r="P197" s="84"/>
      <c r="Q197" s="84"/>
      <c r="R197" s="84"/>
    </row>
    <row r="198" spans="1:18" x14ac:dyDescent="0.35">
      <c r="K198" s="84"/>
      <c r="L198" s="84"/>
      <c r="M198" s="84"/>
      <c r="N198" s="84"/>
      <c r="O198" s="84"/>
      <c r="P198" s="84"/>
      <c r="Q198" s="84"/>
      <c r="R198" s="84"/>
    </row>
    <row r="199" spans="1:18" x14ac:dyDescent="0.35">
      <c r="K199" s="84"/>
      <c r="L199" s="84"/>
      <c r="M199" s="84"/>
      <c r="N199" s="84"/>
      <c r="O199" s="84"/>
      <c r="P199" s="84"/>
      <c r="Q199" s="84"/>
      <c r="R199" s="84"/>
    </row>
    <row r="200" spans="1:18" x14ac:dyDescent="0.35">
      <c r="K200" s="84"/>
      <c r="L200" s="84"/>
      <c r="M200" s="84"/>
      <c r="N200" s="84"/>
      <c r="O200" s="84"/>
      <c r="P200" s="84"/>
      <c r="Q200" s="84"/>
      <c r="R200" s="84"/>
    </row>
    <row r="201" spans="1:18" x14ac:dyDescent="0.35">
      <c r="K201" s="84"/>
      <c r="L201" s="84"/>
      <c r="M201" s="84"/>
      <c r="N201" s="84"/>
      <c r="O201" s="84"/>
      <c r="P201" s="84"/>
      <c r="Q201" s="84"/>
      <c r="R201" s="84"/>
    </row>
    <row r="202" spans="1:18" x14ac:dyDescent="0.35">
      <c r="K202" s="84"/>
      <c r="L202" s="84"/>
      <c r="M202" s="84"/>
      <c r="N202" s="84"/>
      <c r="O202" s="84"/>
      <c r="P202" s="84"/>
      <c r="Q202" s="84"/>
      <c r="R202" s="84"/>
    </row>
    <row r="203" spans="1:18" x14ac:dyDescent="0.35">
      <c r="K203" s="84"/>
      <c r="L203" s="84"/>
      <c r="M203" s="84"/>
      <c r="N203" s="84"/>
      <c r="O203" s="84"/>
      <c r="P203" s="84"/>
      <c r="Q203" s="84"/>
      <c r="R203" s="84"/>
    </row>
    <row r="204" spans="1:18" x14ac:dyDescent="0.35">
      <c r="K204" s="84"/>
      <c r="L204" s="84"/>
      <c r="M204" s="84"/>
      <c r="N204" s="84"/>
      <c r="O204" s="84"/>
      <c r="P204" s="84"/>
      <c r="Q204" s="84"/>
      <c r="R204" s="84"/>
    </row>
    <row r="205" spans="1:18" x14ac:dyDescent="0.35">
      <c r="K205" s="84"/>
      <c r="L205" s="84"/>
      <c r="M205" s="84"/>
      <c r="N205" s="84"/>
      <c r="O205" s="84"/>
      <c r="P205" s="84"/>
      <c r="Q205" s="84"/>
      <c r="R205" s="84"/>
    </row>
    <row r="206" spans="1:18" x14ac:dyDescent="0.35">
      <c r="K206" s="84"/>
      <c r="L206" s="84"/>
      <c r="M206" s="84"/>
      <c r="N206" s="84"/>
      <c r="O206" s="84"/>
      <c r="P206" s="84"/>
      <c r="Q206" s="84"/>
      <c r="R206" s="84"/>
    </row>
    <row r="207" spans="1:18" x14ac:dyDescent="0.35">
      <c r="K207" s="84"/>
      <c r="L207" s="84"/>
      <c r="M207" s="84"/>
      <c r="N207" s="84"/>
      <c r="O207" s="84"/>
      <c r="P207" s="84"/>
      <c r="Q207" s="84"/>
      <c r="R207" s="84"/>
    </row>
    <row r="208" spans="1:18" x14ac:dyDescent="0.35">
      <c r="K208" s="84"/>
      <c r="L208" s="84"/>
      <c r="M208" s="84"/>
      <c r="N208" s="84"/>
      <c r="O208" s="84"/>
      <c r="P208" s="84"/>
      <c r="Q208" s="84"/>
      <c r="R208" s="84"/>
    </row>
    <row r="209" spans="11:18" x14ac:dyDescent="0.35">
      <c r="K209" s="84"/>
      <c r="L209" s="84"/>
      <c r="M209" s="84"/>
      <c r="N209" s="84"/>
      <c r="O209" s="84"/>
      <c r="P209" s="84"/>
      <c r="Q209" s="84"/>
      <c r="R209" s="84"/>
    </row>
    <row r="210" spans="11:18" x14ac:dyDescent="0.35">
      <c r="K210" s="84"/>
      <c r="L210" s="84"/>
      <c r="M210" s="84"/>
      <c r="N210" s="84"/>
      <c r="O210" s="84"/>
      <c r="P210" s="84"/>
      <c r="Q210" s="84"/>
      <c r="R210" s="84"/>
    </row>
    <row r="211" spans="11:18" x14ac:dyDescent="0.35">
      <c r="K211" s="84"/>
      <c r="L211" s="84"/>
      <c r="M211" s="84"/>
      <c r="N211" s="84"/>
      <c r="O211" s="84"/>
      <c r="P211" s="84"/>
      <c r="Q211" s="84"/>
      <c r="R211" s="84"/>
    </row>
    <row r="212" spans="11:18" x14ac:dyDescent="0.35">
      <c r="K212" s="84"/>
      <c r="L212" s="84"/>
      <c r="M212" s="84"/>
      <c r="N212" s="84"/>
      <c r="O212" s="84"/>
      <c r="P212" s="84"/>
      <c r="Q212" s="84"/>
      <c r="R212" s="84"/>
    </row>
    <row r="213" spans="11:18" x14ac:dyDescent="0.35">
      <c r="K213" s="84"/>
      <c r="L213" s="84"/>
      <c r="M213" s="84"/>
      <c r="N213" s="84"/>
      <c r="O213" s="84"/>
      <c r="P213" s="84"/>
      <c r="Q213" s="84"/>
      <c r="R213" s="84"/>
    </row>
    <row r="214" spans="11:18" x14ac:dyDescent="0.35">
      <c r="K214" s="84"/>
      <c r="L214" s="84"/>
      <c r="M214" s="84"/>
      <c r="N214" s="84"/>
      <c r="O214" s="84"/>
      <c r="P214" s="84"/>
      <c r="Q214" s="84"/>
      <c r="R214" s="84"/>
    </row>
    <row r="215" spans="11:18" x14ac:dyDescent="0.35">
      <c r="K215" s="84"/>
      <c r="L215" s="84"/>
      <c r="M215" s="84"/>
      <c r="N215" s="84"/>
      <c r="O215" s="84"/>
      <c r="P215" s="84"/>
      <c r="Q215" s="84"/>
      <c r="R215" s="84"/>
    </row>
    <row r="216" spans="11:18" x14ac:dyDescent="0.35">
      <c r="K216" s="84"/>
      <c r="L216" s="84"/>
      <c r="M216" s="84"/>
      <c r="N216" s="84"/>
      <c r="O216" s="84"/>
      <c r="P216" s="84"/>
      <c r="Q216" s="84"/>
      <c r="R216" s="84"/>
    </row>
    <row r="217" spans="11:18" x14ac:dyDescent="0.35">
      <c r="K217" s="84"/>
      <c r="L217" s="84"/>
      <c r="M217" s="84"/>
      <c r="N217" s="84"/>
      <c r="O217" s="84"/>
      <c r="P217" s="84"/>
      <c r="Q217" s="84"/>
      <c r="R217" s="84"/>
    </row>
    <row r="218" spans="11:18" x14ac:dyDescent="0.35">
      <c r="K218" s="84"/>
      <c r="L218" s="84"/>
      <c r="M218" s="84"/>
      <c r="N218" s="84"/>
      <c r="O218" s="84"/>
      <c r="P218" s="84"/>
      <c r="Q218" s="84"/>
      <c r="R218" s="84"/>
    </row>
    <row r="219" spans="11:18" x14ac:dyDescent="0.35">
      <c r="K219" s="84"/>
      <c r="L219" s="84"/>
      <c r="M219" s="84"/>
      <c r="N219" s="84"/>
      <c r="O219" s="84"/>
      <c r="P219" s="84"/>
      <c r="Q219" s="84"/>
      <c r="R219" s="84"/>
    </row>
    <row r="220" spans="11:18" x14ac:dyDescent="0.35">
      <c r="K220" s="84"/>
      <c r="L220" s="84"/>
      <c r="M220" s="84"/>
      <c r="N220" s="84"/>
      <c r="O220" s="84"/>
      <c r="P220" s="84"/>
      <c r="Q220" s="84"/>
      <c r="R220" s="84"/>
    </row>
    <row r="221" spans="11:18" x14ac:dyDescent="0.35">
      <c r="K221" s="84"/>
      <c r="L221" s="84"/>
      <c r="M221" s="84"/>
      <c r="N221" s="84"/>
      <c r="O221" s="84"/>
      <c r="P221" s="84"/>
      <c r="Q221" s="84"/>
      <c r="R221" s="84"/>
    </row>
    <row r="222" spans="11:18" x14ac:dyDescent="0.35">
      <c r="K222" s="84"/>
      <c r="L222" s="84"/>
      <c r="M222" s="84"/>
      <c r="N222" s="84"/>
      <c r="O222" s="84"/>
      <c r="P222" s="84"/>
      <c r="Q222" s="84"/>
      <c r="R222" s="84"/>
    </row>
    <row r="223" spans="11:18" x14ac:dyDescent="0.35">
      <c r="K223" s="84"/>
      <c r="L223" s="84"/>
      <c r="M223" s="84"/>
      <c r="N223" s="84"/>
      <c r="O223" s="84"/>
      <c r="P223" s="84"/>
      <c r="Q223" s="84"/>
      <c r="R223" s="84"/>
    </row>
    <row r="224" spans="11:18" x14ac:dyDescent="0.35">
      <c r="K224" s="84"/>
      <c r="L224" s="84"/>
      <c r="M224" s="84"/>
      <c r="N224" s="84"/>
      <c r="O224" s="84"/>
      <c r="P224" s="84"/>
      <c r="Q224" s="84"/>
      <c r="R224" s="84"/>
    </row>
    <row r="225" spans="1:18" x14ac:dyDescent="0.35">
      <c r="K225" s="84"/>
      <c r="L225" s="84"/>
      <c r="M225" s="84"/>
      <c r="N225" s="84"/>
      <c r="O225" s="84"/>
      <c r="P225" s="84"/>
      <c r="Q225" s="84"/>
      <c r="R225" s="84"/>
    </row>
    <row r="226" spans="1:18" x14ac:dyDescent="0.35">
      <c r="K226" s="84"/>
      <c r="L226" s="84"/>
      <c r="M226" s="84"/>
      <c r="N226" s="84"/>
      <c r="O226" s="84"/>
      <c r="P226" s="84"/>
      <c r="Q226" s="84"/>
      <c r="R226" s="84"/>
    </row>
    <row r="227" spans="1:18" x14ac:dyDescent="0.35">
      <c r="K227" s="84"/>
      <c r="L227" s="84"/>
      <c r="M227" s="84"/>
      <c r="N227" s="84"/>
      <c r="O227" s="84"/>
      <c r="P227" s="84"/>
      <c r="Q227" s="84"/>
      <c r="R227" s="84"/>
    </row>
    <row r="228" spans="1:18" x14ac:dyDescent="0.35">
      <c r="K228" s="84"/>
      <c r="L228" s="84"/>
      <c r="M228" s="84"/>
      <c r="N228" s="84"/>
      <c r="O228" s="84"/>
      <c r="P228" s="84"/>
      <c r="Q228" s="84"/>
      <c r="R228" s="84"/>
    </row>
    <row r="229" spans="1:18" x14ac:dyDescent="0.35">
      <c r="K229" s="84"/>
      <c r="L229" s="84"/>
      <c r="M229" s="84"/>
      <c r="N229" s="84"/>
      <c r="O229" s="84"/>
      <c r="P229" s="84"/>
      <c r="Q229" s="84"/>
      <c r="R229" s="84"/>
    </row>
    <row r="230" spans="1:18" x14ac:dyDescent="0.35">
      <c r="K230" s="84"/>
      <c r="L230" s="84"/>
      <c r="M230" s="84"/>
      <c r="N230" s="84"/>
      <c r="O230" s="84"/>
      <c r="P230" s="84"/>
      <c r="Q230" s="84"/>
      <c r="R230" s="84"/>
    </row>
    <row r="231" spans="1:18" x14ac:dyDescent="0.35">
      <c r="K231" s="84"/>
      <c r="L231" s="84"/>
      <c r="M231" s="84"/>
      <c r="N231" s="84"/>
      <c r="O231" s="84"/>
      <c r="P231" s="84"/>
      <c r="Q231" s="84"/>
      <c r="R231" s="84"/>
    </row>
    <row r="232" spans="1:18" x14ac:dyDescent="0.35">
      <c r="K232" s="84"/>
      <c r="L232" s="84"/>
      <c r="M232" s="84"/>
      <c r="N232" s="84"/>
      <c r="O232" s="84"/>
      <c r="P232" s="84"/>
      <c r="Q232" s="84"/>
      <c r="R232" s="84"/>
    </row>
    <row r="233" spans="1:18" x14ac:dyDescent="0.35">
      <c r="K233" s="84"/>
      <c r="L233" s="84"/>
      <c r="M233" s="84"/>
      <c r="N233" s="84"/>
      <c r="O233" s="84"/>
      <c r="P233" s="84"/>
      <c r="Q233" s="84"/>
      <c r="R233" s="84"/>
    </row>
    <row r="234" spans="1:18" x14ac:dyDescent="0.35">
      <c r="K234" s="84"/>
      <c r="L234" s="84"/>
      <c r="M234" s="84"/>
      <c r="N234" s="84"/>
      <c r="O234" s="84"/>
      <c r="P234" s="84"/>
      <c r="Q234" s="84"/>
      <c r="R234" s="84"/>
    </row>
    <row r="235" spans="1:18" x14ac:dyDescent="0.35">
      <c r="K235" s="84"/>
      <c r="L235" s="84"/>
      <c r="M235" s="84"/>
      <c r="N235" s="84"/>
      <c r="O235" s="84"/>
      <c r="P235" s="84"/>
      <c r="Q235" s="84"/>
      <c r="R235" s="84"/>
    </row>
    <row r="236" spans="1:18" x14ac:dyDescent="0.35">
      <c r="A236" s="41" t="s">
        <v>160</v>
      </c>
    </row>
    <row r="274" spans="1:1" x14ac:dyDescent="0.35">
      <c r="A274" s="41" t="s">
        <v>64</v>
      </c>
    </row>
  </sheetData>
  <mergeCells count="340">
    <mergeCell ref="A89:B89"/>
    <mergeCell ref="D63:H63"/>
    <mergeCell ref="A47:D47"/>
    <mergeCell ref="C58:E58"/>
    <mergeCell ref="G58:H58"/>
    <mergeCell ref="A52:B53"/>
    <mergeCell ref="C53:H53"/>
    <mergeCell ref="A162:B162"/>
    <mergeCell ref="I15:P15"/>
    <mergeCell ref="F127:H127"/>
    <mergeCell ref="F125:H125"/>
    <mergeCell ref="A142:H142"/>
    <mergeCell ref="G131:H131"/>
    <mergeCell ref="A126:E126"/>
    <mergeCell ref="A147:B147"/>
    <mergeCell ref="A60:B60"/>
    <mergeCell ref="C60:E60"/>
    <mergeCell ref="D62:H62"/>
    <mergeCell ref="F126:H126"/>
    <mergeCell ref="E131:F131"/>
    <mergeCell ref="A131:B131"/>
    <mergeCell ref="A133:B133"/>
    <mergeCell ref="C136:D136"/>
    <mergeCell ref="D72:H72"/>
    <mergeCell ref="A73:C73"/>
    <mergeCell ref="E43:H43"/>
    <mergeCell ref="A43:D43"/>
    <mergeCell ref="A187:H187"/>
    <mergeCell ref="A184:H184"/>
    <mergeCell ref="A164:B164"/>
    <mergeCell ref="A136:B136"/>
    <mergeCell ref="D154:D155"/>
    <mergeCell ref="E154:E155"/>
    <mergeCell ref="A97:B97"/>
    <mergeCell ref="A98:B98"/>
    <mergeCell ref="A99:B99"/>
    <mergeCell ref="A113:B113"/>
    <mergeCell ref="F118:H118"/>
    <mergeCell ref="G132:H132"/>
    <mergeCell ref="A116:B116"/>
    <mergeCell ref="F124:H124"/>
    <mergeCell ref="C131:D131"/>
    <mergeCell ref="C139:D139"/>
    <mergeCell ref="A156:H156"/>
    <mergeCell ref="A146:B146"/>
    <mergeCell ref="B180:H180"/>
    <mergeCell ref="A140:B140"/>
    <mergeCell ref="C140:D140"/>
    <mergeCell ref="E140:F140"/>
    <mergeCell ref="B179:H179"/>
    <mergeCell ref="B177:H177"/>
    <mergeCell ref="A157:B157"/>
    <mergeCell ref="A149:B149"/>
    <mergeCell ref="A148:B148"/>
    <mergeCell ref="A153:H153"/>
    <mergeCell ref="B173:H173"/>
    <mergeCell ref="B171:H171"/>
    <mergeCell ref="B172:H172"/>
    <mergeCell ref="B174:H174"/>
    <mergeCell ref="B175:H175"/>
    <mergeCell ref="A170:H170"/>
    <mergeCell ref="A166:B166"/>
    <mergeCell ref="A158:B158"/>
    <mergeCell ref="A159:B159"/>
    <mergeCell ref="A160:B160"/>
    <mergeCell ref="A154:A155"/>
    <mergeCell ref="F154:F155"/>
    <mergeCell ref="A168:B168"/>
    <mergeCell ref="A165:B165"/>
    <mergeCell ref="C154:C155"/>
    <mergeCell ref="G154:G155"/>
    <mergeCell ref="F123:H123"/>
    <mergeCell ref="B154:B155"/>
    <mergeCell ref="A183:H183"/>
    <mergeCell ref="F120:H120"/>
    <mergeCell ref="A124:E124"/>
    <mergeCell ref="A110:B110"/>
    <mergeCell ref="A111:B111"/>
    <mergeCell ref="E93:F102"/>
    <mergeCell ref="A100:B100"/>
    <mergeCell ref="A101:B101"/>
    <mergeCell ref="E106:F106"/>
    <mergeCell ref="E107:F116"/>
    <mergeCell ref="A120:E120"/>
    <mergeCell ref="A117:E117"/>
    <mergeCell ref="F121:H121"/>
    <mergeCell ref="A108:B108"/>
    <mergeCell ref="A109:B109"/>
    <mergeCell ref="G93:H102"/>
    <mergeCell ref="A94:B94"/>
    <mergeCell ref="A95:B95"/>
    <mergeCell ref="A96:B96"/>
    <mergeCell ref="F119:H119"/>
    <mergeCell ref="B176:H176"/>
    <mergeCell ref="C158:H158"/>
    <mergeCell ref="A190:H193"/>
    <mergeCell ref="A189:B189"/>
    <mergeCell ref="E189:F189"/>
    <mergeCell ref="C189:D189"/>
    <mergeCell ref="G189:H189"/>
    <mergeCell ref="A130:H130"/>
    <mergeCell ref="A128:E128"/>
    <mergeCell ref="F128:H128"/>
    <mergeCell ref="A129:E129"/>
    <mergeCell ref="F129:H129"/>
    <mergeCell ref="A163:H163"/>
    <mergeCell ref="A137:B137"/>
    <mergeCell ref="A132:B132"/>
    <mergeCell ref="A185:H185"/>
    <mergeCell ref="A135:H135"/>
    <mergeCell ref="A188:H188"/>
    <mergeCell ref="A186:H186"/>
    <mergeCell ref="A182:H182"/>
    <mergeCell ref="A169:B169"/>
    <mergeCell ref="A150:B150"/>
    <mergeCell ref="A145:H145"/>
    <mergeCell ref="A151:B151"/>
    <mergeCell ref="A152:B152"/>
    <mergeCell ref="A161:B16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36:F136"/>
    <mergeCell ref="A141:H141"/>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A91:B91"/>
    <mergeCell ref="F36:H36"/>
    <mergeCell ref="F33:H33"/>
    <mergeCell ref="A34:B34"/>
    <mergeCell ref="A33:B33"/>
    <mergeCell ref="C34:E34"/>
    <mergeCell ref="A35:B35"/>
    <mergeCell ref="A38:H38"/>
    <mergeCell ref="A37:B37"/>
    <mergeCell ref="C37:E37"/>
    <mergeCell ref="A48:H48"/>
    <mergeCell ref="D64:H64"/>
    <mergeCell ref="A64:C64"/>
    <mergeCell ref="A85:B85"/>
    <mergeCell ref="C49:H49"/>
    <mergeCell ref="C89:H89"/>
    <mergeCell ref="A84:B84"/>
    <mergeCell ref="A50:B50"/>
    <mergeCell ref="G51:H51"/>
    <mergeCell ref="C55:H55"/>
    <mergeCell ref="A78:B78"/>
    <mergeCell ref="A49:B49"/>
    <mergeCell ref="G60:H60"/>
    <mergeCell ref="A54:B55"/>
    <mergeCell ref="A42:D42"/>
    <mergeCell ref="E42:H42"/>
    <mergeCell ref="A41:H41"/>
    <mergeCell ref="A68:C68"/>
    <mergeCell ref="A69:C69"/>
    <mergeCell ref="D68:H68"/>
    <mergeCell ref="E79:F88"/>
    <mergeCell ref="G79:H88"/>
    <mergeCell ref="A87:B87"/>
    <mergeCell ref="A88:B88"/>
    <mergeCell ref="D69:H69"/>
    <mergeCell ref="A44:D44"/>
    <mergeCell ref="E44:H44"/>
    <mergeCell ref="E45:H45"/>
    <mergeCell ref="E46:H46"/>
    <mergeCell ref="E47:H47"/>
    <mergeCell ref="C57:H57"/>
    <mergeCell ref="C59:H59"/>
    <mergeCell ref="C54:E54"/>
    <mergeCell ref="G54:H54"/>
    <mergeCell ref="A56:B57"/>
    <mergeCell ref="C56:E56"/>
    <mergeCell ref="G56:H56"/>
    <mergeCell ref="A58:B59"/>
    <mergeCell ref="A39:B39"/>
    <mergeCell ref="C39:H39"/>
    <mergeCell ref="A46:D46"/>
    <mergeCell ref="A86:B86"/>
    <mergeCell ref="C137:D137"/>
    <mergeCell ref="E137:F137"/>
    <mergeCell ref="G137:H137"/>
    <mergeCell ref="A118:E118"/>
    <mergeCell ref="A103:B103"/>
    <mergeCell ref="C103:H103"/>
    <mergeCell ref="A40:B40"/>
    <mergeCell ref="C40:H40"/>
    <mergeCell ref="E78:F78"/>
    <mergeCell ref="A71:C71"/>
    <mergeCell ref="D71:H71"/>
    <mergeCell ref="A74:C74"/>
    <mergeCell ref="D74:H74"/>
    <mergeCell ref="A72:C72"/>
    <mergeCell ref="D73:H73"/>
    <mergeCell ref="A79:B79"/>
    <mergeCell ref="G78:H78"/>
    <mergeCell ref="A119:E119"/>
    <mergeCell ref="A93:B93"/>
    <mergeCell ref="A123:E123"/>
    <mergeCell ref="G140:H140"/>
    <mergeCell ref="C91:H91"/>
    <mergeCell ref="A45:D45"/>
    <mergeCell ref="A114:B114"/>
    <mergeCell ref="A115:B115"/>
    <mergeCell ref="A80:B80"/>
    <mergeCell ref="A82:B82"/>
    <mergeCell ref="D67:H67"/>
    <mergeCell ref="C52:E52"/>
    <mergeCell ref="A65:C67"/>
    <mergeCell ref="D65:H65"/>
    <mergeCell ref="D66:H66"/>
    <mergeCell ref="C51:E51"/>
    <mergeCell ref="C50:E50"/>
    <mergeCell ref="G50:H50"/>
    <mergeCell ref="G52:H52"/>
    <mergeCell ref="A51:B51"/>
    <mergeCell ref="A61:H61"/>
    <mergeCell ref="A62:C62"/>
    <mergeCell ref="A63:C63"/>
    <mergeCell ref="G106:H106"/>
    <mergeCell ref="A105:B105"/>
    <mergeCell ref="G107:H116"/>
    <mergeCell ref="A92:B92"/>
    <mergeCell ref="D143:D144"/>
    <mergeCell ref="A121:E121"/>
    <mergeCell ref="A77:B77"/>
    <mergeCell ref="A75:B75"/>
    <mergeCell ref="C75:H75"/>
    <mergeCell ref="A83:B83"/>
    <mergeCell ref="A70:C70"/>
    <mergeCell ref="D70:H70"/>
    <mergeCell ref="C77:H77"/>
    <mergeCell ref="G143:G144"/>
    <mergeCell ref="F143:F144"/>
    <mergeCell ref="C132:D132"/>
    <mergeCell ref="E132:F132"/>
    <mergeCell ref="B143:B144"/>
    <mergeCell ref="A143:A144"/>
    <mergeCell ref="A81:B81"/>
    <mergeCell ref="F117:H117"/>
    <mergeCell ref="F122:H122"/>
    <mergeCell ref="G136:H136"/>
    <mergeCell ref="C143:C144"/>
    <mergeCell ref="E92:F92"/>
    <mergeCell ref="G92:H92"/>
    <mergeCell ref="A125:E125"/>
    <mergeCell ref="E143:E144"/>
    <mergeCell ref="B181:H181"/>
    <mergeCell ref="A122:E122"/>
    <mergeCell ref="A102:B102"/>
    <mergeCell ref="A107:B107"/>
    <mergeCell ref="A139:B139"/>
    <mergeCell ref="E139:F139"/>
    <mergeCell ref="C105:H105"/>
    <mergeCell ref="A106:B106"/>
    <mergeCell ref="A127:E127"/>
    <mergeCell ref="G139:H139"/>
    <mergeCell ref="C133:D133"/>
    <mergeCell ref="E133:F133"/>
    <mergeCell ref="G133:H133"/>
    <mergeCell ref="A134:B134"/>
    <mergeCell ref="C134:D134"/>
    <mergeCell ref="E134:F134"/>
    <mergeCell ref="G134:H134"/>
    <mergeCell ref="A138:B138"/>
    <mergeCell ref="C138:D138"/>
    <mergeCell ref="E138:F138"/>
    <mergeCell ref="G138:H138"/>
    <mergeCell ref="B178:H178"/>
    <mergeCell ref="A167:B167"/>
    <mergeCell ref="A112:B112"/>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F117:H117">
      <formula1>"On Saleable Area,On Builtup Area,On Carpet Area,On Plot Area"</formula1>
    </dataValidation>
    <dataValidation type="list" allowBlank="1" showInputMessage="1" showErrorMessage="1" sqref="F128:H128">
      <formula1>OFFSET($S$117,1,MATCH($G20,$S$117:$W$117,0)-1,15,1)</formula1>
    </dataValidation>
    <dataValidation type="list" allowBlank="1" showInputMessage="1" showErrorMessage="1" sqref="B143:B144">
      <formula1>"Shop No. (Sale Plan),Sale / Rehab,Sale / Mhada"</formula1>
    </dataValidation>
    <dataValidation type="list" allowBlank="1" showInputMessage="1" showErrorMessage="1" sqref="B154:B155">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4:E155">
      <formula1>"Fungible area,Open Bal + Chajja Area,Cornice Area,AP Area,WS Area"</formula1>
    </dataValidation>
    <dataValidation type="list" allowBlank="1" showInputMessage="1" showErrorMessage="1" sqref="H144 H155">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4">
      <formula1>0</formula1>
      <formula2>H76</formula2>
    </dataValidation>
    <dataValidation type="list" allowBlank="1" showInputMessage="1" showErrorMessage="1" sqref="H143 H154">
      <formula1>"Saleable area Loading :,Builder Saleable Area"</formula1>
    </dataValidation>
    <dataValidation type="list" allowBlank="1" showInputMessage="1" showErrorMessage="1" sqref="D143:D144">
      <formula1>"Carpet area,RERA Carpet area"</formula1>
    </dataValidation>
    <dataValidation type="list" allowBlank="1" showInputMessage="1" showErrorMessage="1" sqref="D154:D155">
      <formula1>"Carpet area +Encl Bal +CB Area, 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4" max="7" man="1"/>
    <brk id="193" max="16383" man="1"/>
    <brk id="235" max="16383" man="1"/>
    <brk id="27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54296875" defaultRowHeight="14.5" x14ac:dyDescent="0.35"/>
  <cols>
    <col min="1" max="1" width="8.5429687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54296875" style="1"/>
  </cols>
  <sheetData>
    <row r="1" spans="1:9" ht="15" customHeight="1" x14ac:dyDescent="0.35"/>
    <row r="2" spans="1:9" ht="15" customHeight="1" x14ac:dyDescent="0.35">
      <c r="A2" s="2"/>
      <c r="B2" s="2"/>
      <c r="C2" s="2"/>
      <c r="D2" s="2"/>
      <c r="E2" s="2"/>
      <c r="F2" s="2"/>
      <c r="G2" s="2"/>
      <c r="H2" s="2"/>
    </row>
    <row r="3" spans="1:9" ht="15.75" customHeight="1" x14ac:dyDescent="0.35">
      <c r="A3" s="2"/>
      <c r="B3" s="238" t="s">
        <v>105</v>
      </c>
      <c r="C3" s="238"/>
      <c r="D3" s="238"/>
      <c r="E3" s="238"/>
      <c r="F3" s="238"/>
      <c r="G3" s="238"/>
      <c r="H3" s="238"/>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6"/>
      <c r="C4" s="56" t="s">
        <v>11</v>
      </c>
      <c r="D4" s="57" t="s">
        <v>176</v>
      </c>
      <c r="E4" s="57" t="s">
        <v>186</v>
      </c>
      <c r="F4" s="57" t="s">
        <v>170</v>
      </c>
      <c r="G4" s="57" t="s">
        <v>191</v>
      </c>
      <c r="H4" s="57" t="s">
        <v>209</v>
      </c>
      <c r="J4" t="s">
        <v>191</v>
      </c>
      <c r="K4" t="s">
        <v>207</v>
      </c>
    </row>
    <row r="5" spans="2:11" x14ac:dyDescent="0.35">
      <c r="B5" s="56"/>
      <c r="C5" s="56"/>
      <c r="D5" s="57" t="s">
        <v>177</v>
      </c>
      <c r="E5" s="57" t="s">
        <v>184</v>
      </c>
      <c r="F5" s="57" t="s">
        <v>206</v>
      </c>
      <c r="G5" s="57" t="s">
        <v>192</v>
      </c>
      <c r="H5" s="57" t="s">
        <v>210</v>
      </c>
    </row>
    <row r="6" spans="2:11" x14ac:dyDescent="0.35">
      <c r="B6" s="56"/>
      <c r="C6" s="56"/>
      <c r="D6" s="57" t="s">
        <v>178</v>
      </c>
      <c r="E6" s="57" t="s">
        <v>185</v>
      </c>
      <c r="F6" s="57" t="s">
        <v>207</v>
      </c>
      <c r="G6" s="57" t="s">
        <v>193</v>
      </c>
      <c r="H6" s="57" t="s">
        <v>223</v>
      </c>
    </row>
    <row r="7" spans="2:11" x14ac:dyDescent="0.35">
      <c r="B7" s="56"/>
      <c r="C7" s="56"/>
      <c r="D7" s="57" t="s">
        <v>179</v>
      </c>
      <c r="E7" s="57" t="s">
        <v>187</v>
      </c>
      <c r="F7" s="57" t="s">
        <v>208</v>
      </c>
      <c r="G7" s="57" t="s">
        <v>194</v>
      </c>
      <c r="H7" s="57" t="s">
        <v>211</v>
      </c>
    </row>
    <row r="8" spans="2:11" x14ac:dyDescent="0.35">
      <c r="B8" s="56"/>
      <c r="C8" s="56"/>
      <c r="D8" s="57" t="s">
        <v>180</v>
      </c>
      <c r="E8" s="57" t="s">
        <v>188</v>
      </c>
      <c r="F8" s="57"/>
      <c r="G8" s="57" t="s">
        <v>195</v>
      </c>
      <c r="H8" s="57" t="s">
        <v>212</v>
      </c>
    </row>
    <row r="9" spans="2:11" x14ac:dyDescent="0.35">
      <c r="B9" s="56"/>
      <c r="C9" s="56"/>
      <c r="D9" s="57" t="s">
        <v>181</v>
      </c>
      <c r="E9" s="57" t="s">
        <v>186</v>
      </c>
      <c r="F9" s="57"/>
      <c r="G9" s="57" t="s">
        <v>196</v>
      </c>
      <c r="H9" s="57" t="s">
        <v>213</v>
      </c>
    </row>
    <row r="10" spans="2:11" x14ac:dyDescent="0.35">
      <c r="B10" s="56"/>
      <c r="C10" s="56"/>
      <c r="D10" s="57" t="s">
        <v>182</v>
      </c>
      <c r="E10" s="57" t="s">
        <v>189</v>
      </c>
      <c r="F10" s="57"/>
      <c r="G10" s="57" t="s">
        <v>197</v>
      </c>
      <c r="H10" s="57" t="s">
        <v>214</v>
      </c>
    </row>
    <row r="11" spans="2:11" x14ac:dyDescent="0.35">
      <c r="B11" s="56"/>
      <c r="C11" s="56"/>
      <c r="D11" s="57" t="s">
        <v>183</v>
      </c>
      <c r="E11" s="57" t="s">
        <v>190</v>
      </c>
      <c r="F11" s="57"/>
      <c r="G11" s="57" t="s">
        <v>198</v>
      </c>
      <c r="H11" s="57" t="s">
        <v>215</v>
      </c>
    </row>
    <row r="12" spans="2:11" x14ac:dyDescent="0.35">
      <c r="B12" s="56"/>
      <c r="C12" s="56"/>
      <c r="D12" s="57"/>
      <c r="E12" s="57"/>
      <c r="F12" s="57"/>
      <c r="G12" s="57" t="s">
        <v>199</v>
      </c>
      <c r="H12" s="57" t="s">
        <v>216</v>
      </c>
    </row>
    <row r="13" spans="2:11" x14ac:dyDescent="0.35">
      <c r="B13" s="56"/>
      <c r="C13" s="56"/>
      <c r="D13" s="57"/>
      <c r="E13" s="57"/>
      <c r="F13" s="57"/>
      <c r="G13" s="57" t="s">
        <v>200</v>
      </c>
      <c r="H13" s="57" t="s">
        <v>217</v>
      </c>
    </row>
    <row r="14" spans="2:11" x14ac:dyDescent="0.35">
      <c r="B14" s="56"/>
      <c r="C14" s="56"/>
      <c r="D14" s="57"/>
      <c r="E14" s="57"/>
      <c r="F14" s="57"/>
      <c r="G14" s="57" t="s">
        <v>201</v>
      </c>
      <c r="H14" s="57" t="s">
        <v>218</v>
      </c>
    </row>
    <row r="15" spans="2:11" x14ac:dyDescent="0.35">
      <c r="B15" s="56"/>
      <c r="C15" s="56"/>
      <c r="D15" s="57"/>
      <c r="E15" s="57"/>
      <c r="F15" s="57"/>
      <c r="G15" s="57" t="s">
        <v>202</v>
      </c>
      <c r="H15" s="57" t="s">
        <v>219</v>
      </c>
    </row>
    <row r="16" spans="2:11" x14ac:dyDescent="0.35">
      <c r="B16" s="56"/>
      <c r="C16" s="56"/>
      <c r="D16" s="57"/>
      <c r="E16" s="57"/>
      <c r="F16" s="57"/>
      <c r="G16" s="57" t="s">
        <v>203</v>
      </c>
      <c r="H16" s="57" t="s">
        <v>220</v>
      </c>
    </row>
    <row r="17" spans="2:8" x14ac:dyDescent="0.35">
      <c r="B17" s="56"/>
      <c r="C17" s="56"/>
      <c r="D17" s="57"/>
      <c r="E17" s="57"/>
      <c r="F17" s="57"/>
      <c r="G17" s="57" t="s">
        <v>204</v>
      </c>
      <c r="H17" s="57" t="s">
        <v>221</v>
      </c>
    </row>
    <row r="18" spans="2:8" x14ac:dyDescent="0.35">
      <c r="B18" s="56"/>
      <c r="C18" s="56"/>
      <c r="D18" s="57"/>
      <c r="E18" s="57"/>
      <c r="F18" s="57"/>
      <c r="G18" s="57" t="s">
        <v>205</v>
      </c>
      <c r="H18" s="57" t="s">
        <v>222</v>
      </c>
    </row>
    <row r="24" spans="2:8" x14ac:dyDescent="0.35">
      <c r="C24" t="s">
        <v>167</v>
      </c>
    </row>
    <row r="25" spans="2:8" x14ac:dyDescent="0.35">
      <c r="C25" t="s">
        <v>224</v>
      </c>
    </row>
    <row r="26" spans="2:8" x14ac:dyDescent="0.35">
      <c r="C26" t="s">
        <v>225</v>
      </c>
    </row>
    <row r="27" spans="2:8" x14ac:dyDescent="0.35">
      <c r="C27" t="s">
        <v>226</v>
      </c>
    </row>
    <row r="28" spans="2:8" x14ac:dyDescent="0.35">
      <c r="C28" t="s">
        <v>227</v>
      </c>
    </row>
    <row r="29" spans="2:8" x14ac:dyDescent="0.35">
      <c r="C29" t="s">
        <v>228</v>
      </c>
    </row>
    <row r="30" spans="2:8" x14ac:dyDescent="0.35">
      <c r="C30" t="s">
        <v>167</v>
      </c>
    </row>
    <row r="33" spans="3:11" x14ac:dyDescent="0.35">
      <c r="J33">
        <v>1</v>
      </c>
      <c r="K33">
        <v>2</v>
      </c>
    </row>
    <row r="34" spans="3:11" x14ac:dyDescent="0.35">
      <c r="C34" s="60" t="s">
        <v>233</v>
      </c>
      <c r="D34" s="57" t="s">
        <v>231</v>
      </c>
      <c r="E34" s="57" t="s">
        <v>236</v>
      </c>
      <c r="F34" s="57" t="s">
        <v>234</v>
      </c>
      <c r="G34" s="57" t="s">
        <v>235</v>
      </c>
      <c r="H34" s="57" t="s">
        <v>237</v>
      </c>
      <c r="J34" t="s">
        <v>191</v>
      </c>
      <c r="K34" t="s">
        <v>207</v>
      </c>
    </row>
    <row r="35" spans="3:11" x14ac:dyDescent="0.35">
      <c r="C35" s="56" t="s">
        <v>232</v>
      </c>
      <c r="D35" s="57" t="s">
        <v>168</v>
      </c>
      <c r="E35" s="57" t="s">
        <v>241</v>
      </c>
      <c r="F35" s="57" t="s">
        <v>243</v>
      </c>
      <c r="G35" s="57" t="s">
        <v>245</v>
      </c>
      <c r="H35" s="57"/>
    </row>
    <row r="36" spans="3:11" x14ac:dyDescent="0.35">
      <c r="C36" s="56"/>
      <c r="D36" s="57" t="s">
        <v>238</v>
      </c>
      <c r="E36" s="57" t="s">
        <v>242</v>
      </c>
      <c r="F36" s="57" t="s">
        <v>244</v>
      </c>
      <c r="G36" s="57" t="s">
        <v>246</v>
      </c>
      <c r="H36" s="57"/>
    </row>
    <row r="37" spans="3:11" x14ac:dyDescent="0.35">
      <c r="C37" s="56"/>
      <c r="D37" s="57" t="s">
        <v>239</v>
      </c>
      <c r="E37" s="57"/>
      <c r="F37" s="57"/>
      <c r="G37" s="57" t="s">
        <v>247</v>
      </c>
      <c r="H37" s="57"/>
    </row>
    <row r="38" spans="3:11" x14ac:dyDescent="0.35">
      <c r="C38" s="56"/>
      <c r="D38" s="57" t="s">
        <v>240</v>
      </c>
      <c r="E38" s="57"/>
      <c r="F38" s="57"/>
      <c r="G38" s="57" t="s">
        <v>247</v>
      </c>
      <c r="H38" s="57"/>
    </row>
    <row r="39" spans="3:11" x14ac:dyDescent="0.35">
      <c r="C39" s="56"/>
      <c r="D39" s="57"/>
      <c r="E39" s="57"/>
      <c r="F39" s="57"/>
      <c r="G39" s="57" t="s">
        <v>248</v>
      </c>
      <c r="H39" s="57"/>
    </row>
    <row r="40" spans="3:11" x14ac:dyDescent="0.35">
      <c r="C40" s="56"/>
      <c r="D40" s="57"/>
      <c r="E40" s="57"/>
      <c r="F40" s="57"/>
      <c r="G40" s="57" t="s">
        <v>249</v>
      </c>
      <c r="H40" s="57"/>
    </row>
    <row r="41" spans="3:11" x14ac:dyDescent="0.35">
      <c r="C41" s="56"/>
      <c r="D41" s="57"/>
      <c r="E41" s="57"/>
      <c r="F41" s="57"/>
      <c r="G41" s="57"/>
      <c r="H41" s="57"/>
    </row>
    <row r="43" spans="3:11" x14ac:dyDescent="0.35">
      <c r="C43" t="s">
        <v>250</v>
      </c>
    </row>
    <row r="44" spans="3:11" x14ac:dyDescent="0.35">
      <c r="C44" t="s">
        <v>170</v>
      </c>
      <c r="D44" t="s">
        <v>251</v>
      </c>
    </row>
    <row r="45" spans="3:11" x14ac:dyDescent="0.35">
      <c r="D45" t="s">
        <v>252</v>
      </c>
    </row>
    <row r="46" spans="3:11" x14ac:dyDescent="0.35">
      <c r="D46" t="s">
        <v>253</v>
      </c>
    </row>
    <row r="47" spans="3:11" x14ac:dyDescent="0.35">
      <c r="D47" t="s">
        <v>254</v>
      </c>
    </row>
    <row r="48" spans="3:11" x14ac:dyDescent="0.35">
      <c r="D48" t="s">
        <v>255</v>
      </c>
    </row>
    <row r="49" spans="3:4" x14ac:dyDescent="0.35">
      <c r="C49" t="s">
        <v>176</v>
      </c>
      <c r="D49" t="s">
        <v>256</v>
      </c>
    </row>
    <row r="50" spans="3:4" x14ac:dyDescent="0.35">
      <c r="D50" t="s">
        <v>257</v>
      </c>
    </row>
    <row r="51" spans="3:4" x14ac:dyDescent="0.35">
      <c r="D51" t="s">
        <v>258</v>
      </c>
    </row>
    <row r="52" spans="3:4" x14ac:dyDescent="0.35">
      <c r="D52" t="s">
        <v>261</v>
      </c>
    </row>
    <row r="53" spans="3:4" x14ac:dyDescent="0.35">
      <c r="D53" t="s">
        <v>259</v>
      </c>
    </row>
    <row r="54" spans="3:4" x14ac:dyDescent="0.35">
      <c r="D54" t="s">
        <v>260</v>
      </c>
    </row>
    <row r="55" spans="3:4" x14ac:dyDescent="0.35">
      <c r="D55" t="s">
        <v>262</v>
      </c>
    </row>
    <row r="56" spans="3:4" x14ac:dyDescent="0.35">
      <c r="D56" t="s">
        <v>263</v>
      </c>
    </row>
    <row r="57" spans="3:4" x14ac:dyDescent="0.35">
      <c r="D57" t="s">
        <v>264</v>
      </c>
    </row>
    <row r="58" spans="3:4" x14ac:dyDescent="0.35">
      <c r="D58" t="s">
        <v>266</v>
      </c>
    </row>
    <row r="59" spans="3:4" x14ac:dyDescent="0.35">
      <c r="D59" t="s">
        <v>275</v>
      </c>
    </row>
    <row r="60" spans="3:4" x14ac:dyDescent="0.35">
      <c r="C60" t="s">
        <v>191</v>
      </c>
      <c r="D60" t="s">
        <v>267</v>
      </c>
    </row>
    <row r="61" spans="3:4" x14ac:dyDescent="0.35">
      <c r="D61" t="s">
        <v>265</v>
      </c>
    </row>
    <row r="62" spans="3:4" x14ac:dyDescent="0.35">
      <c r="D62" t="s">
        <v>255</v>
      </c>
    </row>
    <row r="63" spans="3:4" x14ac:dyDescent="0.35">
      <c r="D63" t="s">
        <v>268</v>
      </c>
    </row>
    <row r="64" spans="3:4" x14ac:dyDescent="0.35">
      <c r="D64" t="s">
        <v>269</v>
      </c>
    </row>
    <row r="65" spans="3:4" x14ac:dyDescent="0.35">
      <c r="D65" t="s">
        <v>270</v>
      </c>
    </row>
    <row r="66" spans="3:4" x14ac:dyDescent="0.35">
      <c r="D66" t="s">
        <v>271</v>
      </c>
    </row>
    <row r="67" spans="3:4" x14ac:dyDescent="0.35">
      <c r="C67" t="s">
        <v>186</v>
      </c>
      <c r="D67" t="s">
        <v>272</v>
      </c>
    </row>
    <row r="68" spans="3:4" x14ac:dyDescent="0.35">
      <c r="D68" t="s">
        <v>273</v>
      </c>
    </row>
    <row r="69" spans="3:4" x14ac:dyDescent="0.35">
      <c r="D69" t="s">
        <v>274</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6" workbookViewId="0">
      <selection activeCell="C14" sqref="C14"/>
    </sheetView>
  </sheetViews>
  <sheetFormatPr defaultRowHeight="14.5" x14ac:dyDescent="0.35"/>
  <cols>
    <col min="2" max="2" width="3" bestFit="1" customWidth="1"/>
    <col min="3" max="3" width="130" customWidth="1"/>
  </cols>
  <sheetData>
    <row r="2" spans="2:3" ht="15" customHeight="1" x14ac:dyDescent="0.35">
      <c r="B2" s="61">
        <v>1</v>
      </c>
      <c r="C2" s="64" t="s">
        <v>281</v>
      </c>
    </row>
    <row r="3" spans="2:3" x14ac:dyDescent="0.35">
      <c r="B3" s="61">
        <v>2</v>
      </c>
      <c r="C3" s="62" t="s">
        <v>282</v>
      </c>
    </row>
    <row r="4" spans="2:3" x14ac:dyDescent="0.35">
      <c r="B4" s="61">
        <v>3</v>
      </c>
      <c r="C4" s="63" t="s">
        <v>283</v>
      </c>
    </row>
    <row r="5" spans="2:3" x14ac:dyDescent="0.35">
      <c r="B5" s="61">
        <v>4</v>
      </c>
      <c r="C5" s="62" t="s">
        <v>284</v>
      </c>
    </row>
    <row r="6" spans="2:3" x14ac:dyDescent="0.35">
      <c r="B6" s="61">
        <v>5</v>
      </c>
      <c r="C6" s="63" t="s">
        <v>285</v>
      </c>
    </row>
    <row r="7" spans="2:3" ht="29" x14ac:dyDescent="0.35">
      <c r="B7" s="61">
        <v>6</v>
      </c>
      <c r="C7" s="62" t="s">
        <v>286</v>
      </c>
    </row>
    <row r="8" spans="2:3" ht="72.5" x14ac:dyDescent="0.35">
      <c r="B8" s="61">
        <v>7</v>
      </c>
      <c r="C8" s="62" t="s">
        <v>287</v>
      </c>
    </row>
    <row r="9" spans="2:3" x14ac:dyDescent="0.35">
      <c r="B9" s="61">
        <v>8</v>
      </c>
      <c r="C9" s="63" t="s">
        <v>288</v>
      </c>
    </row>
    <row r="10" spans="2:3" x14ac:dyDescent="0.35">
      <c r="B10" s="61">
        <v>9</v>
      </c>
      <c r="C10" s="63" t="s">
        <v>289</v>
      </c>
    </row>
    <row r="11" spans="2:3" x14ac:dyDescent="0.35">
      <c r="B11" s="61">
        <v>10</v>
      </c>
      <c r="C11" s="63" t="s">
        <v>290</v>
      </c>
    </row>
    <row r="12" spans="2:3" x14ac:dyDescent="0.35">
      <c r="B12" s="61">
        <v>11</v>
      </c>
      <c r="C12" s="63" t="s">
        <v>291</v>
      </c>
    </row>
    <row r="13" spans="2:3" x14ac:dyDescent="0.35">
      <c r="B13" s="61">
        <v>12</v>
      </c>
      <c r="C13" s="63" t="s">
        <v>292</v>
      </c>
    </row>
    <row r="14" spans="2:3" x14ac:dyDescent="0.35">
      <c r="B14" s="61">
        <v>13</v>
      </c>
      <c r="C14" s="63" t="s">
        <v>293</v>
      </c>
    </row>
    <row r="15" spans="2:3" x14ac:dyDescent="0.35">
      <c r="B15" s="61">
        <v>14</v>
      </c>
      <c r="C15" s="63" t="s">
        <v>283</v>
      </c>
    </row>
    <row r="16" spans="2:3" x14ac:dyDescent="0.35">
      <c r="B16" s="61">
        <v>15</v>
      </c>
      <c r="C16" s="63" t="s">
        <v>296</v>
      </c>
    </row>
    <row r="17" spans="2:3" ht="31.5" customHeight="1" x14ac:dyDescent="0.35">
      <c r="B17" s="71">
        <v>16</v>
      </c>
      <c r="C17" s="73" t="s">
        <v>297</v>
      </c>
    </row>
    <row r="18" spans="2:3" x14ac:dyDescent="0.35">
      <c r="B18" s="72">
        <v>17</v>
      </c>
      <c r="C18" s="73" t="s">
        <v>298</v>
      </c>
    </row>
    <row r="19" spans="2:3" x14ac:dyDescent="0.35">
      <c r="B19" s="71">
        <v>18</v>
      </c>
      <c r="C19" s="61" t="s">
        <v>299</v>
      </c>
    </row>
    <row r="20" spans="2:3" x14ac:dyDescent="0.35">
      <c r="B20" s="72">
        <v>19</v>
      </c>
      <c r="C20" s="61"/>
    </row>
    <row r="21" spans="2:3" x14ac:dyDescent="0.35">
      <c r="B21" s="74">
        <v>20</v>
      </c>
      <c r="C21" s="61"/>
    </row>
    <row r="22" spans="2:3" x14ac:dyDescent="0.35">
      <c r="B22" s="61"/>
      <c r="C22" s="61"/>
    </row>
    <row r="23" spans="2:3" x14ac:dyDescent="0.35">
      <c r="B23" s="61"/>
      <c r="C23" s="61"/>
    </row>
    <row r="24" spans="2:3" x14ac:dyDescent="0.35">
      <c r="B24" s="61"/>
      <c r="C24" s="61"/>
    </row>
    <row r="25" spans="2:3" x14ac:dyDescent="0.35">
      <c r="B25" s="61"/>
      <c r="C25" s="61"/>
    </row>
    <row r="26" spans="2:3" x14ac:dyDescent="0.35">
      <c r="B26" s="61"/>
      <c r="C26" s="61"/>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2025-07-12T12:49:44Z</cp:lastPrinted>
  <dcterms:created xsi:type="dcterms:W3CDTF">2019-07-16T09:29:46Z</dcterms:created>
  <dcterms:modified xsi:type="dcterms:W3CDTF">2025-07-12T12:51:54Z</dcterms:modified>
</cp:coreProperties>
</file>