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10-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0" i="1" l="1"/>
  <c r="D161" i="1" l="1"/>
  <c r="D157" i="1"/>
  <c r="E155" i="1"/>
  <c r="D155" i="1"/>
  <c r="E153" i="1"/>
  <c r="D153" i="1"/>
  <c r="D225" i="1"/>
  <c r="F225" i="1" s="1"/>
  <c r="H225" i="1" s="1"/>
  <c r="D224" i="1"/>
  <c r="F224" i="1" s="1"/>
  <c r="H224" i="1" s="1"/>
  <c r="D223" i="1"/>
  <c r="F223" i="1" s="1"/>
  <c r="H223" i="1" s="1"/>
  <c r="A222" i="1"/>
  <c r="A223" i="1" s="1"/>
  <c r="A224" i="1" s="1"/>
  <c r="A225" i="1" s="1"/>
  <c r="D195" i="1"/>
  <c r="D215" i="1"/>
  <c r="F215" i="1" s="1"/>
  <c r="H215" i="1" s="1"/>
  <c r="D219" i="1"/>
  <c r="F219" i="1" s="1"/>
  <c r="H219" i="1" s="1"/>
  <c r="D218" i="1"/>
  <c r="F218" i="1" s="1"/>
  <c r="H218" i="1" s="1"/>
  <c r="D217" i="1"/>
  <c r="F217" i="1" s="1"/>
  <c r="H217" i="1" s="1"/>
  <c r="A216" i="1"/>
  <c r="A217" i="1" s="1"/>
  <c r="A218" i="1" s="1"/>
  <c r="A219" i="1" s="1"/>
  <c r="D187" i="1"/>
  <c r="F187" i="1" s="1"/>
  <c r="H187" i="1" s="1"/>
  <c r="J187" i="1" s="1"/>
  <c r="D191" i="1"/>
  <c r="F191" i="1" s="1"/>
  <c r="H191" i="1" s="1"/>
  <c r="D190" i="1"/>
  <c r="F190" i="1" s="1"/>
  <c r="H190" i="1" s="1"/>
  <c r="D189" i="1"/>
  <c r="F189" i="1" s="1"/>
  <c r="H189" i="1" s="1"/>
  <c r="A188" i="1"/>
  <c r="A189" i="1" s="1"/>
  <c r="A190" i="1" s="1"/>
  <c r="A191" i="1" s="1"/>
  <c r="F155" i="1" l="1"/>
  <c r="H155" i="1" l="1"/>
  <c r="G139" i="1" s="1"/>
  <c r="E139" i="1"/>
  <c r="C139" i="1"/>
  <c r="C83" i="1"/>
  <c r="C97" i="1"/>
  <c r="D213" i="1"/>
  <c r="F213" i="1" s="1"/>
  <c r="H213" i="1" s="1"/>
  <c r="D212" i="1"/>
  <c r="F212" i="1" s="1"/>
  <c r="H212" i="1" s="1"/>
  <c r="D211" i="1"/>
  <c r="F211" i="1" s="1"/>
  <c r="H211" i="1" s="1"/>
  <c r="D209" i="1"/>
  <c r="F209" i="1" s="1"/>
  <c r="H209" i="1" s="1"/>
  <c r="D207" i="1"/>
  <c r="F207" i="1" s="1"/>
  <c r="H207" i="1" s="1"/>
  <c r="D206" i="1"/>
  <c r="F206" i="1" s="1"/>
  <c r="H206" i="1" s="1"/>
  <c r="D205" i="1"/>
  <c r="F205" i="1" s="1"/>
  <c r="H205" i="1" s="1"/>
  <c r="D204" i="1"/>
  <c r="F204" i="1" s="1"/>
  <c r="H204" i="1" s="1"/>
  <c r="D203" i="1"/>
  <c r="F203" i="1" s="1"/>
  <c r="D197" i="1"/>
  <c r="F197" i="1" s="1"/>
  <c r="H197" i="1" s="1"/>
  <c r="D196" i="1"/>
  <c r="F196" i="1" s="1"/>
  <c r="H196" i="1" s="1"/>
  <c r="F195" i="1"/>
  <c r="H195" i="1" s="1"/>
  <c r="D185" i="1"/>
  <c r="F185" i="1" s="1"/>
  <c r="H185" i="1" s="1"/>
  <c r="D184" i="1"/>
  <c r="F184" i="1" s="1"/>
  <c r="H184" i="1" s="1"/>
  <c r="D183" i="1"/>
  <c r="F183" i="1" s="1"/>
  <c r="H183" i="1" s="1"/>
  <c r="D181" i="1"/>
  <c r="F181" i="1" s="1"/>
  <c r="H181" i="1" s="1"/>
  <c r="J181" i="1" s="1"/>
  <c r="D179" i="1"/>
  <c r="F179" i="1" s="1"/>
  <c r="H179" i="1" s="1"/>
  <c r="J179" i="1" s="1"/>
  <c r="D178" i="1"/>
  <c r="F178" i="1" s="1"/>
  <c r="H178" i="1" s="1"/>
  <c r="J178" i="1" s="1"/>
  <c r="D177" i="1"/>
  <c r="F177" i="1" s="1"/>
  <c r="H177" i="1" s="1"/>
  <c r="D176" i="1"/>
  <c r="F176" i="1" s="1"/>
  <c r="H176" i="1" s="1"/>
  <c r="D175" i="1"/>
  <c r="F175" i="1" s="1"/>
  <c r="F161" i="1"/>
  <c r="H161" i="1" s="1"/>
  <c r="D159" i="1"/>
  <c r="F159" i="1" s="1"/>
  <c r="H159" i="1" s="1"/>
  <c r="F157" i="1"/>
  <c r="H157" i="1" s="1"/>
  <c r="F153" i="1"/>
  <c r="A194" i="1"/>
  <c r="A195" i="1" s="1"/>
  <c r="A196" i="1" s="1"/>
  <c r="A197" i="1" s="1"/>
  <c r="A210" i="1"/>
  <c r="A211" i="1" s="1"/>
  <c r="A212" i="1" s="1"/>
  <c r="A213" i="1" s="1"/>
  <c r="A182" i="1"/>
  <c r="A183" i="1" s="1"/>
  <c r="A184" i="1" s="1"/>
  <c r="A185" i="1" s="1"/>
  <c r="A204" i="1"/>
  <c r="A205" i="1" s="1"/>
  <c r="A206" i="1" s="1"/>
  <c r="A207" i="1" s="1"/>
  <c r="I175" i="1"/>
  <c r="A176" i="1"/>
  <c r="A177" i="1" s="1"/>
  <c r="A178" i="1" s="1"/>
  <c r="A179" i="1" s="1"/>
  <c r="I157" i="1"/>
  <c r="C138" i="1" l="1"/>
  <c r="C140" i="1" s="1"/>
  <c r="E138" i="1"/>
  <c r="E140" i="1" s="1"/>
  <c r="H203" i="1"/>
  <c r="G144" i="1" s="1"/>
  <c r="C144" i="1"/>
  <c r="E144" i="1"/>
  <c r="H175" i="1"/>
  <c r="G143" i="1" s="1"/>
  <c r="C143" i="1"/>
  <c r="E143" i="1"/>
  <c r="J121" i="1"/>
  <c r="I121" i="1" s="1"/>
  <c r="H153" i="1"/>
  <c r="G138" i="1" s="1"/>
  <c r="G140" i="1" s="1"/>
  <c r="F163" i="1"/>
  <c r="F227" i="1"/>
  <c r="H227" i="1" s="1"/>
  <c r="E145" i="1" l="1"/>
  <c r="E146" i="1" s="1"/>
  <c r="G145" i="1"/>
  <c r="G146" i="1" s="1"/>
  <c r="C145" i="1"/>
  <c r="C146"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E44" i="7" l="1"/>
  <c r="D44" i="7"/>
  <c r="E31" i="1"/>
  <c r="B257" i="1" l="1"/>
  <c r="F164" i="1" l="1"/>
  <c r="H164" i="1" s="1"/>
  <c r="F165" i="1"/>
  <c r="H165" i="1" s="1"/>
  <c r="F166" i="1"/>
  <c r="H166" i="1" s="1"/>
  <c r="H163" i="1"/>
  <c r="G58" i="1" l="1"/>
  <c r="C58" i="1"/>
  <c r="G56" i="1"/>
  <c r="C56" i="1"/>
  <c r="S33" i="1" l="1"/>
  <c r="F11" i="5" l="1"/>
  <c r="G11" i="5" s="1"/>
  <c r="F10" i="5"/>
  <c r="G10" i="5" s="1"/>
  <c r="F9" i="5"/>
  <c r="G9" i="5" s="1"/>
  <c r="F8" i="5"/>
  <c r="G8" i="5" s="1"/>
  <c r="F7" i="5"/>
  <c r="G7" i="5" s="1"/>
  <c r="F6" i="5"/>
  <c r="G6" i="5" s="1"/>
  <c r="F5" i="5"/>
  <c r="G5" i="5" s="1"/>
  <c r="G12" i="5" s="1"/>
  <c r="D283" i="1"/>
  <c r="B258" i="1"/>
  <c r="F254" i="1"/>
  <c r="H254" i="1" s="1"/>
  <c r="F253" i="1"/>
  <c r="H253" i="1" s="1"/>
  <c r="F252" i="1"/>
  <c r="H252" i="1" s="1"/>
  <c r="F251" i="1"/>
  <c r="H251" i="1" s="1"/>
  <c r="F250" i="1"/>
  <c r="H250" i="1" s="1"/>
  <c r="F248" i="1"/>
  <c r="H248" i="1" s="1"/>
  <c r="F247" i="1"/>
  <c r="H247" i="1" s="1"/>
  <c r="F246" i="1"/>
  <c r="H246" i="1" s="1"/>
  <c r="F245" i="1"/>
  <c r="H245" i="1" s="1"/>
  <c r="F244" i="1"/>
  <c r="H244" i="1" s="1"/>
  <c r="F242" i="1"/>
  <c r="H242" i="1" s="1"/>
  <c r="F241" i="1"/>
  <c r="H241" i="1" s="1"/>
  <c r="F240" i="1"/>
  <c r="H240" i="1" s="1"/>
  <c r="F239" i="1"/>
  <c r="H239" i="1" s="1"/>
  <c r="F238" i="1"/>
  <c r="H238" i="1" s="1"/>
  <c r="F236" i="1"/>
  <c r="H236" i="1" s="1"/>
  <c r="F235" i="1"/>
  <c r="H235" i="1" s="1"/>
  <c r="F234" i="1"/>
  <c r="H234" i="1" s="1"/>
  <c r="F233" i="1"/>
  <c r="H233" i="1" s="1"/>
  <c r="F232" i="1"/>
  <c r="H232" i="1" s="1"/>
  <c r="A232" i="1"/>
  <c r="A233" i="1" s="1"/>
  <c r="A234" i="1" s="1"/>
  <c r="A235" i="1" s="1"/>
  <c r="A236" i="1" s="1"/>
  <c r="F230" i="1"/>
  <c r="H230" i="1" s="1"/>
  <c r="F229" i="1"/>
  <c r="H229" i="1" s="1"/>
  <c r="F228" i="1"/>
  <c r="H228" i="1" s="1"/>
  <c r="A228" i="1"/>
  <c r="A229" i="1" s="1"/>
  <c r="A230" i="1" s="1"/>
  <c r="A164" i="1"/>
  <c r="A165" i="1" s="1"/>
  <c r="A166" i="1" s="1"/>
  <c r="F135" i="1"/>
  <c r="C104" i="1"/>
  <c r="C90" i="1"/>
  <c r="C76" i="1"/>
  <c r="D63" i="1"/>
  <c r="G51" i="1"/>
  <c r="C51" i="1"/>
  <c r="E44" i="1"/>
  <c r="E45" i="1" s="1"/>
  <c r="E28" i="1"/>
  <c r="E26" i="1"/>
  <c r="C16" i="1"/>
  <c r="I15" i="1"/>
  <c r="Z13" i="1"/>
  <c r="E8" i="1"/>
  <c r="E3" i="1"/>
  <c r="A250" i="1"/>
  <c r="H105" i="1"/>
  <c r="H77" i="1"/>
  <c r="A238" i="1"/>
  <c r="H91" i="1"/>
  <c r="A244" i="1"/>
  <c r="J76" i="1" l="1"/>
  <c r="J78" i="1" s="1"/>
  <c r="J79" i="1"/>
  <c r="J80" i="1"/>
  <c r="J81" i="1"/>
  <c r="C80" i="1" s="1"/>
  <c r="J95" i="1"/>
  <c r="D99" i="1"/>
  <c r="D101" i="1"/>
  <c r="J94" i="1"/>
  <c r="D100" i="1"/>
  <c r="J90" i="1"/>
  <c r="J92" i="1" s="1"/>
  <c r="D98" i="1"/>
  <c r="J93" i="1"/>
  <c r="D97" i="1"/>
  <c r="D103" i="1"/>
  <c r="D102" i="1"/>
  <c r="D96" i="1"/>
  <c r="D84" i="1"/>
  <c r="D86" i="1"/>
  <c r="D85" i="1"/>
  <c r="D89" i="1"/>
  <c r="D83" i="1"/>
  <c r="D88" i="1"/>
  <c r="D82" i="1"/>
  <c r="D87" i="1"/>
  <c r="C112" i="1"/>
  <c r="J104" i="1" s="1"/>
  <c r="J106" i="1" s="1"/>
  <c r="D115" i="1"/>
  <c r="D117" i="1"/>
  <c r="J111" i="1"/>
  <c r="C110" i="1" s="1"/>
  <c r="D110" i="1" s="1"/>
  <c r="D116" i="1"/>
  <c r="J110" i="1"/>
  <c r="D114" i="1"/>
  <c r="J109" i="1"/>
  <c r="D113" i="1"/>
  <c r="D119" i="1"/>
  <c r="D118" i="1"/>
  <c r="B105" i="1"/>
  <c r="B91" i="1"/>
  <c r="B77" i="1"/>
  <c r="J82" i="1" s="1"/>
  <c r="A239" i="1"/>
  <c r="A251" i="1"/>
  <c r="A245" i="1"/>
  <c r="C94" i="1" l="1"/>
  <c r="D94" i="1" s="1"/>
  <c r="D80" i="1"/>
  <c r="D112" i="1"/>
  <c r="J117" i="1"/>
  <c r="J114" i="1"/>
  <c r="J116" i="1"/>
  <c r="J115" i="1"/>
  <c r="J112" i="1"/>
  <c r="J113" i="1" s="1"/>
  <c r="J118" i="1" s="1"/>
  <c r="J119" i="1" s="1"/>
  <c r="C111" i="1" s="1"/>
  <c r="E110" i="1" s="1"/>
  <c r="J101" i="1"/>
  <c r="J98" i="1"/>
  <c r="J100" i="1"/>
  <c r="J99" i="1"/>
  <c r="J96" i="1"/>
  <c r="J97" i="1" s="1"/>
  <c r="J86" i="1"/>
  <c r="J84" i="1"/>
  <c r="J85" i="1"/>
  <c r="J83" i="1"/>
  <c r="J88" i="1" s="1"/>
  <c r="J89" i="1" s="1"/>
  <c r="C81" i="1" s="1"/>
  <c r="J87" i="1"/>
  <c r="A252" i="1"/>
  <c r="A246" i="1"/>
  <c r="A240" i="1"/>
  <c r="J77" i="1" l="1"/>
  <c r="J102" i="1"/>
  <c r="J103" i="1" s="1"/>
  <c r="D111" i="1"/>
  <c r="I105" i="1" s="1"/>
  <c r="J105" i="1"/>
  <c r="G110" i="1"/>
  <c r="E80" i="1"/>
  <c r="D81" i="1"/>
  <c r="I77" i="1" s="1"/>
  <c r="G80" i="1"/>
  <c r="D74" i="1" s="1"/>
  <c r="A247" i="1"/>
  <c r="A253" i="1"/>
  <c r="A241" i="1"/>
  <c r="C95" i="1" l="1"/>
  <c r="J91" i="1" s="1"/>
  <c r="F75" i="1"/>
  <c r="D75" i="1"/>
  <c r="I106" i="1"/>
  <c r="I104" i="1" s="1"/>
  <c r="C106" i="1" s="1"/>
  <c r="I78" i="1"/>
  <c r="I76" i="1" s="1"/>
  <c r="C78" i="1" s="1"/>
  <c r="A248" i="1"/>
  <c r="A254" i="1"/>
  <c r="A242" i="1"/>
  <c r="D95" i="1" l="1"/>
  <c r="I91" i="1" s="1"/>
  <c r="I92" i="1" s="1"/>
  <c r="E94" i="1"/>
  <c r="G94" i="1"/>
  <c r="I90" i="1" l="1"/>
  <c r="C92"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<sst xmlns="http://schemas.openxmlformats.org/spreadsheetml/2006/main" count="744" uniqueCount="416">
  <si>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</si>
  <si>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</si>
  <si>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</si>
  <si>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</si>
  <si>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</si>
  <si>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</si>
  <si>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</si>
  <si>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</si>
  <si>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</si>
  <si>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</si>
  <si>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</si>
  <si>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</si>
  <si>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</si>
  <si>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</si>
  <si>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</si>
  <si>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</si>
  <si>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</si>
  <si>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</si>
  <si>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</si>
  <si>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</si>
  <si>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</si>
  <si>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</si>
  <si>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</si>
  <si>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</si>
  <si>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</si>
  <si>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</si>
  <si>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</si>
  <si>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</si>
  <si>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</si>
  <si>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</si>
  <si>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</si>
  <si>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</si>
  <si>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</si>
  <si>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</si>
  <si>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</si>
  <si>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</si>
  <si>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</si>
  <si>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</si>
  <si>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</si>
  <si>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</si>
  <si>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</si>
  <si>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</si>
  <si>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</si>
  <si>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</si>
  <si>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</si>
  <si>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</si>
  <si>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</si>
  <si>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</si>
  <si>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</si>
  <si>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</si>
  <si>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</si>
  <si>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</si>
  <si>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</si>
  <si>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</si>
  <si>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</si>
  <si>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</si>
  <si>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</si>
  <si>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</si>
  <si>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</si>
  <si>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</si>
  <si>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</si>
  <si>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</si>
  <si>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</si>
  <si>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</si>
  <si>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</si>
  <si>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</si>
  <si>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</si>
  <si>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</si>
  <si>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</si>
  <si>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</si>
  <si>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</si>
  <si>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</si>
  <si>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</si>
  <si>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</si>
  <si>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</si>
  <si>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</si>
  <si>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</si>
  <si>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</si>
  <si>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</si>
  <si>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</si>
  <si>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</si>
  <si>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</si>
  <si>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</si>
  <si>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</si>
  <si>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</si>
  <si>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</si>
  <si>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</si>
  <si>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</si>
  <si>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</si>
  <si>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</si>
  <si>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</si>
  <si>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</si>
  <si>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</si>
  <si>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</si>
  <si>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</si>
  <si>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</si>
  <si>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</si>
  <si>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</si>
  <si>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</si>
  <si>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</si>
  <si>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</si>
  <si>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</si>
  <si>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</si>
  <si>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</si>
  <si>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</si>
  <si>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</si>
  <si>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</si>
  <si>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</si>
  <si>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</si>
  <si>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</si>
  <si>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</si>
  <si>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</si>
  <si>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</si>
  <si>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</si>
  <si>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</si>
  <si>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</si>
  <si>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</si>
  <si>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</si>
  <si>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</si>
  <si>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</si>
  <si>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</si>
  <si>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</si>
  <si>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</si>
  <si>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</si>
  <si>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</si>
  <si>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</si>
  <si>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</si>
  <si>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</si>
  <si>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</si>
  <si>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</si>
  <si>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</si>
  <si>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</si>
  <si>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</si>
  <si>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</si>
  <si>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</si>
  <si>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</si>
  <si>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</si>
  <si>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</si>
  <si>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</si>
  <si>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</si>
  <si>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</si>
  <si>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</si>
  <si>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</si>
  <si>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</si>
  <si>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</si>
  <si>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</si>
  <si>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</si>
  <si>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</si>
  <si>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</si>
  <si>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</si>
  <si>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</si>
  <si>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</si>
  <si>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</si>
  <si>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</si>
  <si>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</si>
  <si>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</si>
  <si>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</si>
  <si>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</si>
  <si>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</si>
  <si>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</si>
  <si>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</si>
  <si>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</si>
  <si>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</si>
  <si>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</si>
  <si>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</si>
  <si>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</si>
  <si>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</si>
  <si>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</si>
  <si>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</si>
  <si>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</si>
  <si>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</si>
  <si>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</si>
  <si>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</si>
  <si>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</si>
  <si>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</si>
  <si>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</si>
  <si>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</si>
  <si>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</si>
  <si>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</si>
  <si>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</si>
  <si>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</si>
  <si>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</si>
  <si>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</si>
  <si>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</si>
  <si>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</si>
  <si>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</si>
  <si>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</si>
  <si>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</si>
  <si>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</si>
  <si>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</si>
  <si>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</si>
  <si>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</si>
  <si>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</si>
  <si>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</si>
  <si>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</si>
  <si>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</si>
  <si>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</si>
  <si>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</si>
  <si>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</si>
  <si>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</si>
  <si>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</si>
  <si>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</si>
  <si>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</si>
  <si>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</si>
  <si>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</si>
  <si>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</si>
  <si>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</si>
  <si>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</si>
  <si>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</si>
  <si>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</si>
  <si>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</si>
  <si>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</si>
  <si>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</si>
  <si>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</si>
  <si>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</si>
  <si>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</si>
  <si>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</si>
  <si>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</si>
  <si>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</si>
  <si>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</si>
  <si>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</si>
  <si>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</si>
  <si>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</si>
  <si>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</si>
  <si>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</si>
  <si>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</si>
  <si>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</si>
  <si>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</si>
  <si>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</si>
  <si>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</si>
  <si>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</si>
  <si>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</si>
  <si>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</si>
  <si>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</si>
  <si>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</si>
  <si>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</si>
  <si>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</si>
  <si>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</si>
  <si>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</si>
  <si>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</si>
  <si>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</si>
  <si>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</si>
  <si>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</si>
  <si>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</si>
  <si>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</si>
  <si>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</si>
  <si>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</si>
  <si>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</si>
  <si>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</si>
  <si>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</si>
  <si>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</si>
  <si>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</si>
  <si>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</si>
  <si>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</si>
  <si>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</si>
  <si>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</si>
  <si>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</si>
  <si>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</si>
  <si>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</si>
  <si>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</si>
  <si>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</si>
  <si>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</si>
  <si>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</si>
  <si>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</si>
  <si>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</si>
  <si>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</si>
  <si>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</si>
  <si>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</si>
  <si>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</si>
  <si>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</si>
  <si>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</si>
  <si>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</si>
  <si>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</si>
  <si>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</si>
  <si>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</si>
  <si>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</si>
  <si>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</si>
  <si>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</si>
  <si>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</si>
  <si>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</si>
  <si>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</si>
  <si>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</si>
  <si>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</si>
  <si>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</si>
  <si>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</si>
  <si>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</si>
  <si>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</si>
  <si>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</si>
  <si>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</si>
  <si>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</si>
  <si>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</si>
  <si>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</si>
  <si>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</si>
  <si>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</si>
  <si>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</si>
  <si>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</si>
  <si>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</si>
  <si>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</si>
  <si>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</si>
  <si>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</si>
  <si>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</si>
  <si>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</si>
  <si>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</si>
  <si>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</si>
  <si>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</si>
  <si>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</si>
  <si>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</si>
  <si>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</si>
  <si>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</si>
  <si>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</si>
  <si>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</si>
  <si>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</si>
  <si>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</si>
  <si>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</si>
  <si>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</si>
  <si>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</si>
  <si>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</si>
  <si>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</si>
  <si>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</si>
  <si>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</si>
  <si>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</si>
  <si>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</si>
  <si>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</si>
  <si>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</si>
  <si>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</si>
  <si>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</si>
  <si>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</si>
  <si>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</si>
  <si>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</si>
  <si>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</si>
  <si>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</si>
  <si>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</si>
  <si>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</si>
  <si>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</si>
  <si>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</si>
  <si>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</si>
  <si>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Racek Industries PVT LTD</t>
  </si>
  <si>
    <t>Aikya Roots</t>
  </si>
  <si>
    <t>Milton Menezes : 9870751136</t>
  </si>
  <si>
    <t>P51800047194</t>
  </si>
  <si>
    <t>6 &amp; 6/1 - 6</t>
  </si>
  <si>
    <t>L.B.S. Road</t>
  </si>
  <si>
    <t>https://maps.app.goo.gl/hztao1obTwqL4jb9A</t>
  </si>
  <si>
    <t>19.1091419,72.9240526</t>
  </si>
  <si>
    <t>Surya Nagar</t>
  </si>
  <si>
    <t>0.6 KM from Vikhroli Railway Station</t>
  </si>
  <si>
    <t>Vikhroli (West)</t>
  </si>
  <si>
    <t>Vikhroli</t>
  </si>
  <si>
    <t>The Yoga Institute,Vikhroli</t>
  </si>
  <si>
    <t>Existing Structure</t>
  </si>
  <si>
    <t>Internal Road</t>
  </si>
  <si>
    <t>Open Plot</t>
  </si>
  <si>
    <t>36.60 M.L.B.S. Road</t>
  </si>
  <si>
    <t>Other Plot</t>
  </si>
  <si>
    <t>CTS No.5</t>
  </si>
  <si>
    <t>CTS No.32</t>
  </si>
  <si>
    <t>Mr.Sagar : 9619444419</t>
  </si>
  <si>
    <t>03 Wings</t>
  </si>
  <si>
    <t>As per RERA - 30/06/2027</t>
  </si>
  <si>
    <t>Wing A</t>
  </si>
  <si>
    <t>Ground Floor for Society Office &amp; Parking</t>
  </si>
  <si>
    <t>Wing B</t>
  </si>
  <si>
    <t>Ground Floor for Parking</t>
  </si>
  <si>
    <t>Wing C</t>
  </si>
  <si>
    <t>Ground Floor for Commercial</t>
  </si>
  <si>
    <t>1st &amp; 2nd Podium Floor for Parking</t>
  </si>
  <si>
    <t>Office</t>
  </si>
  <si>
    <t>3rd Podium Floor for Fitness Center &amp; Other Amenities</t>
  </si>
  <si>
    <t>3rd Podium Floor for Society Office &amp; Other Amenities</t>
  </si>
  <si>
    <t>2BHK</t>
  </si>
  <si>
    <t>1BHK</t>
  </si>
  <si>
    <t>6th Floor (Part Refuge Area)</t>
  </si>
  <si>
    <t>Refuge Area</t>
  </si>
  <si>
    <r>
      <t xml:space="preserve">Shop No.
</t>
    </r>
    <r>
      <rPr>
        <b/>
        <sz val="11"/>
        <rFont val="Times New Roman"/>
        <family val="1"/>
      </rPr>
      <t>(Approved Plan)</t>
    </r>
  </si>
  <si>
    <r>
      <t xml:space="preserve">Flat No.
</t>
    </r>
    <r>
      <rPr>
        <b/>
        <sz val="11"/>
        <rFont val="Times New Roman"/>
        <family val="1"/>
      </rPr>
      <t>(Approved Plan)</t>
    </r>
  </si>
  <si>
    <t>Wing C = Gr/St + 1st to 6th Floor</t>
  </si>
  <si>
    <t>Podium Garden, Kids Play Area, Gymnasium, Indoor games room, Multipurpose court, Herb Garden, Swimming Pool, Jogging track</t>
  </si>
  <si>
    <r>
      <t xml:space="preserve">Proposed Amenities :                                                                                                                                                                                                                         </t>
    </r>
    <r>
      <rPr>
        <b/>
        <sz val="12"/>
        <rFont val="Times New Roman"/>
        <family val="1"/>
      </rPr>
      <t xml:space="preserve">                                               </t>
    </r>
  </si>
  <si>
    <t>We considered Gross carpet area = Net carpet.</t>
  </si>
  <si>
    <t>Pooja Kawale</t>
  </si>
  <si>
    <t>Approved Plans, CC, Sale Plans, Cost Sheet</t>
  </si>
  <si>
    <t>Water &amp; Electric Meter</t>
  </si>
  <si>
    <t>Corpus Fund</t>
  </si>
  <si>
    <t>Pipe / Gas Connection</t>
  </si>
  <si>
    <t>Club / Gym Membership</t>
  </si>
  <si>
    <t>ADHOC Maintenance</t>
  </si>
  <si>
    <t>Online</t>
  </si>
  <si>
    <t>MIS</t>
  </si>
  <si>
    <t>Wing A = Gr/St + 1st to 20th Floor</t>
  </si>
  <si>
    <t>Wing B = Gr/St + 1st to 20th Floor</t>
  </si>
  <si>
    <t>We have updated latest CC from MCGM Site (On 28/09/2024).</t>
  </si>
  <si>
    <t>P-9936/2022/(6)/S/NWARD/VIKHROLI-S/337/3/AMEND</t>
  </si>
  <si>
    <t>4th &amp; 5th, 7th to 12th, 14th to 19th Floors for Residential</t>
  </si>
  <si>
    <t>13th Floor (Part Refuge Area)</t>
  </si>
  <si>
    <t>20th Floor (Part Terrace Area)</t>
  </si>
  <si>
    <t>Terrace Area</t>
  </si>
  <si>
    <t>1st Floor</t>
  </si>
  <si>
    <t>Testing Laboratory</t>
  </si>
  <si>
    <t>3rd to 5th Floor</t>
  </si>
  <si>
    <t>6th Floor</t>
  </si>
  <si>
    <t>Testing Lab.</t>
  </si>
  <si>
    <t>Flats - 162, Offices - 06, Testing Lab. - 01</t>
  </si>
  <si>
    <t>Wing A &amp; B = Gr/St + 1st to 20th Floor
Wing C = Gr/St + 1st to 6th Floor</t>
  </si>
  <si>
    <t>We have updated latest approved floor plans (On 11/10/2024).</t>
  </si>
  <si>
    <t>Wing A : Ashoka
Wing B : Banyan
Wing C : Goldan Oak</t>
  </si>
  <si>
    <t>P-9936/2022/(6)/S Ward/VIKHROLIS-CFO/1/New</t>
  </si>
  <si>
    <t>Wing A = Gr/Stilt + 1st to 20th Floor (Total Ht = 69.95 Mtr.)
Wing B = Gr/Stilt + 1st to 20th Floor (Total Ht = 69.95 Mtr.)
Wing C = Gr/Stilt + 1st to 6th Floor (Total Ht = 26.70 Mtr.)</t>
  </si>
  <si>
    <t xml:space="preserve">Fire Noc No
Valid Up to: </t>
  </si>
  <si>
    <t>P-9936/2022/(6)/S Ward/VIKHROLI-S/FCC/3/Amend</t>
  </si>
  <si>
    <t>Full C.C. is granted for wing ‘A’ &amp; ‘B’ as per amended approved plan dated 09.08.2024 subject to timely renewal of B.G, SWM NOC, Workmen’s compensation policy and taking all sorts of precautions during construction and for air pollution.</t>
  </si>
  <si>
    <t>P-9936/2022/(6)/S Ward/VIKHROLI-S/OCC/1/New
Approved upto : Part OC i.e. Full OCC for commercial Wing ‘C’comprising of G+6</t>
  </si>
  <si>
    <t>Wing A &amp; B = Construction work is in process at the time of Visit. Internal photographs not allowed.
Wing C = All work Completed. OC Received.</t>
  </si>
  <si>
    <t>We have updated latest CC &amp; OC (For wing C) from MCGM site (On 10/07/2025).</t>
  </si>
  <si>
    <t>Nainesh Tambe</t>
  </si>
  <si>
    <t>RATE 19500 by SMITH VERBAL on 25/08/2025</t>
  </si>
  <si>
    <t>Recommended Rates of the Property have been revised on 25/08/2025.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</si>
</sst>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7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3" fillId="0" borderId="0" xfId="1" applyFont="1" applyAlignment="1">
      <alignment horizontal="center" vertical="center"/>
    </xf>
    <xf numFmtId="1" fontId="13" fillId="0" borderId="0" xfId="1" applyNumberFormat="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vertical="top" wrapText="1"/>
      <protection locked="0"/>
    </xf>
    <xf numFmtId="0" fontId="23" fillId="0" borderId="0" xfId="0" applyFont="1" applyBorder="1" applyAlignment="1">
      <alignment horizontal="center" vertical="center"/>
    </xf>
    <xf numFmtId="0" fontId="23" fillId="0" borderId="10" xfId="0" applyFont="1" applyBorder="1" applyAlignment="1">
      <alignment horizontal="center" vertical="center"/>
    </xf>
    <xf numFmtId="0" fontId="22" fillId="2" borderId="15" xfId="0" applyFont="1" applyFill="1" applyBorder="1"/>
    <xf numFmtId="0" fontId="23" fillId="0" borderId="9" xfId="0" applyFont="1" applyBorder="1"/>
    <xf numFmtId="0" fontId="10" fillId="0" borderId="3" xfId="1" applyFont="1" applyBorder="1" applyAlignment="1" applyProtection="1">
      <alignment horizontal="center" vertical="top" wrapText="1"/>
      <protection locked="0"/>
    </xf>
    <xf numFmtId="9" fontId="10" fillId="0" borderId="3" xfId="8" applyFont="1" applyFill="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0" fillId="0" borderId="17" xfId="1" applyNumberFormat="1" applyFont="1" applyBorder="1" applyAlignment="1" applyProtection="1">
      <alignment horizontal="center" vertical="center" wrapText="1"/>
      <protection locked="0"/>
    </xf>
    <xf numFmtId="1" fontId="10" fillId="0" borderId="24" xfId="1" applyNumberFormat="1" applyFont="1" applyBorder="1" applyAlignment="1" applyProtection="1">
      <alignment horizontal="center" vertical="center" wrapText="1"/>
      <protection locked="0"/>
    </xf>
    <xf numFmtId="1" fontId="10" fillId="0" borderId="18" xfId="1" applyNumberFormat="1" applyFont="1" applyBorder="1" applyAlignment="1" applyProtection="1">
      <alignment horizontal="center" vertical="center" wrapText="1"/>
      <protection locked="0"/>
    </xf>
    <xf numFmtId="1" fontId="10" fillId="0" borderId="19" xfId="1" applyNumberFormat="1" applyFont="1" applyBorder="1" applyAlignment="1" applyProtection="1">
      <alignment horizontal="center" vertical="center" wrapText="1"/>
      <protection locked="0"/>
    </xf>
    <xf numFmtId="1" fontId="10" fillId="0" borderId="2" xfId="1"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10" fillId="0" borderId="21" xfId="1" applyFont="1" applyBorder="1" applyAlignment="1" applyProtection="1">
      <alignment horizontal="left" vertical="top" wrapText="1"/>
      <protection locked="0"/>
    </xf>
    <xf numFmtId="0" fontId="10" fillId="0" borderId="9" xfId="1" applyFont="1" applyBorder="1" applyAlignment="1" applyProtection="1">
      <alignment horizontal="left" vertical="top" wrapText="1"/>
      <protection locked="0"/>
    </xf>
    <xf numFmtId="14" fontId="10" fillId="0" borderId="8" xfId="1" applyNumberFormat="1" applyFont="1" applyBorder="1" applyAlignment="1" applyProtection="1">
      <alignment horizontal="left" vertical="top" wrapText="1"/>
      <protection locked="0"/>
    </xf>
    <xf numFmtId="14" fontId="10" fillId="0" borderId="9" xfId="1" applyNumberFormat="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6" fillId="0" borderId="1" xfId="1" applyFont="1" applyBorder="1" applyAlignment="1" applyProtection="1">
      <alignment horizontal="center"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6" fillId="0" borderId="8" xfId="0" applyNumberFormat="1" applyFont="1" applyBorder="1" applyAlignment="1" applyProtection="1">
      <alignment horizontal="center" vertical="top" wrapText="1"/>
      <protection locked="0"/>
    </xf>
    <xf numFmtId="1" fontId="6" fillId="0" borderId="9" xfId="0"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1" fillId="0" borderId="4" xfId="1" applyFont="1" applyBorder="1" applyAlignment="1" applyProtection="1">
      <alignment horizontal="left" vertical="top"/>
      <protection locked="0"/>
    </xf>
    <xf numFmtId="0" fontId="11" fillId="0" borderId="35"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36"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28" fillId="0" borderId="1" xfId="1" applyFont="1" applyBorder="1" applyAlignment="1" applyProtection="1">
      <alignment horizontal="center"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9" fontId="10" fillId="0" borderId="1"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10" fillId="0" borderId="8" xfId="1" applyFont="1" applyBorder="1" applyAlignment="1" applyProtection="1">
      <alignment vertical="top" wrapText="1"/>
      <protection locked="0"/>
    </xf>
    <xf numFmtId="0" fontId="10" fillId="0" borderId="21" xfId="1" applyFont="1" applyBorder="1" applyAlignment="1" applyProtection="1">
      <alignment vertical="top" wrapText="1"/>
      <protection locked="0"/>
    </xf>
    <xf numFmtId="0" fontId="10" fillId="0" borderId="9" xfId="1" applyFont="1" applyBorder="1" applyAlignment="1" applyProtection="1">
      <alignment vertical="top" wrapText="1"/>
      <protection locked="0"/>
    </xf>
    <xf numFmtId="0" fontId="11" fillId="0" borderId="16" xfId="1" applyFont="1" applyBorder="1" applyAlignment="1" applyProtection="1">
      <alignment horizontal="center" vertical="top"/>
      <protection locked="0"/>
    </xf>
    <xf numFmtId="0" fontId="24" fillId="0" borderId="1" xfId="10" applyFill="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10" fillId="0" borderId="37" xfId="1" applyFont="1" applyBorder="1" applyAlignment="1" applyProtection="1">
      <alignment horizontal="center" vertical="top" wrapText="1"/>
      <protection locked="0"/>
    </xf>
    <xf numFmtId="0" fontId="10" fillId="0" borderId="3"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11" fillId="5" borderId="8" xfId="1" applyNumberFormat="1" applyFont="1" applyFill="1" applyBorder="1" applyAlignment="1" applyProtection="1">
      <alignment horizontal="center" vertical="center" wrapText="1"/>
      <protection locked="0"/>
    </xf>
    <xf numFmtId="1" fontId="11" fillId="5" borderId="21" xfId="1" applyNumberFormat="1" applyFont="1" applyFill="1" applyBorder="1" applyAlignment="1" applyProtection="1">
      <alignment horizontal="center" vertical="center" wrapText="1"/>
      <protection locked="0"/>
    </xf>
    <xf numFmtId="1" fontId="11" fillId="5" borderId="9" xfId="1" applyNumberFormat="1" applyFont="1" applyFill="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11" fillId="0" borderId="1" xfId="1" applyFont="1" applyBorder="1" applyAlignment="1" applyProtection="1">
      <alignment horizontal="center" vertical="center"/>
      <protection locked="0"/>
    </xf>
    <xf numFmtId="9"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9.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8</xdr:col>
      <xdr:colOff>450850</xdr:colOff>
      <xdr:row>16</xdr:row>
      <xdr:rowOff>127001</xdr:rowOff>
    </xdr:from>
    <xdr:to>
      <xdr:col>14</xdr:col>
      <xdr:colOff>67950</xdr:colOff>
      <xdr:row>19</xdr:row>
      <xdr:rowOff>186575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7073900" y="3930651"/>
          <a:ext cx="5040000" cy="650124"/>
        </a:xfrm>
        <a:prstGeom prst="rect">
          <a:avLst/>
        </a:prstGeom>
        <a:ln>
          <a:solidFill>
            <a:schemeClr val="tx1"/>
          </a:solidFill>
        </a:ln>
      </xdr:spPr>
    </xdr:pic>
    <xdr:clientData/>
  </xdr:twoCellAnchor>
  <xdr:twoCellAnchor editAs="oneCell">
    <xdr:from>
      <xdr:col>0</xdr:col>
      <xdr:colOff>76200</xdr:colOff>
      <xdr:row>326</xdr:row>
      <xdr:rowOff>133350</xdr:rowOff>
    </xdr:from>
    <xdr:to>
      <xdr:col>7</xdr:col>
      <xdr:colOff>701500</xdr:colOff>
      <xdr:row>338</xdr:row>
      <xdr:rowOff>18297</xdr:rowOff>
    </xdr:to>
    <xdr:pic>
      <xdr:nvPicPr>
        <xdr:cNvPr id="3" name="Picture 2"/>
        <xdr:cNvPicPr>
          <a:picLocks noChangeAspect="1"/>
        </xdr:cNvPicPr>
      </xdr:nvPicPr>
      <xdr:blipFill>
        <a:blip xmlns:r="http://schemas.openxmlformats.org/officeDocument/2006/relationships" r:embed="rId2"/>
        <a:stretch>
          <a:fillRect/>
        </a:stretch>
      </xdr:blipFill>
      <xdr:spPr>
        <a:xfrm>
          <a:off x="76200" y="55626000"/>
          <a:ext cx="6480000" cy="2247147"/>
        </a:xfrm>
        <a:prstGeom prst="rect">
          <a:avLst/>
        </a:prstGeom>
        <a:ln>
          <a:solidFill>
            <a:schemeClr val="tx1"/>
          </a:solidFill>
        </a:ln>
      </xdr:spPr>
    </xdr:pic>
    <xdr:clientData/>
  </xdr:twoCellAnchor>
  <xdr:twoCellAnchor editAs="oneCell">
    <xdr:from>
      <xdr:col>1</xdr:col>
      <xdr:colOff>467939</xdr:colOff>
      <xdr:row>338</xdr:row>
      <xdr:rowOff>149182</xdr:rowOff>
    </xdr:from>
    <xdr:to>
      <xdr:col>6</xdr:col>
      <xdr:colOff>278011</xdr:colOff>
      <xdr:row>363</xdr:row>
      <xdr:rowOff>38728</xdr:rowOff>
    </xdr:to>
    <xdr:pic>
      <xdr:nvPicPr>
        <xdr:cNvPr id="4" name="Picture 3"/>
        <xdr:cNvPicPr>
          <a:picLocks noChangeAspect="1"/>
        </xdr:cNvPicPr>
      </xdr:nvPicPr>
      <xdr:blipFill>
        <a:blip xmlns:r="http://schemas.openxmlformats.org/officeDocument/2006/relationships" r:embed="rId3"/>
        <a:stretch>
          <a:fillRect/>
        </a:stretch>
      </xdr:blipFill>
      <xdr:spPr>
        <a:xfrm>
          <a:off x="1268039" y="58004032"/>
          <a:ext cx="4096322" cy="4810796"/>
        </a:xfrm>
        <a:prstGeom prst="rect">
          <a:avLst/>
        </a:prstGeom>
        <a:ln>
          <a:solidFill>
            <a:schemeClr val="tx1"/>
          </a:solidFill>
        </a:ln>
      </xdr:spPr>
    </xdr:pic>
    <xdr:clientData/>
  </xdr:twoCellAnchor>
  <xdr:twoCellAnchor editAs="oneCell">
    <xdr:from>
      <xdr:col>7</xdr:col>
      <xdr:colOff>341500</xdr:colOff>
      <xdr:row>336</xdr:row>
      <xdr:rowOff>29933</xdr:rowOff>
    </xdr:from>
    <xdr:to>
      <xdr:col>7</xdr:col>
      <xdr:colOff>701500</xdr:colOff>
      <xdr:row>338</xdr:row>
      <xdr:rowOff>21825</xdr:rowOff>
    </xdr:to>
    <xdr:pic>
      <xdr:nvPicPr>
        <xdr:cNvPr id="5" name="Picture 4"/>
        <xdr:cNvPicPr>
          <a:picLocks noChangeAspect="1"/>
        </xdr:cNvPicPr>
      </xdr:nvPicPr>
      <xdr:blipFill>
        <a:blip xmlns:r="http://schemas.openxmlformats.org/officeDocument/2006/relationships" r:embed="rId4"/>
        <a:stretch>
          <a:fillRect/>
        </a:stretch>
      </xdr:blipFill>
      <xdr:spPr>
        <a:xfrm>
          <a:off x="6196200" y="57491083"/>
          <a:ext cx="360000" cy="385592"/>
        </a:xfrm>
        <a:prstGeom prst="rect">
          <a:avLst/>
        </a:prstGeom>
        <a:ln>
          <a:solidFill>
            <a:schemeClr val="tx1"/>
          </a:solidFill>
        </a:ln>
      </xdr:spPr>
    </xdr:pic>
    <xdr:clientData/>
  </xdr:twoCellAnchor>
  <xdr:twoCellAnchor editAs="oneCell">
    <xdr:from>
      <xdr:col>0</xdr:col>
      <xdr:colOff>165100</xdr:colOff>
      <xdr:row>391</xdr:row>
      <xdr:rowOff>35404</xdr:rowOff>
    </xdr:from>
    <xdr:to>
      <xdr:col>7</xdr:col>
      <xdr:colOff>585940</xdr:colOff>
      <xdr:row>410</xdr:row>
      <xdr:rowOff>115692</xdr:rowOff>
    </xdr:to>
    <xdr:pic>
      <xdr:nvPicPr>
        <xdr:cNvPr id="6" name="Picture 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65100" y="68126454"/>
          <a:ext cx="6275540" cy="3820438"/>
        </a:xfrm>
        <a:prstGeom prst="rect">
          <a:avLst/>
        </a:prstGeom>
        <a:ln>
          <a:solidFill>
            <a:schemeClr val="tx1"/>
          </a:solidFill>
        </a:ln>
      </xdr:spPr>
    </xdr:pic>
    <xdr:clientData/>
  </xdr:twoCellAnchor>
  <xdr:twoCellAnchor editAs="oneCell">
    <xdr:from>
      <xdr:col>0</xdr:col>
      <xdr:colOff>565933</xdr:colOff>
      <xdr:row>369</xdr:row>
      <xdr:rowOff>57150</xdr:rowOff>
    </xdr:from>
    <xdr:to>
      <xdr:col>7</xdr:col>
      <xdr:colOff>185107</xdr:colOff>
      <xdr:row>390</xdr:row>
      <xdr:rowOff>119519</xdr:rowOff>
    </xdr:to>
    <xdr:pic>
      <xdr:nvPicPr>
        <xdr:cNvPr id="7" name="Picture 6"/>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565933" y="63817500"/>
          <a:ext cx="5473874" cy="4196219"/>
        </a:xfrm>
        <a:prstGeom prst="rect">
          <a:avLst/>
        </a:prstGeom>
        <a:ln>
          <a:solidFill>
            <a:schemeClr val="tx1"/>
          </a:solidFill>
        </a:ln>
      </xdr:spPr>
    </xdr:pic>
    <xdr:clientData/>
  </xdr:twoCellAnchor>
  <xdr:twoCellAnchor>
    <xdr:from>
      <xdr:col>2</xdr:col>
      <xdr:colOff>344740</xdr:colOff>
      <xdr:row>395</xdr:row>
      <xdr:rowOff>65358</xdr:rowOff>
    </xdr:from>
    <xdr:to>
      <xdr:col>5</xdr:col>
      <xdr:colOff>240215</xdr:colOff>
      <xdr:row>404</xdr:row>
      <xdr:rowOff>37160</xdr:rowOff>
    </xdr:to>
    <xdr:sp macro="" textlink="">
      <xdr:nvSpPr>
        <xdr:cNvPr id="8" name="Rectangle 7"/>
        <xdr:cNvSpPr/>
      </xdr:nvSpPr>
      <xdr:spPr>
        <a:xfrm rot="1727747">
          <a:off x="1983040" y="68943808"/>
          <a:ext cx="2562475" cy="174345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9</xdr:col>
      <xdr:colOff>0</xdr:colOff>
      <xdr:row>282</xdr:row>
      <xdr:rowOff>0</xdr:rowOff>
    </xdr:from>
    <xdr:ext cx="596574" cy="264560"/>
    <xdr:sp macro="" textlink="">
      <xdr:nvSpPr>
        <xdr:cNvPr id="34" name="TextBox 33"/>
        <xdr:cNvSpPr txBox="1"/>
      </xdr:nvSpPr>
      <xdr:spPr>
        <a:xfrm>
          <a:off x="7842250" y="49149000"/>
          <a:ext cx="596574"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a:t>Wing A</a:t>
          </a:r>
        </a:p>
      </xdr:txBody>
    </xdr:sp>
    <xdr:clientData/>
  </xdr:oneCellAnchor>
  <xdr:twoCellAnchor>
    <xdr:from>
      <xdr:col>9</xdr:col>
      <xdr:colOff>336550</xdr:colOff>
      <xdr:row>283</xdr:row>
      <xdr:rowOff>76200</xdr:rowOff>
    </xdr:from>
    <xdr:to>
      <xdr:col>9</xdr:col>
      <xdr:colOff>704850</xdr:colOff>
      <xdr:row>286</xdr:row>
      <xdr:rowOff>69850</xdr:rowOff>
    </xdr:to>
    <xdr:cxnSp macro="">
      <xdr:nvCxnSpPr>
        <xdr:cNvPr id="35" name="Straight Arrow Connector 34"/>
        <xdr:cNvCxnSpPr/>
      </xdr:nvCxnSpPr>
      <xdr:spPr>
        <a:xfrm>
          <a:off x="8178800" y="49422050"/>
          <a:ext cx="368300" cy="5778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663077</xdr:colOff>
      <xdr:row>282</xdr:row>
      <xdr:rowOff>0</xdr:rowOff>
    </xdr:from>
    <xdr:ext cx="596574" cy="264560"/>
    <xdr:sp macro="" textlink="">
      <xdr:nvSpPr>
        <xdr:cNvPr id="36" name="TextBox 35"/>
        <xdr:cNvSpPr txBox="1"/>
      </xdr:nvSpPr>
      <xdr:spPr>
        <a:xfrm>
          <a:off x="10042027" y="49149000"/>
          <a:ext cx="596574"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a:t>Wing A</a:t>
          </a:r>
        </a:p>
      </xdr:txBody>
    </xdr:sp>
    <xdr:clientData/>
  </xdr:oneCellAnchor>
  <xdr:twoCellAnchor>
    <xdr:from>
      <xdr:col>12</xdr:col>
      <xdr:colOff>34427</xdr:colOff>
      <xdr:row>283</xdr:row>
      <xdr:rowOff>76200</xdr:rowOff>
    </xdr:from>
    <xdr:to>
      <xdr:col>12</xdr:col>
      <xdr:colOff>146050</xdr:colOff>
      <xdr:row>287</xdr:row>
      <xdr:rowOff>19050</xdr:rowOff>
    </xdr:to>
    <xdr:cxnSp macro="">
      <xdr:nvCxnSpPr>
        <xdr:cNvPr id="37" name="Straight Arrow Connector 36"/>
        <xdr:cNvCxnSpPr/>
      </xdr:nvCxnSpPr>
      <xdr:spPr>
        <a:xfrm>
          <a:off x="10378577" y="49422050"/>
          <a:ext cx="111623" cy="7239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434477</xdr:colOff>
      <xdr:row>282</xdr:row>
      <xdr:rowOff>25400</xdr:rowOff>
    </xdr:from>
    <xdr:ext cx="596574" cy="264560"/>
    <xdr:sp macro="" textlink="">
      <xdr:nvSpPr>
        <xdr:cNvPr id="38" name="TextBox 37"/>
        <xdr:cNvSpPr txBox="1"/>
      </xdr:nvSpPr>
      <xdr:spPr>
        <a:xfrm>
          <a:off x="10778627" y="49174400"/>
          <a:ext cx="596574"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a:t>Wing B</a:t>
          </a:r>
        </a:p>
      </xdr:txBody>
    </xdr:sp>
    <xdr:clientData/>
  </xdr:oneCellAnchor>
  <xdr:twoCellAnchor>
    <xdr:from>
      <xdr:col>12</xdr:col>
      <xdr:colOff>732764</xdr:colOff>
      <xdr:row>283</xdr:row>
      <xdr:rowOff>93110</xdr:rowOff>
    </xdr:from>
    <xdr:to>
      <xdr:col>13</xdr:col>
      <xdr:colOff>161427</xdr:colOff>
      <xdr:row>285</xdr:row>
      <xdr:rowOff>133350</xdr:rowOff>
    </xdr:to>
    <xdr:cxnSp macro="">
      <xdr:nvCxnSpPr>
        <xdr:cNvPr id="39" name="Straight Arrow Connector 38"/>
        <xdr:cNvCxnSpPr>
          <a:stCxn id="38" idx="2"/>
        </xdr:cNvCxnSpPr>
      </xdr:nvCxnSpPr>
      <xdr:spPr>
        <a:xfrm>
          <a:off x="11076914" y="49438960"/>
          <a:ext cx="254163" cy="4339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298450</xdr:colOff>
      <xdr:row>286</xdr:row>
      <xdr:rowOff>57150</xdr:rowOff>
    </xdr:from>
    <xdr:to>
      <xdr:col>15</xdr:col>
      <xdr:colOff>430161</xdr:colOff>
      <xdr:row>327</xdr:row>
      <xdr:rowOff>63500</xdr:rowOff>
    </xdr:to>
    <xdr:grpSp>
      <xdr:nvGrpSpPr>
        <xdr:cNvPr id="9" name="Group 8"/>
        <xdr:cNvGrpSpPr/>
      </xdr:nvGrpSpPr>
      <xdr:grpSpPr>
        <a:xfrm>
          <a:off x="6921500" y="52393850"/>
          <a:ext cx="6405511" cy="8077200"/>
          <a:chOff x="6921500" y="52197000"/>
          <a:chExt cx="6405511" cy="8077200"/>
        </a:xfrm>
      </xdr:grpSpPr>
      <xdr:pic>
        <xdr:nvPicPr>
          <xdr:cNvPr id="23" name="Picture 2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679502" y="58544706"/>
            <a:ext cx="2637555" cy="1729494"/>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0449678" y="56270853"/>
            <a:ext cx="2877333" cy="216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921500" y="56270853"/>
            <a:ext cx="1618313" cy="216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8685589" y="56270853"/>
            <a:ext cx="1634188"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7093779" y="52197000"/>
            <a:ext cx="2966907" cy="39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0224453" y="52197000"/>
            <a:ext cx="2966907" cy="39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8050272" y="58544706"/>
            <a:ext cx="1483454" cy="1729494"/>
          </a:xfrm>
          <a:prstGeom prst="rect">
            <a:avLst/>
          </a:prstGeom>
          <a:ln>
            <a:solidFill>
              <a:schemeClr val="tx1"/>
            </a:solidFill>
          </a:ln>
        </xdr:spPr>
      </xdr:pic>
      <xdr:sp macro="" textlink="">
        <xdr:nvSpPr>
          <xdr:cNvPr id="30" name="TextBox 29"/>
          <xdr:cNvSpPr txBox="1"/>
        </xdr:nvSpPr>
        <xdr:spPr>
          <a:xfrm>
            <a:off x="8685589" y="56270853"/>
            <a:ext cx="590162"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a:t>Wing C</a:t>
            </a:r>
          </a:p>
        </xdr:txBody>
      </xdr:sp>
    </xdr:grpSp>
    <xdr:clientData/>
  </xdr:twoCellAnchor>
  <xdr:twoCellAnchor>
    <xdr:from>
      <xdr:col>0</xdr:col>
      <xdr:colOff>146050</xdr:colOff>
      <xdr:row>283</xdr:row>
      <xdr:rowOff>76200</xdr:rowOff>
    </xdr:from>
    <xdr:to>
      <xdr:col>7</xdr:col>
      <xdr:colOff>590879</xdr:colOff>
      <xdr:row>323</xdr:row>
      <xdr:rowOff>40311</xdr:rowOff>
    </xdr:to>
    <xdr:grpSp>
      <xdr:nvGrpSpPr>
        <xdr:cNvPr id="11" name="Group 10"/>
        <xdr:cNvGrpSpPr/>
      </xdr:nvGrpSpPr>
      <xdr:grpSpPr>
        <a:xfrm>
          <a:off x="146050" y="51828700"/>
          <a:ext cx="6299529" cy="7831761"/>
          <a:chOff x="146050" y="51631850"/>
          <a:chExt cx="6299529" cy="7831761"/>
        </a:xfrm>
      </xdr:grpSpPr>
      <xdr:pic>
        <xdr:nvPicPr>
          <xdr:cNvPr id="45" name="Picture 4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5291329" y="55720663"/>
            <a:ext cx="1154250" cy="2052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595800" y="55720663"/>
            <a:ext cx="1539000" cy="2052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316137" y="57914002"/>
            <a:ext cx="1114578" cy="1548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96154" y="55720663"/>
            <a:ext cx="1543294" cy="2052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02249" y="51631850"/>
            <a:ext cx="2978285" cy="396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895977" y="55720663"/>
            <a:ext cx="1543294" cy="2052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364335" y="57914002"/>
            <a:ext cx="1311144" cy="1548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417190" y="51631850"/>
            <a:ext cx="2978285" cy="396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840236" y="57915611"/>
            <a:ext cx="1311144" cy="1548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146050" y="57914002"/>
            <a:ext cx="2053528" cy="1548000"/>
          </a:xfrm>
          <a:prstGeom prst="rect">
            <a:avLst/>
          </a:prstGeom>
          <a:ln>
            <a:solidFill>
              <a:schemeClr val="tx1"/>
            </a:solidFill>
          </a:ln>
        </xdr:spPr>
      </xdr:pic>
      <xdr:sp macro="" textlink="">
        <xdr:nvSpPr>
          <xdr:cNvPr id="55" name="TextBox 54"/>
          <xdr:cNvSpPr txBox="1"/>
        </xdr:nvSpPr>
        <xdr:spPr>
          <a:xfrm>
            <a:off x="3595800" y="55720663"/>
            <a:ext cx="590162"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100"/>
              <a:t>Wing C</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4</xdr:col>
      <xdr:colOff>683160</xdr:colOff>
      <xdr:row>14</xdr:row>
      <xdr:rowOff>0</xdr:rowOff>
    </xdr:from>
    <xdr:to>
      <xdr:col>10</xdr:col>
      <xdr:colOff>532512</xdr:colOff>
      <xdr:row>30</xdr:row>
      <xdr:rowOff>34323</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226336" y="2696882"/>
          <a:ext cx="5400000" cy="3037500"/>
        </a:xfrm>
        <a:prstGeom prst="rect">
          <a:avLst/>
        </a:prstGeom>
        <a:ln>
          <a:solidFill>
            <a:schemeClr val="tx1"/>
          </a:solidFill>
        </a:ln>
      </xdr:spPr>
    </xdr:pic>
    <xdr:clientData/>
  </xdr:twoCellAnchor>
  <xdr:twoCellAnchor editAs="oneCell">
    <xdr:from>
      <xdr:col>1</xdr:col>
      <xdr:colOff>0</xdr:colOff>
      <xdr:row>31</xdr:row>
      <xdr:rowOff>71001</xdr:rowOff>
    </xdr:from>
    <xdr:to>
      <xdr:col>4</xdr:col>
      <xdr:colOff>469412</xdr:colOff>
      <xdr:row>47</xdr:row>
      <xdr:rowOff>120266</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12588" y="5957825"/>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ztao1obTwqL4jb9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69"/>
  <sheetViews>
    <sheetView tabSelected="1" view="pageBreakPreview" zoomScaleNormal="100" zoomScaleSheetLayoutView="100" zoomScalePageLayoutView="85" workbookViewId="0">
      <selection activeCell="E6" sqref="E6:H6"/>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98" t="s">
        <v>163</v>
      </c>
      <c r="B1" s="198"/>
      <c r="C1" s="198"/>
      <c r="D1" s="198"/>
      <c r="E1" s="198"/>
      <c r="F1" s="198"/>
      <c r="G1" s="198"/>
      <c r="H1" s="198"/>
    </row>
    <row r="2" spans="1:26" ht="16.5" customHeight="1" x14ac:dyDescent="0.35">
      <c r="A2" s="136" t="s">
        <v>0</v>
      </c>
      <c r="B2" s="136"/>
      <c r="C2" s="136"/>
      <c r="D2" s="136"/>
      <c r="E2" s="136"/>
      <c r="F2" s="136"/>
      <c r="G2" s="136"/>
      <c r="H2" s="136"/>
    </row>
    <row r="3" spans="1:26" x14ac:dyDescent="0.35">
      <c r="A3" s="155" t="s">
        <v>1</v>
      </c>
      <c r="B3" s="155"/>
      <c r="C3" s="155"/>
      <c r="D3" s="155"/>
      <c r="E3" s="155" t="str">
        <f ca="1">TEXT(TODAY(),"DD/MM/YYYY")</f>
        <v>25/08/2025</v>
      </c>
      <c r="F3" s="155"/>
      <c r="G3" s="155"/>
      <c r="H3" s="155"/>
      <c r="K3" s="52" t="s">
        <v>238</v>
      </c>
      <c r="L3" s="49" t="s">
        <v>236</v>
      </c>
      <c r="M3" s="49" t="s">
        <v>241</v>
      </c>
      <c r="N3" s="49" t="s">
        <v>239</v>
      </c>
      <c r="O3" s="49" t="s">
        <v>240</v>
      </c>
      <c r="P3" s="49" t="s">
        <v>242</v>
      </c>
    </row>
    <row r="4" spans="1:26" ht="15" customHeight="1" x14ac:dyDescent="0.35">
      <c r="A4" s="155" t="s">
        <v>235</v>
      </c>
      <c r="B4" s="155"/>
      <c r="C4" s="155"/>
      <c r="D4" s="155"/>
      <c r="E4" s="155" t="s">
        <v>236</v>
      </c>
      <c r="F4" s="155"/>
      <c r="G4" s="155"/>
      <c r="H4" s="155"/>
      <c r="K4" s="48" t="s">
        <v>237</v>
      </c>
      <c r="L4" s="49" t="s">
        <v>169</v>
      </c>
      <c r="M4" s="49" t="s">
        <v>246</v>
      </c>
      <c r="N4" s="49" t="s">
        <v>248</v>
      </c>
      <c r="O4" s="49" t="s">
        <v>250</v>
      </c>
      <c r="P4" s="49"/>
    </row>
    <row r="5" spans="1:26" ht="15" customHeight="1" x14ac:dyDescent="0.35">
      <c r="A5" s="155" t="s">
        <v>2</v>
      </c>
      <c r="B5" s="155"/>
      <c r="C5" s="155"/>
      <c r="D5" s="155"/>
      <c r="E5" s="155" t="s">
        <v>243</v>
      </c>
      <c r="F5" s="155"/>
      <c r="G5" s="155"/>
      <c r="H5" s="155"/>
      <c r="K5" s="48"/>
      <c r="L5" s="49" t="s">
        <v>243</v>
      </c>
      <c r="M5" s="49" t="s">
        <v>247</v>
      </c>
      <c r="N5" s="49" t="s">
        <v>249</v>
      </c>
      <c r="O5" s="49" t="s">
        <v>251</v>
      </c>
      <c r="P5" s="49"/>
    </row>
    <row r="6" spans="1:26" x14ac:dyDescent="0.35">
      <c r="A6" s="155" t="s">
        <v>3</v>
      </c>
      <c r="B6" s="155"/>
      <c r="C6" s="155"/>
      <c r="D6" s="155"/>
      <c r="E6" s="202">
        <v>45848</v>
      </c>
      <c r="F6" s="155"/>
      <c r="G6" s="155"/>
      <c r="H6" s="155"/>
      <c r="K6" s="48"/>
      <c r="L6" s="49" t="s">
        <v>244</v>
      </c>
      <c r="M6" s="49"/>
      <c r="N6" s="49"/>
      <c r="O6" s="49" t="s">
        <v>252</v>
      </c>
      <c r="P6" s="49"/>
    </row>
    <row r="7" spans="1:26" ht="16.5" customHeight="1" x14ac:dyDescent="0.35">
      <c r="A7" s="155" t="s">
        <v>4</v>
      </c>
      <c r="B7" s="155"/>
      <c r="C7" s="155"/>
      <c r="D7" s="155"/>
      <c r="E7" s="155" t="s">
        <v>336</v>
      </c>
      <c r="F7" s="155"/>
      <c r="G7" s="155"/>
      <c r="H7" s="155"/>
      <c r="K7" s="48"/>
      <c r="L7" s="49" t="s">
        <v>245</v>
      </c>
      <c r="M7" s="49"/>
      <c r="N7" s="49"/>
      <c r="O7" s="49" t="s">
        <v>252</v>
      </c>
      <c r="P7" s="49"/>
    </row>
    <row r="8" spans="1:26" ht="15" customHeight="1" x14ac:dyDescent="0.35">
      <c r="A8" s="155" t="s">
        <v>5</v>
      </c>
      <c r="B8" s="155"/>
      <c r="C8" s="155"/>
      <c r="D8" s="155"/>
      <c r="E8" s="155" t="str">
        <f>E7</f>
        <v>Racek Industries PVT LTD</v>
      </c>
      <c r="F8" s="155"/>
      <c r="G8" s="155"/>
      <c r="H8" s="155"/>
      <c r="K8" s="48"/>
      <c r="L8" s="49"/>
      <c r="M8" s="49"/>
      <c r="N8" s="49"/>
      <c r="O8" s="49" t="s">
        <v>253</v>
      </c>
      <c r="P8" s="49"/>
    </row>
    <row r="9" spans="1:26" x14ac:dyDescent="0.35">
      <c r="A9" s="155" t="s">
        <v>6</v>
      </c>
      <c r="B9" s="155"/>
      <c r="C9" s="155"/>
      <c r="D9" s="155"/>
      <c r="E9" s="174" t="s">
        <v>337</v>
      </c>
      <c r="F9" s="174"/>
      <c r="G9" s="174"/>
      <c r="H9" s="174"/>
      <c r="K9" s="48"/>
      <c r="L9" s="49"/>
      <c r="M9" s="49"/>
      <c r="N9" s="49"/>
      <c r="O9" s="49" t="s">
        <v>254</v>
      </c>
      <c r="P9" s="49"/>
    </row>
    <row r="10" spans="1:26" x14ac:dyDescent="0.35">
      <c r="A10" s="155" t="s">
        <v>166</v>
      </c>
      <c r="B10" s="155"/>
      <c r="C10" s="155"/>
      <c r="D10" s="155"/>
      <c r="E10" s="199" t="s">
        <v>338</v>
      </c>
      <c r="F10" s="200"/>
      <c r="G10" s="200"/>
      <c r="H10" s="201"/>
      <c r="K10" s="48"/>
      <c r="L10" s="49"/>
      <c r="M10" s="49"/>
      <c r="N10" s="49"/>
      <c r="O10" s="49"/>
      <c r="P10" s="49"/>
    </row>
    <row r="11" spans="1:26" hidden="1" x14ac:dyDescent="0.35">
      <c r="A11" s="155" t="s">
        <v>167</v>
      </c>
      <c r="B11" s="155"/>
      <c r="C11" s="155"/>
      <c r="D11" s="155"/>
      <c r="E11" s="155" t="s">
        <v>356</v>
      </c>
      <c r="F11" s="155"/>
      <c r="G11" s="155"/>
      <c r="H11" s="155"/>
    </row>
    <row r="12" spans="1:26" ht="49.5" customHeight="1" x14ac:dyDescent="0.35">
      <c r="A12" s="155" t="s">
        <v>7</v>
      </c>
      <c r="B12" s="155"/>
      <c r="C12" s="155"/>
      <c r="D12" s="155"/>
      <c r="E12" s="154" t="s">
        <v>404</v>
      </c>
      <c r="F12" s="155"/>
      <c r="G12" s="155"/>
      <c r="H12" s="155"/>
    </row>
    <row r="13" spans="1:26" x14ac:dyDescent="0.35">
      <c r="A13" s="155" t="s">
        <v>170</v>
      </c>
      <c r="B13" s="155"/>
      <c r="C13" s="155"/>
      <c r="D13" s="155"/>
      <c r="E13" s="155" t="s">
        <v>28</v>
      </c>
      <c r="F13" s="155"/>
      <c r="G13" s="155"/>
      <c r="H13" s="155"/>
      <c r="S13" s="49" t="s">
        <v>180</v>
      </c>
      <c r="T13" s="49" t="s">
        <v>189</v>
      </c>
      <c r="U13" s="49" t="s">
        <v>171</v>
      </c>
      <c r="V13" s="49" t="s">
        <v>194</v>
      </c>
      <c r="W13" s="49" t="s">
        <v>212</v>
      </c>
      <c r="X13"/>
      <c r="Y13" t="s">
        <v>194</v>
      </c>
      <c r="Z13" t="e">
        <f ca="1">OFFSET($S$13,1,MATCH($G20,$S$13:$W$13,0)-1,15,1)</f>
        <v>#VALUE!</v>
      </c>
    </row>
    <row r="14" spans="1:26" x14ac:dyDescent="0.35">
      <c r="A14" s="155" t="s">
        <v>281</v>
      </c>
      <c r="B14" s="155"/>
      <c r="C14" s="155"/>
      <c r="D14" s="155"/>
      <c r="E14" s="154" t="s">
        <v>380</v>
      </c>
      <c r="F14" s="154"/>
      <c r="G14" s="154"/>
      <c r="H14" s="154"/>
      <c r="S14" s="49" t="s">
        <v>180</v>
      </c>
      <c r="T14" s="49" t="s">
        <v>187</v>
      </c>
      <c r="U14" s="49" t="s">
        <v>209</v>
      </c>
      <c r="V14" s="49" t="s">
        <v>195</v>
      </c>
      <c r="W14" s="49" t="s">
        <v>213</v>
      </c>
      <c r="X14"/>
      <c r="Y14"/>
      <c r="Z14"/>
    </row>
    <row r="15" spans="1:26" x14ac:dyDescent="0.35">
      <c r="A15" s="155" t="s">
        <v>8</v>
      </c>
      <c r="B15" s="155"/>
      <c r="C15" s="155"/>
      <c r="D15" s="155"/>
      <c r="E15" s="154" t="s">
        <v>339</v>
      </c>
      <c r="F15" s="155"/>
      <c r="G15" s="155"/>
      <c r="H15" s="155"/>
      <c r="I15" s="133" t="e">
        <f ca="1">OFFSET($D$5,1,MATCH($J13,$D$5:$H$5,0)-1,15,1)</f>
        <v>#N/A</v>
      </c>
      <c r="J15" s="134"/>
      <c r="K15" s="134"/>
      <c r="L15" s="134"/>
      <c r="M15" s="134"/>
      <c r="N15" s="134"/>
      <c r="O15" s="134"/>
      <c r="P15" s="134"/>
      <c r="S15" s="49" t="s">
        <v>181</v>
      </c>
      <c r="T15" s="49" t="s">
        <v>188</v>
      </c>
      <c r="U15" s="49" t="s">
        <v>210</v>
      </c>
      <c r="V15" s="49" t="s">
        <v>196</v>
      </c>
      <c r="W15" s="49" t="s">
        <v>226</v>
      </c>
      <c r="X15"/>
      <c r="Y15"/>
      <c r="Z15"/>
    </row>
    <row r="16" spans="1:26" ht="35.5" customHeight="1" x14ac:dyDescent="0.35">
      <c r="A16" s="154" t="s">
        <v>9</v>
      </c>
      <c r="B16" s="154"/>
      <c r="C16" s="154" t="str">
        <f>CONCATENATE((IF(OR(E9="",E9="NA"),"",E9)),", ",(IF(OR(A17="",A17="NA"),"",A17)),".",(IF(OR(C17="",C17="NA"),"",C17)),", near ",(IF(OR(C22="",C22="NA"),"",C22)),", ",(IF(OR(C19="",C19="NA"),"",C19)),", ",(IF(OR(C18="",C18="NA"),"",C18)),", ",(IF(OR(G19="",G19="NA"),"",G19)),", ",(IF(OR(C20="",C20="NA"),"",C20)),", ",(IF(OR(C21="",C21="NA"),"",C21)),", ",(IF(OR(G20="",G20="NA"),"",G20))," - ",(IF(OR(G21="",G21="NA"),"",G21)),".")</f>
        <v>Aikya Roots, CTS No.6 &amp; 6/1 - 6, near The Yoga Institute,Vikhroli, L.B.S. Road, Surya Nagar, Vikhroli, Vikhroli (West), Kurla, Mumbai - 400079.</v>
      </c>
      <c r="D16" s="154"/>
      <c r="E16" s="154"/>
      <c r="F16" s="154"/>
      <c r="G16" s="154"/>
      <c r="H16" s="154"/>
      <c r="S16" s="49" t="s">
        <v>182</v>
      </c>
      <c r="T16" s="49" t="s">
        <v>190</v>
      </c>
      <c r="U16" s="49" t="s">
        <v>211</v>
      </c>
      <c r="V16" s="49" t="s">
        <v>197</v>
      </c>
      <c r="W16" s="49" t="s">
        <v>214</v>
      </c>
      <c r="X16"/>
      <c r="Y16"/>
      <c r="Z16"/>
    </row>
    <row r="17" spans="1:26" x14ac:dyDescent="0.35">
      <c r="A17" s="154" t="s">
        <v>175</v>
      </c>
      <c r="B17" s="154"/>
      <c r="C17" s="154" t="s">
        <v>340</v>
      </c>
      <c r="D17" s="154"/>
      <c r="E17" s="154"/>
      <c r="F17" s="154"/>
      <c r="G17" s="154"/>
      <c r="H17" s="154"/>
      <c r="S17" s="49" t="s">
        <v>183</v>
      </c>
      <c r="T17" s="49" t="s">
        <v>191</v>
      </c>
      <c r="U17" s="49" t="s">
        <v>171</v>
      </c>
      <c r="V17" s="49" t="s">
        <v>198</v>
      </c>
      <c r="W17" s="49" t="s">
        <v>215</v>
      </c>
      <c r="X17"/>
      <c r="Y17"/>
      <c r="Z17"/>
    </row>
    <row r="18" spans="1:26" ht="15.75" customHeight="1" x14ac:dyDescent="0.35">
      <c r="A18" s="154" t="s">
        <v>161</v>
      </c>
      <c r="B18" s="154"/>
      <c r="C18" s="154" t="s">
        <v>344</v>
      </c>
      <c r="D18" s="154"/>
      <c r="E18" s="154"/>
      <c r="F18" s="154"/>
      <c r="G18" s="154"/>
      <c r="H18" s="154"/>
      <c r="S18" s="49" t="s">
        <v>184</v>
      </c>
      <c r="T18" s="49" t="s">
        <v>189</v>
      </c>
      <c r="U18" s="49"/>
      <c r="V18" s="49" t="s">
        <v>199</v>
      </c>
      <c r="W18" s="49" t="s">
        <v>216</v>
      </c>
      <c r="X18"/>
      <c r="Y18"/>
      <c r="Z18"/>
    </row>
    <row r="19" spans="1:26" ht="15.75" customHeight="1" x14ac:dyDescent="0.35">
      <c r="A19" s="154" t="s">
        <v>10</v>
      </c>
      <c r="B19" s="154"/>
      <c r="C19" s="155" t="s">
        <v>341</v>
      </c>
      <c r="D19" s="155"/>
      <c r="E19" s="154" t="s">
        <v>70</v>
      </c>
      <c r="F19" s="154"/>
      <c r="G19" s="154" t="s">
        <v>347</v>
      </c>
      <c r="H19" s="154"/>
      <c r="S19" s="49" t="s">
        <v>185</v>
      </c>
      <c r="T19" s="49" t="s">
        <v>192</v>
      </c>
      <c r="U19" s="49"/>
      <c r="V19" s="49" t="s">
        <v>200</v>
      </c>
      <c r="W19" s="49" t="s">
        <v>217</v>
      </c>
      <c r="X19"/>
      <c r="Y19"/>
      <c r="Z19"/>
    </row>
    <row r="20" spans="1:26" x14ac:dyDescent="0.35">
      <c r="A20" s="155" t="s">
        <v>12</v>
      </c>
      <c r="B20" s="155"/>
      <c r="C20" s="154" t="s">
        <v>346</v>
      </c>
      <c r="D20" s="154"/>
      <c r="E20" s="154" t="s">
        <v>11</v>
      </c>
      <c r="F20" s="154"/>
      <c r="G20" s="206" t="s">
        <v>171</v>
      </c>
      <c r="H20" s="206"/>
      <c r="S20" s="49" t="s">
        <v>186</v>
      </c>
      <c r="T20" s="49" t="s">
        <v>193</v>
      </c>
      <c r="U20" s="49"/>
      <c r="V20" s="49" t="s">
        <v>201</v>
      </c>
      <c r="W20" s="49" t="s">
        <v>218</v>
      </c>
      <c r="X20"/>
      <c r="Y20"/>
      <c r="Z20"/>
    </row>
    <row r="21" spans="1:26" x14ac:dyDescent="0.35">
      <c r="A21" s="155" t="s">
        <v>71</v>
      </c>
      <c r="B21" s="155"/>
      <c r="C21" s="154" t="s">
        <v>211</v>
      </c>
      <c r="D21" s="154"/>
      <c r="E21" s="154" t="s">
        <v>13</v>
      </c>
      <c r="F21" s="154"/>
      <c r="G21" s="154">
        <v>400079</v>
      </c>
      <c r="H21" s="154"/>
      <c r="S21" s="49"/>
      <c r="T21" s="49"/>
      <c r="U21" s="49"/>
      <c r="V21" s="49" t="s">
        <v>202</v>
      </c>
      <c r="W21" s="49" t="s">
        <v>219</v>
      </c>
      <c r="X21"/>
      <c r="Y21"/>
      <c r="Z21"/>
    </row>
    <row r="22" spans="1:26" ht="32.25" customHeight="1" x14ac:dyDescent="0.35">
      <c r="A22" s="155" t="s">
        <v>117</v>
      </c>
      <c r="B22" s="155"/>
      <c r="C22" s="154" t="s">
        <v>348</v>
      </c>
      <c r="D22" s="154"/>
      <c r="E22" s="154" t="s">
        <v>14</v>
      </c>
      <c r="F22" s="154"/>
      <c r="G22" s="154" t="s">
        <v>345</v>
      </c>
      <c r="H22" s="154"/>
      <c r="S22" s="49"/>
      <c r="T22" s="49"/>
      <c r="U22" s="49"/>
      <c r="V22" s="49" t="s">
        <v>203</v>
      </c>
      <c r="W22" s="49" t="s">
        <v>220</v>
      </c>
      <c r="X22"/>
      <c r="Y22"/>
      <c r="Z22"/>
    </row>
    <row r="23" spans="1:26" ht="15" customHeight="1" x14ac:dyDescent="0.35">
      <c r="A23" s="154" t="s">
        <v>73</v>
      </c>
      <c r="B23" s="154"/>
      <c r="C23" s="154"/>
      <c r="D23" s="154"/>
      <c r="E23" s="155" t="s">
        <v>15</v>
      </c>
      <c r="F23" s="155"/>
      <c r="G23" s="155"/>
      <c r="H23" s="155"/>
      <c r="S23" s="49"/>
      <c r="T23" s="49"/>
      <c r="U23" s="49"/>
      <c r="V23" s="49" t="s">
        <v>204</v>
      </c>
      <c r="W23" s="49" t="s">
        <v>221</v>
      </c>
      <c r="X23"/>
      <c r="Y23"/>
      <c r="Z23"/>
    </row>
    <row r="24" spans="1:26" ht="18.75" customHeight="1" x14ac:dyDescent="0.35">
      <c r="A24" s="154"/>
      <c r="B24" s="154"/>
      <c r="C24" s="154"/>
      <c r="D24" s="154"/>
      <c r="E24" s="155"/>
      <c r="F24" s="155"/>
      <c r="G24" s="155"/>
      <c r="H24" s="155"/>
      <c r="S24" s="49"/>
      <c r="T24" s="49"/>
      <c r="U24" s="49"/>
      <c r="V24" s="49" t="s">
        <v>205</v>
      </c>
      <c r="W24" s="49" t="s">
        <v>222</v>
      </c>
      <c r="X24"/>
      <c r="Y24"/>
      <c r="Z24"/>
    </row>
    <row r="25" spans="1:26" ht="15" customHeight="1" x14ac:dyDescent="0.35">
      <c r="A25" s="141" t="s">
        <v>16</v>
      </c>
      <c r="B25" s="141"/>
      <c r="C25" s="141"/>
      <c r="D25" s="141"/>
      <c r="E25" s="154" t="s">
        <v>17</v>
      </c>
      <c r="F25" s="154"/>
      <c r="G25" s="154"/>
      <c r="H25" s="154"/>
      <c r="S25" s="49"/>
      <c r="T25" s="49"/>
      <c r="U25" s="49"/>
      <c r="V25" s="49" t="s">
        <v>206</v>
      </c>
      <c r="W25" s="49" t="s">
        <v>223</v>
      </c>
      <c r="X25"/>
      <c r="Y25"/>
      <c r="Z25"/>
    </row>
    <row r="26" spans="1:26" ht="15" customHeight="1" x14ac:dyDescent="0.35">
      <c r="A26" s="138" t="s">
        <v>18</v>
      </c>
      <c r="B26" s="138"/>
      <c r="C26" s="138"/>
      <c r="D26" s="138"/>
      <c r="E26" s="154" t="str">
        <f>IF(AND(G20="Mumbai"),"Upper Class","Middle Class")</f>
        <v>Upper Class</v>
      </c>
      <c r="F26" s="154"/>
      <c r="G26" s="154"/>
      <c r="H26" s="154"/>
      <c r="S26" s="49"/>
      <c r="T26" s="49"/>
      <c r="U26" s="49"/>
      <c r="V26" s="49" t="s">
        <v>207</v>
      </c>
      <c r="W26" s="49" t="s">
        <v>224</v>
      </c>
      <c r="X26"/>
      <c r="Y26"/>
      <c r="Z26"/>
    </row>
    <row r="27" spans="1:26" x14ac:dyDescent="0.35">
      <c r="A27" s="138" t="s">
        <v>19</v>
      </c>
      <c r="B27" s="138"/>
      <c r="C27" s="138"/>
      <c r="D27" s="138"/>
      <c r="E27" s="154" t="s">
        <v>20</v>
      </c>
      <c r="F27" s="154"/>
      <c r="G27" s="154"/>
      <c r="H27" s="154"/>
      <c r="S27" s="49"/>
      <c r="T27" s="49"/>
      <c r="U27" s="49"/>
      <c r="V27" s="49" t="s">
        <v>208</v>
      </c>
      <c r="W27" s="49" t="s">
        <v>225</v>
      </c>
      <c r="X27"/>
      <c r="Y27"/>
      <c r="Z27"/>
    </row>
    <row r="28" spans="1:26" ht="15.75" customHeight="1" x14ac:dyDescent="0.35">
      <c r="A28" s="138" t="s">
        <v>21</v>
      </c>
      <c r="B28" s="138"/>
      <c r="C28" s="138"/>
      <c r="D28" s="138"/>
      <c r="E28" s="154" t="str">
        <f>IF(AND(G20="Mumbai"),"Developed","Developing")</f>
        <v>Developed</v>
      </c>
      <c r="F28" s="154"/>
      <c r="G28" s="154"/>
      <c r="H28" s="154"/>
    </row>
    <row r="29" spans="1:26" x14ac:dyDescent="0.35">
      <c r="A29" s="138" t="s">
        <v>22</v>
      </c>
      <c r="B29" s="138"/>
      <c r="C29" s="138"/>
      <c r="D29" s="138"/>
      <c r="E29" s="154" t="s">
        <v>23</v>
      </c>
      <c r="F29" s="154"/>
      <c r="G29" s="154"/>
      <c r="H29" s="154"/>
    </row>
    <row r="30" spans="1:26" ht="15.75" customHeight="1" x14ac:dyDescent="0.35">
      <c r="A30" s="138" t="s">
        <v>78</v>
      </c>
      <c r="B30" s="138"/>
      <c r="C30" s="138"/>
      <c r="D30" s="138"/>
      <c r="E30" s="154" t="s">
        <v>79</v>
      </c>
      <c r="F30" s="154"/>
      <c r="G30" s="154"/>
      <c r="H30" s="154"/>
    </row>
    <row r="31" spans="1:26" ht="15" customHeight="1" x14ac:dyDescent="0.35">
      <c r="A31" s="138" t="s">
        <v>30</v>
      </c>
      <c r="B31" s="138"/>
      <c r="C31" s="138"/>
      <c r="D31" s="138"/>
      <c r="E31" s="154"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54"/>
      <c r="G31" s="154"/>
      <c r="H31" s="154"/>
    </row>
    <row r="32" spans="1:26" ht="15.75" customHeight="1" x14ac:dyDescent="0.35">
      <c r="A32" s="138" t="s">
        <v>90</v>
      </c>
      <c r="B32" s="138"/>
      <c r="C32" s="138"/>
      <c r="D32" s="138"/>
      <c r="E32" s="154" t="s">
        <v>31</v>
      </c>
      <c r="F32" s="154"/>
      <c r="G32" s="154"/>
      <c r="H32" s="154"/>
    </row>
    <row r="33" spans="1:19" s="19" customFormat="1" x14ac:dyDescent="0.35">
      <c r="A33" s="211" t="s">
        <v>91</v>
      </c>
      <c r="B33" s="211"/>
      <c r="C33" s="208" t="s">
        <v>172</v>
      </c>
      <c r="D33" s="209"/>
      <c r="E33" s="210"/>
      <c r="F33" s="208" t="s">
        <v>29</v>
      </c>
      <c r="G33" s="209"/>
      <c r="H33" s="210"/>
      <c r="S33" s="19" t="e">
        <f ca="1">OFFSET($S$13,1,MATCH($G20,$S$13:$W$13,0)-1,15,1)</f>
        <v>#VALUE!</v>
      </c>
    </row>
    <row r="34" spans="1:19" s="19" customFormat="1" x14ac:dyDescent="0.35">
      <c r="A34" s="207" t="s">
        <v>24</v>
      </c>
      <c r="B34" s="207" t="s">
        <v>28</v>
      </c>
      <c r="C34" s="203" t="s">
        <v>352</v>
      </c>
      <c r="D34" s="204"/>
      <c r="E34" s="205"/>
      <c r="F34" s="203" t="s">
        <v>349</v>
      </c>
      <c r="G34" s="204"/>
      <c r="H34" s="205"/>
    </row>
    <row r="35" spans="1:19" x14ac:dyDescent="0.35">
      <c r="A35" s="207" t="s">
        <v>25</v>
      </c>
      <c r="B35" s="207" t="s">
        <v>28</v>
      </c>
      <c r="C35" s="203" t="s">
        <v>353</v>
      </c>
      <c r="D35" s="204"/>
      <c r="E35" s="205"/>
      <c r="F35" s="203" t="s">
        <v>350</v>
      </c>
      <c r="G35" s="204"/>
      <c r="H35" s="205"/>
    </row>
    <row r="36" spans="1:19" s="19" customFormat="1" x14ac:dyDescent="0.35">
      <c r="A36" s="207" t="s">
        <v>27</v>
      </c>
      <c r="B36" s="207" t="s">
        <v>28</v>
      </c>
      <c r="C36" s="203" t="s">
        <v>354</v>
      </c>
      <c r="D36" s="204"/>
      <c r="E36" s="205"/>
      <c r="F36" s="203" t="s">
        <v>349</v>
      </c>
      <c r="G36" s="204"/>
      <c r="H36" s="205"/>
    </row>
    <row r="37" spans="1:19" x14ac:dyDescent="0.35">
      <c r="A37" s="207" t="s">
        <v>26</v>
      </c>
      <c r="B37" s="207" t="s">
        <v>28</v>
      </c>
      <c r="C37" s="203" t="s">
        <v>355</v>
      </c>
      <c r="D37" s="204"/>
      <c r="E37" s="205"/>
      <c r="F37" s="203" t="s">
        <v>351</v>
      </c>
      <c r="G37" s="204"/>
      <c r="H37" s="205"/>
    </row>
    <row r="38" spans="1:19" x14ac:dyDescent="0.35">
      <c r="A38" s="138" t="s">
        <v>282</v>
      </c>
      <c r="B38" s="138"/>
      <c r="C38" s="138"/>
      <c r="D38" s="138"/>
      <c r="E38" s="138"/>
      <c r="F38" s="138"/>
      <c r="G38" s="138"/>
      <c r="H38" s="138"/>
    </row>
    <row r="39" spans="1:19" ht="15.75" customHeight="1" x14ac:dyDescent="0.35">
      <c r="A39" s="138" t="s">
        <v>164</v>
      </c>
      <c r="B39" s="138"/>
      <c r="C39" s="186" t="s">
        <v>343</v>
      </c>
      <c r="D39" s="186"/>
      <c r="E39" s="186"/>
      <c r="F39" s="186"/>
      <c r="G39" s="186"/>
      <c r="H39" s="186"/>
    </row>
    <row r="40" spans="1:19" x14ac:dyDescent="0.35">
      <c r="A40" s="138" t="s">
        <v>160</v>
      </c>
      <c r="B40" s="138"/>
      <c r="C40" s="233" t="s">
        <v>342</v>
      </c>
      <c r="D40" s="154"/>
      <c r="E40" s="154"/>
      <c r="F40" s="154"/>
      <c r="G40" s="154"/>
      <c r="H40" s="154"/>
    </row>
    <row r="41" spans="1:19" x14ac:dyDescent="0.35">
      <c r="A41" s="186" t="s">
        <v>32</v>
      </c>
      <c r="B41" s="186"/>
      <c r="C41" s="186"/>
      <c r="D41" s="186"/>
      <c r="E41" s="186"/>
      <c r="F41" s="186"/>
      <c r="G41" s="186"/>
      <c r="H41" s="186"/>
    </row>
    <row r="42" spans="1:19" x14ac:dyDescent="0.35">
      <c r="A42" s="138" t="s">
        <v>33</v>
      </c>
      <c r="B42" s="138"/>
      <c r="C42" s="138"/>
      <c r="D42" s="138"/>
      <c r="E42" s="213">
        <v>3185.55</v>
      </c>
      <c r="F42" s="213"/>
      <c r="G42" s="213"/>
      <c r="H42" s="213"/>
    </row>
    <row r="43" spans="1:19" x14ac:dyDescent="0.35">
      <c r="A43" s="138" t="s">
        <v>34</v>
      </c>
      <c r="B43" s="138"/>
      <c r="C43" s="138"/>
      <c r="D43" s="138"/>
      <c r="E43" s="142">
        <v>1</v>
      </c>
      <c r="F43" s="142"/>
      <c r="G43" s="142"/>
      <c r="H43" s="142"/>
    </row>
    <row r="44" spans="1:19" x14ac:dyDescent="0.35">
      <c r="A44" s="138" t="s">
        <v>35</v>
      </c>
      <c r="B44" s="138"/>
      <c r="C44" s="138"/>
      <c r="D44" s="138"/>
      <c r="E44" s="142">
        <f>E46/E42-E43</f>
        <v>2.3747076642965887</v>
      </c>
      <c r="F44" s="142"/>
      <c r="G44" s="142"/>
      <c r="H44" s="142"/>
    </row>
    <row r="45" spans="1:19" x14ac:dyDescent="0.35">
      <c r="A45" s="138" t="s">
        <v>36</v>
      </c>
      <c r="B45" s="138"/>
      <c r="C45" s="138"/>
      <c r="D45" s="138"/>
      <c r="E45" s="142">
        <f>E43+E44</f>
        <v>3.3747076642965887</v>
      </c>
      <c r="F45" s="142"/>
      <c r="G45" s="142"/>
      <c r="H45" s="142"/>
    </row>
    <row r="46" spans="1:19" x14ac:dyDescent="0.35">
      <c r="A46" s="138" t="s">
        <v>89</v>
      </c>
      <c r="B46" s="138"/>
      <c r="C46" s="138"/>
      <c r="D46" s="138"/>
      <c r="E46" s="222">
        <v>10750.3</v>
      </c>
      <c r="F46" s="222"/>
      <c r="G46" s="222"/>
      <c r="H46" s="222"/>
    </row>
    <row r="47" spans="1:19" x14ac:dyDescent="0.35">
      <c r="A47" s="155" t="s">
        <v>37</v>
      </c>
      <c r="B47" s="155"/>
      <c r="C47" s="155"/>
      <c r="D47" s="155"/>
      <c r="E47" s="155" t="s">
        <v>357</v>
      </c>
      <c r="F47" s="155"/>
      <c r="G47" s="155"/>
      <c r="H47" s="155"/>
    </row>
    <row r="48" spans="1:19" x14ac:dyDescent="0.35">
      <c r="A48" s="186" t="s">
        <v>38</v>
      </c>
      <c r="B48" s="186"/>
      <c r="C48" s="186"/>
      <c r="D48" s="186"/>
      <c r="E48" s="186"/>
      <c r="F48" s="186"/>
      <c r="G48" s="186"/>
      <c r="H48" s="186"/>
    </row>
    <row r="49" spans="1:24" ht="33.75" customHeight="1" x14ac:dyDescent="0.35">
      <c r="A49" s="119" t="s">
        <v>149</v>
      </c>
      <c r="B49" s="120"/>
      <c r="C49" s="234" t="s">
        <v>257</v>
      </c>
      <c r="D49" s="235"/>
      <c r="E49" s="235"/>
      <c r="F49" s="235"/>
      <c r="G49" s="235"/>
      <c r="H49" s="236"/>
      <c r="R49" t="s">
        <v>255</v>
      </c>
      <c r="S49" t="s">
        <v>171</v>
      </c>
      <c r="T49" t="s">
        <v>180</v>
      </c>
      <c r="U49" t="s">
        <v>194</v>
      </c>
      <c r="V49" t="s">
        <v>189</v>
      </c>
    </row>
    <row r="50" spans="1:24" ht="31.5" customHeight="1" x14ac:dyDescent="0.35">
      <c r="A50" s="119" t="s">
        <v>39</v>
      </c>
      <c r="B50" s="120"/>
      <c r="C50" s="119" t="s">
        <v>391</v>
      </c>
      <c r="D50" s="121"/>
      <c r="E50" s="120"/>
      <c r="F50" s="17" t="s">
        <v>40</v>
      </c>
      <c r="G50" s="122">
        <v>45513</v>
      </c>
      <c r="H50" s="123"/>
      <c r="R50"/>
      <c r="S50" t="s">
        <v>256</v>
      </c>
      <c r="T50" t="s">
        <v>261</v>
      </c>
      <c r="U50" t="s">
        <v>272</v>
      </c>
      <c r="V50" t="s">
        <v>277</v>
      </c>
    </row>
    <row r="51" spans="1:24" ht="31" customHeight="1" x14ac:dyDescent="0.35">
      <c r="A51" s="119" t="s">
        <v>41</v>
      </c>
      <c r="B51" s="120"/>
      <c r="C51" s="119" t="str">
        <f>C50</f>
        <v>P-9936/2022/(6)/S/NWARD/VIKHROLI-S/337/3/AMEND</v>
      </c>
      <c r="D51" s="121"/>
      <c r="E51" s="120"/>
      <c r="F51" s="17" t="s">
        <v>40</v>
      </c>
      <c r="G51" s="122">
        <f>G50</f>
        <v>45513</v>
      </c>
      <c r="H51" s="123"/>
      <c r="R51"/>
      <c r="S51" t="s">
        <v>257</v>
      </c>
      <c r="T51" t="s">
        <v>262</v>
      </c>
      <c r="U51" t="s">
        <v>270</v>
      </c>
      <c r="V51" t="s">
        <v>278</v>
      </c>
    </row>
    <row r="52" spans="1:24" s="20" customFormat="1" ht="33" customHeight="1" x14ac:dyDescent="0.35">
      <c r="A52" s="124" t="s">
        <v>153</v>
      </c>
      <c r="B52" s="125"/>
      <c r="C52" s="119" t="s">
        <v>408</v>
      </c>
      <c r="D52" s="121"/>
      <c r="E52" s="120"/>
      <c r="F52" s="17" t="s">
        <v>40</v>
      </c>
      <c r="G52" s="122">
        <v>45658</v>
      </c>
      <c r="H52" s="123"/>
      <c r="R52"/>
      <c r="S52" t="s">
        <v>258</v>
      </c>
      <c r="T52" t="s">
        <v>263</v>
      </c>
      <c r="U52" t="s">
        <v>260</v>
      </c>
      <c r="V52" t="s">
        <v>279</v>
      </c>
    </row>
    <row r="53" spans="1:24" s="20" customFormat="1" ht="114" customHeight="1" x14ac:dyDescent="0.35">
      <c r="A53" s="126"/>
      <c r="B53" s="127"/>
      <c r="C53" s="119" t="s">
        <v>409</v>
      </c>
      <c r="D53" s="121"/>
      <c r="E53" s="120"/>
      <c r="F53" s="17" t="s">
        <v>116</v>
      </c>
      <c r="G53" s="122">
        <v>45906</v>
      </c>
      <c r="H53" s="123"/>
      <c r="R53"/>
      <c r="S53" t="s">
        <v>259</v>
      </c>
      <c r="T53" t="s">
        <v>266</v>
      </c>
      <c r="U53" t="s">
        <v>273</v>
      </c>
    </row>
    <row r="54" spans="1:24" s="20" customFormat="1" ht="78" hidden="1" customHeight="1" x14ac:dyDescent="0.35">
      <c r="A54" s="156" t="s">
        <v>407</v>
      </c>
      <c r="B54" s="157"/>
      <c r="C54" s="160" t="s">
        <v>405</v>
      </c>
      <c r="D54" s="161"/>
      <c r="E54" s="162"/>
      <c r="F54" s="92" t="s">
        <v>40</v>
      </c>
      <c r="G54" s="163">
        <v>45383</v>
      </c>
      <c r="H54" s="164"/>
      <c r="R54"/>
      <c r="S54" t="s">
        <v>258</v>
      </c>
      <c r="T54" t="s">
        <v>263</v>
      </c>
      <c r="U54" t="s">
        <v>260</v>
      </c>
      <c r="V54" t="s">
        <v>279</v>
      </c>
    </row>
    <row r="55" spans="1:24" s="20" customFormat="1" ht="78" hidden="1" customHeight="1" x14ac:dyDescent="0.35">
      <c r="A55" s="158"/>
      <c r="B55" s="159"/>
      <c r="C55" s="229" t="s">
        <v>406</v>
      </c>
      <c r="D55" s="230"/>
      <c r="E55" s="230"/>
      <c r="F55" s="230"/>
      <c r="G55" s="230"/>
      <c r="H55" s="231"/>
      <c r="R55"/>
      <c r="S55" t="s">
        <v>260</v>
      </c>
      <c r="T55" t="s">
        <v>264</v>
      </c>
      <c r="U55" t="s">
        <v>274</v>
      </c>
      <c r="V55" s="18"/>
      <c r="W55" s="18"/>
      <c r="X55" s="18"/>
    </row>
    <row r="56" spans="1:24" s="20" customFormat="1" ht="78" hidden="1" customHeight="1" x14ac:dyDescent="0.35">
      <c r="A56" s="165" t="s">
        <v>283</v>
      </c>
      <c r="B56" s="166"/>
      <c r="C56" s="119" t="str">
        <f>C55</f>
        <v>Wing A = Gr/Stilt + 1st to 20th Floor (Total Ht = 69.95 Mtr.)
Wing B = Gr/Stilt + 1st to 20th Floor (Total Ht = 69.95 Mtr.)
Wing C = Gr/Stilt + 1st to 6th Floor (Total Ht = 26.70 Mtr.)</v>
      </c>
      <c r="D56" s="121"/>
      <c r="E56" s="120"/>
      <c r="F56" s="17" t="s">
        <v>40</v>
      </c>
      <c r="G56" s="119">
        <f>G55</f>
        <v>0</v>
      </c>
      <c r="H56" s="120"/>
      <c r="R56"/>
      <c r="S56" s="18"/>
      <c r="T56" t="s">
        <v>265</v>
      </c>
      <c r="U56" t="s">
        <v>275</v>
      </c>
      <c r="V56" s="18"/>
      <c r="W56" s="18"/>
      <c r="X56" s="18"/>
    </row>
    <row r="57" spans="1:24" s="20" customFormat="1" ht="78" hidden="1" customHeight="1" x14ac:dyDescent="0.35">
      <c r="A57" s="167"/>
      <c r="B57" s="168"/>
      <c r="C57" s="119"/>
      <c r="D57" s="121"/>
      <c r="E57" s="121"/>
      <c r="F57" s="121"/>
      <c r="G57" s="121"/>
      <c r="H57" s="120"/>
      <c r="R57"/>
      <c r="S57" s="18"/>
      <c r="T57" t="s">
        <v>267</v>
      </c>
      <c r="U57" t="s">
        <v>276</v>
      </c>
      <c r="V57" s="18"/>
      <c r="W57" s="18"/>
      <c r="X57" s="18"/>
    </row>
    <row r="58" spans="1:24" s="20" customFormat="1" ht="78" hidden="1" customHeight="1" x14ac:dyDescent="0.35">
      <c r="A58" s="165" t="s">
        <v>284</v>
      </c>
      <c r="B58" s="166"/>
      <c r="C58" s="119">
        <f>C57</f>
        <v>0</v>
      </c>
      <c r="D58" s="121"/>
      <c r="E58" s="120"/>
      <c r="F58" s="17" t="s">
        <v>40</v>
      </c>
      <c r="G58" s="119">
        <f>G57</f>
        <v>0</v>
      </c>
      <c r="H58" s="120"/>
      <c r="R58"/>
      <c r="S58" s="18"/>
      <c r="T58" t="s">
        <v>268</v>
      </c>
      <c r="U58" s="18" t="s">
        <v>298</v>
      </c>
      <c r="V58" s="18"/>
      <c r="W58" s="18"/>
      <c r="X58" s="18"/>
    </row>
    <row r="59" spans="1:24" s="20" customFormat="1" ht="78" hidden="1" customHeight="1" x14ac:dyDescent="0.35">
      <c r="A59" s="167"/>
      <c r="B59" s="168"/>
      <c r="C59" s="119"/>
      <c r="D59" s="121"/>
      <c r="E59" s="121"/>
      <c r="F59" s="121"/>
      <c r="G59" s="121"/>
      <c r="H59" s="120"/>
      <c r="R59"/>
      <c r="S59" s="18"/>
      <c r="T59" t="s">
        <v>269</v>
      </c>
      <c r="U59" s="18"/>
      <c r="V59" s="18"/>
      <c r="W59" s="18"/>
      <c r="X59" s="18"/>
    </row>
    <row r="60" spans="1:24" hidden="1" x14ac:dyDescent="0.35">
      <c r="A60" s="128" t="s">
        <v>42</v>
      </c>
      <c r="B60" s="129"/>
      <c r="C60" s="128" t="s">
        <v>28</v>
      </c>
      <c r="D60" s="130"/>
      <c r="E60" s="129"/>
      <c r="F60" s="90" t="s">
        <v>40</v>
      </c>
      <c r="G60" s="131" t="s">
        <v>28</v>
      </c>
      <c r="H60" s="132"/>
      <c r="R60"/>
      <c r="T60" t="s">
        <v>271</v>
      </c>
    </row>
    <row r="61" spans="1:24" ht="78" customHeight="1" x14ac:dyDescent="0.35">
      <c r="A61" s="128" t="s">
        <v>42</v>
      </c>
      <c r="B61" s="129"/>
      <c r="C61" s="128" t="s">
        <v>410</v>
      </c>
      <c r="D61" s="130"/>
      <c r="E61" s="129"/>
      <c r="F61" s="40" t="s">
        <v>40</v>
      </c>
      <c r="G61" s="131">
        <v>45590</v>
      </c>
      <c r="H61" s="132"/>
      <c r="R61"/>
      <c r="T61" t="s">
        <v>271</v>
      </c>
    </row>
    <row r="62" spans="1:24" x14ac:dyDescent="0.35">
      <c r="A62" s="153" t="s">
        <v>44</v>
      </c>
      <c r="B62" s="153"/>
      <c r="C62" s="153"/>
      <c r="D62" s="153"/>
      <c r="E62" s="153"/>
      <c r="F62" s="153"/>
      <c r="G62" s="153"/>
      <c r="H62" s="153"/>
      <c r="T62" t="s">
        <v>280</v>
      </c>
    </row>
    <row r="63" spans="1:24" x14ac:dyDescent="0.35">
      <c r="A63" s="141" t="s">
        <v>88</v>
      </c>
      <c r="B63" s="141"/>
      <c r="C63" s="141"/>
      <c r="D63" s="138">
        <f>E46</f>
        <v>10750.3</v>
      </c>
      <c r="E63" s="138"/>
      <c r="F63" s="138"/>
      <c r="G63" s="138"/>
      <c r="H63" s="138"/>
      <c r="R63"/>
    </row>
    <row r="64" spans="1:24" x14ac:dyDescent="0.35">
      <c r="A64" s="154" t="s">
        <v>45</v>
      </c>
      <c r="B64" s="155"/>
      <c r="C64" s="155"/>
      <c r="D64" s="155" t="s">
        <v>401</v>
      </c>
      <c r="E64" s="155"/>
      <c r="F64" s="155"/>
      <c r="G64" s="155"/>
      <c r="H64" s="155"/>
      <c r="I64" s="21"/>
      <c r="R64"/>
    </row>
    <row r="65" spans="1:19" ht="33.65" customHeight="1" x14ac:dyDescent="0.35">
      <c r="A65" s="154" t="s">
        <v>46</v>
      </c>
      <c r="B65" s="154"/>
      <c r="C65" s="154"/>
      <c r="D65" s="154" t="s">
        <v>402</v>
      </c>
      <c r="E65" s="155"/>
      <c r="F65" s="155"/>
      <c r="G65" s="155"/>
      <c r="H65" s="155"/>
      <c r="R65"/>
    </row>
    <row r="66" spans="1:19" ht="15.75" customHeight="1" x14ac:dyDescent="0.35">
      <c r="A66" s="154" t="s">
        <v>86</v>
      </c>
      <c r="B66" s="154"/>
      <c r="C66" s="154"/>
      <c r="D66" s="155" t="s">
        <v>388</v>
      </c>
      <c r="E66" s="155"/>
      <c r="F66" s="155"/>
      <c r="G66" s="155"/>
      <c r="H66" s="155"/>
      <c r="R66"/>
    </row>
    <row r="67" spans="1:19" ht="15.75" customHeight="1" x14ac:dyDescent="0.35">
      <c r="A67" s="154"/>
      <c r="B67" s="154"/>
      <c r="C67" s="154"/>
      <c r="D67" s="155" t="s">
        <v>389</v>
      </c>
      <c r="E67" s="155"/>
      <c r="F67" s="155"/>
      <c r="G67" s="155"/>
      <c r="H67" s="155"/>
      <c r="R67"/>
    </row>
    <row r="68" spans="1:19" ht="15.75" customHeight="1" x14ac:dyDescent="0.35">
      <c r="A68" s="154"/>
      <c r="B68" s="154"/>
      <c r="C68" s="154"/>
      <c r="D68" s="155" t="s">
        <v>375</v>
      </c>
      <c r="E68" s="155"/>
      <c r="F68" s="155"/>
      <c r="G68" s="155"/>
      <c r="H68" s="155"/>
      <c r="S68"/>
    </row>
    <row r="69" spans="1:19" ht="15.75" customHeight="1" x14ac:dyDescent="0.35">
      <c r="A69" s="138" t="s">
        <v>43</v>
      </c>
      <c r="B69" s="138"/>
      <c r="C69" s="138"/>
      <c r="D69" s="141" t="s">
        <v>358</v>
      </c>
      <c r="E69" s="141"/>
      <c r="F69" s="141"/>
      <c r="G69" s="141"/>
      <c r="H69" s="141"/>
      <c r="J69" s="22"/>
      <c r="K69" s="21"/>
      <c r="N69" s="21"/>
      <c r="S69"/>
    </row>
    <row r="70" spans="1:19" ht="15.75" customHeight="1" x14ac:dyDescent="0.35">
      <c r="A70" s="138" t="s">
        <v>84</v>
      </c>
      <c r="B70" s="138"/>
      <c r="C70" s="138"/>
      <c r="D70" s="221" t="str">
        <f>(IF(G60="NA","60 Years After Completion",IF(G60&lt;&gt;"NA",""&amp;60-ROUNDDOWN((E3-G60)/360,0)&amp;" Years"," ")))</f>
        <v>60 Years After Completion</v>
      </c>
      <c r="E70" s="221"/>
      <c r="F70" s="221"/>
      <c r="G70" s="221"/>
      <c r="H70" s="221"/>
      <c r="N70" s="21"/>
      <c r="S70"/>
    </row>
    <row r="71" spans="1:19" ht="15.75" customHeight="1" x14ac:dyDescent="0.35">
      <c r="A71" s="138" t="s">
        <v>85</v>
      </c>
      <c r="B71" s="138"/>
      <c r="C71" s="138"/>
      <c r="D71" s="141" t="s">
        <v>23</v>
      </c>
      <c r="E71" s="141"/>
      <c r="F71" s="141"/>
      <c r="G71" s="141"/>
      <c r="H71" s="141"/>
      <c r="J71" s="23"/>
      <c r="K71" s="23"/>
      <c r="S71"/>
    </row>
    <row r="72" spans="1:19" ht="35.25" customHeight="1" x14ac:dyDescent="0.35">
      <c r="A72" s="155" t="s">
        <v>377</v>
      </c>
      <c r="B72" s="155"/>
      <c r="C72" s="155"/>
      <c r="D72" s="154" t="s">
        <v>376</v>
      </c>
      <c r="E72" s="141"/>
      <c r="F72" s="141"/>
      <c r="G72" s="141"/>
      <c r="H72" s="141"/>
      <c r="S72"/>
    </row>
    <row r="73" spans="1:19" x14ac:dyDescent="0.35">
      <c r="A73" s="141" t="s">
        <v>145</v>
      </c>
      <c r="B73" s="141"/>
      <c r="C73" s="141"/>
      <c r="D73" s="141" t="s">
        <v>28</v>
      </c>
      <c r="E73" s="141"/>
      <c r="F73" s="141"/>
      <c r="G73" s="141"/>
      <c r="H73" s="141"/>
      <c r="I73" s="24"/>
      <c r="J73" s="24"/>
      <c r="K73" s="24"/>
      <c r="L73" s="24"/>
      <c r="M73" s="24"/>
      <c r="N73" s="24"/>
    </row>
    <row r="74" spans="1:19" ht="15.75" customHeight="1" x14ac:dyDescent="0.35">
      <c r="A74" s="138" t="s">
        <v>83</v>
      </c>
      <c r="B74" s="138"/>
      <c r="C74" s="138"/>
      <c r="D74" s="154" t="str">
        <f ca="1">(IF(G80&gt;95%,"Nothing",IF(G80&gt;0%,"Cement, Aggregate, Steel, etc",IF(G80=0%,"Work not yet Started"))))</f>
        <v>Cement, Aggregate, Steel, etc</v>
      </c>
      <c r="E74" s="154"/>
      <c r="F74" s="154"/>
      <c r="G74" s="154"/>
      <c r="H74" s="154"/>
      <c r="J74" s="23"/>
      <c r="S74"/>
    </row>
    <row r="75" spans="1:19" ht="33.75" customHeight="1" thickBot="1" x14ac:dyDescent="0.4">
      <c r="A75" s="141" t="s">
        <v>113</v>
      </c>
      <c r="B75" s="141"/>
      <c r="C75" s="141"/>
      <c r="D75" s="154" t="str">
        <f ca="1">(IF(D74="Nothing","Yes",IF(D74="Cement, Aggregate, Steel, etc","Under Construction",IF(D74="Work not yet Started","Work not yet Started"))))</f>
        <v>Under Construction</v>
      </c>
      <c r="E75" s="154"/>
      <c r="F75" s="154" t="str">
        <f ca="1">(IF(D74="Nothing","Yes",IF(D74="Cement, Aggregate, Steel, etc","Under Construction",IF(D74="Work not yet Started","Work not yet Started"))))</f>
        <v>Under Construction</v>
      </c>
      <c r="G75" s="154"/>
      <c r="H75" s="154"/>
      <c r="S75"/>
    </row>
    <row r="76" spans="1:19" ht="15.75" customHeight="1" x14ac:dyDescent="0.35">
      <c r="A76" s="190" t="s">
        <v>135</v>
      </c>
      <c r="B76" s="191"/>
      <c r="C76" s="192" t="str">
        <f>D66</f>
        <v>Wing A = Gr/St + 1st to 20th Floor</v>
      </c>
      <c r="D76" s="193"/>
      <c r="E76" s="193"/>
      <c r="F76" s="193"/>
      <c r="G76" s="193"/>
      <c r="H76" s="194"/>
      <c r="I76" s="42" t="str">
        <f ca="1">IF(D89=100%,"All work Completed. Possession granted to the Building.",IF(D88=100%,"All work Completed, Waiting for OC",I77&amp;""&amp;I78&amp;""&amp;J77&amp;""&amp;J76&amp;" "&amp;J78))</f>
        <v>Excavation, Plinth, RCC Slab, Brickwork, Internal Plaster Completed, External Plaster upto 16 Floor, Flooring upto 12 Floor, Painting upto 10 Floor Completed</v>
      </c>
      <c r="J76" s="43"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External Plaster upto 16 Floor, Flooring upto 12 Floor, Painting upto 10 Floor</v>
      </c>
      <c r="S76"/>
    </row>
    <row r="77" spans="1:19" x14ac:dyDescent="0.35">
      <c r="A77" s="15" t="s">
        <v>137</v>
      </c>
      <c r="B77" s="46">
        <f>IF(AND(ISNUMBER(SEARCH("1B",C76))),1,IF(AND(ISNUMBER(SEARCH("2B",C76))),2,IF(AND(ISNUMBER(SEARCH("3B",C76))),3,IF(AND(ISNUMBER(SEARCH("4B",C76))),4,IF(ISNUMBER(SEARCH("5B",C76)),5,0)))))</f>
        <v>0</v>
      </c>
      <c r="C77" s="46" t="s">
        <v>69</v>
      </c>
      <c r="D77" s="46">
        <v>1</v>
      </c>
      <c r="E77" s="46" t="s">
        <v>68</v>
      </c>
      <c r="F77" s="46">
        <v>0</v>
      </c>
      <c r="G77" s="46" t="s">
        <v>77</v>
      </c>
      <c r="H77" s="16">
        <f ca="1">--TRIM(RIGHT(SUBSTITUTE(LEFT(C76,_xlfn.AGGREGATE(16,6,FIND({0,1,2,3,4,5,6,7,8,9},C76,ROW(INDIRECT("1:"&amp;LEN(C76)))),1))," ",REPT(" ",LEN(C76))),LEN(C76)))</f>
        <v>20</v>
      </c>
      <c r="I77" s="44" t="str">
        <f ca="1">IF(D80=100%,"Excavation","")&amp;IF(D81=100%,", Plinth","")&amp;IF(D82=100%,", RCC Slab","")&amp;IF(D83=100%,", Brickwork","")&amp;IF(D84=100%,", Internal Plaster","")&amp;IF(D85=100%,", External Plaster","")&amp;IF(D86=100%,", Flooring","")&amp;IF(D87=100%,", Painting","")&amp;IF(D88=100%,", Building common Amenities","")</f>
        <v>Excavation, Plinth, RCC Slab, Brickwork, Internal Plaster</v>
      </c>
      <c r="J77" s="45"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50.5" customHeight="1" x14ac:dyDescent="0.35">
      <c r="A78" s="189" t="s">
        <v>87</v>
      </c>
      <c r="B78" s="174"/>
      <c r="C78" s="195" t="str">
        <f ca="1">I76</f>
        <v>Excavation, Plinth, RCC Slab, Brickwork, Internal Plaster Completed, External Plaster upto 16 Floor, Flooring upto 12 Floor, Painting upto 10 Floor Completed</v>
      </c>
      <c r="D78" s="195"/>
      <c r="E78" s="195"/>
      <c r="F78" s="195"/>
      <c r="G78" s="195"/>
      <c r="H78" s="196"/>
      <c r="I78" s="44" t="str">
        <f ca="1">IF(I77&lt;&gt;""," Completed","")</f>
        <v xml:space="preserve"> Completed</v>
      </c>
      <c r="J78" s="45" t="str">
        <f ca="1">IF(J76&lt;&gt;"","Completed","")</f>
        <v>Completed</v>
      </c>
      <c r="S78"/>
    </row>
    <row r="79" spans="1:19" ht="15.75" customHeight="1" x14ac:dyDescent="0.35">
      <c r="A79" s="117" t="s">
        <v>47</v>
      </c>
      <c r="B79" s="118"/>
      <c r="C79" s="78" t="s">
        <v>134</v>
      </c>
      <c r="D79" s="78" t="s">
        <v>80</v>
      </c>
      <c r="E79" s="118" t="s">
        <v>82</v>
      </c>
      <c r="F79" s="118"/>
      <c r="G79" s="118" t="s">
        <v>81</v>
      </c>
      <c r="H79" s="197"/>
      <c r="I79" s="13" t="s">
        <v>136</v>
      </c>
      <c r="J79" s="25">
        <f ca="1">H77*25%</f>
        <v>5</v>
      </c>
      <c r="S79"/>
    </row>
    <row r="80" spans="1:19" x14ac:dyDescent="0.35">
      <c r="A80" s="117" t="s">
        <v>123</v>
      </c>
      <c r="B80" s="118"/>
      <c r="C80" s="78">
        <f ca="1">J81</f>
        <v>20</v>
      </c>
      <c r="D80" s="79">
        <f ca="1">((100/H77)*C80)/100</f>
        <v>1</v>
      </c>
      <c r="E80" s="170">
        <f ca="1">(((C81/H77*10)+(40/(D77+F77+H77)*C82)+(7.5/(H77)*C83)+(7.5/(H77)*C84)+(10/H77*C85)+(10/H77*C86)+(5/H77*C87)+(5/H77*C88)+(5/H77*C89))/100)</f>
        <v>0.81499999999999995</v>
      </c>
      <c r="F80" s="171"/>
      <c r="G80" s="170">
        <f ca="1">((((C80/H77)*20)+((C81/H77)*25)+(30/(H77+F77+D77)*C82)+(5/H77*C83)+(5/H77*C84)+(5/H77*C85)+(5/H77*C86)+(0/H77*C87)+(0/H77*C88)+(5/H77*C89))/100)</f>
        <v>0.92</v>
      </c>
      <c r="H80" s="216"/>
      <c r="I80" s="13" t="s">
        <v>96</v>
      </c>
      <c r="J80" s="26">
        <f ca="1">H77*50%</f>
        <v>10</v>
      </c>
    </row>
    <row r="81" spans="1:19" x14ac:dyDescent="0.35">
      <c r="A81" s="117" t="s">
        <v>48</v>
      </c>
      <c r="B81" s="118"/>
      <c r="C81" s="78">
        <f ca="1">J89</f>
        <v>20</v>
      </c>
      <c r="D81" s="79">
        <f ca="1">((100/H77)*C81)/100</f>
        <v>1</v>
      </c>
      <c r="E81" s="172"/>
      <c r="F81" s="173"/>
      <c r="G81" s="172"/>
      <c r="H81" s="217"/>
      <c r="I81" s="13" t="s">
        <v>97</v>
      </c>
      <c r="J81" s="26">
        <f ca="1">H77</f>
        <v>20</v>
      </c>
      <c r="S81"/>
    </row>
    <row r="82" spans="1:19" ht="15.75" customHeight="1" x14ac:dyDescent="0.35">
      <c r="A82" s="117" t="s">
        <v>124</v>
      </c>
      <c r="B82" s="118"/>
      <c r="C82" s="78">
        <v>21</v>
      </c>
      <c r="D82" s="79">
        <f ca="1">((100/(D77+F77+H77))*C82)/100</f>
        <v>1</v>
      </c>
      <c r="E82" s="172"/>
      <c r="F82" s="173"/>
      <c r="G82" s="172"/>
      <c r="H82" s="217"/>
      <c r="I82" s="13" t="s">
        <v>98</v>
      </c>
      <c r="J82" s="27">
        <f ca="1">(IF(B77&gt;1,(H77/(B77+2)),H77/4))</f>
        <v>5</v>
      </c>
      <c r="S82"/>
    </row>
    <row r="83" spans="1:19" ht="15.75" customHeight="1" x14ac:dyDescent="0.35">
      <c r="A83" s="117" t="s">
        <v>131</v>
      </c>
      <c r="B83" s="118" t="s">
        <v>125</v>
      </c>
      <c r="C83" s="78">
        <f>C82-1</f>
        <v>20</v>
      </c>
      <c r="D83" s="79">
        <f ca="1">((100/H77)*C83)/100</f>
        <v>1</v>
      </c>
      <c r="E83" s="172"/>
      <c r="F83" s="173"/>
      <c r="G83" s="172"/>
      <c r="H83" s="217"/>
      <c r="I83" s="13" t="s">
        <v>99</v>
      </c>
      <c r="J83" s="27">
        <f ca="1">(IF(B77&gt;1,(H77/(B77+2)+J82),H77/4+J82))</f>
        <v>10</v>
      </c>
    </row>
    <row r="84" spans="1:19" ht="15.75" customHeight="1" x14ac:dyDescent="0.35">
      <c r="A84" s="117" t="s">
        <v>132</v>
      </c>
      <c r="B84" s="118" t="s">
        <v>125</v>
      </c>
      <c r="C84" s="78">
        <v>20</v>
      </c>
      <c r="D84" s="79">
        <f ca="1">((100/H77)*C84)/100</f>
        <v>1</v>
      </c>
      <c r="E84" s="172"/>
      <c r="F84" s="173"/>
      <c r="G84" s="172"/>
      <c r="H84" s="217"/>
      <c r="I84" s="13" t="s">
        <v>143</v>
      </c>
      <c r="J84" s="27">
        <f>(IF(B77&gt;1,(H77/(B77+2)+J83),0))</f>
        <v>0</v>
      </c>
    </row>
    <row r="85" spans="1:19" ht="15" customHeight="1" x14ac:dyDescent="0.35">
      <c r="A85" s="117" t="s">
        <v>130</v>
      </c>
      <c r="B85" s="118" t="s">
        <v>127</v>
      </c>
      <c r="C85" s="82">
        <v>16</v>
      </c>
      <c r="D85" s="79">
        <f ca="1">((100/(H77))*C85)/100</f>
        <v>0.8</v>
      </c>
      <c r="E85" s="172"/>
      <c r="F85" s="173"/>
      <c r="G85" s="172"/>
      <c r="H85" s="217"/>
      <c r="I85" s="13" t="s">
        <v>138</v>
      </c>
      <c r="J85" s="27">
        <f>(IF(B77&gt;2,(H77/(B77+2)+J84),0))</f>
        <v>0</v>
      </c>
    </row>
    <row r="86" spans="1:19" ht="15.75" customHeight="1" x14ac:dyDescent="0.35">
      <c r="A86" s="117" t="s">
        <v>126</v>
      </c>
      <c r="B86" s="118" t="s">
        <v>126</v>
      </c>
      <c r="C86" s="78">
        <v>12</v>
      </c>
      <c r="D86" s="79">
        <f ca="1">((100/H77)*C86)/100</f>
        <v>0.6</v>
      </c>
      <c r="E86" s="172"/>
      <c r="F86" s="173"/>
      <c r="G86" s="172"/>
      <c r="H86" s="217"/>
      <c r="I86" s="13" t="s">
        <v>139</v>
      </c>
      <c r="J86" s="28">
        <f>(IF(B77&gt;3,(H77/(B77+2)+J85),0))</f>
        <v>0</v>
      </c>
    </row>
    <row r="87" spans="1:19" ht="15.75" customHeight="1" x14ac:dyDescent="0.35">
      <c r="A87" s="117" t="s">
        <v>133</v>
      </c>
      <c r="B87" s="118"/>
      <c r="C87" s="78">
        <v>10</v>
      </c>
      <c r="D87" s="79">
        <f ca="1">((100/H77)*C87)/100</f>
        <v>0.5</v>
      </c>
      <c r="E87" s="172"/>
      <c r="F87" s="173"/>
      <c r="G87" s="172"/>
      <c r="H87" s="217"/>
      <c r="I87" s="13" t="s">
        <v>140</v>
      </c>
      <c r="J87" s="27">
        <f>(IF(B77&gt;4,(H77/(B77+2)+J86),0))</f>
        <v>0</v>
      </c>
    </row>
    <row r="88" spans="1:19" ht="15.75" customHeight="1" x14ac:dyDescent="0.35">
      <c r="A88" s="117" t="s">
        <v>128</v>
      </c>
      <c r="B88" s="118" t="s">
        <v>128</v>
      </c>
      <c r="C88" s="78">
        <v>0</v>
      </c>
      <c r="D88" s="79">
        <f ca="1">((100/(H77))*C88)/100</f>
        <v>0</v>
      </c>
      <c r="E88" s="172"/>
      <c r="F88" s="173"/>
      <c r="G88" s="172"/>
      <c r="H88" s="217"/>
      <c r="I88" s="13" t="s">
        <v>144</v>
      </c>
      <c r="J88" s="27">
        <f ca="1">(IF(B77=1,(H77/(B77+3)+J83),IF(B77=0,(H77/4+J83),IF(B77&gt;1,0))))</f>
        <v>15</v>
      </c>
    </row>
    <row r="89" spans="1:19" ht="16" thickBot="1" x14ac:dyDescent="0.4">
      <c r="A89" s="219" t="s">
        <v>129</v>
      </c>
      <c r="B89" s="220"/>
      <c r="C89" s="80">
        <v>0</v>
      </c>
      <c r="D89" s="81">
        <f ca="1">((100/(H77))*C89)/100</f>
        <v>0</v>
      </c>
      <c r="E89" s="214"/>
      <c r="F89" s="215"/>
      <c r="G89" s="214"/>
      <c r="H89" s="218"/>
      <c r="I89" s="14" t="s">
        <v>100</v>
      </c>
      <c r="J89" s="29">
        <f ca="1">(IF(B77&gt;1.5,(H77/(B77+2)+J83+MAX(0,J84-J83)+MAX(0,J85-J84)+MAX(0,J86-J85)+MAX(0,J87-J86)+MAX(0,J88-J87)),IF(B77=1,(H77/(B77+3)+J88),IF(B77=0,H77/4+J88))))</f>
        <v>20</v>
      </c>
    </row>
    <row r="90" spans="1:19" ht="15.75" customHeight="1" x14ac:dyDescent="0.35">
      <c r="A90" s="112" t="s">
        <v>135</v>
      </c>
      <c r="B90" s="113"/>
      <c r="C90" s="114" t="str">
        <f>D67</f>
        <v>Wing B = Gr/St + 1st to 20th Floor</v>
      </c>
      <c r="D90" s="115"/>
      <c r="E90" s="115"/>
      <c r="F90" s="115"/>
      <c r="G90" s="115"/>
      <c r="H90" s="116"/>
      <c r="I90" s="42" t="str">
        <f ca="1">IF(D103=100%,"All work Completed. Possession granted to the Building.",IF(D102=100%,"All work Completed, Waiting for OC",I91&amp;""&amp;I92&amp;""&amp;J91&amp;""&amp;J90&amp;" "&amp;J92))</f>
        <v>Excavation, Plinth, RCC Slab, Brickwork, Internal Plaster, External Plaster Completed, Flooring upto 13 Floor, Painting upto 12 Floor Completed</v>
      </c>
      <c r="J90" s="43"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Flooring upto 13 Floor, Painting upto 12 Floor</v>
      </c>
    </row>
    <row r="91" spans="1:19" x14ac:dyDescent="0.35">
      <c r="A91" s="15" t="s">
        <v>137</v>
      </c>
      <c r="B91" s="46">
        <f>IF(AND(ISNUMBER(SEARCH("1B",C90))),1,IF(AND(ISNUMBER(SEARCH("2B",C90))),2,IF(AND(ISNUMBER(SEARCH("3B",C90))),3,IF(AND(ISNUMBER(SEARCH("4B",C90))),4,IF(ISNUMBER(SEARCH("5B",C90)),5,0)))))</f>
        <v>0</v>
      </c>
      <c r="C91" s="46" t="s">
        <v>69</v>
      </c>
      <c r="D91" s="46">
        <v>1</v>
      </c>
      <c r="E91" s="46" t="s">
        <v>68</v>
      </c>
      <c r="F91" s="46">
        <v>0</v>
      </c>
      <c r="G91" s="46" t="s">
        <v>77</v>
      </c>
      <c r="H91" s="16">
        <f ca="1">--TRIM(RIGHT(SUBSTITUTE(LEFT(C90,_xlfn.AGGREGATE(16,6,FIND({0,1,2,3,4,5,6,7,8,9},C90,ROW(INDIRECT("1:"&amp;LEN(C90)))),1))," ",REPT(" ",LEN(C90))),LEN(C90)))</f>
        <v>20</v>
      </c>
      <c r="I91" s="44" t="str">
        <f ca="1">IF(D94=100%,"Excavation","")&amp;IF(D95=100%,", Plinth","")&amp;IF(D96=100%,", RCC Slab","")&amp;IF(D97=100%,", Brickwork","")&amp;IF(D98=100%,", Internal Plaster","")&amp;IF(D99=100%,", External Plaster","")&amp;IF(D100=100%,", Flooring","")&amp;IF(D101=100%,", Painting","")&amp;IF(D102=100%,", Building common Amenities","")</f>
        <v>Excavation, Plinth, RCC Slab, Brickwork, Internal Plaster, External Plaster</v>
      </c>
      <c r="J91" s="45"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t="31.5" customHeight="1" x14ac:dyDescent="0.35">
      <c r="A92" s="189" t="s">
        <v>87</v>
      </c>
      <c r="B92" s="174"/>
      <c r="C92" s="195" t="str">
        <f ca="1">I90</f>
        <v>Excavation, Plinth, RCC Slab, Brickwork, Internal Plaster, External Plaster Completed, Flooring upto 13 Floor, Painting upto 12 Floor Completed</v>
      </c>
      <c r="D92" s="195"/>
      <c r="E92" s="195"/>
      <c r="F92" s="195"/>
      <c r="G92" s="195"/>
      <c r="H92" s="196"/>
      <c r="I92" s="44" t="str">
        <f ca="1">IF(I91&lt;&gt;""," Completed","")</f>
        <v xml:space="preserve"> Completed</v>
      </c>
      <c r="J92" s="45" t="str">
        <f ca="1">IF(J90&lt;&gt;"","Completed","")</f>
        <v>Completed</v>
      </c>
    </row>
    <row r="93" spans="1:19" ht="15.75" customHeight="1" x14ac:dyDescent="0.35">
      <c r="A93" s="117" t="s">
        <v>47</v>
      </c>
      <c r="B93" s="118"/>
      <c r="C93" s="78" t="s">
        <v>134</v>
      </c>
      <c r="D93" s="78" t="s">
        <v>80</v>
      </c>
      <c r="E93" s="118" t="s">
        <v>82</v>
      </c>
      <c r="F93" s="118"/>
      <c r="G93" s="118" t="s">
        <v>81</v>
      </c>
      <c r="H93" s="197"/>
      <c r="I93" s="13" t="s">
        <v>136</v>
      </c>
      <c r="J93" s="25">
        <f ca="1">H91*25%</f>
        <v>5</v>
      </c>
    </row>
    <row r="94" spans="1:19" x14ac:dyDescent="0.35">
      <c r="A94" s="117" t="s">
        <v>123</v>
      </c>
      <c r="B94" s="118"/>
      <c r="C94" s="78">
        <f ca="1">J95</f>
        <v>20</v>
      </c>
      <c r="D94" s="79">
        <f ca="1">((100/H91)*C94)/100</f>
        <v>1</v>
      </c>
      <c r="E94" s="170">
        <f ca="1">(((C95/H91*10)+(40/(D91+F91+H91)*C96)+(7.5/(H91)*C97)+(7.5/(H91)*C98)+(10/H91*C99)+(10/H91*C100)+(5/H91*C101)+(5/H91*C102)+(5/H91*C103))/100)</f>
        <v>0.84499999999999997</v>
      </c>
      <c r="F94" s="171"/>
      <c r="G94" s="170">
        <f ca="1">((((C94/H91)*20)+((C95/H91)*25)+(30/(H91+F91+D91)*C96)+(5/H91*C97)+(5/H91*C98)+(5/H91*C99)+(5/H91*C100)+(0/H91*C101)+(0/H91*C102)+(5/H91*C103))/100)</f>
        <v>0.9325</v>
      </c>
      <c r="H94" s="216"/>
      <c r="I94" s="13" t="s">
        <v>96</v>
      </c>
      <c r="J94" s="26">
        <f ca="1">H91*50%</f>
        <v>10</v>
      </c>
    </row>
    <row r="95" spans="1:19" x14ac:dyDescent="0.35">
      <c r="A95" s="117" t="s">
        <v>48</v>
      </c>
      <c r="B95" s="118"/>
      <c r="C95" s="82">
        <f ca="1">J103</f>
        <v>20</v>
      </c>
      <c r="D95" s="79">
        <f ca="1">((100/H91)*C95)/100</f>
        <v>1</v>
      </c>
      <c r="E95" s="172"/>
      <c r="F95" s="173"/>
      <c r="G95" s="172"/>
      <c r="H95" s="217"/>
      <c r="I95" s="13" t="s">
        <v>97</v>
      </c>
      <c r="J95" s="26">
        <f ca="1">H91</f>
        <v>20</v>
      </c>
    </row>
    <row r="96" spans="1:19" ht="15.75" customHeight="1" x14ac:dyDescent="0.35">
      <c r="A96" s="117" t="s">
        <v>124</v>
      </c>
      <c r="B96" s="118"/>
      <c r="C96" s="78">
        <v>21</v>
      </c>
      <c r="D96" s="79">
        <f ca="1">((100/(D91+F91+H91))*C96)/100</f>
        <v>1</v>
      </c>
      <c r="E96" s="172"/>
      <c r="F96" s="173"/>
      <c r="G96" s="172"/>
      <c r="H96" s="217"/>
      <c r="I96" s="13" t="s">
        <v>98</v>
      </c>
      <c r="J96" s="27">
        <f ca="1">(IF(B91&gt;1,(H91/(B91+2)),H91/4))</f>
        <v>5</v>
      </c>
    </row>
    <row r="97" spans="1:10" ht="15.75" customHeight="1" x14ac:dyDescent="0.35">
      <c r="A97" s="117" t="s">
        <v>131</v>
      </c>
      <c r="B97" s="118" t="s">
        <v>125</v>
      </c>
      <c r="C97" s="78">
        <f>C96-1</f>
        <v>20</v>
      </c>
      <c r="D97" s="79">
        <f ca="1">((100/H91)*C97)/100</f>
        <v>1</v>
      </c>
      <c r="E97" s="172"/>
      <c r="F97" s="173"/>
      <c r="G97" s="172"/>
      <c r="H97" s="217"/>
      <c r="I97" s="13" t="s">
        <v>99</v>
      </c>
      <c r="J97" s="27">
        <f ca="1">(IF(B91&gt;1,(H91/(B91+2)+J96),H91/4+J96))</f>
        <v>10</v>
      </c>
    </row>
    <row r="98" spans="1:10" ht="15.75" customHeight="1" x14ac:dyDescent="0.35">
      <c r="A98" s="117" t="s">
        <v>132</v>
      </c>
      <c r="B98" s="118" t="s">
        <v>125</v>
      </c>
      <c r="C98" s="78">
        <v>20</v>
      </c>
      <c r="D98" s="79">
        <f ca="1">((100/H91)*C98)/100</f>
        <v>1</v>
      </c>
      <c r="E98" s="172"/>
      <c r="F98" s="173"/>
      <c r="G98" s="172"/>
      <c r="H98" s="217"/>
      <c r="I98" s="13" t="s">
        <v>143</v>
      </c>
      <c r="J98" s="27">
        <f>(IF(B91&gt;1,(H91/(B91+2)+J97),0))</f>
        <v>0</v>
      </c>
    </row>
    <row r="99" spans="1:10" ht="15" customHeight="1" x14ac:dyDescent="0.35">
      <c r="A99" s="117" t="s">
        <v>130</v>
      </c>
      <c r="B99" s="118" t="s">
        <v>127</v>
      </c>
      <c r="C99" s="82">
        <v>20</v>
      </c>
      <c r="D99" s="79">
        <f ca="1">((100/(H91))*C99)/100</f>
        <v>1</v>
      </c>
      <c r="E99" s="172"/>
      <c r="F99" s="173"/>
      <c r="G99" s="172"/>
      <c r="H99" s="217"/>
      <c r="I99" s="13" t="s">
        <v>138</v>
      </c>
      <c r="J99" s="27">
        <f>(IF(B91&gt;2,(H91/(B91+2)+J98),0))</f>
        <v>0</v>
      </c>
    </row>
    <row r="100" spans="1:10" ht="15.75" customHeight="1" x14ac:dyDescent="0.35">
      <c r="A100" s="117" t="s">
        <v>126</v>
      </c>
      <c r="B100" s="118" t="s">
        <v>126</v>
      </c>
      <c r="C100" s="78">
        <v>13</v>
      </c>
      <c r="D100" s="79">
        <f ca="1">((100/H91)*C100)/100</f>
        <v>0.65</v>
      </c>
      <c r="E100" s="172"/>
      <c r="F100" s="173"/>
      <c r="G100" s="172"/>
      <c r="H100" s="217"/>
      <c r="I100" s="13" t="s">
        <v>139</v>
      </c>
      <c r="J100" s="28">
        <f>(IF(B91&gt;3,(H91/(B91+2)+J99),0))</f>
        <v>0</v>
      </c>
    </row>
    <row r="101" spans="1:10" ht="15.75" customHeight="1" x14ac:dyDescent="0.35">
      <c r="A101" s="117" t="s">
        <v>133</v>
      </c>
      <c r="B101" s="118"/>
      <c r="C101" s="78">
        <v>12</v>
      </c>
      <c r="D101" s="79">
        <f ca="1">((100/H91)*C101)/100</f>
        <v>0.6</v>
      </c>
      <c r="E101" s="172"/>
      <c r="F101" s="173"/>
      <c r="G101" s="172"/>
      <c r="H101" s="217"/>
      <c r="I101" s="13" t="s">
        <v>140</v>
      </c>
      <c r="J101" s="27">
        <f>(IF(B91&gt;4,(H91/(B91+2)+J100),0))</f>
        <v>0</v>
      </c>
    </row>
    <row r="102" spans="1:10" ht="15.75" customHeight="1" x14ac:dyDescent="0.35">
      <c r="A102" s="117" t="s">
        <v>128</v>
      </c>
      <c r="B102" s="118" t="s">
        <v>128</v>
      </c>
      <c r="C102" s="78">
        <v>0</v>
      </c>
      <c r="D102" s="79">
        <f ca="1">((100/(H91))*C102)/100</f>
        <v>0</v>
      </c>
      <c r="E102" s="172"/>
      <c r="F102" s="173"/>
      <c r="G102" s="172"/>
      <c r="H102" s="217"/>
      <c r="I102" s="13" t="s">
        <v>144</v>
      </c>
      <c r="J102" s="27">
        <f ca="1">(IF(B91=1,(H91/(B91+3)+J97),IF(B91=0,(H91/4+J97),IF(B91&gt;1,0))))</f>
        <v>15</v>
      </c>
    </row>
    <row r="103" spans="1:10" ht="16" thickBot="1" x14ac:dyDescent="0.4">
      <c r="A103" s="242" t="s">
        <v>129</v>
      </c>
      <c r="B103" s="243"/>
      <c r="C103" s="97">
        <v>0</v>
      </c>
      <c r="D103" s="98">
        <f ca="1">((100/(H91))*C103)/100</f>
        <v>0</v>
      </c>
      <c r="E103" s="172"/>
      <c r="F103" s="173"/>
      <c r="G103" s="172"/>
      <c r="H103" s="217"/>
      <c r="I103" s="14" t="s">
        <v>100</v>
      </c>
      <c r="J103" s="29">
        <f ca="1">(IF(B91&gt;1.5,(H91/(B91+2)+J97+MAX(0,J98-J97)+MAX(0,J99-J98)+MAX(0,J100-J99)+MAX(0,J101-J100)+MAX(0,J102-J101)),IF(B91=1,(H91/(B91+3)+J102),IF(B91=0,H91/4+J102))))</f>
        <v>20</v>
      </c>
    </row>
    <row r="104" spans="1:10" ht="15.75" customHeight="1" x14ac:dyDescent="0.35">
      <c r="A104" s="224" t="s">
        <v>135</v>
      </c>
      <c r="B104" s="224"/>
      <c r="C104" s="195" t="str">
        <f>D68</f>
        <v>Wing C = Gr/St + 1st to 6th Floor</v>
      </c>
      <c r="D104" s="195"/>
      <c r="E104" s="195"/>
      <c r="F104" s="195"/>
      <c r="G104" s="195"/>
      <c r="H104" s="195"/>
      <c r="I104" s="95" t="str">
        <f ca="1">IF(D119=100%,"All work Completed. Possession granted to the Building.",IF(D118=100%,"All work Completed, Waiting for OC",I105&amp;""&amp;I106&amp;""&amp;J105&amp;""&amp;J104&amp;" "&amp;J106))</f>
        <v>All work Completed. Possession granted to the Building.</v>
      </c>
      <c r="J104" s="43" t="str">
        <f ca="1">(IF(C112=(D105+F105+H105),"",IF(C112&gt;0,", RCC upto "&amp;C112&amp;" Slab","")))&amp;(IF(C113=H105,"",IF(C113&gt;0,", Brickwork upto "&amp;C113&amp;" Floor","")))&amp;(IF(C114=H105,"",IF(C114&gt;0,", Internal Plaster upto "&amp;C114&amp;" Floor","")))&amp;(IF(C115=H105,"",IF(C115&gt;0,", External Plaster upto "&amp;C115&amp;" Floor","")))&amp;(IF(C116=H105,"",IF(C116&gt;0,", Flooring upto "&amp;C116&amp;" Floor","")))&amp;(IF(C117=H105,"",IF(C117&gt;0,", Painting upto "&amp;C117&amp;" Floor","")))&amp;(IF(C118=H105,"",IF(C118&gt;0,", Finishing upto "&amp;C118&amp;" Floor","")))&amp;(IF(C119=H105,"",IF(C119&gt;0,", Possession upto "&amp;C119&amp;" Floor","")))</f>
        <v/>
      </c>
    </row>
    <row r="105" spans="1:10" x14ac:dyDescent="0.35">
      <c r="A105" s="46" t="s">
        <v>137</v>
      </c>
      <c r="B105" s="46">
        <f>IF(AND(ISNUMBER(SEARCH("1B",C104))),1,IF(AND(ISNUMBER(SEARCH("2B",C104))),2,IF(AND(ISNUMBER(SEARCH("3B",C104))),3,IF(AND(ISNUMBER(SEARCH("4B",C104))),4,IF(ISNUMBER(SEARCH("5B",C104)),5,0)))))</f>
        <v>0</v>
      </c>
      <c r="C105" s="46" t="s">
        <v>69</v>
      </c>
      <c r="D105" s="46">
        <v>1</v>
      </c>
      <c r="E105" s="46" t="s">
        <v>68</v>
      </c>
      <c r="F105" s="46">
        <v>0</v>
      </c>
      <c r="G105" s="46" t="s">
        <v>77</v>
      </c>
      <c r="H105" s="46">
        <f ca="1">--TRIM(RIGHT(SUBSTITUTE(LEFT(C104,_xlfn.AGGREGATE(16,6,FIND({0,1,2,3,4,5,6,7,8,9},C104,ROW(INDIRECT("1:"&amp;LEN(C104)))),1))," ",REPT(" ",LEN(C104))),LEN(C104)))</f>
        <v>6</v>
      </c>
      <c r="I105" s="96" t="str">
        <f ca="1">IF(D110=100%,"Excavation","")&amp;IF(D111=100%,", Plinth","")&amp;IF(D112=100%,", RCC Slab","")&amp;IF(D113=100%,", Brickwork","")&amp;IF(D114=100%,", Internal Plaster","")&amp;IF(D115=100%,", External Plaster","")&amp;IF(D116=100%,", Flooring","")&amp;IF(D117=100%,", Painting","")&amp;IF(D118=100%,", Building common Amenities","")</f>
        <v>Excavation, Plinth, RCC Slab, Brickwork, Internal Plaster, External Plaster, Flooring, Painting, Building common Amenities</v>
      </c>
      <c r="J105" s="45" t="str">
        <f ca="1">(IF(C110=0,"Work not yet Started.",IF(D110=25%,"Piling work in process",IF(D110=50%,"Excavation work in process",IF(D110=100%,"","0")))))&amp;(IF(C111=0%,"",IF(C111=J112,", Footing work is process",IF(C111=J113,", Footing work Completed",IF(C111=J114,", 1st Basement Completed",IF(C111=J115,", 1st &amp; 2nd Basement Completed",IF(C111=J116,", 1st to 3rd Basement Completed",IF(C111=J117,", 1st to 4th Basement Completed",IF(C111=J118,", Plinth work is process",IF(C111=J119,"","0"))))))))))</f>
        <v/>
      </c>
    </row>
    <row r="106" spans="1:10" x14ac:dyDescent="0.35">
      <c r="A106" s="174" t="s">
        <v>87</v>
      </c>
      <c r="B106" s="174"/>
      <c r="C106" s="195" t="str">
        <f>(IF($G$61="NA",I104,"All work Completed. OC Received."))</f>
        <v>All work Completed. OC Received.</v>
      </c>
      <c r="D106" s="195"/>
      <c r="E106" s="195"/>
      <c r="F106" s="195"/>
      <c r="G106" s="195"/>
      <c r="H106" s="195"/>
      <c r="I106" s="96" t="str">
        <f ca="1">IF(I105&lt;&gt;""," Completed","")</f>
        <v xml:space="preserve"> Completed</v>
      </c>
      <c r="J106" s="45" t="str">
        <f ca="1">IF(J104&lt;&gt;"","Completed","")</f>
        <v/>
      </c>
    </row>
    <row r="107" spans="1:10" s="88" customFormat="1" x14ac:dyDescent="0.35">
      <c r="A107" s="264" t="s">
        <v>82</v>
      </c>
      <c r="B107" s="264"/>
      <c r="C107" s="265">
        <v>1</v>
      </c>
      <c r="D107" s="266"/>
      <c r="E107" s="266" t="s">
        <v>81</v>
      </c>
      <c r="F107" s="266"/>
      <c r="G107" s="265">
        <v>1</v>
      </c>
      <c r="H107" s="266"/>
      <c r="I107" s="93"/>
      <c r="J107" s="94"/>
    </row>
    <row r="108" spans="1:10" s="88" customFormat="1" x14ac:dyDescent="0.35">
      <c r="A108" s="264"/>
      <c r="B108" s="264"/>
      <c r="C108" s="266"/>
      <c r="D108" s="266"/>
      <c r="E108" s="266"/>
      <c r="F108" s="266"/>
      <c r="G108" s="266"/>
      <c r="H108" s="266"/>
      <c r="I108" s="93"/>
      <c r="J108" s="94"/>
    </row>
    <row r="109" spans="1:10" ht="15.75" hidden="1" customHeight="1" x14ac:dyDescent="0.35">
      <c r="A109" s="169" t="s">
        <v>47</v>
      </c>
      <c r="B109" s="169"/>
      <c r="C109" s="89" t="s">
        <v>134</v>
      </c>
      <c r="D109" s="89" t="s">
        <v>80</v>
      </c>
      <c r="E109" s="118" t="s">
        <v>82</v>
      </c>
      <c r="F109" s="118"/>
      <c r="G109" s="118" t="s">
        <v>81</v>
      </c>
      <c r="H109" s="118"/>
      <c r="I109" s="13" t="s">
        <v>136</v>
      </c>
      <c r="J109" s="25">
        <f ca="1">H105*25%</f>
        <v>1.5</v>
      </c>
    </row>
    <row r="110" spans="1:10" hidden="1" x14ac:dyDescent="0.35">
      <c r="A110" s="169" t="s">
        <v>123</v>
      </c>
      <c r="B110" s="169"/>
      <c r="C110" s="89">
        <f ca="1">J111</f>
        <v>6</v>
      </c>
      <c r="D110" s="79">
        <f ca="1">((100/H105)*C110)/100</f>
        <v>1</v>
      </c>
      <c r="E110" s="212">
        <f ca="1">(((C111/H105*10)+(40/(D105+F105+H105)*C112)+(7.5/(H105)*C113)+(7.5/(H105)*C114)+(10/H105*C115)+(10/H105*C116)+(5/H105*C117)+(5/H105*C118)+(5/H105*C119))/100)</f>
        <v>1</v>
      </c>
      <c r="F110" s="212"/>
      <c r="G110" s="212">
        <f ca="1">((((C110/H105)*20)+((C111/H105)*25)+(30/(H105+F105+D105)*C112)+(5/H105*C113)+(5/H105*C114)+(5/H105*C115)+(5/H105*C116)+(0/H105*C117)+(0/H105*C118)+(5/H105*C119))/100)</f>
        <v>1</v>
      </c>
      <c r="H110" s="212"/>
      <c r="I110" s="13" t="s">
        <v>96</v>
      </c>
      <c r="J110" s="26">
        <f ca="1">H105*50%</f>
        <v>3</v>
      </c>
    </row>
    <row r="111" spans="1:10" hidden="1" x14ac:dyDescent="0.35">
      <c r="A111" s="169" t="s">
        <v>48</v>
      </c>
      <c r="B111" s="169"/>
      <c r="C111" s="89">
        <f ca="1">J119</f>
        <v>6</v>
      </c>
      <c r="D111" s="79">
        <f ca="1">((100/H105)*C111)/100</f>
        <v>1</v>
      </c>
      <c r="E111" s="212"/>
      <c r="F111" s="212"/>
      <c r="G111" s="212"/>
      <c r="H111" s="212"/>
      <c r="I111" s="13" t="s">
        <v>97</v>
      </c>
      <c r="J111" s="26">
        <f ca="1">H105</f>
        <v>6</v>
      </c>
    </row>
    <row r="112" spans="1:10" ht="15.75" hidden="1" customHeight="1" x14ac:dyDescent="0.35">
      <c r="A112" s="169" t="s">
        <v>124</v>
      </c>
      <c r="B112" s="169"/>
      <c r="C112" s="89">
        <f ca="1">D105+H105</f>
        <v>7</v>
      </c>
      <c r="D112" s="79">
        <f ca="1">((100/(D105+F105+H105))*C112)/100</f>
        <v>1</v>
      </c>
      <c r="E112" s="212"/>
      <c r="F112" s="212"/>
      <c r="G112" s="212"/>
      <c r="H112" s="212"/>
      <c r="I112" s="13" t="s">
        <v>98</v>
      </c>
      <c r="J112" s="27">
        <f ca="1">(IF(B105&gt;1,(H105/(B105+2)),H105/4))</f>
        <v>1.5</v>
      </c>
    </row>
    <row r="113" spans="1:22" ht="15.75" hidden="1" customHeight="1" x14ac:dyDescent="0.35">
      <c r="A113" s="169" t="s">
        <v>131</v>
      </c>
      <c r="B113" s="169" t="s">
        <v>125</v>
      </c>
      <c r="C113" s="89">
        <v>6</v>
      </c>
      <c r="D113" s="79">
        <f ca="1">((100/H105)*C113)/100</f>
        <v>1</v>
      </c>
      <c r="E113" s="212"/>
      <c r="F113" s="212"/>
      <c r="G113" s="212"/>
      <c r="H113" s="212"/>
      <c r="I113" s="13" t="s">
        <v>99</v>
      </c>
      <c r="J113" s="27">
        <f ca="1">(IF(B105&gt;1,(H105/(B105+2)+J112),H105/4+J112))</f>
        <v>3</v>
      </c>
    </row>
    <row r="114" spans="1:22" ht="15.75" hidden="1" customHeight="1" x14ac:dyDescent="0.35">
      <c r="A114" s="169" t="s">
        <v>132</v>
      </c>
      <c r="B114" s="169" t="s">
        <v>125</v>
      </c>
      <c r="C114" s="89">
        <v>6</v>
      </c>
      <c r="D114" s="79">
        <f ca="1">((100/H105)*C114)/100</f>
        <v>1</v>
      </c>
      <c r="E114" s="212"/>
      <c r="F114" s="212"/>
      <c r="G114" s="212"/>
      <c r="H114" s="212"/>
      <c r="I114" s="13" t="s">
        <v>143</v>
      </c>
      <c r="J114" s="27">
        <f>(IF(B105&gt;1,(H105/(B105+2)+J113),0))</f>
        <v>0</v>
      </c>
    </row>
    <row r="115" spans="1:22" ht="15" hidden="1" customHeight="1" x14ac:dyDescent="0.35">
      <c r="A115" s="169" t="s">
        <v>130</v>
      </c>
      <c r="B115" s="169" t="s">
        <v>127</v>
      </c>
      <c r="C115" s="89">
        <v>6</v>
      </c>
      <c r="D115" s="79">
        <f ca="1">((100/(H105))*C115)/100</f>
        <v>1</v>
      </c>
      <c r="E115" s="212"/>
      <c r="F115" s="212"/>
      <c r="G115" s="212"/>
      <c r="H115" s="212"/>
      <c r="I115" s="13" t="s">
        <v>138</v>
      </c>
      <c r="J115" s="27">
        <f>(IF(B105&gt;2,(H105/(B105+2)+J114),0))</f>
        <v>0</v>
      </c>
    </row>
    <row r="116" spans="1:22" ht="15.75" hidden="1" customHeight="1" x14ac:dyDescent="0.35">
      <c r="A116" s="169" t="s">
        <v>126</v>
      </c>
      <c r="B116" s="169" t="s">
        <v>126</v>
      </c>
      <c r="C116" s="89">
        <v>6</v>
      </c>
      <c r="D116" s="79">
        <f ca="1">((100/H105)*C116)/100</f>
        <v>1</v>
      </c>
      <c r="E116" s="212"/>
      <c r="F116" s="212"/>
      <c r="G116" s="212"/>
      <c r="H116" s="212"/>
      <c r="I116" s="13" t="s">
        <v>139</v>
      </c>
      <c r="J116" s="28">
        <f>(IF(B105&gt;3,(H105/(B105+2)+J115),0))</f>
        <v>0</v>
      </c>
    </row>
    <row r="117" spans="1:22" ht="15.75" hidden="1" customHeight="1" x14ac:dyDescent="0.35">
      <c r="A117" s="169" t="s">
        <v>133</v>
      </c>
      <c r="B117" s="169"/>
      <c r="C117" s="89">
        <v>6</v>
      </c>
      <c r="D117" s="79">
        <f ca="1">((100/H105)*C117)/100</f>
        <v>1</v>
      </c>
      <c r="E117" s="212"/>
      <c r="F117" s="212"/>
      <c r="G117" s="212"/>
      <c r="H117" s="212"/>
      <c r="I117" s="13" t="s">
        <v>140</v>
      </c>
      <c r="J117" s="27">
        <f>(IF(B105&gt;4,(H105/(B105+2)+J116),0))</f>
        <v>0</v>
      </c>
    </row>
    <row r="118" spans="1:22" ht="15.75" hidden="1" customHeight="1" x14ac:dyDescent="0.35">
      <c r="A118" s="169" t="s">
        <v>128</v>
      </c>
      <c r="B118" s="169" t="s">
        <v>128</v>
      </c>
      <c r="C118" s="89">
        <v>6</v>
      </c>
      <c r="D118" s="79">
        <f ca="1">((100/(H105))*C118)/100</f>
        <v>1</v>
      </c>
      <c r="E118" s="212"/>
      <c r="F118" s="212"/>
      <c r="G118" s="212"/>
      <c r="H118" s="212"/>
      <c r="I118" s="13" t="s">
        <v>144</v>
      </c>
      <c r="J118" s="27">
        <f ca="1">(IF(B105=1,(H105/(B105+3)+J113),IF(B105=0,(H105/4+J113),IF(B105&gt;1,0))))</f>
        <v>4.5</v>
      </c>
    </row>
    <row r="119" spans="1:22" ht="16" hidden="1" thickBot="1" x14ac:dyDescent="0.4">
      <c r="A119" s="169" t="s">
        <v>129</v>
      </c>
      <c r="B119" s="169"/>
      <c r="C119" s="89">
        <v>6</v>
      </c>
      <c r="D119" s="79">
        <f ca="1">((100/(H105))*C119)/100</f>
        <v>1</v>
      </c>
      <c r="E119" s="212"/>
      <c r="F119" s="212"/>
      <c r="G119" s="212"/>
      <c r="H119" s="212"/>
      <c r="I119" s="14" t="s">
        <v>100</v>
      </c>
      <c r="J119" s="29">
        <f ca="1">(IF(B105&gt;1.5,(H105/(B105+2)+J113+MAX(0,J114-J113)+MAX(0,J115-J114)+MAX(0,J116-J115)+MAX(0,J117-J116)+MAX(0,J118-J117)),IF(B105=1,(H105/(B105+3)+J118),IF(B105=0,H105/4+J118))))</f>
        <v>6</v>
      </c>
    </row>
    <row r="120" spans="1:22" x14ac:dyDescent="0.35">
      <c r="A120" s="186" t="s">
        <v>155</v>
      </c>
      <c r="B120" s="186"/>
      <c r="C120" s="186"/>
      <c r="D120" s="186"/>
      <c r="E120" s="186"/>
      <c r="F120" s="249" t="s">
        <v>159</v>
      </c>
      <c r="G120" s="249"/>
      <c r="H120" s="249"/>
      <c r="I120" s="83"/>
      <c r="J120" s="83" t="s">
        <v>386</v>
      </c>
      <c r="K120" s="83" t="s">
        <v>387</v>
      </c>
      <c r="L120" s="83"/>
      <c r="M120" s="83"/>
      <c r="N120" s="83"/>
      <c r="R120" t="s">
        <v>255</v>
      </c>
      <c r="S120" t="s">
        <v>171</v>
      </c>
      <c r="T120" t="s">
        <v>179</v>
      </c>
      <c r="U120" t="s">
        <v>194</v>
      </c>
      <c r="V120" t="s">
        <v>189</v>
      </c>
    </row>
    <row r="121" spans="1:22" x14ac:dyDescent="0.35">
      <c r="A121" s="138" t="s">
        <v>157</v>
      </c>
      <c r="B121" s="138"/>
      <c r="C121" s="138"/>
      <c r="D121" s="138"/>
      <c r="E121" s="138"/>
      <c r="F121" s="135">
        <v>19500</v>
      </c>
      <c r="G121" s="135"/>
      <c r="H121" s="135"/>
      <c r="I121" s="84">
        <f>AVERAGE(J121:K121)</f>
        <v>18990.332698831386</v>
      </c>
      <c r="J121" s="84">
        <f>AVERAGE(J178:J181)</f>
        <v>19480.665397662771</v>
      </c>
      <c r="K121" s="83">
        <v>18500</v>
      </c>
      <c r="L121" s="83"/>
      <c r="M121" s="83"/>
      <c r="N121" s="83"/>
      <c r="R121"/>
      <c r="S121">
        <v>800000</v>
      </c>
      <c r="T121">
        <v>150000</v>
      </c>
      <c r="U121">
        <v>100000</v>
      </c>
      <c r="V121">
        <v>100000</v>
      </c>
    </row>
    <row r="122" spans="1:22" x14ac:dyDescent="0.35">
      <c r="A122" s="138" t="s">
        <v>156</v>
      </c>
      <c r="B122" s="138"/>
      <c r="C122" s="138"/>
      <c r="D122" s="138"/>
      <c r="E122" s="138"/>
      <c r="F122" s="135">
        <v>35000</v>
      </c>
      <c r="G122" s="135"/>
      <c r="H122" s="135"/>
      <c r="I122" s="83"/>
      <c r="J122" s="83" t="s">
        <v>414</v>
      </c>
      <c r="K122" s="83"/>
      <c r="L122" s="83"/>
      <c r="M122" s="83"/>
      <c r="N122" s="83"/>
      <c r="R122"/>
      <c r="S122">
        <v>900000</v>
      </c>
      <c r="T122">
        <v>200000</v>
      </c>
      <c r="U122">
        <v>150000</v>
      </c>
      <c r="V122">
        <v>150000</v>
      </c>
    </row>
    <row r="123" spans="1:22" x14ac:dyDescent="0.35">
      <c r="A123" s="138" t="s">
        <v>158</v>
      </c>
      <c r="B123" s="138"/>
      <c r="C123" s="138"/>
      <c r="D123" s="138"/>
      <c r="E123" s="138"/>
      <c r="F123" s="135">
        <v>32000</v>
      </c>
      <c r="G123" s="135"/>
      <c r="H123" s="135"/>
      <c r="I123" s="83"/>
      <c r="J123" s="83"/>
      <c r="K123" s="83"/>
      <c r="L123" s="83"/>
      <c r="M123" s="83"/>
      <c r="N123" s="83"/>
      <c r="R123"/>
      <c r="S123">
        <v>1000000</v>
      </c>
      <c r="T123">
        <v>250000</v>
      </c>
      <c r="U123">
        <v>200000</v>
      </c>
      <c r="V123">
        <v>200000</v>
      </c>
    </row>
    <row r="124" spans="1:22" s="30" customFormat="1" hidden="1" x14ac:dyDescent="0.35">
      <c r="A124" s="138" t="s">
        <v>174</v>
      </c>
      <c r="B124" s="138"/>
      <c r="C124" s="138"/>
      <c r="D124" s="138"/>
      <c r="E124" s="138"/>
      <c r="F124" s="135"/>
      <c r="G124" s="135"/>
      <c r="H124" s="135"/>
      <c r="R124"/>
      <c r="S124">
        <v>1100000</v>
      </c>
      <c r="T124">
        <v>300000</v>
      </c>
      <c r="U124">
        <v>250000</v>
      </c>
      <c r="V124" s="20">
        <v>250000</v>
      </c>
    </row>
    <row r="125" spans="1:22" s="30" customFormat="1" x14ac:dyDescent="0.35">
      <c r="A125" s="138" t="s">
        <v>92</v>
      </c>
      <c r="B125" s="138"/>
      <c r="C125" s="138"/>
      <c r="D125" s="138"/>
      <c r="E125" s="138"/>
      <c r="F125" s="135">
        <v>118690</v>
      </c>
      <c r="G125" s="135"/>
      <c r="H125" s="135"/>
      <c r="R125"/>
      <c r="S125">
        <v>1200000</v>
      </c>
      <c r="T125">
        <v>350000</v>
      </c>
      <c r="U125">
        <v>300000</v>
      </c>
      <c r="V125">
        <v>300000</v>
      </c>
    </row>
    <row r="126" spans="1:22" s="30" customFormat="1" x14ac:dyDescent="0.35">
      <c r="A126" s="138" t="s">
        <v>94</v>
      </c>
      <c r="B126" s="138"/>
      <c r="C126" s="138"/>
      <c r="D126" s="138"/>
      <c r="E126" s="138"/>
      <c r="F126" s="135">
        <v>15000</v>
      </c>
      <c r="G126" s="135"/>
      <c r="H126" s="135"/>
      <c r="R126"/>
      <c r="S126">
        <v>1600000</v>
      </c>
      <c r="T126">
        <v>700000</v>
      </c>
      <c r="U126">
        <v>600000</v>
      </c>
      <c r="V126"/>
    </row>
    <row r="127" spans="1:22" s="30" customFormat="1" x14ac:dyDescent="0.35">
      <c r="A127" s="138" t="s">
        <v>381</v>
      </c>
      <c r="B127" s="138"/>
      <c r="C127" s="138"/>
      <c r="D127" s="138"/>
      <c r="E127" s="138"/>
      <c r="F127" s="135">
        <v>20000</v>
      </c>
      <c r="G127" s="135"/>
      <c r="H127" s="135"/>
      <c r="R127"/>
      <c r="S127">
        <v>1500000</v>
      </c>
      <c r="T127">
        <v>600000</v>
      </c>
      <c r="U127">
        <v>500000</v>
      </c>
      <c r="V127" s="20"/>
    </row>
    <row r="128" spans="1:22" s="30" customFormat="1" x14ac:dyDescent="0.35">
      <c r="A128" s="138" t="s">
        <v>382</v>
      </c>
      <c r="B128" s="138"/>
      <c r="C128" s="138"/>
      <c r="D128" s="138"/>
      <c r="E128" s="138"/>
      <c r="F128" s="135">
        <v>85500</v>
      </c>
      <c r="G128" s="135"/>
      <c r="H128" s="135"/>
      <c r="R128"/>
      <c r="S128">
        <v>1300000</v>
      </c>
      <c r="T128">
        <v>400000</v>
      </c>
      <c r="U128">
        <v>350000</v>
      </c>
      <c r="V128" s="20">
        <v>400000</v>
      </c>
    </row>
    <row r="129" spans="1:22" s="30" customFormat="1" x14ac:dyDescent="0.35">
      <c r="A129" s="138" t="s">
        <v>383</v>
      </c>
      <c r="B129" s="138"/>
      <c r="C129" s="138"/>
      <c r="D129" s="138"/>
      <c r="E129" s="138"/>
      <c r="F129" s="135">
        <v>10000</v>
      </c>
      <c r="G129" s="135"/>
      <c r="H129" s="135"/>
      <c r="R129"/>
      <c r="S129">
        <v>1400000</v>
      </c>
      <c r="T129">
        <v>500000</v>
      </c>
      <c r="U129">
        <v>400000</v>
      </c>
      <c r="V129"/>
    </row>
    <row r="130" spans="1:22" s="30" customFormat="1" x14ac:dyDescent="0.35">
      <c r="A130" s="138" t="s">
        <v>384</v>
      </c>
      <c r="B130" s="138"/>
      <c r="C130" s="138"/>
      <c r="D130" s="138"/>
      <c r="E130" s="138"/>
      <c r="F130" s="135">
        <v>25000</v>
      </c>
      <c r="G130" s="135"/>
      <c r="H130" s="135"/>
      <c r="R130"/>
      <c r="S130">
        <v>1300000</v>
      </c>
      <c r="T130">
        <v>400000</v>
      </c>
      <c r="U130">
        <v>350000</v>
      </c>
      <c r="V130" s="20">
        <v>400000</v>
      </c>
    </row>
    <row r="131" spans="1:22" s="30" customFormat="1" x14ac:dyDescent="0.35">
      <c r="A131" s="138" t="s">
        <v>385</v>
      </c>
      <c r="B131" s="138"/>
      <c r="C131" s="138"/>
      <c r="D131" s="138"/>
      <c r="E131" s="138"/>
      <c r="F131" s="135">
        <v>61500</v>
      </c>
      <c r="G131" s="135"/>
      <c r="H131" s="135"/>
      <c r="R131"/>
      <c r="S131">
        <v>1700000</v>
      </c>
      <c r="T131">
        <v>800000</v>
      </c>
      <c r="U131"/>
      <c r="V131" s="20"/>
    </row>
    <row r="132" spans="1:22" s="30" customFormat="1" hidden="1" x14ac:dyDescent="0.35">
      <c r="A132" s="138" t="s">
        <v>93</v>
      </c>
      <c r="B132" s="138"/>
      <c r="C132" s="138"/>
      <c r="D132" s="138"/>
      <c r="E132" s="138"/>
      <c r="F132" s="135"/>
      <c r="G132" s="135"/>
      <c r="H132" s="135"/>
      <c r="R132"/>
      <c r="S132">
        <v>1500000</v>
      </c>
      <c r="T132">
        <v>600000</v>
      </c>
      <c r="U132">
        <v>500000</v>
      </c>
      <c r="V132" s="20"/>
    </row>
    <row r="133" spans="1:22" s="30" customFormat="1" hidden="1" x14ac:dyDescent="0.35">
      <c r="A133" s="138" t="s">
        <v>95</v>
      </c>
      <c r="B133" s="138"/>
      <c r="C133" s="138"/>
      <c r="D133" s="138"/>
      <c r="E133" s="138"/>
      <c r="F133" s="135"/>
      <c r="G133" s="135"/>
      <c r="H133" s="135"/>
      <c r="R133"/>
      <c r="S133">
        <v>1700000</v>
      </c>
      <c r="T133">
        <v>800000</v>
      </c>
      <c r="U133"/>
      <c r="V133" s="20"/>
    </row>
    <row r="134" spans="1:22" x14ac:dyDescent="0.35">
      <c r="A134" s="138" t="s">
        <v>49</v>
      </c>
      <c r="B134" s="138"/>
      <c r="C134" s="138"/>
      <c r="D134" s="138"/>
      <c r="E134" s="138"/>
      <c r="F134" s="135">
        <v>800000</v>
      </c>
      <c r="G134" s="135"/>
      <c r="H134" s="135"/>
      <c r="R134"/>
      <c r="S134">
        <v>1800000</v>
      </c>
      <c r="T134">
        <v>900000</v>
      </c>
      <c r="U134"/>
    </row>
    <row r="135" spans="1:22" s="31" customFormat="1" x14ac:dyDescent="0.35">
      <c r="A135" s="186" t="s">
        <v>50</v>
      </c>
      <c r="B135" s="186"/>
      <c r="C135" s="186"/>
      <c r="D135" s="186"/>
      <c r="E135" s="186"/>
      <c r="F135" s="135">
        <f>F121*0.8</f>
        <v>15600</v>
      </c>
      <c r="G135" s="135"/>
      <c r="H135" s="135"/>
      <c r="R135" s="18"/>
      <c r="S135" s="18"/>
      <c r="T135">
        <v>1000000</v>
      </c>
      <c r="U135"/>
      <c r="V135" s="18"/>
    </row>
    <row r="136" spans="1:22" s="32" customFormat="1" ht="15.75" customHeight="1" x14ac:dyDescent="0.35">
      <c r="A136" s="185" t="s">
        <v>72</v>
      </c>
      <c r="B136" s="185"/>
      <c r="C136" s="185"/>
      <c r="D136" s="185"/>
      <c r="E136" s="185"/>
      <c r="F136" s="185"/>
      <c r="G136" s="185"/>
      <c r="H136" s="185"/>
      <c r="R136"/>
      <c r="S136" s="18"/>
      <c r="T136"/>
      <c r="U136"/>
      <c r="V136" s="18"/>
    </row>
    <row r="137" spans="1:22" s="32" customFormat="1" ht="15.75" customHeight="1" x14ac:dyDescent="0.35">
      <c r="A137" s="137" t="s">
        <v>51</v>
      </c>
      <c r="B137" s="137"/>
      <c r="C137" s="140" t="s">
        <v>75</v>
      </c>
      <c r="D137" s="140"/>
      <c r="E137" s="139" t="s">
        <v>52</v>
      </c>
      <c r="F137" s="139"/>
      <c r="G137" s="137" t="s">
        <v>53</v>
      </c>
      <c r="H137" s="137"/>
      <c r="R137"/>
      <c r="S137" s="18"/>
      <c r="T137"/>
      <c r="U137" s="18"/>
      <c r="V137" s="18"/>
    </row>
    <row r="138" spans="1:22" s="32" customFormat="1" x14ac:dyDescent="0.35">
      <c r="A138" s="250" t="s">
        <v>363</v>
      </c>
      <c r="B138" s="71" t="s">
        <v>366</v>
      </c>
      <c r="C138" s="179">
        <f>COUNT(F153)+COUNT(F157)+COUNT(F159)*3+COUNT(F161)</f>
        <v>6</v>
      </c>
      <c r="D138" s="180"/>
      <c r="E138" s="179">
        <f>SUM(F153)+SUM(F157)+SUM(F159)*3+SUM(F161)</f>
        <v>14906.977487999999</v>
      </c>
      <c r="F138" s="180"/>
      <c r="G138" s="179">
        <f>SUM(H153)+SUM(H157)+SUM(H159)*3+SUM(H161)</f>
        <v>23105.815106399998</v>
      </c>
      <c r="H138" s="180"/>
      <c r="R138"/>
      <c r="S138" s="18"/>
      <c r="T138"/>
      <c r="U138" s="18"/>
      <c r="V138" s="18"/>
    </row>
    <row r="139" spans="1:22" s="32" customFormat="1" x14ac:dyDescent="0.35">
      <c r="A139" s="251"/>
      <c r="B139" s="71" t="s">
        <v>400</v>
      </c>
      <c r="C139" s="223">
        <f>COUNT(F155)</f>
        <v>1</v>
      </c>
      <c r="D139" s="223"/>
      <c r="E139" s="223">
        <f>SUM(F155)</f>
        <v>2876.6366616</v>
      </c>
      <c r="F139" s="223"/>
      <c r="G139" s="223">
        <f>SUM(H155)</f>
        <v>4458.7868254800005</v>
      </c>
      <c r="H139" s="223"/>
      <c r="R139"/>
      <c r="S139" s="18"/>
      <c r="T139"/>
      <c r="U139" s="18"/>
      <c r="V139" s="18"/>
    </row>
    <row r="140" spans="1:22" s="32" customFormat="1" x14ac:dyDescent="0.35">
      <c r="A140" s="185" t="s">
        <v>148</v>
      </c>
      <c r="B140" s="185"/>
      <c r="C140" s="247">
        <f>SUM(C138:C139)</f>
        <v>7</v>
      </c>
      <c r="D140" s="140"/>
      <c r="E140" s="248">
        <f>SUM(E138:E139)</f>
        <v>17783.614149599998</v>
      </c>
      <c r="F140" s="139"/>
      <c r="G140" s="137">
        <f>SUM(G138:G139)</f>
        <v>27564.601931879999</v>
      </c>
      <c r="H140" s="137"/>
      <c r="R140"/>
      <c r="S140" s="18"/>
      <c r="T140"/>
      <c r="U140" s="18"/>
      <c r="V140" s="18"/>
    </row>
    <row r="141" spans="1:22" s="32" customFormat="1" x14ac:dyDescent="0.35">
      <c r="A141" s="185" t="s">
        <v>67</v>
      </c>
      <c r="B141" s="185"/>
      <c r="C141" s="185"/>
      <c r="D141" s="185"/>
      <c r="E141" s="185"/>
      <c r="F141" s="185"/>
      <c r="G141" s="185"/>
      <c r="H141" s="185"/>
      <c r="T141"/>
    </row>
    <row r="142" spans="1:22" s="32" customFormat="1" ht="15.75" customHeight="1" x14ac:dyDescent="0.35">
      <c r="A142" s="137" t="s">
        <v>51</v>
      </c>
      <c r="B142" s="137"/>
      <c r="C142" s="140" t="s">
        <v>75</v>
      </c>
      <c r="D142" s="140"/>
      <c r="E142" s="139" t="s">
        <v>52</v>
      </c>
      <c r="F142" s="139"/>
      <c r="G142" s="137" t="s">
        <v>53</v>
      </c>
      <c r="H142" s="137"/>
      <c r="T142"/>
    </row>
    <row r="143" spans="1:22" s="32" customFormat="1" x14ac:dyDescent="0.35">
      <c r="A143" s="188" t="s">
        <v>359</v>
      </c>
      <c r="B143" s="188"/>
      <c r="C143" s="223">
        <f>COUNT(F175:F179)*14+COUNT(F181,F183:F185)+COUNT(F187,F189:F191)+COUNT(F195:F197)</f>
        <v>81</v>
      </c>
      <c r="D143" s="223"/>
      <c r="E143" s="223">
        <f>SUM(F175:F179)*14+SUM(F181,F183:F185)+SUM(F187,F189:F191)+SUM(F195:F197)</f>
        <v>44746.593839999994</v>
      </c>
      <c r="F143" s="223"/>
      <c r="G143" s="223">
        <f>SUM(H175:H179)*14+SUM(H181,H183:H185)+SUM(H187,H189:H191)+SUM(H195:H197)</f>
        <v>67119.890760000009</v>
      </c>
      <c r="H143" s="223"/>
      <c r="T143"/>
    </row>
    <row r="144" spans="1:22" s="32" customFormat="1" x14ac:dyDescent="0.35">
      <c r="A144" s="188" t="s">
        <v>361</v>
      </c>
      <c r="B144" s="188"/>
      <c r="C144" s="223">
        <f>COUNT(F203:F207)*14+COUNT(F209,F211:F213)+COUNT(F215,F217:F219)+COUNT(F223:F225)</f>
        <v>81</v>
      </c>
      <c r="D144" s="223"/>
      <c r="E144" s="223">
        <f>SUM(F203:F207)*14+SUM(F209,F211:F213)+SUM(F215,F217:F219)+SUM(F223:F225)</f>
        <v>44756.281439999999</v>
      </c>
      <c r="F144" s="223"/>
      <c r="G144" s="223">
        <f>SUM(H203:H207)*14+SUM(H209,H211:H213)+SUM(H215,H217:H219)+SUM(H223:H225)</f>
        <v>67134.422160000002</v>
      </c>
      <c r="H144" s="223"/>
      <c r="T144"/>
    </row>
    <row r="145" spans="1:20" s="32" customFormat="1" ht="16" thickBot="1" x14ac:dyDescent="0.4">
      <c r="A145" s="244" t="s">
        <v>148</v>
      </c>
      <c r="B145" s="244"/>
      <c r="C145" s="181">
        <f>SUM(C143:C144)</f>
        <v>162</v>
      </c>
      <c r="D145" s="182"/>
      <c r="E145" s="245">
        <f>SUM(E143:E144)</f>
        <v>89502.875279999993</v>
      </c>
      <c r="F145" s="245"/>
      <c r="G145" s="246">
        <f>SUM(G143:G144)</f>
        <v>134254.31292</v>
      </c>
      <c r="H145" s="246"/>
      <c r="T145"/>
    </row>
    <row r="146" spans="1:20" s="32" customFormat="1" ht="16" thickBot="1" x14ac:dyDescent="0.4">
      <c r="A146" s="237" t="s">
        <v>165</v>
      </c>
      <c r="B146" s="238"/>
      <c r="C146" s="239">
        <f>C140+C145</f>
        <v>169</v>
      </c>
      <c r="D146" s="240"/>
      <c r="E146" s="241">
        <f>E140+E145</f>
        <v>107286.48942959998</v>
      </c>
      <c r="F146" s="241"/>
      <c r="G146" s="227">
        <f>G140+G145</f>
        <v>161818.91485187999</v>
      </c>
      <c r="H146" s="228"/>
      <c r="T146"/>
    </row>
    <row r="147" spans="1:20" s="31" customFormat="1" x14ac:dyDescent="0.35">
      <c r="A147" s="232" t="s">
        <v>54</v>
      </c>
      <c r="B147" s="232"/>
      <c r="C147" s="232"/>
      <c r="D147" s="232"/>
      <c r="E147" s="232"/>
      <c r="F147" s="232"/>
      <c r="G147" s="232"/>
      <c r="H147" s="232"/>
      <c r="T147" s="32"/>
    </row>
    <row r="148" spans="1:20" x14ac:dyDescent="0.35">
      <c r="A148" s="136" t="s">
        <v>173</v>
      </c>
      <c r="B148" s="136"/>
      <c r="C148" s="136"/>
      <c r="D148" s="136"/>
      <c r="E148" s="136"/>
      <c r="F148" s="136"/>
      <c r="G148" s="136"/>
      <c r="H148" s="136"/>
      <c r="T148" s="32"/>
    </row>
    <row r="149" spans="1:20" ht="47.25" customHeight="1" x14ac:dyDescent="0.35">
      <c r="A149" s="177" t="s">
        <v>373</v>
      </c>
      <c r="B149" s="177" t="s">
        <v>176</v>
      </c>
      <c r="C149" s="177" t="s">
        <v>55</v>
      </c>
      <c r="D149" s="177" t="s">
        <v>233</v>
      </c>
      <c r="E149" s="225" t="s">
        <v>154</v>
      </c>
      <c r="F149" s="177" t="s">
        <v>56</v>
      </c>
      <c r="G149" s="225" t="s">
        <v>57</v>
      </c>
      <c r="H149" s="73" t="s">
        <v>146</v>
      </c>
      <c r="T149" s="32"/>
    </row>
    <row r="150" spans="1:20" s="34" customFormat="1" x14ac:dyDescent="0.35">
      <c r="A150" s="178"/>
      <c r="B150" s="178"/>
      <c r="C150" s="178"/>
      <c r="D150" s="178"/>
      <c r="E150" s="226"/>
      <c r="F150" s="178"/>
      <c r="G150" s="226"/>
      <c r="H150" s="74">
        <v>0.55000000000000004</v>
      </c>
      <c r="T150" s="32"/>
    </row>
    <row r="151" spans="1:20" s="72" customFormat="1" x14ac:dyDescent="0.35">
      <c r="A151" s="254" t="s">
        <v>363</v>
      </c>
      <c r="B151" s="255"/>
      <c r="C151" s="255"/>
      <c r="D151" s="255"/>
      <c r="E151" s="255"/>
      <c r="F151" s="255"/>
      <c r="G151" s="255"/>
      <c r="H151" s="256"/>
      <c r="J151" s="77">
        <v>10.763999999999999</v>
      </c>
    </row>
    <row r="152" spans="1:20" s="72" customFormat="1" x14ac:dyDescent="0.35">
      <c r="A152" s="143" t="s">
        <v>364</v>
      </c>
      <c r="B152" s="144"/>
      <c r="C152" s="144"/>
      <c r="D152" s="144"/>
      <c r="E152" s="144"/>
      <c r="F152" s="144"/>
      <c r="G152" s="144"/>
      <c r="H152" s="145"/>
      <c r="J152" s="33"/>
      <c r="T152" s="32"/>
    </row>
    <row r="153" spans="1:20" s="72" customFormat="1" x14ac:dyDescent="0.35">
      <c r="A153" s="106">
        <v>1</v>
      </c>
      <c r="B153" s="107"/>
      <c r="C153" s="75" t="s">
        <v>366</v>
      </c>
      <c r="D153" s="77">
        <f>(213.64)*10.764</f>
        <v>2299.6209599999997</v>
      </c>
      <c r="E153" s="75">
        <f>(14.1*9.16)*10.764</f>
        <v>1390.2351839999999</v>
      </c>
      <c r="F153" s="75">
        <f>D153+(IF(E153&lt;201,E153,IF(E153&lt;301,E153/2,E153/3)))</f>
        <v>2763.0326879999998</v>
      </c>
      <c r="G153" s="76">
        <v>0</v>
      </c>
      <c r="H153" s="75">
        <f>(F153+(IF(G153&lt;101,G153,IF(G153&lt;201,G153/2,IF(G153&lt;=301,G153/3,G153/4)))))*(($H$150)+1)</f>
        <v>4282.7006664</v>
      </c>
      <c r="I153" s="33"/>
      <c r="L153" s="100"/>
      <c r="M153" s="100"/>
      <c r="N153" s="33"/>
      <c r="T153" s="32"/>
    </row>
    <row r="154" spans="1:20" s="87" customFormat="1" x14ac:dyDescent="0.35">
      <c r="A154" s="143" t="s">
        <v>396</v>
      </c>
      <c r="B154" s="144"/>
      <c r="C154" s="144"/>
      <c r="D154" s="144"/>
      <c r="E154" s="144"/>
      <c r="F154" s="144"/>
      <c r="G154" s="144"/>
      <c r="H154" s="145"/>
      <c r="J154" s="33"/>
      <c r="T154" s="32"/>
    </row>
    <row r="155" spans="1:20" s="87" customFormat="1" ht="31" x14ac:dyDescent="0.35">
      <c r="A155" s="106">
        <v>1</v>
      </c>
      <c r="B155" s="107"/>
      <c r="C155" s="75" t="s">
        <v>397</v>
      </c>
      <c r="D155" s="77">
        <f>(229.09)*10.764</f>
        <v>2465.9247599999999</v>
      </c>
      <c r="E155" s="75">
        <f>(12.02*9.16+0.9*4.85)*10.764</f>
        <v>1232.1357048</v>
      </c>
      <c r="F155" s="75">
        <f>D155+(IF(E155&lt;201,E155,IF(E155&lt;301,E155/2,E155/3)))</f>
        <v>2876.6366616</v>
      </c>
      <c r="G155" s="76">
        <v>0</v>
      </c>
      <c r="H155" s="75">
        <f>(F155+(IF(G155&lt;101,G155,IF(G155&lt;201,G155/2,IF(G155&lt;=301,G155/3,G155/4)))))*(($H$150)+1)</f>
        <v>4458.7868254800005</v>
      </c>
      <c r="I155" s="33"/>
      <c r="L155" s="100"/>
      <c r="M155" s="100"/>
      <c r="N155" s="33"/>
      <c r="T155" s="32"/>
    </row>
    <row r="156" spans="1:20" s="72" customFormat="1" x14ac:dyDescent="0.35">
      <c r="A156" s="143" t="s">
        <v>115</v>
      </c>
      <c r="B156" s="144"/>
      <c r="C156" s="144"/>
      <c r="D156" s="144"/>
      <c r="E156" s="144"/>
      <c r="F156" s="144"/>
      <c r="G156" s="144"/>
      <c r="H156" s="145"/>
      <c r="J156" s="33"/>
      <c r="T156" s="32"/>
    </row>
    <row r="157" spans="1:20" s="72" customFormat="1" ht="15.75" customHeight="1" x14ac:dyDescent="0.35">
      <c r="A157" s="106">
        <v>1</v>
      </c>
      <c r="B157" s="107"/>
      <c r="C157" s="75" t="s">
        <v>366</v>
      </c>
      <c r="D157" s="77">
        <f>(225.64)*10.764</f>
        <v>2428.7889599999999</v>
      </c>
      <c r="E157" s="75">
        <v>0</v>
      </c>
      <c r="F157" s="75">
        <f>D157+(IF(E157&lt;201,E157,IF(E157&lt;301,E157/2,E157/3)))</f>
        <v>2428.7889599999999</v>
      </c>
      <c r="G157" s="76">
        <v>0</v>
      </c>
      <c r="H157" s="75">
        <f>(F157+(IF(G157&lt;101,G157,IF(G157&lt;201,G157/2,IF(G157&lt;=301,G157/3,G157/4)))))*(($H$150)+1)</f>
        <v>3764.6228879999999</v>
      </c>
      <c r="I157" s="33">
        <f>9*7.51+5.7*1.65+1.88*1.8+1.5*1.5+1.5*1.5</f>
        <v>84.879000000000005</v>
      </c>
      <c r="L157" s="100"/>
      <c r="M157" s="100"/>
      <c r="N157" s="33"/>
      <c r="T157" s="32"/>
    </row>
    <row r="158" spans="1:20" s="72" customFormat="1" x14ac:dyDescent="0.35">
      <c r="A158" s="143" t="s">
        <v>398</v>
      </c>
      <c r="B158" s="144"/>
      <c r="C158" s="144"/>
      <c r="D158" s="144"/>
      <c r="E158" s="144"/>
      <c r="F158" s="144"/>
      <c r="G158" s="144"/>
      <c r="H158" s="145"/>
      <c r="J158" s="33"/>
      <c r="T158" s="32"/>
    </row>
    <row r="159" spans="1:20" s="72" customFormat="1" ht="15.75" customHeight="1" x14ac:dyDescent="0.35">
      <c r="A159" s="106">
        <v>1</v>
      </c>
      <c r="B159" s="107"/>
      <c r="C159" s="75" t="s">
        <v>366</v>
      </c>
      <c r="D159" s="77">
        <f>(225.64)*10.764</f>
        <v>2428.7889599999999</v>
      </c>
      <c r="E159" s="75">
        <v>0</v>
      </c>
      <c r="F159" s="75">
        <f>D159+(IF(E159&lt;201,E159,IF(E159&lt;301,E159/2,E159/3)))</f>
        <v>2428.7889599999999</v>
      </c>
      <c r="G159" s="76">
        <v>0</v>
      </c>
      <c r="H159" s="75">
        <f>(F159+(IF(G159&lt;101,G159,IF(G159&lt;201,G159/2,IF(G159&lt;=301,G159/3,G159/4)))))*(($H$150)+1)</f>
        <v>3764.6228879999999</v>
      </c>
      <c r="I159" s="33"/>
      <c r="L159" s="100"/>
      <c r="M159" s="100"/>
      <c r="N159" s="33"/>
      <c r="T159" s="32"/>
    </row>
    <row r="160" spans="1:20" s="72" customFormat="1" x14ac:dyDescent="0.35">
      <c r="A160" s="143" t="s">
        <v>399</v>
      </c>
      <c r="B160" s="144"/>
      <c r="C160" s="144"/>
      <c r="D160" s="144"/>
      <c r="E160" s="144"/>
      <c r="F160" s="144"/>
      <c r="G160" s="144"/>
      <c r="H160" s="145"/>
      <c r="J160" s="33"/>
      <c r="T160" s="32"/>
    </row>
    <row r="161" spans="1:20" s="72" customFormat="1" ht="15.75" customHeight="1" x14ac:dyDescent="0.35">
      <c r="A161" s="106">
        <v>1</v>
      </c>
      <c r="B161" s="107"/>
      <c r="C161" s="75" t="s">
        <v>366</v>
      </c>
      <c r="D161" s="77">
        <f>(225.64)*10.764</f>
        <v>2428.7889599999999</v>
      </c>
      <c r="E161" s="75">
        <v>0</v>
      </c>
      <c r="F161" s="75">
        <f>D161+(IF(E161&lt;201,E161,IF(E161&lt;301,E161/2,E161/3)))</f>
        <v>2428.7889599999999</v>
      </c>
      <c r="G161" s="76">
        <v>0</v>
      </c>
      <c r="H161" s="75">
        <f>(F161+(IF(G161&lt;101,G161,IF(G161&lt;201,G161/2,IF(G161&lt;=301,G161/3,G161/4)))))*(($H$150)+1)</f>
        <v>3764.6228879999999</v>
      </c>
      <c r="I161" s="33"/>
      <c r="L161" s="100"/>
      <c r="M161" s="100"/>
      <c r="N161" s="33"/>
      <c r="T161" s="32"/>
    </row>
    <row r="162" spans="1:20" s="34" customFormat="1" hidden="1" x14ac:dyDescent="0.35">
      <c r="A162" s="143" t="s">
        <v>114</v>
      </c>
      <c r="B162" s="144"/>
      <c r="C162" s="144"/>
      <c r="D162" s="144"/>
      <c r="E162" s="144"/>
      <c r="F162" s="144"/>
      <c r="G162" s="144"/>
      <c r="H162" s="145"/>
      <c r="J162" s="33"/>
      <c r="T162" s="32"/>
    </row>
    <row r="163" spans="1:20" s="34" customFormat="1" ht="15.75" hidden="1" customHeight="1" x14ac:dyDescent="0.35">
      <c r="A163" s="106">
        <v>1</v>
      </c>
      <c r="B163" s="107"/>
      <c r="C163" s="75"/>
      <c r="D163" s="75">
        <v>0</v>
      </c>
      <c r="E163" s="75">
        <v>0</v>
      </c>
      <c r="F163" s="75">
        <f>D163+(IF(E163&lt;201,E163,IF(E163&lt;301,E163/2,E163/3)))</f>
        <v>0</v>
      </c>
      <c r="G163" s="76">
        <v>0</v>
      </c>
      <c r="H163" s="75">
        <f>(F163+(IF(G163&lt;101,G163,IF(G163&lt;201,G163/2,IF(G163&lt;=301,G163/3,G163/4)))))*(($H$150)+1)</f>
        <v>0</v>
      </c>
      <c r="I163" s="33"/>
      <c r="L163" s="100"/>
      <c r="M163" s="100"/>
      <c r="N163" s="33"/>
      <c r="T163" s="32"/>
    </row>
    <row r="164" spans="1:20" s="34" customFormat="1" ht="15.75" hidden="1" customHeight="1" x14ac:dyDescent="0.35">
      <c r="A164" s="106">
        <f>A163+1</f>
        <v>2</v>
      </c>
      <c r="B164" s="107"/>
      <c r="C164" s="75"/>
      <c r="D164" s="75"/>
      <c r="E164" s="75">
        <v>0</v>
      </c>
      <c r="F164" s="75">
        <f t="shared" ref="F164:F166" si="0">D164+(IF(E164&lt;201,E164,IF(E164&lt;301,E164/2,E164/3)))</f>
        <v>0</v>
      </c>
      <c r="G164" s="75">
        <v>0</v>
      </c>
      <c r="H164" s="75">
        <f t="shared" ref="H164:H166" si="1">(F164+(IF(G164&lt;101,G164,IF(G164&lt;201,G164/2,IF(G164&lt;=301,G164/3,G164/4)))))*(($H$150)+1)</f>
        <v>0</v>
      </c>
      <c r="I164" s="33"/>
      <c r="L164" s="100"/>
      <c r="M164" s="100"/>
      <c r="N164" s="33"/>
      <c r="T164" s="31"/>
    </row>
    <row r="165" spans="1:20" s="34" customFormat="1" ht="15.75" hidden="1" customHeight="1" x14ac:dyDescent="0.35">
      <c r="A165" s="106">
        <f>A164+1</f>
        <v>3</v>
      </c>
      <c r="B165" s="107"/>
      <c r="C165" s="75"/>
      <c r="D165" s="75"/>
      <c r="E165" s="75">
        <v>0</v>
      </c>
      <c r="F165" s="75">
        <f t="shared" si="0"/>
        <v>0</v>
      </c>
      <c r="G165" s="75">
        <v>0</v>
      </c>
      <c r="H165" s="75">
        <f t="shared" si="1"/>
        <v>0</v>
      </c>
      <c r="I165" s="33"/>
      <c r="L165" s="100"/>
      <c r="M165" s="100"/>
      <c r="N165" s="33"/>
      <c r="T165" s="18"/>
    </row>
    <row r="166" spans="1:20" s="34" customFormat="1" ht="15.75" hidden="1" customHeight="1" x14ac:dyDescent="0.35">
      <c r="A166" s="106">
        <f>A165+1</f>
        <v>4</v>
      </c>
      <c r="B166" s="107"/>
      <c r="C166" s="75"/>
      <c r="D166" s="75"/>
      <c r="E166" s="75">
        <v>0</v>
      </c>
      <c r="F166" s="75">
        <f t="shared" si="0"/>
        <v>0</v>
      </c>
      <c r="G166" s="75">
        <v>0</v>
      </c>
      <c r="H166" s="75">
        <f t="shared" si="1"/>
        <v>0</v>
      </c>
      <c r="I166" s="33"/>
      <c r="L166" s="100"/>
      <c r="M166" s="100"/>
      <c r="N166" s="33"/>
      <c r="T166" s="18"/>
    </row>
    <row r="167" spans="1:20" s="34" customFormat="1" x14ac:dyDescent="0.35">
      <c r="A167" s="106"/>
      <c r="B167" s="111"/>
      <c r="C167" s="111"/>
      <c r="D167" s="111"/>
      <c r="E167" s="111"/>
      <c r="F167" s="111"/>
      <c r="G167" s="111"/>
      <c r="H167" s="107"/>
      <c r="I167" s="33"/>
      <c r="N167" s="33"/>
    </row>
    <row r="168" spans="1:20" ht="47.25" customHeight="1" x14ac:dyDescent="0.35">
      <c r="A168" s="252" t="s">
        <v>374</v>
      </c>
      <c r="B168" s="177" t="s">
        <v>177</v>
      </c>
      <c r="C168" s="177" t="s">
        <v>55</v>
      </c>
      <c r="D168" s="177" t="s">
        <v>233</v>
      </c>
      <c r="E168" s="177" t="s">
        <v>232</v>
      </c>
      <c r="F168" s="177" t="s">
        <v>56</v>
      </c>
      <c r="G168" s="225" t="s">
        <v>57</v>
      </c>
      <c r="H168" s="73" t="s">
        <v>146</v>
      </c>
      <c r="I168" s="33"/>
      <c r="T168" s="34"/>
    </row>
    <row r="169" spans="1:20" s="34" customFormat="1" x14ac:dyDescent="0.35">
      <c r="A169" s="253"/>
      <c r="B169" s="178"/>
      <c r="C169" s="178"/>
      <c r="D169" s="178"/>
      <c r="E169" s="178"/>
      <c r="F169" s="178"/>
      <c r="G169" s="226"/>
      <c r="H169" s="74">
        <v>0.5</v>
      </c>
      <c r="I169" s="33"/>
    </row>
    <row r="170" spans="1:20" s="72" customFormat="1" x14ac:dyDescent="0.35">
      <c r="A170" s="254" t="s">
        <v>359</v>
      </c>
      <c r="B170" s="255"/>
      <c r="C170" s="255"/>
      <c r="D170" s="255"/>
      <c r="E170" s="255"/>
      <c r="F170" s="255"/>
      <c r="G170" s="255"/>
      <c r="H170" s="256"/>
      <c r="J170" s="33"/>
    </row>
    <row r="171" spans="1:20" s="72" customFormat="1" x14ac:dyDescent="0.35">
      <c r="A171" s="143" t="s">
        <v>360</v>
      </c>
      <c r="B171" s="144"/>
      <c r="C171" s="144"/>
      <c r="D171" s="144"/>
      <c r="E171" s="144"/>
      <c r="F171" s="144"/>
      <c r="G171" s="144"/>
      <c r="H171" s="145"/>
      <c r="J171" s="33"/>
    </row>
    <row r="172" spans="1:20" s="72" customFormat="1" x14ac:dyDescent="0.35">
      <c r="A172" s="143" t="s">
        <v>365</v>
      </c>
      <c r="B172" s="144"/>
      <c r="C172" s="144"/>
      <c r="D172" s="144"/>
      <c r="E172" s="144"/>
      <c r="F172" s="144"/>
      <c r="G172" s="144"/>
      <c r="H172" s="145"/>
      <c r="J172" s="33"/>
    </row>
    <row r="173" spans="1:20" s="72" customFormat="1" x14ac:dyDescent="0.35">
      <c r="A173" s="143" t="s">
        <v>367</v>
      </c>
      <c r="B173" s="144"/>
      <c r="C173" s="144"/>
      <c r="D173" s="144"/>
      <c r="E173" s="144"/>
      <c r="F173" s="144"/>
      <c r="G173" s="144"/>
      <c r="H173" s="145"/>
      <c r="J173" s="33"/>
    </row>
    <row r="174" spans="1:20" s="72" customFormat="1" x14ac:dyDescent="0.35">
      <c r="A174" s="143" t="s">
        <v>392</v>
      </c>
      <c r="B174" s="144"/>
      <c r="C174" s="144"/>
      <c r="D174" s="144"/>
      <c r="E174" s="144"/>
      <c r="F174" s="144"/>
      <c r="G174" s="144"/>
      <c r="H174" s="145"/>
      <c r="J174" s="33"/>
    </row>
    <row r="175" spans="1:20" s="72" customFormat="1" ht="15.75" customHeight="1" x14ac:dyDescent="0.35">
      <c r="A175" s="106">
        <v>1</v>
      </c>
      <c r="B175" s="107"/>
      <c r="C175" s="75" t="s">
        <v>369</v>
      </c>
      <c r="D175" s="77">
        <f>(63.04)*10.764</f>
        <v>678.56255999999996</v>
      </c>
      <c r="E175" s="75">
        <v>0</v>
      </c>
      <c r="F175" s="75">
        <f>D175+E175</f>
        <v>678.56255999999996</v>
      </c>
      <c r="G175" s="75">
        <v>0</v>
      </c>
      <c r="H175" s="75">
        <f>F175*(($H$169)+1)+(IF(G175&lt;101,G175,IF(G175&lt;201,G175/2,IF(G175&lt;=301,G175/3,G175/4))))</f>
        <v>1017.84384</v>
      </c>
      <c r="I175" s="33">
        <f>3.21*5.325+2.3*3.2+2.27*2.37+0.58*1+3.05*3.35+3.05*3.91+1.22*2.15+2.45*1.22+1.72*1</f>
        <v>59.888149999999989</v>
      </c>
      <c r="L175" s="100"/>
      <c r="M175" s="100"/>
      <c r="N175" s="33"/>
    </row>
    <row r="176" spans="1:20" s="72" customFormat="1" ht="15.75" customHeight="1" x14ac:dyDescent="0.35">
      <c r="A176" s="106">
        <f>A175+1</f>
        <v>2</v>
      </c>
      <c r="B176" s="107"/>
      <c r="C176" s="75" t="s">
        <v>369</v>
      </c>
      <c r="D176" s="77">
        <f>(63.04)*10.764</f>
        <v>678.56255999999996</v>
      </c>
      <c r="E176" s="75">
        <v>0</v>
      </c>
      <c r="F176" s="75">
        <f>D176+E176</f>
        <v>678.56255999999996</v>
      </c>
      <c r="G176" s="75">
        <v>0</v>
      </c>
      <c r="H176" s="75">
        <f>F176*(($H$169)+1)+(IF(G176&lt;101,G176,IF(G176&lt;201,G176/2,IF(G176&lt;=301,G176/3,G176/4))))</f>
        <v>1017.84384</v>
      </c>
      <c r="I176" s="33"/>
      <c r="L176" s="100"/>
      <c r="M176" s="100"/>
      <c r="N176" s="33"/>
    </row>
    <row r="177" spans="1:20" s="72" customFormat="1" ht="15.75" customHeight="1" x14ac:dyDescent="0.35">
      <c r="A177" s="106">
        <f>A176+1</f>
        <v>3</v>
      </c>
      <c r="B177" s="107"/>
      <c r="C177" s="75" t="s">
        <v>370</v>
      </c>
      <c r="D177" s="77">
        <f>(39.59)*10.764</f>
        <v>426.14676000000003</v>
      </c>
      <c r="E177" s="75">
        <v>0</v>
      </c>
      <c r="F177" s="75">
        <f>D177+E177</f>
        <v>426.14676000000003</v>
      </c>
      <c r="G177" s="75">
        <v>0</v>
      </c>
      <c r="H177" s="75">
        <f>F177*(($H$169)+1)+(IF(G177&lt;101,G177,IF(G177&lt;201,G177/2,IF(G177&lt;=301,G177/3,G177/4))))</f>
        <v>639.22014000000001</v>
      </c>
      <c r="I177" s="33"/>
      <c r="L177" s="100"/>
      <c r="M177" s="100"/>
      <c r="N177" s="33"/>
    </row>
    <row r="178" spans="1:20" s="72" customFormat="1" ht="15.75" customHeight="1" x14ac:dyDescent="0.35">
      <c r="A178" s="106">
        <f>A177+1</f>
        <v>4</v>
      </c>
      <c r="B178" s="107"/>
      <c r="C178" s="75" t="s">
        <v>370</v>
      </c>
      <c r="D178" s="77">
        <f>(39.67)*10.764</f>
        <v>427.00788</v>
      </c>
      <c r="E178" s="75">
        <v>0</v>
      </c>
      <c r="F178" s="75">
        <f>D178+E178</f>
        <v>427.00788</v>
      </c>
      <c r="G178" s="75">
        <v>0</v>
      </c>
      <c r="H178" s="75">
        <f>F178*(($H$169)+1)+(IF(G178&lt;101,G178,IF(G178&lt;201,G178/2,IF(G178&lt;=301,G178/3,G178/4))))</f>
        <v>640.51181999999994</v>
      </c>
      <c r="I178" s="33"/>
      <c r="J178" s="33">
        <f>12500000/H178</f>
        <v>19515.642974395072</v>
      </c>
      <c r="L178" s="100"/>
      <c r="M178" s="100"/>
      <c r="N178" s="33"/>
      <c r="T178" s="18"/>
    </row>
    <row r="179" spans="1:20" s="72" customFormat="1" ht="15.75" customHeight="1" x14ac:dyDescent="0.35">
      <c r="A179" s="106">
        <f>A178+1</f>
        <v>5</v>
      </c>
      <c r="B179" s="107"/>
      <c r="C179" s="75" t="s">
        <v>369</v>
      </c>
      <c r="D179" s="77">
        <f>(53.75)*10.764</f>
        <v>578.56499999999994</v>
      </c>
      <c r="E179" s="75">
        <v>0</v>
      </c>
      <c r="F179" s="75">
        <f>D179+E179</f>
        <v>578.56499999999994</v>
      </c>
      <c r="G179" s="75">
        <v>0</v>
      </c>
      <c r="H179" s="75">
        <f>F179*(($H$169)+1)+(IF(G179&lt;101,G179,IF(G179&lt;201,G179/2,IF(G179&lt;=301,G179/3,G179/4))))</f>
        <v>867.84749999999985</v>
      </c>
      <c r="I179" s="33"/>
      <c r="J179" s="33">
        <f>16900000/H179</f>
        <v>19473.467400666595</v>
      </c>
      <c r="L179" s="100"/>
      <c r="M179" s="100"/>
      <c r="N179" s="33"/>
      <c r="T179" s="18"/>
    </row>
    <row r="180" spans="1:20" s="72" customFormat="1" x14ac:dyDescent="0.35">
      <c r="A180" s="143" t="s">
        <v>371</v>
      </c>
      <c r="B180" s="144"/>
      <c r="C180" s="144"/>
      <c r="D180" s="144"/>
      <c r="E180" s="144"/>
      <c r="F180" s="144"/>
      <c r="G180" s="144"/>
      <c r="H180" s="145"/>
      <c r="J180" s="33"/>
    </row>
    <row r="181" spans="1:20" s="72" customFormat="1" ht="15.75" customHeight="1" x14ac:dyDescent="0.35">
      <c r="A181" s="106">
        <v>1</v>
      </c>
      <c r="B181" s="107"/>
      <c r="C181" s="75" t="s">
        <v>369</v>
      </c>
      <c r="D181" s="77">
        <f>(63.04)*10.764</f>
        <v>678.56255999999996</v>
      </c>
      <c r="E181" s="75">
        <v>0</v>
      </c>
      <c r="F181" s="75">
        <f>D181+E181</f>
        <v>678.56255999999996</v>
      </c>
      <c r="G181" s="75">
        <v>0</v>
      </c>
      <c r="H181" s="75">
        <f>F181*(($H$169)+1)+(IF(G181&lt;101,G181,IF(G181&lt;201,G181/2,IF(G181&lt;=301,G181/3,G181/4))))</f>
        <v>1017.84384</v>
      </c>
      <c r="I181" s="33"/>
      <c r="J181" s="33">
        <f>19800000/H181</f>
        <v>19452.885817926646</v>
      </c>
      <c r="L181" s="100"/>
      <c r="M181" s="100"/>
      <c r="N181" s="33"/>
    </row>
    <row r="182" spans="1:20" s="72" customFormat="1" ht="15.75" customHeight="1" x14ac:dyDescent="0.35">
      <c r="A182" s="106">
        <f>A181+1</f>
        <v>2</v>
      </c>
      <c r="B182" s="107"/>
      <c r="C182" s="106" t="s">
        <v>372</v>
      </c>
      <c r="D182" s="111"/>
      <c r="E182" s="111"/>
      <c r="F182" s="111"/>
      <c r="G182" s="111"/>
      <c r="H182" s="107"/>
      <c r="I182" s="33"/>
      <c r="L182" s="100"/>
      <c r="M182" s="100"/>
      <c r="N182" s="33"/>
    </row>
    <row r="183" spans="1:20" s="72" customFormat="1" ht="15.75" customHeight="1" x14ac:dyDescent="0.35">
      <c r="A183" s="106">
        <f>A182+1</f>
        <v>3</v>
      </c>
      <c r="B183" s="107"/>
      <c r="C183" s="75" t="s">
        <v>370</v>
      </c>
      <c r="D183" s="77">
        <f>(39.59)*10.764</f>
        <v>426.14676000000003</v>
      </c>
      <c r="E183" s="75">
        <v>0</v>
      </c>
      <c r="F183" s="75">
        <f>D183+E183</f>
        <v>426.14676000000003</v>
      </c>
      <c r="G183" s="75">
        <v>0</v>
      </c>
      <c r="H183" s="75">
        <f>F183*(($H$169)+1)+(IF(G183&lt;101,G183,IF(G183&lt;201,G183/2,IF(G183&lt;=301,G183/3,G183/4))))</f>
        <v>639.22014000000001</v>
      </c>
      <c r="I183" s="33"/>
      <c r="L183" s="100"/>
      <c r="M183" s="100"/>
      <c r="N183" s="33"/>
    </row>
    <row r="184" spans="1:20" s="72" customFormat="1" ht="15.75" customHeight="1" x14ac:dyDescent="0.35">
      <c r="A184" s="106">
        <f>A183+1</f>
        <v>4</v>
      </c>
      <c r="B184" s="107"/>
      <c r="C184" s="75" t="s">
        <v>370</v>
      </c>
      <c r="D184" s="77">
        <f>(39.67)*10.764</f>
        <v>427.00788</v>
      </c>
      <c r="E184" s="75">
        <v>0</v>
      </c>
      <c r="F184" s="75">
        <f>D184+E184</f>
        <v>427.00788</v>
      </c>
      <c r="G184" s="75">
        <v>0</v>
      </c>
      <c r="H184" s="75">
        <f>F184*(($H$169)+1)+(IF(G184&lt;101,G184,IF(G184&lt;201,G184/2,IF(G184&lt;=301,G184/3,G184/4))))</f>
        <v>640.51181999999994</v>
      </c>
      <c r="I184" s="33"/>
      <c r="L184" s="100"/>
      <c r="M184" s="100"/>
      <c r="N184" s="33"/>
      <c r="T184" s="18"/>
    </row>
    <row r="185" spans="1:20" s="72" customFormat="1" ht="15.75" customHeight="1" x14ac:dyDescent="0.35">
      <c r="A185" s="106">
        <f>A184+1</f>
        <v>5</v>
      </c>
      <c r="B185" s="107"/>
      <c r="C185" s="75" t="s">
        <v>369</v>
      </c>
      <c r="D185" s="77">
        <f>(53.75)*10.764</f>
        <v>578.56499999999994</v>
      </c>
      <c r="E185" s="75">
        <v>0</v>
      </c>
      <c r="F185" s="75">
        <f>D185+E185</f>
        <v>578.56499999999994</v>
      </c>
      <c r="G185" s="75">
        <v>0</v>
      </c>
      <c r="H185" s="75">
        <f>F185*(($H$169)+1)+(IF(G185&lt;101,G185,IF(G185&lt;201,G185/2,IF(G185&lt;=301,G185/3,G185/4))))</f>
        <v>867.84749999999985</v>
      </c>
      <c r="I185" s="33"/>
      <c r="L185" s="100"/>
      <c r="M185" s="100"/>
      <c r="N185" s="33"/>
      <c r="T185" s="18"/>
    </row>
    <row r="186" spans="1:20" s="87" customFormat="1" x14ac:dyDescent="0.35">
      <c r="A186" s="143" t="s">
        <v>393</v>
      </c>
      <c r="B186" s="144"/>
      <c r="C186" s="144"/>
      <c r="D186" s="144"/>
      <c r="E186" s="144"/>
      <c r="F186" s="144"/>
      <c r="G186" s="144"/>
      <c r="H186" s="145"/>
      <c r="J186" s="33"/>
    </row>
    <row r="187" spans="1:20" s="87" customFormat="1" ht="15.75" customHeight="1" x14ac:dyDescent="0.35">
      <c r="A187" s="106">
        <v>1</v>
      </c>
      <c r="B187" s="107"/>
      <c r="C187" s="75" t="s">
        <v>369</v>
      </c>
      <c r="D187" s="77">
        <f>(62.14)*10.764</f>
        <v>668.87495999999999</v>
      </c>
      <c r="E187" s="75">
        <v>0</v>
      </c>
      <c r="F187" s="75">
        <f>D187+E187</f>
        <v>668.87495999999999</v>
      </c>
      <c r="G187" s="75">
        <v>0</v>
      </c>
      <c r="H187" s="75">
        <f>F187*(($H$169)+1)+(IF(G187&lt;101,G187,IF(G187&lt;201,G187/2,IF(G187&lt;=301,G187/3,G187/4))))</f>
        <v>1003.3124399999999</v>
      </c>
      <c r="I187" s="33"/>
      <c r="J187" s="33">
        <f>19800000/H187</f>
        <v>19734.630221469197</v>
      </c>
      <c r="L187" s="100"/>
      <c r="M187" s="100"/>
      <c r="N187" s="33"/>
    </row>
    <row r="188" spans="1:20" s="87" customFormat="1" ht="15.75" customHeight="1" x14ac:dyDescent="0.35">
      <c r="A188" s="106">
        <f>A187+1</f>
        <v>2</v>
      </c>
      <c r="B188" s="107"/>
      <c r="C188" s="106" t="s">
        <v>372</v>
      </c>
      <c r="D188" s="111"/>
      <c r="E188" s="111"/>
      <c r="F188" s="111"/>
      <c r="G188" s="111"/>
      <c r="H188" s="107"/>
      <c r="I188" s="33"/>
      <c r="L188" s="100"/>
      <c r="M188" s="100"/>
      <c r="N188" s="33"/>
    </row>
    <row r="189" spans="1:20" s="87" customFormat="1" ht="15.75" customHeight="1" x14ac:dyDescent="0.35">
      <c r="A189" s="106">
        <f>A188+1</f>
        <v>3</v>
      </c>
      <c r="B189" s="107"/>
      <c r="C189" s="75" t="s">
        <v>370</v>
      </c>
      <c r="D189" s="77">
        <f>(39.59)*10.764</f>
        <v>426.14676000000003</v>
      </c>
      <c r="E189" s="75">
        <v>0</v>
      </c>
      <c r="F189" s="75">
        <f>D189+E189</f>
        <v>426.14676000000003</v>
      </c>
      <c r="G189" s="75">
        <v>0</v>
      </c>
      <c r="H189" s="75">
        <f>F189*(($H$169)+1)+(IF(G189&lt;101,G189,IF(G189&lt;201,G189/2,IF(G189&lt;=301,G189/3,G189/4))))</f>
        <v>639.22014000000001</v>
      </c>
      <c r="I189" s="33"/>
      <c r="L189" s="100"/>
      <c r="M189" s="100"/>
      <c r="N189" s="33"/>
    </row>
    <row r="190" spans="1:20" s="87" customFormat="1" ht="15.75" customHeight="1" x14ac:dyDescent="0.35">
      <c r="A190" s="106">
        <f>A189+1</f>
        <v>4</v>
      </c>
      <c r="B190" s="107"/>
      <c r="C190" s="75" t="s">
        <v>370</v>
      </c>
      <c r="D190" s="77">
        <f>(39.67)*10.764</f>
        <v>427.00788</v>
      </c>
      <c r="E190" s="75">
        <v>0</v>
      </c>
      <c r="F190" s="75">
        <f>D190+E190</f>
        <v>427.00788</v>
      </c>
      <c r="G190" s="75">
        <v>0</v>
      </c>
      <c r="H190" s="75">
        <f>F190*(($H$169)+1)+(IF(G190&lt;101,G190,IF(G190&lt;201,G190/2,IF(G190&lt;=301,G190/3,G190/4))))</f>
        <v>640.51181999999994</v>
      </c>
      <c r="I190" s="33"/>
      <c r="L190" s="100"/>
      <c r="M190" s="100"/>
      <c r="N190" s="33"/>
      <c r="T190" s="18"/>
    </row>
    <row r="191" spans="1:20" s="87" customFormat="1" ht="15.75" customHeight="1" x14ac:dyDescent="0.35">
      <c r="A191" s="106">
        <f>A190+1</f>
        <v>5</v>
      </c>
      <c r="B191" s="107"/>
      <c r="C191" s="75" t="s">
        <v>369</v>
      </c>
      <c r="D191" s="77">
        <f>(53.75)*10.764</f>
        <v>578.56499999999994</v>
      </c>
      <c r="E191" s="75">
        <v>0</v>
      </c>
      <c r="F191" s="75">
        <f>D191+E191</f>
        <v>578.56499999999994</v>
      </c>
      <c r="G191" s="75">
        <v>0</v>
      </c>
      <c r="H191" s="75">
        <f>F191*(($H$169)+1)+(IF(G191&lt;101,G191,IF(G191&lt;201,G191/2,IF(G191&lt;=301,G191/3,G191/4))))</f>
        <v>867.84749999999985</v>
      </c>
      <c r="I191" s="33"/>
      <c r="L191" s="100"/>
      <c r="M191" s="100"/>
      <c r="N191" s="33"/>
      <c r="T191" s="18"/>
    </row>
    <row r="192" spans="1:20" s="72" customFormat="1" x14ac:dyDescent="0.35">
      <c r="A192" s="143" t="s">
        <v>394</v>
      </c>
      <c r="B192" s="144"/>
      <c r="C192" s="144"/>
      <c r="D192" s="144"/>
      <c r="E192" s="144"/>
      <c r="F192" s="144"/>
      <c r="G192" s="144"/>
      <c r="H192" s="145"/>
      <c r="J192" s="33"/>
    </row>
    <row r="193" spans="1:20" s="72" customFormat="1" ht="15.75" customHeight="1" x14ac:dyDescent="0.35">
      <c r="A193" s="106">
        <v>1</v>
      </c>
      <c r="B193" s="107"/>
      <c r="C193" s="147" t="s">
        <v>395</v>
      </c>
      <c r="D193" s="148"/>
      <c r="E193" s="148"/>
      <c r="F193" s="148"/>
      <c r="G193" s="148"/>
      <c r="H193" s="149"/>
      <c r="I193" s="33"/>
      <c r="L193" s="100"/>
      <c r="M193" s="100"/>
      <c r="N193" s="33"/>
    </row>
    <row r="194" spans="1:20" s="72" customFormat="1" ht="15.75" customHeight="1" x14ac:dyDescent="0.35">
      <c r="A194" s="106">
        <f>A193+1</f>
        <v>2</v>
      </c>
      <c r="B194" s="107"/>
      <c r="C194" s="150"/>
      <c r="D194" s="151"/>
      <c r="E194" s="151"/>
      <c r="F194" s="151"/>
      <c r="G194" s="151"/>
      <c r="H194" s="152"/>
      <c r="I194" s="33"/>
      <c r="L194" s="100"/>
      <c r="M194" s="100"/>
      <c r="N194" s="33"/>
    </row>
    <row r="195" spans="1:20" s="72" customFormat="1" ht="15.75" customHeight="1" x14ac:dyDescent="0.35">
      <c r="A195" s="106">
        <f>A194+1</f>
        <v>3</v>
      </c>
      <c r="B195" s="107"/>
      <c r="C195" s="75" t="s">
        <v>370</v>
      </c>
      <c r="D195" s="77">
        <f>(45.18)*10.764</f>
        <v>486.31751999999994</v>
      </c>
      <c r="E195" s="75">
        <v>0</v>
      </c>
      <c r="F195" s="75">
        <f>D195+E195</f>
        <v>486.31751999999994</v>
      </c>
      <c r="G195" s="75">
        <v>0</v>
      </c>
      <c r="H195" s="75">
        <f>F195*(($H$169)+1)+(IF(G195&lt;101,G195,IF(G195&lt;201,G195/2,IF(G195&lt;=301,G195/3,G195/4))))</f>
        <v>729.47627999999986</v>
      </c>
      <c r="I195" s="33"/>
      <c r="L195" s="100"/>
      <c r="M195" s="100"/>
      <c r="N195" s="33"/>
    </row>
    <row r="196" spans="1:20" s="72" customFormat="1" ht="15.75" customHeight="1" x14ac:dyDescent="0.35">
      <c r="A196" s="106">
        <f>A195+1</f>
        <v>4</v>
      </c>
      <c r="B196" s="107"/>
      <c r="C196" s="75" t="s">
        <v>370</v>
      </c>
      <c r="D196" s="77">
        <f>(39.67)*10.764</f>
        <v>427.00788</v>
      </c>
      <c r="E196" s="75">
        <v>0</v>
      </c>
      <c r="F196" s="75">
        <f>D196+E196</f>
        <v>427.00788</v>
      </c>
      <c r="G196" s="75">
        <v>0</v>
      </c>
      <c r="H196" s="75">
        <f>F196*(($H$169)+1)+(IF(G196&lt;101,G196,IF(G196&lt;201,G196/2,IF(G196&lt;=301,G196/3,G196/4))))</f>
        <v>640.51181999999994</v>
      </c>
      <c r="I196" s="33"/>
      <c r="L196" s="100"/>
      <c r="M196" s="100"/>
      <c r="N196" s="33"/>
      <c r="T196" s="18"/>
    </row>
    <row r="197" spans="1:20" s="72" customFormat="1" ht="15.75" customHeight="1" x14ac:dyDescent="0.35">
      <c r="A197" s="106">
        <f>A196+1</f>
        <v>5</v>
      </c>
      <c r="B197" s="107"/>
      <c r="C197" s="75" t="s">
        <v>369</v>
      </c>
      <c r="D197" s="77">
        <f>(53.75)*10.764</f>
        <v>578.56499999999994</v>
      </c>
      <c r="E197" s="75">
        <v>0</v>
      </c>
      <c r="F197" s="75">
        <f>D197+E197</f>
        <v>578.56499999999994</v>
      </c>
      <c r="G197" s="75">
        <v>0</v>
      </c>
      <c r="H197" s="75">
        <f>F197*(($H$169)+1)+(IF(G197&lt;101,G197,IF(G197&lt;201,G197/2,IF(G197&lt;=301,G197/3,G197/4))))</f>
        <v>867.84749999999985</v>
      </c>
      <c r="I197" s="33"/>
      <c r="L197" s="100"/>
      <c r="M197" s="100"/>
      <c r="N197" s="33"/>
      <c r="T197" s="18"/>
    </row>
    <row r="198" spans="1:20" s="72" customFormat="1" ht="16" customHeight="1" x14ac:dyDescent="0.35">
      <c r="A198" s="254" t="s">
        <v>361</v>
      </c>
      <c r="B198" s="255"/>
      <c r="C198" s="255"/>
      <c r="D198" s="255"/>
      <c r="E198" s="255"/>
      <c r="F198" s="255"/>
      <c r="G198" s="255"/>
      <c r="H198" s="256"/>
      <c r="J198" s="33"/>
    </row>
    <row r="199" spans="1:20" s="72" customFormat="1" x14ac:dyDescent="0.35">
      <c r="A199" s="143" t="s">
        <v>362</v>
      </c>
      <c r="B199" s="144"/>
      <c r="C199" s="144"/>
      <c r="D199" s="144"/>
      <c r="E199" s="144"/>
      <c r="F199" s="144"/>
      <c r="G199" s="144"/>
      <c r="H199" s="145"/>
      <c r="J199" s="33"/>
    </row>
    <row r="200" spans="1:20" s="87" customFormat="1" x14ac:dyDescent="0.35">
      <c r="A200" s="143" t="s">
        <v>365</v>
      </c>
      <c r="B200" s="144"/>
      <c r="C200" s="144"/>
      <c r="D200" s="144"/>
      <c r="E200" s="144"/>
      <c r="F200" s="144"/>
      <c r="G200" s="144"/>
      <c r="H200" s="145"/>
      <c r="J200" s="33"/>
    </row>
    <row r="201" spans="1:20" s="72" customFormat="1" x14ac:dyDescent="0.35">
      <c r="A201" s="143" t="s">
        <v>368</v>
      </c>
      <c r="B201" s="144"/>
      <c r="C201" s="144"/>
      <c r="D201" s="144"/>
      <c r="E201" s="144"/>
      <c r="F201" s="144"/>
      <c r="G201" s="144"/>
      <c r="H201" s="145"/>
      <c r="J201" s="33"/>
    </row>
    <row r="202" spans="1:20" s="72" customFormat="1" ht="15.65" customHeight="1" x14ac:dyDescent="0.35">
      <c r="A202" s="146" t="s">
        <v>392</v>
      </c>
      <c r="B202" s="146"/>
      <c r="C202" s="146"/>
      <c r="D202" s="146"/>
      <c r="E202" s="146"/>
      <c r="F202" s="146"/>
      <c r="G202" s="146"/>
      <c r="H202" s="146"/>
      <c r="J202" s="33"/>
    </row>
    <row r="203" spans="1:20" s="72" customFormat="1" ht="15.75" customHeight="1" x14ac:dyDescent="0.35">
      <c r="A203" s="257">
        <v>1</v>
      </c>
      <c r="B203" s="257"/>
      <c r="C203" s="75" t="s">
        <v>369</v>
      </c>
      <c r="D203" s="77">
        <f>(63.04)*10.764</f>
        <v>678.56255999999996</v>
      </c>
      <c r="E203" s="75">
        <v>0</v>
      </c>
      <c r="F203" s="75">
        <f>D203+E203</f>
        <v>678.56255999999996</v>
      </c>
      <c r="G203" s="75">
        <v>0</v>
      </c>
      <c r="H203" s="75">
        <f>F203*(($H$169)+1)+(IF(G203&lt;101,G203,IF(G203&lt;201,G203/2,IF(G203&lt;=301,G203/3,G203/4))))</f>
        <v>1017.84384</v>
      </c>
      <c r="I203" s="33"/>
      <c r="L203" s="100"/>
      <c r="M203" s="100"/>
      <c r="N203" s="33"/>
    </row>
    <row r="204" spans="1:20" s="72" customFormat="1" ht="15.75" customHeight="1" x14ac:dyDescent="0.35">
      <c r="A204" s="257">
        <f>A203+1</f>
        <v>2</v>
      </c>
      <c r="B204" s="257"/>
      <c r="C204" s="75" t="s">
        <v>369</v>
      </c>
      <c r="D204" s="77">
        <f>(63.04)*10.764</f>
        <v>678.56255999999996</v>
      </c>
      <c r="E204" s="75">
        <v>0</v>
      </c>
      <c r="F204" s="75">
        <f>D204+E204</f>
        <v>678.56255999999996</v>
      </c>
      <c r="G204" s="75">
        <v>0</v>
      </c>
      <c r="H204" s="75">
        <f>F204*(($H$169)+1)+(IF(G204&lt;101,G204,IF(G204&lt;201,G204/2,IF(G204&lt;=301,G204/3,G204/4))))</f>
        <v>1017.84384</v>
      </c>
      <c r="I204" s="33"/>
      <c r="L204" s="100"/>
      <c r="M204" s="100"/>
      <c r="N204" s="33"/>
    </row>
    <row r="205" spans="1:20" s="72" customFormat="1" ht="15.75" customHeight="1" x14ac:dyDescent="0.35">
      <c r="A205" s="257">
        <f>A204+1</f>
        <v>3</v>
      </c>
      <c r="B205" s="257"/>
      <c r="C205" s="75" t="s">
        <v>370</v>
      </c>
      <c r="D205" s="77">
        <f>(39.59)*10.764</f>
        <v>426.14676000000003</v>
      </c>
      <c r="E205" s="75">
        <v>0</v>
      </c>
      <c r="F205" s="75">
        <f>D205+E205</f>
        <v>426.14676000000003</v>
      </c>
      <c r="G205" s="75">
        <v>0</v>
      </c>
      <c r="H205" s="75">
        <f>F205*(($H$169)+1)+(IF(G205&lt;101,G205,IF(G205&lt;201,G205/2,IF(G205&lt;=301,G205/3,G205/4))))</f>
        <v>639.22014000000001</v>
      </c>
      <c r="I205" s="33"/>
      <c r="L205" s="100"/>
      <c r="M205" s="100"/>
      <c r="N205" s="33"/>
    </row>
    <row r="206" spans="1:20" s="72" customFormat="1" ht="15.75" customHeight="1" x14ac:dyDescent="0.35">
      <c r="A206" s="257">
        <f>A205+1</f>
        <v>4</v>
      </c>
      <c r="B206" s="257"/>
      <c r="C206" s="75" t="s">
        <v>370</v>
      </c>
      <c r="D206" s="77">
        <f>(39.67)*10.764</f>
        <v>427.00788</v>
      </c>
      <c r="E206" s="75">
        <v>0</v>
      </c>
      <c r="F206" s="75">
        <f>D206+E206</f>
        <v>427.00788</v>
      </c>
      <c r="G206" s="75">
        <v>0</v>
      </c>
      <c r="H206" s="75">
        <f>F206*(($H$169)+1)+(IF(G206&lt;101,G206,IF(G206&lt;201,G206/2,IF(G206&lt;=301,G206/3,G206/4))))</f>
        <v>640.51181999999994</v>
      </c>
      <c r="I206" s="33"/>
      <c r="L206" s="100"/>
      <c r="M206" s="100"/>
      <c r="N206" s="33"/>
      <c r="T206" s="18"/>
    </row>
    <row r="207" spans="1:20" s="72" customFormat="1" ht="15.75" customHeight="1" x14ac:dyDescent="0.35">
      <c r="A207" s="257">
        <f>A206+1</f>
        <v>5</v>
      </c>
      <c r="B207" s="257"/>
      <c r="C207" s="75" t="s">
        <v>369</v>
      </c>
      <c r="D207" s="77">
        <f>(53.75)*10.764</f>
        <v>578.56499999999994</v>
      </c>
      <c r="E207" s="75">
        <v>0</v>
      </c>
      <c r="F207" s="75">
        <f>D207+E207</f>
        <v>578.56499999999994</v>
      </c>
      <c r="G207" s="75">
        <v>0</v>
      </c>
      <c r="H207" s="75">
        <f>F207*(($H$169)+1)+(IF(G207&lt;101,G207,IF(G207&lt;201,G207/2,IF(G207&lt;=301,G207/3,G207/4))))</f>
        <v>867.84749999999985</v>
      </c>
      <c r="I207" s="33"/>
      <c r="L207" s="100"/>
      <c r="M207" s="100"/>
      <c r="N207" s="33"/>
      <c r="T207" s="18"/>
    </row>
    <row r="208" spans="1:20" s="72" customFormat="1" x14ac:dyDescent="0.35">
      <c r="A208" s="146" t="s">
        <v>371</v>
      </c>
      <c r="B208" s="146"/>
      <c r="C208" s="146"/>
      <c r="D208" s="146"/>
      <c r="E208" s="146"/>
      <c r="F208" s="146"/>
      <c r="G208" s="146"/>
      <c r="H208" s="146"/>
      <c r="J208" s="33"/>
    </row>
    <row r="209" spans="1:20" s="72" customFormat="1" ht="15.75" customHeight="1" x14ac:dyDescent="0.35">
      <c r="A209" s="257">
        <v>1</v>
      </c>
      <c r="B209" s="257"/>
      <c r="C209" s="75" t="s">
        <v>369</v>
      </c>
      <c r="D209" s="77">
        <f>(63.04)*10.764</f>
        <v>678.56255999999996</v>
      </c>
      <c r="E209" s="75">
        <v>0</v>
      </c>
      <c r="F209" s="75">
        <f>D209+E209</f>
        <v>678.56255999999996</v>
      </c>
      <c r="G209" s="75">
        <v>0</v>
      </c>
      <c r="H209" s="75">
        <f>F209*(($H$169)+1)+(IF(G209&lt;101,G209,IF(G209&lt;201,G209/2,IF(G209&lt;=301,G209/3,G209/4))))</f>
        <v>1017.84384</v>
      </c>
      <c r="I209" s="33"/>
      <c r="L209" s="100"/>
      <c r="M209" s="100"/>
      <c r="N209" s="33"/>
    </row>
    <row r="210" spans="1:20" s="72" customFormat="1" ht="15.75" customHeight="1" x14ac:dyDescent="0.35">
      <c r="A210" s="257">
        <f>A209+1</f>
        <v>2</v>
      </c>
      <c r="B210" s="257"/>
      <c r="C210" s="257" t="s">
        <v>372</v>
      </c>
      <c r="D210" s="257"/>
      <c r="E210" s="257"/>
      <c r="F210" s="257"/>
      <c r="G210" s="257"/>
      <c r="H210" s="257"/>
      <c r="I210" s="33"/>
      <c r="L210" s="100"/>
      <c r="M210" s="100"/>
      <c r="N210" s="33"/>
    </row>
    <row r="211" spans="1:20" s="72" customFormat="1" ht="15.75" customHeight="1" x14ac:dyDescent="0.35">
      <c r="A211" s="257">
        <f>A210+1</f>
        <v>3</v>
      </c>
      <c r="B211" s="257"/>
      <c r="C211" s="75" t="s">
        <v>370</v>
      </c>
      <c r="D211" s="77">
        <f>(39.59)*10.764</f>
        <v>426.14676000000003</v>
      </c>
      <c r="E211" s="75">
        <v>0</v>
      </c>
      <c r="F211" s="75">
        <f>D211+E211</f>
        <v>426.14676000000003</v>
      </c>
      <c r="G211" s="75">
        <v>0</v>
      </c>
      <c r="H211" s="75">
        <f>F211*(($H$169)+1)+(IF(G211&lt;101,G211,IF(G211&lt;201,G211/2,IF(G211&lt;=301,G211/3,G211/4))))</f>
        <v>639.22014000000001</v>
      </c>
      <c r="I211" s="33"/>
      <c r="L211" s="100"/>
      <c r="M211" s="100"/>
      <c r="N211" s="33"/>
    </row>
    <row r="212" spans="1:20" s="72" customFormat="1" ht="15.75" customHeight="1" x14ac:dyDescent="0.35">
      <c r="A212" s="257">
        <f>A211+1</f>
        <v>4</v>
      </c>
      <c r="B212" s="257"/>
      <c r="C212" s="75" t="s">
        <v>370</v>
      </c>
      <c r="D212" s="77">
        <f>(39.67)*10.764</f>
        <v>427.00788</v>
      </c>
      <c r="E212" s="75">
        <v>0</v>
      </c>
      <c r="F212" s="75">
        <f>D212+E212</f>
        <v>427.00788</v>
      </c>
      <c r="G212" s="75">
        <v>0</v>
      </c>
      <c r="H212" s="75">
        <f>F212*(($H$169)+1)+(IF(G212&lt;101,G212,IF(G212&lt;201,G212/2,IF(G212&lt;=301,G212/3,G212/4))))</f>
        <v>640.51181999999994</v>
      </c>
      <c r="I212" s="33"/>
      <c r="L212" s="100"/>
      <c r="M212" s="100"/>
      <c r="N212" s="33"/>
      <c r="T212" s="18"/>
    </row>
    <row r="213" spans="1:20" s="72" customFormat="1" ht="15.75" customHeight="1" x14ac:dyDescent="0.35">
      <c r="A213" s="176">
        <f>A212+1</f>
        <v>5</v>
      </c>
      <c r="B213" s="176"/>
      <c r="C213" s="91" t="s">
        <v>369</v>
      </c>
      <c r="D213" s="77">
        <f>(53.75)*10.764</f>
        <v>578.56499999999994</v>
      </c>
      <c r="E213" s="91">
        <v>0</v>
      </c>
      <c r="F213" s="91">
        <f>D213+E213</f>
        <v>578.56499999999994</v>
      </c>
      <c r="G213" s="91">
        <v>0</v>
      </c>
      <c r="H213" s="91">
        <f>F213*(($H$169)+1)+(IF(G213&lt;101,G213,IF(G213&lt;201,G213/2,IF(G213&lt;=301,G213/3,G213/4))))</f>
        <v>867.84749999999985</v>
      </c>
      <c r="I213" s="33"/>
      <c r="L213" s="100"/>
      <c r="M213" s="100"/>
      <c r="N213" s="33"/>
      <c r="T213" s="18"/>
    </row>
    <row r="214" spans="1:20" s="87" customFormat="1" x14ac:dyDescent="0.35">
      <c r="A214" s="146" t="s">
        <v>393</v>
      </c>
      <c r="B214" s="146"/>
      <c r="C214" s="146"/>
      <c r="D214" s="146"/>
      <c r="E214" s="146"/>
      <c r="F214" s="146"/>
      <c r="G214" s="146"/>
      <c r="H214" s="146"/>
      <c r="J214" s="33"/>
    </row>
    <row r="215" spans="1:20" s="87" customFormat="1" ht="15.75" customHeight="1" x14ac:dyDescent="0.35">
      <c r="A215" s="106">
        <v>1</v>
      </c>
      <c r="B215" s="107"/>
      <c r="C215" s="75" t="s">
        <v>369</v>
      </c>
      <c r="D215" s="77">
        <f>(63.04)*10.764</f>
        <v>678.56255999999996</v>
      </c>
      <c r="E215" s="75">
        <v>0</v>
      </c>
      <c r="F215" s="75">
        <f>D215+E215</f>
        <v>678.56255999999996</v>
      </c>
      <c r="G215" s="75">
        <v>0</v>
      </c>
      <c r="H215" s="75">
        <f>F215*(($H$169)+1)+(IF(G215&lt;101,G215,IF(G215&lt;201,G215/2,IF(G215&lt;=301,G215/3,G215/4))))</f>
        <v>1017.84384</v>
      </c>
      <c r="I215" s="33"/>
      <c r="J215" s="33"/>
      <c r="L215" s="100"/>
      <c r="M215" s="100"/>
      <c r="N215" s="33"/>
    </row>
    <row r="216" spans="1:20" s="87" customFormat="1" ht="15.75" customHeight="1" x14ac:dyDescent="0.35">
      <c r="A216" s="106">
        <f>A215+1</f>
        <v>2</v>
      </c>
      <c r="B216" s="107"/>
      <c r="C216" s="106" t="s">
        <v>372</v>
      </c>
      <c r="D216" s="111"/>
      <c r="E216" s="111"/>
      <c r="F216" s="111"/>
      <c r="G216" s="111"/>
      <c r="H216" s="107"/>
      <c r="I216" s="33"/>
      <c r="L216" s="100"/>
      <c r="M216" s="100"/>
      <c r="N216" s="33"/>
    </row>
    <row r="217" spans="1:20" s="87" customFormat="1" ht="15.75" customHeight="1" x14ac:dyDescent="0.35">
      <c r="A217" s="106">
        <f>A216+1</f>
        <v>3</v>
      </c>
      <c r="B217" s="107"/>
      <c r="C217" s="75" t="s">
        <v>370</v>
      </c>
      <c r="D217" s="77">
        <f>(39.59)*10.764</f>
        <v>426.14676000000003</v>
      </c>
      <c r="E217" s="75">
        <v>0</v>
      </c>
      <c r="F217" s="75">
        <f>D217+E217</f>
        <v>426.14676000000003</v>
      </c>
      <c r="G217" s="75">
        <v>0</v>
      </c>
      <c r="H217" s="75">
        <f>F217*(($H$169)+1)+(IF(G217&lt;101,G217,IF(G217&lt;201,G217/2,IF(G217&lt;=301,G217/3,G217/4))))</f>
        <v>639.22014000000001</v>
      </c>
      <c r="I217" s="33"/>
      <c r="L217" s="100"/>
      <c r="M217" s="100"/>
      <c r="N217" s="33"/>
    </row>
    <row r="218" spans="1:20" s="87" customFormat="1" ht="15.75" customHeight="1" x14ac:dyDescent="0.35">
      <c r="A218" s="106">
        <f>A217+1</f>
        <v>4</v>
      </c>
      <c r="B218" s="107"/>
      <c r="C218" s="75" t="s">
        <v>370</v>
      </c>
      <c r="D218" s="77">
        <f>(39.67)*10.764</f>
        <v>427.00788</v>
      </c>
      <c r="E218" s="75">
        <v>0</v>
      </c>
      <c r="F218" s="75">
        <f>D218+E218</f>
        <v>427.00788</v>
      </c>
      <c r="G218" s="75">
        <v>0</v>
      </c>
      <c r="H218" s="75">
        <f>F218*(($H$169)+1)+(IF(G218&lt;101,G218,IF(G218&lt;201,G218/2,IF(G218&lt;=301,G218/3,G218/4))))</f>
        <v>640.51181999999994</v>
      </c>
      <c r="I218" s="33"/>
      <c r="L218" s="100"/>
      <c r="M218" s="100"/>
      <c r="N218" s="33"/>
      <c r="T218" s="18"/>
    </row>
    <row r="219" spans="1:20" s="87" customFormat="1" ht="15.75" customHeight="1" x14ac:dyDescent="0.35">
      <c r="A219" s="106">
        <f>A218+1</f>
        <v>5</v>
      </c>
      <c r="B219" s="107"/>
      <c r="C219" s="75" t="s">
        <v>369</v>
      </c>
      <c r="D219" s="77">
        <f>(53.75)*10.764</f>
        <v>578.56499999999994</v>
      </c>
      <c r="E219" s="75">
        <v>0</v>
      </c>
      <c r="F219" s="75">
        <f>D219+E219</f>
        <v>578.56499999999994</v>
      </c>
      <c r="G219" s="75">
        <v>0</v>
      </c>
      <c r="H219" s="75">
        <f>F219*(($H$169)+1)+(IF(G219&lt;101,G219,IF(G219&lt;201,G219/2,IF(G219&lt;=301,G219/3,G219/4))))</f>
        <v>867.84749999999985</v>
      </c>
      <c r="I219" s="33"/>
      <c r="L219" s="100"/>
      <c r="M219" s="100"/>
      <c r="N219" s="33"/>
      <c r="T219" s="18"/>
    </row>
    <row r="220" spans="1:20" s="87" customFormat="1" x14ac:dyDescent="0.35">
      <c r="A220" s="143" t="s">
        <v>394</v>
      </c>
      <c r="B220" s="144"/>
      <c r="C220" s="144"/>
      <c r="D220" s="144"/>
      <c r="E220" s="144"/>
      <c r="F220" s="144"/>
      <c r="G220" s="144"/>
      <c r="H220" s="145"/>
      <c r="J220" s="33"/>
    </row>
    <row r="221" spans="1:20" s="87" customFormat="1" ht="15.75" customHeight="1" x14ac:dyDescent="0.35">
      <c r="A221" s="106">
        <v>1</v>
      </c>
      <c r="B221" s="107"/>
      <c r="C221" s="147" t="s">
        <v>395</v>
      </c>
      <c r="D221" s="148"/>
      <c r="E221" s="148"/>
      <c r="F221" s="148"/>
      <c r="G221" s="148"/>
      <c r="H221" s="149"/>
      <c r="I221" s="33"/>
      <c r="L221" s="100"/>
      <c r="M221" s="100"/>
      <c r="N221" s="33"/>
    </row>
    <row r="222" spans="1:20" s="87" customFormat="1" ht="15.75" customHeight="1" x14ac:dyDescent="0.35">
      <c r="A222" s="106">
        <f>A221+1</f>
        <v>2</v>
      </c>
      <c r="B222" s="107"/>
      <c r="C222" s="150"/>
      <c r="D222" s="151"/>
      <c r="E222" s="151"/>
      <c r="F222" s="151"/>
      <c r="G222" s="151"/>
      <c r="H222" s="152"/>
      <c r="I222" s="33"/>
      <c r="L222" s="100"/>
      <c r="M222" s="100"/>
      <c r="N222" s="33"/>
    </row>
    <row r="223" spans="1:20" s="87" customFormat="1" ht="15.75" customHeight="1" x14ac:dyDescent="0.35">
      <c r="A223" s="106">
        <f>A222+1</f>
        <v>3</v>
      </c>
      <c r="B223" s="107"/>
      <c r="C223" s="75" t="s">
        <v>370</v>
      </c>
      <c r="D223" s="77">
        <f>(45.18)*10.764</f>
        <v>486.31751999999994</v>
      </c>
      <c r="E223" s="75">
        <v>0</v>
      </c>
      <c r="F223" s="75">
        <f>D223+E223</f>
        <v>486.31751999999994</v>
      </c>
      <c r="G223" s="75">
        <v>0</v>
      </c>
      <c r="H223" s="75">
        <f>F223*(($H$169)+1)+(IF(G223&lt;101,G223,IF(G223&lt;201,G223/2,IF(G223&lt;=301,G223/3,G223/4))))</f>
        <v>729.47627999999986</v>
      </c>
      <c r="I223" s="33"/>
      <c r="L223" s="100"/>
      <c r="M223" s="100"/>
      <c r="N223" s="33"/>
    </row>
    <row r="224" spans="1:20" s="87" customFormat="1" ht="15.75" customHeight="1" x14ac:dyDescent="0.35">
      <c r="A224" s="106">
        <f>A223+1</f>
        <v>4</v>
      </c>
      <c r="B224" s="107"/>
      <c r="C224" s="75" t="s">
        <v>370</v>
      </c>
      <c r="D224" s="77">
        <f>(39.67)*10.764</f>
        <v>427.00788</v>
      </c>
      <c r="E224" s="75">
        <v>0</v>
      </c>
      <c r="F224" s="75">
        <f>D224+E224</f>
        <v>427.00788</v>
      </c>
      <c r="G224" s="75">
        <v>0</v>
      </c>
      <c r="H224" s="75">
        <f>F224*(($H$169)+1)+(IF(G224&lt;101,G224,IF(G224&lt;201,G224/2,IF(G224&lt;=301,G224/3,G224/4))))</f>
        <v>640.51181999999994</v>
      </c>
      <c r="I224" s="33"/>
      <c r="L224" s="100"/>
      <c r="M224" s="100"/>
      <c r="N224" s="33"/>
      <c r="T224" s="18"/>
    </row>
    <row r="225" spans="1:20" s="87" customFormat="1" ht="15.75" customHeight="1" x14ac:dyDescent="0.35">
      <c r="A225" s="106">
        <f>A224+1</f>
        <v>5</v>
      </c>
      <c r="B225" s="107"/>
      <c r="C225" s="75" t="s">
        <v>369</v>
      </c>
      <c r="D225" s="77">
        <f>(53.75)*10.764</f>
        <v>578.56499999999994</v>
      </c>
      <c r="E225" s="75">
        <v>0</v>
      </c>
      <c r="F225" s="75">
        <f>D225+E225</f>
        <v>578.56499999999994</v>
      </c>
      <c r="G225" s="75">
        <v>0</v>
      </c>
      <c r="H225" s="75">
        <f>F225*(($H$169)+1)+(IF(G225&lt;101,G225,IF(G225&lt;201,G225/2,IF(G225&lt;=301,G225/3,G225/4))))</f>
        <v>867.84749999999985</v>
      </c>
      <c r="I225" s="33"/>
      <c r="L225" s="100"/>
      <c r="M225" s="100"/>
      <c r="N225" s="33"/>
      <c r="T225" s="18"/>
    </row>
    <row r="226" spans="1:20" s="34" customFormat="1" hidden="1" x14ac:dyDescent="0.35">
      <c r="A226" s="108" t="s">
        <v>114</v>
      </c>
      <c r="B226" s="109"/>
      <c r="C226" s="109"/>
      <c r="D226" s="109"/>
      <c r="E226" s="109"/>
      <c r="F226" s="109"/>
      <c r="G226" s="109"/>
      <c r="H226" s="110"/>
      <c r="J226" s="33"/>
    </row>
    <row r="227" spans="1:20" s="34" customFormat="1" ht="15.75" hidden="1" customHeight="1" x14ac:dyDescent="0.35">
      <c r="A227" s="101">
        <v>1</v>
      </c>
      <c r="B227" s="102"/>
      <c r="C227" s="39"/>
      <c r="D227" s="39"/>
      <c r="E227" s="39">
        <v>0</v>
      </c>
      <c r="F227" s="39">
        <f>D227+E227</f>
        <v>0</v>
      </c>
      <c r="G227" s="50">
        <v>0</v>
      </c>
      <c r="H227" s="50">
        <f>F227*(($H$169)+1)+(IF(G227&lt;101,G227,IF(G227&lt;201,G227/2,IF(G227&lt;=301,G227/3,G227/4))))</f>
        <v>0</v>
      </c>
      <c r="I227" s="33"/>
      <c r="L227" s="100"/>
      <c r="M227" s="100"/>
      <c r="N227" s="33"/>
    </row>
    <row r="228" spans="1:20" s="34" customFormat="1" ht="15.75" hidden="1" customHeight="1" x14ac:dyDescent="0.35">
      <c r="A228" s="101">
        <f>A227+1</f>
        <v>2</v>
      </c>
      <c r="B228" s="102"/>
      <c r="C228" s="39"/>
      <c r="D228" s="39"/>
      <c r="E228" s="39">
        <v>0</v>
      </c>
      <c r="F228" s="50">
        <f>D228+E228</f>
        <v>0</v>
      </c>
      <c r="G228" s="50">
        <v>0</v>
      </c>
      <c r="H228" s="50">
        <f>F228*(($H$169)+1)+(IF(G228&lt;101,G228,IF(G228&lt;201,G228/2,IF(G228&lt;=301,G228/3,G228/4))))</f>
        <v>0</v>
      </c>
      <c r="I228" s="33"/>
      <c r="L228" s="100"/>
      <c r="M228" s="100"/>
      <c r="N228" s="33"/>
    </row>
    <row r="229" spans="1:20" s="34" customFormat="1" ht="15.75" hidden="1" customHeight="1" x14ac:dyDescent="0.35">
      <c r="A229" s="101">
        <f>A228+1</f>
        <v>3</v>
      </c>
      <c r="B229" s="102"/>
      <c r="C229" s="39"/>
      <c r="D229" s="39"/>
      <c r="E229" s="39">
        <v>0</v>
      </c>
      <c r="F229" s="50">
        <f>D229+E229</f>
        <v>0</v>
      </c>
      <c r="G229" s="50">
        <v>0</v>
      </c>
      <c r="H229" s="50">
        <f>F229*(($H$169)+1)+(IF(G229&lt;101,G229,IF(G229&lt;201,G229/2,IF(G229&lt;=301,G229/3,G229/4))))</f>
        <v>0</v>
      </c>
      <c r="I229" s="33"/>
      <c r="L229" s="100"/>
      <c r="M229" s="100"/>
      <c r="N229" s="33"/>
    </row>
    <row r="230" spans="1:20" s="34" customFormat="1" ht="15.75" hidden="1" customHeight="1" x14ac:dyDescent="0.35">
      <c r="A230" s="101">
        <f>A229+1</f>
        <v>4</v>
      </c>
      <c r="B230" s="102"/>
      <c r="C230" s="39"/>
      <c r="D230" s="39"/>
      <c r="E230" s="39">
        <v>0</v>
      </c>
      <c r="F230" s="50">
        <f>D230+E230</f>
        <v>0</v>
      </c>
      <c r="G230" s="50">
        <v>0</v>
      </c>
      <c r="H230" s="50">
        <f>F230*(($H$169)+1)+(IF(G230&lt;101,G230,IF(G230&lt;201,G230/2,IF(G230&lt;=301,G230/3,G230/4))))</f>
        <v>0</v>
      </c>
      <c r="I230" s="33"/>
      <c r="L230" s="100"/>
      <c r="M230" s="100"/>
      <c r="N230" s="33"/>
      <c r="T230" s="18"/>
    </row>
    <row r="231" spans="1:20" s="34" customFormat="1" hidden="1" x14ac:dyDescent="0.35">
      <c r="A231" s="187" t="s">
        <v>115</v>
      </c>
      <c r="B231" s="187"/>
      <c r="C231" s="187"/>
      <c r="D231" s="187"/>
      <c r="E231" s="187"/>
      <c r="F231" s="187"/>
      <c r="G231" s="187"/>
      <c r="H231" s="187"/>
      <c r="I231" s="33"/>
      <c r="L231" s="100"/>
      <c r="M231" s="100"/>
    </row>
    <row r="232" spans="1:20" s="34" customFormat="1" hidden="1" x14ac:dyDescent="0.35">
      <c r="A232" s="176">
        <f>LEFT(A231,SUM(LEN(A231)-LEN(SUBSTITUTE(A231,{"0","1","2","3","4","5","6","7","8","9"},""))))*100+1</f>
        <v>201</v>
      </c>
      <c r="B232" s="176"/>
      <c r="C232" s="39"/>
      <c r="D232" s="39"/>
      <c r="E232" s="50">
        <v>0</v>
      </c>
      <c r="F232" s="50">
        <f>D232+E232</f>
        <v>0</v>
      </c>
      <c r="G232" s="50">
        <v>0</v>
      </c>
      <c r="H232" s="50">
        <f>F232*(($H$169)+1)+(IF(G232&lt;101,G232,IF(G232&lt;201,G232/2,IF(G232&lt;=301,G232/3,G232/4))))</f>
        <v>0</v>
      </c>
      <c r="I232" s="33"/>
      <c r="N232" s="33"/>
    </row>
    <row r="233" spans="1:20" s="34" customFormat="1" hidden="1" x14ac:dyDescent="0.35">
      <c r="A233" s="176">
        <f>A232+1</f>
        <v>202</v>
      </c>
      <c r="B233" s="176"/>
      <c r="C233" s="39"/>
      <c r="D233" s="39"/>
      <c r="E233" s="50">
        <v>0</v>
      </c>
      <c r="F233" s="50">
        <f>D233+E233</f>
        <v>0</v>
      </c>
      <c r="G233" s="50">
        <v>0</v>
      </c>
      <c r="H233" s="50">
        <f>F233*(($H$169)+1)+(IF(G233&lt;101,G233,IF(G233&lt;201,G233/2,IF(G233&lt;=301,G233/3,G233/4))))</f>
        <v>0</v>
      </c>
      <c r="I233" s="33"/>
      <c r="N233" s="33"/>
    </row>
    <row r="234" spans="1:20" s="34" customFormat="1" hidden="1" x14ac:dyDescent="0.35">
      <c r="A234" s="176">
        <f>A233+1</f>
        <v>203</v>
      </c>
      <c r="B234" s="176"/>
      <c r="C234" s="39"/>
      <c r="D234" s="39"/>
      <c r="E234" s="50">
        <v>0</v>
      </c>
      <c r="F234" s="50">
        <f>D234+E234</f>
        <v>0</v>
      </c>
      <c r="G234" s="50">
        <v>0</v>
      </c>
      <c r="H234" s="50">
        <f>F234*(($H$169)+1)+(IF(G234&lt;101,G234,IF(G234&lt;201,G234/2,IF(G234&lt;=301,G234/3,G234/4))))</f>
        <v>0</v>
      </c>
      <c r="I234" s="33"/>
      <c r="N234" s="33"/>
    </row>
    <row r="235" spans="1:20" s="34" customFormat="1" hidden="1" x14ac:dyDescent="0.35">
      <c r="A235" s="176">
        <f>A234+1</f>
        <v>204</v>
      </c>
      <c r="B235" s="176"/>
      <c r="C235" s="39"/>
      <c r="D235" s="39"/>
      <c r="E235" s="50">
        <v>0</v>
      </c>
      <c r="F235" s="50">
        <f>D235+E235</f>
        <v>0</v>
      </c>
      <c r="G235" s="50">
        <v>0</v>
      </c>
      <c r="H235" s="50">
        <f>F235*(($H$169)+1)+(IF(G235&lt;101,G235,IF(G235&lt;201,G235/2,IF(G235&lt;=301,G235/3,G235/4))))</f>
        <v>0</v>
      </c>
      <c r="I235" s="33"/>
      <c r="N235" s="33"/>
    </row>
    <row r="236" spans="1:20" s="34" customFormat="1" hidden="1" x14ac:dyDescent="0.35">
      <c r="A236" s="176">
        <f>A235+1</f>
        <v>205</v>
      </c>
      <c r="B236" s="176"/>
      <c r="C236" s="39"/>
      <c r="D236" s="39"/>
      <c r="E236" s="50">
        <v>0</v>
      </c>
      <c r="F236" s="50">
        <f>D236+E236</f>
        <v>0</v>
      </c>
      <c r="G236" s="50">
        <v>0</v>
      </c>
      <c r="H236" s="50">
        <f>F236*(($H$169)+1)+(IF(G236&lt;101,G236,IF(G236&lt;201,G236/2,IF(G236&lt;=301,G236/3,G236/4))))</f>
        <v>0</v>
      </c>
      <c r="I236" s="33"/>
      <c r="N236" s="33"/>
    </row>
    <row r="237" spans="1:20" s="34" customFormat="1" ht="15.75" hidden="1" customHeight="1" x14ac:dyDescent="0.35">
      <c r="A237" s="108" t="s">
        <v>147</v>
      </c>
      <c r="B237" s="109"/>
      <c r="C237" s="109"/>
      <c r="D237" s="109"/>
      <c r="E237" s="109"/>
      <c r="F237" s="109"/>
      <c r="G237" s="109"/>
      <c r="H237" s="110"/>
      <c r="I237" s="33"/>
    </row>
    <row r="238" spans="1:20" s="34" customFormat="1" ht="15.75" hidden="1" customHeight="1" x14ac:dyDescent="0.35">
      <c r="A238" s="101"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10^ROW(INDIRECT("1:"&amp;LEN((LEFT(A237,SUM(LEN(A237)-LEN(SUBSTITUTE(A237,{"0","1","2"},""))))))))/10))*100+1&amp;""&amp;" ,..,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",LEN(A237))),LEN(A237)))))))/10))*100+1</f>
        <v>301 ,.., 1501</v>
      </c>
      <c r="B238" s="102"/>
      <c r="C238" s="39"/>
      <c r="D238" s="39"/>
      <c r="E238" s="50">
        <v>0</v>
      </c>
      <c r="F238" s="50">
        <f>D238+E238</f>
        <v>0</v>
      </c>
      <c r="G238" s="50">
        <v>0</v>
      </c>
      <c r="H238" s="50">
        <f>F238*(($H$169)+1)+(IF(G238&lt;101,G238,IF(G238&lt;201,G238/2,IF(G238&lt;=301,G238/3,G238/4))))</f>
        <v>0</v>
      </c>
      <c r="I238" s="33"/>
    </row>
    <row r="239" spans="1:20" s="34" customFormat="1" ht="15.75" hidden="1" customHeight="1" x14ac:dyDescent="0.35">
      <c r="A239" s="101"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10^ROW(INDIRECT("1:"&amp;LEN((LEFT(A238,SUM(LEN(A238)-LEN(SUBSTITUTE(A238,{"0","1","2"},""))))))))/10))*1+1&amp;""&amp;" ,..,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",LEN(A238))),LEN(A238)))))))/10))*1+1</f>
        <v>302 ,.., 1502</v>
      </c>
      <c r="B239" s="102"/>
      <c r="C239" s="39"/>
      <c r="D239" s="39"/>
      <c r="E239" s="50">
        <v>0</v>
      </c>
      <c r="F239" s="50">
        <f>D239+E239</f>
        <v>0</v>
      </c>
      <c r="G239" s="50">
        <v>0</v>
      </c>
      <c r="H239" s="50">
        <f>F239*(($H$169)+1)+(IF(G239&lt;101,G239,IF(G239&lt;201,G239/2,IF(G239&lt;=301,G239/3,G239/4))))</f>
        <v>0</v>
      </c>
      <c r="I239" s="33"/>
    </row>
    <row r="240" spans="1:20" s="34" customFormat="1" ht="15.75" hidden="1" customHeight="1" x14ac:dyDescent="0.35">
      <c r="A240" s="101"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303 ,.., 1503</v>
      </c>
      <c r="B240" s="102"/>
      <c r="C240" s="39"/>
      <c r="D240" s="39"/>
      <c r="E240" s="50">
        <v>0</v>
      </c>
      <c r="F240" s="50">
        <f>D240+E240</f>
        <v>0</v>
      </c>
      <c r="G240" s="50">
        <v>0</v>
      </c>
      <c r="H240" s="50">
        <f>F240*(($H$169)+1)+(IF(G240&lt;101,G240,IF(G240&lt;201,G240/2,IF(G240&lt;=301,G240/3,G240/4))))</f>
        <v>0</v>
      </c>
      <c r="I240" s="33"/>
    </row>
    <row r="241" spans="1:20" s="34" customFormat="1" ht="15.75" hidden="1" customHeight="1" x14ac:dyDescent="0.35">
      <c r="A241" s="101"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304 ,.., 1504</v>
      </c>
      <c r="B241" s="102"/>
      <c r="C241" s="39"/>
      <c r="D241" s="39"/>
      <c r="E241" s="50">
        <v>0</v>
      </c>
      <c r="F241" s="50">
        <f>D241+E241</f>
        <v>0</v>
      </c>
      <c r="G241" s="50">
        <v>0</v>
      </c>
      <c r="H241" s="50">
        <f>F241*(($H$169)+1)+(IF(G241&lt;101,G241,IF(G241&lt;201,G241/2,IF(G241&lt;=301,G241/3,G241/4))))</f>
        <v>0</v>
      </c>
      <c r="I241" s="33"/>
    </row>
    <row r="242" spans="1:20" s="34" customFormat="1" ht="15.75" hidden="1" customHeight="1" x14ac:dyDescent="0.35">
      <c r="A242" s="101"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305 ,.., 1505</v>
      </c>
      <c r="B242" s="102"/>
      <c r="C242" s="39"/>
      <c r="D242" s="39"/>
      <c r="E242" s="50">
        <v>0</v>
      </c>
      <c r="F242" s="50">
        <f>D242+E242</f>
        <v>0</v>
      </c>
      <c r="G242" s="50">
        <v>0</v>
      </c>
      <c r="H242" s="50">
        <f>F242*(($H$169)+1)+(IF(G242&lt;101,G242,IF(G242&lt;201,G242/2,IF(G242&lt;=301,G242/3,G242/4))))</f>
        <v>0</v>
      </c>
      <c r="I242" s="33"/>
    </row>
    <row r="243" spans="1:20" s="34" customFormat="1" hidden="1" x14ac:dyDescent="0.35">
      <c r="A243" s="108" t="s">
        <v>141</v>
      </c>
      <c r="B243" s="109"/>
      <c r="C243" s="109"/>
      <c r="D243" s="109"/>
      <c r="E243" s="109"/>
      <c r="F243" s="109"/>
      <c r="G243" s="109"/>
      <c r="H243" s="110"/>
      <c r="I243" s="33"/>
    </row>
    <row r="244" spans="1:20" s="34" customFormat="1" ht="15.75" hidden="1" customHeight="1" x14ac:dyDescent="0.35">
      <c r="A244" s="101"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10^ROW(INDIRECT("1:"&amp;LEN((LEFT(A243,SUM(LEN(A243)-LEN(SUBSTITUTE(A243,{"0","1","2"},""))))))))/10))*100+1&amp;""&amp;" to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",LEN(A243))),LEN(A243)))))))/10))*100+1</f>
        <v>201 to 501</v>
      </c>
      <c r="B244" s="102"/>
      <c r="C244" s="39"/>
      <c r="D244" s="39"/>
      <c r="E244" s="50">
        <v>0</v>
      </c>
      <c r="F244" s="50">
        <f>D244+E244</f>
        <v>0</v>
      </c>
      <c r="G244" s="50">
        <v>0</v>
      </c>
      <c r="H244" s="50">
        <f>F244*(($H$169)+1)+(IF(G244&lt;101,G244,IF(G244&lt;201,G244/2,IF(G244&lt;=301,G244/3,G244/4))))</f>
        <v>0</v>
      </c>
      <c r="I244" s="33"/>
    </row>
    <row r="245" spans="1:20" s="34" customFormat="1" ht="15.75" hidden="1" customHeight="1" x14ac:dyDescent="0.35">
      <c r="A245" s="101"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10^ROW(INDIRECT("1:"&amp;LEN((LEFT(A244,SUM(LEN(A244)-LEN(SUBSTITUTE(A244,{"0","1","2"},""))))))))/10))*1+1&amp;""&amp;" to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",LEN(A244))),LEN(A244)))))))/10))*1+1</f>
        <v>202 to 502</v>
      </c>
      <c r="B245" s="102"/>
      <c r="C245" s="39"/>
      <c r="D245" s="39"/>
      <c r="E245" s="50">
        <v>0</v>
      </c>
      <c r="F245" s="50">
        <f>D245+E245</f>
        <v>0</v>
      </c>
      <c r="G245" s="50">
        <v>0</v>
      </c>
      <c r="H245" s="50">
        <f>F245*(($H$169)+1)+(IF(G245&lt;101,G245,IF(G245&lt;201,G245/2,IF(G245&lt;=301,G245/3,G245/4))))</f>
        <v>0</v>
      </c>
      <c r="I245" s="33"/>
    </row>
    <row r="246" spans="1:20" s="34" customFormat="1" ht="15.75" hidden="1" customHeight="1" x14ac:dyDescent="0.35">
      <c r="A246" s="101"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10^ROW(INDIRECT("1:"&amp;LEN((LEFT(A245,SUM(LEN(A245)-LEN(SUBSTITUTE(A245,{"0","1","2"},""))))))))/10))*1+1&amp;""&amp;" to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",LEN(A245))),LEN(A245)))))))/10))*1+1</f>
        <v>203 to 503</v>
      </c>
      <c r="B246" s="102"/>
      <c r="C246" s="39"/>
      <c r="D246" s="39"/>
      <c r="E246" s="50">
        <v>0</v>
      </c>
      <c r="F246" s="50">
        <f>D246+E246</f>
        <v>0</v>
      </c>
      <c r="G246" s="50">
        <v>0</v>
      </c>
      <c r="H246" s="50">
        <f>F246*(($H$169)+1)+(IF(G246&lt;101,G246,IF(G246&lt;201,G246/2,IF(G246&lt;=301,G246/3,G246/4))))</f>
        <v>0</v>
      </c>
      <c r="I246" s="33"/>
    </row>
    <row r="247" spans="1:20" s="34" customFormat="1" ht="15.75" hidden="1" customHeight="1" x14ac:dyDescent="0.35">
      <c r="A247" s="101"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to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204 to 504</v>
      </c>
      <c r="B247" s="102"/>
      <c r="C247" s="39"/>
      <c r="D247" s="39"/>
      <c r="E247" s="50">
        <v>0</v>
      </c>
      <c r="F247" s="50">
        <f>D247+E247</f>
        <v>0</v>
      </c>
      <c r="G247" s="50">
        <v>0</v>
      </c>
      <c r="H247" s="50">
        <f>F247*(($H$169)+1)+(IF(G247&lt;101,G247,IF(G247&lt;201,G247/2,IF(G247&lt;=301,G247/3,G247/4))))</f>
        <v>0</v>
      </c>
      <c r="I247" s="33"/>
    </row>
    <row r="248" spans="1:20" s="34" customFormat="1" ht="15.75" hidden="1" customHeight="1" x14ac:dyDescent="0.35">
      <c r="A248" s="101"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to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205 to 505</v>
      </c>
      <c r="B248" s="102"/>
      <c r="C248" s="39"/>
      <c r="D248" s="39"/>
      <c r="E248" s="50">
        <v>0</v>
      </c>
      <c r="F248" s="50">
        <f>D248+E248</f>
        <v>0</v>
      </c>
      <c r="G248" s="50">
        <v>0</v>
      </c>
      <c r="H248" s="50">
        <f>F248*(($H$169)+1)+(IF(G248&lt;101,G248,IF(G248&lt;201,G248/2,IF(G248&lt;=301,G248/3,G248/4))))</f>
        <v>0</v>
      </c>
      <c r="I248" s="33"/>
    </row>
    <row r="249" spans="1:20" s="34" customFormat="1" hidden="1" x14ac:dyDescent="0.35">
      <c r="A249" s="108" t="s">
        <v>142</v>
      </c>
      <c r="B249" s="109"/>
      <c r="C249" s="109"/>
      <c r="D249" s="109"/>
      <c r="E249" s="109"/>
      <c r="F249" s="109"/>
      <c r="G249" s="109"/>
      <c r="H249" s="110"/>
      <c r="I249" s="33"/>
    </row>
    <row r="250" spans="1:20" s="34" customFormat="1" ht="15.75" hidden="1" customHeight="1" x14ac:dyDescent="0.35">
      <c r="A250" s="101"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10^ROW(INDIRECT("1:"&amp;LEN((LEFT(A249,SUM(LEN(A249)-LEN(SUBSTITUTE(A249,{"0","1","2"},""))))))))/10))*100+1&amp;""&amp;" &amp;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",LEN(A249))),LEN(A249)))))))/10))*100+1</f>
        <v>201 &amp; 501</v>
      </c>
      <c r="B250" s="102"/>
      <c r="C250" s="39"/>
      <c r="D250" s="39"/>
      <c r="E250" s="50">
        <v>0</v>
      </c>
      <c r="F250" s="50">
        <f>D250+E250</f>
        <v>0</v>
      </c>
      <c r="G250" s="50">
        <v>0</v>
      </c>
      <c r="H250" s="50">
        <f>F250*(($H$169)+1)+(IF(G250&lt;101,G250,IF(G250&lt;201,G250/2,IF(G250&lt;=301,G250/3,G250/4))))</f>
        <v>0</v>
      </c>
      <c r="I250" s="33"/>
    </row>
    <row r="251" spans="1:20" s="34" customFormat="1" ht="15.75" hidden="1" customHeight="1" x14ac:dyDescent="0.35">
      <c r="A251" s="101"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&amp;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202 &amp; 502</v>
      </c>
      <c r="B251" s="102"/>
      <c r="C251" s="39"/>
      <c r="D251" s="39"/>
      <c r="E251" s="50">
        <v>0</v>
      </c>
      <c r="F251" s="50">
        <f>D251+E251</f>
        <v>0</v>
      </c>
      <c r="G251" s="50">
        <v>0</v>
      </c>
      <c r="H251" s="50">
        <f>F251*(($H$169)+1)+(IF(G251&lt;101,G251,IF(G251&lt;201,G251/2,IF(G251&lt;=301,G251/3,G251/4))))</f>
        <v>0</v>
      </c>
      <c r="I251" s="33"/>
    </row>
    <row r="252" spans="1:20" s="34" customFormat="1" ht="15.75" hidden="1" customHeight="1" x14ac:dyDescent="0.35">
      <c r="A252" s="101"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10^ROW(INDIRECT("1:"&amp;LEN((LEFT(A251,SUM(LEN(A251)-LEN(SUBSTITUTE(A251,{"0","1","2"},""))))))))/10))*1+1&amp;""&amp;" &amp;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",LEN(A251))),LEN(A251)))))))/10))*1+1</f>
        <v>203 &amp; 503</v>
      </c>
      <c r="B252" s="102"/>
      <c r="C252" s="39"/>
      <c r="D252" s="39"/>
      <c r="E252" s="50">
        <v>0</v>
      </c>
      <c r="F252" s="50">
        <f>D252+E252</f>
        <v>0</v>
      </c>
      <c r="G252" s="50">
        <v>0</v>
      </c>
      <c r="H252" s="50">
        <f>F252*(($H$169)+1)+(IF(G252&lt;101,G252,IF(G252&lt;201,G252/2,IF(G252&lt;=301,G252/3,G252/4))))</f>
        <v>0</v>
      </c>
      <c r="I252" s="33"/>
    </row>
    <row r="253" spans="1:20" s="34" customFormat="1" ht="15.75" hidden="1" customHeight="1" x14ac:dyDescent="0.35">
      <c r="A253" s="101"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&amp;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204 &amp; 504</v>
      </c>
      <c r="B253" s="102"/>
      <c r="C253" s="39"/>
      <c r="D253" s="39"/>
      <c r="E253" s="50">
        <v>0</v>
      </c>
      <c r="F253" s="50">
        <f>D253+E253</f>
        <v>0</v>
      </c>
      <c r="G253" s="50">
        <v>0</v>
      </c>
      <c r="H253" s="50">
        <f>F253*(($H$169)+1)+(IF(G253&lt;101,G253,IF(G253&lt;201,G253/2,IF(G253&lt;=301,G253/3,G253/4))))</f>
        <v>0</v>
      </c>
      <c r="I253" s="33"/>
    </row>
    <row r="254" spans="1:20" s="34" customFormat="1" ht="15.75" hidden="1" customHeight="1" x14ac:dyDescent="0.35">
      <c r="A254" s="101"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&amp;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205 &amp; 505</v>
      </c>
      <c r="B254" s="102"/>
      <c r="C254" s="39"/>
      <c r="D254" s="39"/>
      <c r="E254" s="50">
        <v>0</v>
      </c>
      <c r="F254" s="50">
        <f>D254+E254</f>
        <v>0</v>
      </c>
      <c r="G254" s="50">
        <v>0</v>
      </c>
      <c r="H254" s="50">
        <f>F254*(($H$169)+1)+(IF(G254&lt;101,G254,IF(G254&lt;201,G254/2,IF(G254&lt;=301,G254/3,G254/4))))</f>
        <v>0</v>
      </c>
      <c r="I254" s="33"/>
    </row>
    <row r="255" spans="1:20" s="32" customFormat="1" x14ac:dyDescent="0.35">
      <c r="A255" s="267" t="s">
        <v>65</v>
      </c>
      <c r="B255" s="267"/>
      <c r="C255" s="267"/>
      <c r="D255" s="267"/>
      <c r="E255" s="267"/>
      <c r="F255" s="267"/>
      <c r="G255" s="267"/>
      <c r="H255" s="267"/>
      <c r="T255" s="34"/>
    </row>
    <row r="256" spans="1:20" s="32" customFormat="1" ht="48" customHeight="1" x14ac:dyDescent="0.35">
      <c r="A256" s="41" t="s">
        <v>151</v>
      </c>
      <c r="B256" s="261" t="s">
        <v>411</v>
      </c>
      <c r="C256" s="262"/>
      <c r="D256" s="262"/>
      <c r="E256" s="262"/>
      <c r="F256" s="262"/>
      <c r="G256" s="262"/>
      <c r="H256" s="263"/>
      <c r="T256" s="34"/>
    </row>
    <row r="257" spans="1:20" s="32" customFormat="1" x14ac:dyDescent="0.35">
      <c r="A257" s="41" t="s">
        <v>151</v>
      </c>
      <c r="B257" s="261" t="str">
        <f>(IF(H168="Saleable area Loading :","We have considered Saleable area of Flats as per our Calculation.","We considered Saleable area of Flat as per Builder area Sheet."))</f>
        <v>We have considered Saleable area of Flats as per our Calculation.</v>
      </c>
      <c r="C257" s="262"/>
      <c r="D257" s="262"/>
      <c r="E257" s="262"/>
      <c r="F257" s="262"/>
      <c r="G257" s="262"/>
      <c r="H257" s="263"/>
      <c r="T257" s="34"/>
    </row>
    <row r="258" spans="1:20" s="32" customFormat="1" x14ac:dyDescent="0.35">
      <c r="A258" s="41" t="s">
        <v>151</v>
      </c>
      <c r="B258" s="261" t="str">
        <f>(IF(H149="Saleable area Loading :","We have considered Saleable area of Commercial as per our Calculation.","We considered Saleable area of Commercial as per Builder area Sheet."))</f>
        <v>We have considered Saleable area of Commercial as per our Calculation.</v>
      </c>
      <c r="C258" s="262"/>
      <c r="D258" s="262"/>
      <c r="E258" s="262"/>
      <c r="F258" s="262"/>
      <c r="G258" s="262"/>
      <c r="H258" s="263"/>
      <c r="T258" s="34"/>
    </row>
    <row r="259" spans="1:20" s="32" customFormat="1" x14ac:dyDescent="0.35">
      <c r="A259" s="41" t="s">
        <v>151</v>
      </c>
      <c r="B259" s="103" t="s">
        <v>118</v>
      </c>
      <c r="C259" s="104"/>
      <c r="D259" s="104"/>
      <c r="E259" s="104"/>
      <c r="F259" s="104"/>
      <c r="G259" s="104"/>
      <c r="H259" s="105"/>
      <c r="T259" s="34"/>
    </row>
    <row r="260" spans="1:20" s="32" customFormat="1" x14ac:dyDescent="0.35">
      <c r="A260" s="41" t="s">
        <v>151</v>
      </c>
      <c r="B260" s="103" t="s">
        <v>378</v>
      </c>
      <c r="C260" s="104"/>
      <c r="D260" s="104"/>
      <c r="E260" s="104"/>
      <c r="F260" s="104"/>
      <c r="G260" s="104"/>
      <c r="H260" s="105"/>
      <c r="T260" s="34"/>
    </row>
    <row r="261" spans="1:20" s="32" customFormat="1" x14ac:dyDescent="0.35">
      <c r="A261" s="41" t="s">
        <v>151</v>
      </c>
      <c r="B261" s="103" t="s">
        <v>150</v>
      </c>
      <c r="C261" s="104"/>
      <c r="D261" s="104"/>
      <c r="E261" s="104"/>
      <c r="F261" s="104"/>
      <c r="G261" s="104"/>
      <c r="H261" s="105"/>
    </row>
    <row r="262" spans="1:20" s="32" customFormat="1" x14ac:dyDescent="0.35">
      <c r="A262" s="41" t="s">
        <v>151</v>
      </c>
      <c r="B262" s="103" t="s">
        <v>119</v>
      </c>
      <c r="C262" s="104"/>
      <c r="D262" s="104"/>
      <c r="E262" s="104"/>
      <c r="F262" s="104"/>
      <c r="G262" s="104"/>
      <c r="H262" s="105"/>
    </row>
    <row r="263" spans="1:20" s="32" customFormat="1" ht="34.5" customHeight="1" x14ac:dyDescent="0.35">
      <c r="A263" s="41" t="s">
        <v>151</v>
      </c>
      <c r="B263" s="103" t="s">
        <v>152</v>
      </c>
      <c r="C263" s="104"/>
      <c r="D263" s="104"/>
      <c r="E263" s="104"/>
      <c r="F263" s="104"/>
      <c r="G263" s="104"/>
      <c r="H263" s="105"/>
    </row>
    <row r="264" spans="1:20" s="32" customFormat="1" x14ac:dyDescent="0.35">
      <c r="A264" s="41" t="s">
        <v>151</v>
      </c>
      <c r="B264" s="103" t="s">
        <v>120</v>
      </c>
      <c r="C264" s="104"/>
      <c r="D264" s="104"/>
      <c r="E264" s="104"/>
      <c r="F264" s="104"/>
      <c r="G264" s="104"/>
      <c r="H264" s="105"/>
    </row>
    <row r="265" spans="1:20" s="32" customFormat="1" ht="32.25" hidden="1" customHeight="1" x14ac:dyDescent="0.35">
      <c r="A265" s="47" t="s">
        <v>151</v>
      </c>
      <c r="B265" s="258" t="s">
        <v>178</v>
      </c>
      <c r="C265" s="259"/>
      <c r="D265" s="259"/>
      <c r="E265" s="259"/>
      <c r="F265" s="259"/>
      <c r="G265" s="259"/>
      <c r="H265" s="260"/>
    </row>
    <row r="266" spans="1:20" s="32" customFormat="1" hidden="1" x14ac:dyDescent="0.35">
      <c r="A266" s="51" t="s">
        <v>151</v>
      </c>
      <c r="B266" s="258" t="s">
        <v>234</v>
      </c>
      <c r="C266" s="259"/>
      <c r="D266" s="259"/>
      <c r="E266" s="259"/>
      <c r="F266" s="259"/>
      <c r="G266" s="259"/>
      <c r="H266" s="260"/>
    </row>
    <row r="267" spans="1:20" s="32" customFormat="1" x14ac:dyDescent="0.35">
      <c r="A267" s="85" t="s">
        <v>151</v>
      </c>
      <c r="B267" s="103" t="s">
        <v>390</v>
      </c>
      <c r="C267" s="104"/>
      <c r="D267" s="104"/>
      <c r="E267" s="104"/>
      <c r="F267" s="104"/>
      <c r="G267" s="104"/>
      <c r="H267" s="105"/>
    </row>
    <row r="268" spans="1:20" s="32" customFormat="1" x14ac:dyDescent="0.35">
      <c r="A268" s="86" t="s">
        <v>151</v>
      </c>
      <c r="B268" s="103" t="s">
        <v>403</v>
      </c>
      <c r="C268" s="104"/>
      <c r="D268" s="104"/>
      <c r="E268" s="104"/>
      <c r="F268" s="104"/>
      <c r="G268" s="104"/>
      <c r="H268" s="105"/>
    </row>
    <row r="269" spans="1:20" s="32" customFormat="1" x14ac:dyDescent="0.35">
      <c r="A269" s="85" t="s">
        <v>151</v>
      </c>
      <c r="B269" s="103" t="s">
        <v>412</v>
      </c>
      <c r="C269" s="104"/>
      <c r="D269" s="104"/>
      <c r="E269" s="104"/>
      <c r="F269" s="104"/>
      <c r="G269" s="104"/>
      <c r="H269" s="105"/>
    </row>
    <row r="270" spans="1:20" s="32" customFormat="1" x14ac:dyDescent="0.35">
      <c r="A270" s="99" t="s">
        <v>151</v>
      </c>
      <c r="B270" s="103" t="s">
        <v>415</v>
      </c>
      <c r="C270" s="104"/>
      <c r="D270" s="104"/>
      <c r="E270" s="104"/>
      <c r="F270" s="104"/>
      <c r="G270" s="104"/>
      <c r="H270" s="105"/>
    </row>
    <row r="271" spans="1:20" x14ac:dyDescent="0.35">
      <c r="A271" s="153" t="s">
        <v>58</v>
      </c>
      <c r="B271" s="153"/>
      <c r="C271" s="153"/>
      <c r="D271" s="153"/>
      <c r="E271" s="153"/>
      <c r="F271" s="153"/>
      <c r="G271" s="153"/>
      <c r="H271" s="153"/>
      <c r="T271" s="32"/>
    </row>
    <row r="272" spans="1:20" x14ac:dyDescent="0.35">
      <c r="A272" s="138" t="s">
        <v>59</v>
      </c>
      <c r="B272" s="138"/>
      <c r="C272" s="138"/>
      <c r="D272" s="138"/>
      <c r="E272" s="138"/>
      <c r="F272" s="138"/>
      <c r="G272" s="138"/>
      <c r="H272" s="138"/>
      <c r="T272" s="32"/>
    </row>
    <row r="273" spans="1:20" ht="15.75" customHeight="1" x14ac:dyDescent="0.35">
      <c r="A273" s="175" t="s">
        <v>60</v>
      </c>
      <c r="B273" s="175"/>
      <c r="C273" s="175"/>
      <c r="D273" s="175"/>
      <c r="E273" s="175"/>
      <c r="F273" s="175"/>
      <c r="G273" s="175"/>
      <c r="H273" s="175"/>
      <c r="T273" s="32"/>
    </row>
    <row r="274" spans="1:20" x14ac:dyDescent="0.35">
      <c r="A274" s="138" t="s">
        <v>61</v>
      </c>
      <c r="B274" s="138"/>
      <c r="C274" s="138"/>
      <c r="D274" s="138"/>
      <c r="E274" s="138"/>
      <c r="F274" s="138"/>
      <c r="G274" s="138"/>
      <c r="H274" s="138"/>
      <c r="T274" s="32"/>
    </row>
    <row r="275" spans="1:20" x14ac:dyDescent="0.35">
      <c r="A275" s="138" t="s">
        <v>62</v>
      </c>
      <c r="B275" s="138"/>
      <c r="C275" s="138"/>
      <c r="D275" s="138"/>
      <c r="E275" s="138"/>
      <c r="F275" s="138"/>
      <c r="G275" s="138"/>
      <c r="H275" s="138"/>
      <c r="T275" s="32"/>
    </row>
    <row r="276" spans="1:20" x14ac:dyDescent="0.35">
      <c r="A276" s="138" t="s">
        <v>121</v>
      </c>
      <c r="B276" s="138"/>
      <c r="C276" s="138"/>
      <c r="D276" s="138"/>
      <c r="E276" s="138"/>
      <c r="F276" s="138"/>
      <c r="G276" s="138"/>
      <c r="H276" s="138"/>
      <c r="T276" s="32"/>
    </row>
    <row r="277" spans="1:20" ht="34" customHeight="1" x14ac:dyDescent="0.35">
      <c r="A277" s="141" t="s">
        <v>122</v>
      </c>
      <c r="B277" s="141"/>
      <c r="C277" s="141"/>
      <c r="D277" s="141"/>
      <c r="E277" s="141"/>
      <c r="F277" s="141"/>
      <c r="G277" s="141"/>
      <c r="H277" s="141"/>
    </row>
    <row r="278" spans="1:20" x14ac:dyDescent="0.35">
      <c r="A278" s="184" t="s">
        <v>74</v>
      </c>
      <c r="B278" s="184"/>
      <c r="C278" s="184" t="s">
        <v>413</v>
      </c>
      <c r="D278" s="184"/>
      <c r="E278" s="184" t="s">
        <v>101</v>
      </c>
      <c r="F278" s="184"/>
      <c r="G278" s="184" t="s">
        <v>379</v>
      </c>
      <c r="H278" s="184"/>
    </row>
    <row r="279" spans="1:20" x14ac:dyDescent="0.35">
      <c r="A279" s="183" t="s">
        <v>76</v>
      </c>
      <c r="B279" s="183"/>
      <c r="C279" s="183"/>
      <c r="D279" s="183"/>
      <c r="E279" s="183"/>
      <c r="F279" s="183"/>
      <c r="G279" s="183"/>
      <c r="H279" s="183"/>
    </row>
    <row r="280" spans="1:20" x14ac:dyDescent="0.35">
      <c r="A280" s="183"/>
      <c r="B280" s="183"/>
      <c r="C280" s="183"/>
      <c r="D280" s="183"/>
      <c r="E280" s="183"/>
      <c r="F280" s="183"/>
      <c r="G280" s="183"/>
      <c r="H280" s="183"/>
    </row>
    <row r="281" spans="1:20" x14ac:dyDescent="0.35">
      <c r="A281" s="183"/>
      <c r="B281" s="183"/>
      <c r="C281" s="183"/>
      <c r="D281" s="183"/>
      <c r="E281" s="183"/>
      <c r="F281" s="183"/>
      <c r="G281" s="183"/>
      <c r="H281" s="183"/>
    </row>
    <row r="282" spans="1:20" x14ac:dyDescent="0.35">
      <c r="A282" s="183"/>
      <c r="B282" s="183"/>
      <c r="C282" s="183"/>
      <c r="D282" s="183"/>
      <c r="E282" s="183"/>
      <c r="F282" s="183"/>
      <c r="G282" s="183"/>
      <c r="H282" s="183"/>
    </row>
    <row r="283" spans="1:20" x14ac:dyDescent="0.35">
      <c r="A283" s="35" t="s">
        <v>63</v>
      </c>
      <c r="B283" s="36"/>
      <c r="C283" s="36"/>
      <c r="D283" s="35" t="str">
        <f>E9</f>
        <v>Aikya Roots</v>
      </c>
      <c r="F283" s="36"/>
      <c r="G283" s="36"/>
      <c r="H283" s="36"/>
    </row>
    <row r="284" spans="1:20" x14ac:dyDescent="0.35">
      <c r="A284" s="36"/>
      <c r="B284" s="36"/>
      <c r="C284" s="36"/>
      <c r="D284" s="36"/>
      <c r="E284" s="36"/>
      <c r="F284" s="36"/>
      <c r="G284" s="36"/>
      <c r="H284" s="36"/>
    </row>
    <row r="285" spans="1:20" x14ac:dyDescent="0.35">
      <c r="A285" s="36"/>
      <c r="B285" s="36"/>
      <c r="C285" s="36"/>
      <c r="D285" s="36"/>
      <c r="E285" s="36"/>
      <c r="F285" s="36"/>
      <c r="G285" s="36"/>
      <c r="H285" s="36"/>
    </row>
    <row r="286" spans="1:20" ht="15" customHeight="1" x14ac:dyDescent="0.35"/>
    <row r="326" spans="1:1" x14ac:dyDescent="0.35">
      <c r="A326" s="38" t="s">
        <v>162</v>
      </c>
    </row>
    <row r="369" spans="1:1" x14ac:dyDescent="0.35">
      <c r="A369" s="38" t="s">
        <v>64</v>
      </c>
    </row>
  </sheetData>
  <mergeCells count="495">
    <mergeCell ref="B270:H270"/>
    <mergeCell ref="A152:H152"/>
    <mergeCell ref="A153:B153"/>
    <mergeCell ref="B266:H266"/>
    <mergeCell ref="B263:H263"/>
    <mergeCell ref="A246:B246"/>
    <mergeCell ref="A235:B235"/>
    <mergeCell ref="A227:B227"/>
    <mergeCell ref="A107:B108"/>
    <mergeCell ref="C107:D108"/>
    <mergeCell ref="E107:F108"/>
    <mergeCell ref="G107:H108"/>
    <mergeCell ref="A115:B115"/>
    <mergeCell ref="A117:B117"/>
    <mergeCell ref="A118:B118"/>
    <mergeCell ref="A123:E123"/>
    <mergeCell ref="A120:E120"/>
    <mergeCell ref="F124:H124"/>
    <mergeCell ref="G109:H109"/>
    <mergeCell ref="A255:H255"/>
    <mergeCell ref="A247:B247"/>
    <mergeCell ref="A151:H151"/>
    <mergeCell ref="G149:G150"/>
    <mergeCell ref="F127:H127"/>
    <mergeCell ref="A128:E128"/>
    <mergeCell ref="A163:B163"/>
    <mergeCell ref="A176:B176"/>
    <mergeCell ref="B265:H265"/>
    <mergeCell ref="B264:H264"/>
    <mergeCell ref="B262:H262"/>
    <mergeCell ref="B258:H258"/>
    <mergeCell ref="A252:B252"/>
    <mergeCell ref="A249:H249"/>
    <mergeCell ref="A250:B250"/>
    <mergeCell ref="A251:B251"/>
    <mergeCell ref="A254:B254"/>
    <mergeCell ref="A253:B253"/>
    <mergeCell ref="B256:H256"/>
    <mergeCell ref="B257:H257"/>
    <mergeCell ref="B259:H259"/>
    <mergeCell ref="B260:H260"/>
    <mergeCell ref="A207:B207"/>
    <mergeCell ref="L207:M207"/>
    <mergeCell ref="B267:H267"/>
    <mergeCell ref="B269:H269"/>
    <mergeCell ref="A213:B213"/>
    <mergeCell ref="A180:H180"/>
    <mergeCell ref="A181:B181"/>
    <mergeCell ref="A202:H202"/>
    <mergeCell ref="A203:B203"/>
    <mergeCell ref="A208:H208"/>
    <mergeCell ref="A209:B209"/>
    <mergeCell ref="L209:M209"/>
    <mergeCell ref="A210:B210"/>
    <mergeCell ref="L210:M210"/>
    <mergeCell ref="A211:B211"/>
    <mergeCell ref="L211:M211"/>
    <mergeCell ref="A212:B212"/>
    <mergeCell ref="L212:M212"/>
    <mergeCell ref="A193:B193"/>
    <mergeCell ref="L193:M193"/>
    <mergeCell ref="A194:B194"/>
    <mergeCell ref="L194:M194"/>
    <mergeCell ref="A195:B195"/>
    <mergeCell ref="L195:M195"/>
    <mergeCell ref="A196:B196"/>
    <mergeCell ref="L196:M196"/>
    <mergeCell ref="A197:B197"/>
    <mergeCell ref="L197:M197"/>
    <mergeCell ref="L181:M181"/>
    <mergeCell ref="A182:B182"/>
    <mergeCell ref="L182:M182"/>
    <mergeCell ref="A183:B183"/>
    <mergeCell ref="L183:M183"/>
    <mergeCell ref="A184:B184"/>
    <mergeCell ref="L184:M184"/>
    <mergeCell ref="A185:B185"/>
    <mergeCell ref="L185:M185"/>
    <mergeCell ref="C182:H182"/>
    <mergeCell ref="L176:M176"/>
    <mergeCell ref="A177:B177"/>
    <mergeCell ref="L177:M177"/>
    <mergeCell ref="A178:B178"/>
    <mergeCell ref="L178:M178"/>
    <mergeCell ref="A179:B179"/>
    <mergeCell ref="L179:M179"/>
    <mergeCell ref="A170:H170"/>
    <mergeCell ref="A171:H171"/>
    <mergeCell ref="A174:H174"/>
    <mergeCell ref="A175:B175"/>
    <mergeCell ref="L175:M175"/>
    <mergeCell ref="A173:H173"/>
    <mergeCell ref="F125:H125"/>
    <mergeCell ref="E142:F142"/>
    <mergeCell ref="A138:A139"/>
    <mergeCell ref="A127:E127"/>
    <mergeCell ref="L153:M153"/>
    <mergeCell ref="A157:B157"/>
    <mergeCell ref="L157:M157"/>
    <mergeCell ref="A172:H172"/>
    <mergeCell ref="A156:H156"/>
    <mergeCell ref="A160:H160"/>
    <mergeCell ref="A158:H158"/>
    <mergeCell ref="A159:B159"/>
    <mergeCell ref="L159:M159"/>
    <mergeCell ref="A161:B161"/>
    <mergeCell ref="L161:M161"/>
    <mergeCell ref="A166:B166"/>
    <mergeCell ref="A165:B165"/>
    <mergeCell ref="A167:H167"/>
    <mergeCell ref="L155:M155"/>
    <mergeCell ref="B168:B169"/>
    <mergeCell ref="A154:H154"/>
    <mergeCell ref="A155:B155"/>
    <mergeCell ref="A168:A169"/>
    <mergeCell ref="F168:F169"/>
    <mergeCell ref="E139:F139"/>
    <mergeCell ref="G139:H139"/>
    <mergeCell ref="A140:B140"/>
    <mergeCell ref="C140:D140"/>
    <mergeCell ref="E140:F140"/>
    <mergeCell ref="G140:H140"/>
    <mergeCell ref="A144:B144"/>
    <mergeCell ref="C144:D144"/>
    <mergeCell ref="E144:F144"/>
    <mergeCell ref="G144:H144"/>
    <mergeCell ref="A40:B40"/>
    <mergeCell ref="C40:H40"/>
    <mergeCell ref="A49:B49"/>
    <mergeCell ref="C49:H49"/>
    <mergeCell ref="C52:E52"/>
    <mergeCell ref="C51:E51"/>
    <mergeCell ref="C53:E53"/>
    <mergeCell ref="G53:H53"/>
    <mergeCell ref="A146:B146"/>
    <mergeCell ref="C146:D146"/>
    <mergeCell ref="E146:F146"/>
    <mergeCell ref="E93:F93"/>
    <mergeCell ref="G93:H93"/>
    <mergeCell ref="A130:E130"/>
    <mergeCell ref="F130:H130"/>
    <mergeCell ref="A132:E132"/>
    <mergeCell ref="F123:H123"/>
    <mergeCell ref="A103:B103"/>
    <mergeCell ref="A110:B110"/>
    <mergeCell ref="A145:B145"/>
    <mergeCell ref="E145:F145"/>
    <mergeCell ref="C106:H106"/>
    <mergeCell ref="A109:B109"/>
    <mergeCell ref="A133:E133"/>
    <mergeCell ref="C55:H55"/>
    <mergeCell ref="A79:B79"/>
    <mergeCell ref="A111:B111"/>
    <mergeCell ref="A112:B112"/>
    <mergeCell ref="G94:H103"/>
    <mergeCell ref="A95:B95"/>
    <mergeCell ref="A96:B96"/>
    <mergeCell ref="A97:B97"/>
    <mergeCell ref="F122:H122"/>
    <mergeCell ref="A122:E122"/>
    <mergeCell ref="D68:H68"/>
    <mergeCell ref="A66:C68"/>
    <mergeCell ref="D66:H66"/>
    <mergeCell ref="D67:H67"/>
    <mergeCell ref="E109:F109"/>
    <mergeCell ref="E110:F119"/>
    <mergeCell ref="F120:H120"/>
    <mergeCell ref="A39:B39"/>
    <mergeCell ref="C39:H39"/>
    <mergeCell ref="A46:D46"/>
    <mergeCell ref="L166:M166"/>
    <mergeCell ref="L165:M165"/>
    <mergeCell ref="L164:M164"/>
    <mergeCell ref="L163:M163"/>
    <mergeCell ref="A87:B87"/>
    <mergeCell ref="C143:D143"/>
    <mergeCell ref="E143:F143"/>
    <mergeCell ref="G143:H143"/>
    <mergeCell ref="A121:E121"/>
    <mergeCell ref="A104:B104"/>
    <mergeCell ref="C104:H104"/>
    <mergeCell ref="A162:H162"/>
    <mergeCell ref="E149:E150"/>
    <mergeCell ref="A94:B94"/>
    <mergeCell ref="A47:D47"/>
    <mergeCell ref="A48:H48"/>
    <mergeCell ref="D65:H65"/>
    <mergeCell ref="A65:C65"/>
    <mergeCell ref="A86:B86"/>
    <mergeCell ref="C92:H92"/>
    <mergeCell ref="A45:D45"/>
    <mergeCell ref="A38:H38"/>
    <mergeCell ref="A37:B37"/>
    <mergeCell ref="C37:E37"/>
    <mergeCell ref="G110:H119"/>
    <mergeCell ref="A42:D42"/>
    <mergeCell ref="E42:H42"/>
    <mergeCell ref="A41:H41"/>
    <mergeCell ref="A69:C69"/>
    <mergeCell ref="A70:C70"/>
    <mergeCell ref="D69:H69"/>
    <mergeCell ref="E80:F89"/>
    <mergeCell ref="G80:H89"/>
    <mergeCell ref="A88:B88"/>
    <mergeCell ref="A89:B89"/>
    <mergeCell ref="D70:H70"/>
    <mergeCell ref="A44:D44"/>
    <mergeCell ref="E44:H44"/>
    <mergeCell ref="E45:H45"/>
    <mergeCell ref="E46:H46"/>
    <mergeCell ref="A93:B93"/>
    <mergeCell ref="E47:H47"/>
    <mergeCell ref="C57:H57"/>
    <mergeCell ref="C59:H59"/>
    <mergeCell ref="A92:B92"/>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2:C72"/>
    <mergeCell ref="D72:H72"/>
    <mergeCell ref="A75:C75"/>
    <mergeCell ref="D75:H75"/>
    <mergeCell ref="A73:C73"/>
    <mergeCell ref="D74:H74"/>
    <mergeCell ref="A80:B80"/>
    <mergeCell ref="G79:H79"/>
    <mergeCell ref="A236:B236"/>
    <mergeCell ref="A233:B233"/>
    <mergeCell ref="A234:B234"/>
    <mergeCell ref="A102:B102"/>
    <mergeCell ref="F149:F150"/>
    <mergeCell ref="C138:D138"/>
    <mergeCell ref="E138:F138"/>
    <mergeCell ref="B149:B150"/>
    <mergeCell ref="A149:A150"/>
    <mergeCell ref="C168:C169"/>
    <mergeCell ref="G168:G169"/>
    <mergeCell ref="G146:H146"/>
    <mergeCell ref="D149:D150"/>
    <mergeCell ref="A124:E124"/>
    <mergeCell ref="F128:H128"/>
    <mergeCell ref="A131:E131"/>
    <mergeCell ref="A279:H282"/>
    <mergeCell ref="A278:B278"/>
    <mergeCell ref="E278:F278"/>
    <mergeCell ref="C278:D278"/>
    <mergeCell ref="G278:H278"/>
    <mergeCell ref="A136:H136"/>
    <mergeCell ref="A134:E134"/>
    <mergeCell ref="F134:H134"/>
    <mergeCell ref="A135:E135"/>
    <mergeCell ref="F135:H135"/>
    <mergeCell ref="A231:H231"/>
    <mergeCell ref="A143:B143"/>
    <mergeCell ref="A240:B240"/>
    <mergeCell ref="A274:H274"/>
    <mergeCell ref="A141:H141"/>
    <mergeCell ref="A277:H277"/>
    <mergeCell ref="A275:H275"/>
    <mergeCell ref="A271:H271"/>
    <mergeCell ref="G142:H142"/>
    <mergeCell ref="A242:B242"/>
    <mergeCell ref="C149:C150"/>
    <mergeCell ref="A220:H220"/>
    <mergeCell ref="A221:B221"/>
    <mergeCell ref="C221:H222"/>
    <mergeCell ref="A276:H276"/>
    <mergeCell ref="A273:H273"/>
    <mergeCell ref="A232:B232"/>
    <mergeCell ref="A142:B142"/>
    <mergeCell ref="D168:D169"/>
    <mergeCell ref="E168:E169"/>
    <mergeCell ref="A98:B98"/>
    <mergeCell ref="A99:B99"/>
    <mergeCell ref="A100:B100"/>
    <mergeCell ref="A116:B116"/>
    <mergeCell ref="F121:H121"/>
    <mergeCell ref="G138:H138"/>
    <mergeCell ref="A119:B119"/>
    <mergeCell ref="F129:H129"/>
    <mergeCell ref="C137:D137"/>
    <mergeCell ref="C145:D145"/>
    <mergeCell ref="A226:H226"/>
    <mergeCell ref="A272:H272"/>
    <mergeCell ref="A238:B238"/>
    <mergeCell ref="F131:H131"/>
    <mergeCell ref="A147:H147"/>
    <mergeCell ref="A125:E125"/>
    <mergeCell ref="G145:H145"/>
    <mergeCell ref="C139:D139"/>
    <mergeCell ref="G54:H54"/>
    <mergeCell ref="A56:B57"/>
    <mergeCell ref="C56:E56"/>
    <mergeCell ref="G56:H56"/>
    <mergeCell ref="A58:B59"/>
    <mergeCell ref="C58:E58"/>
    <mergeCell ref="G58:H58"/>
    <mergeCell ref="A129:E129"/>
    <mergeCell ref="A113:B113"/>
    <mergeCell ref="A114:B114"/>
    <mergeCell ref="E94:F103"/>
    <mergeCell ref="A101:B101"/>
    <mergeCell ref="A106:B106"/>
    <mergeCell ref="A82:B82"/>
    <mergeCell ref="A78:B78"/>
    <mergeCell ref="A76:B76"/>
    <mergeCell ref="C76:H76"/>
    <mergeCell ref="A84:B84"/>
    <mergeCell ref="A71:C71"/>
    <mergeCell ref="D71:H71"/>
    <mergeCell ref="C78:H78"/>
    <mergeCell ref="A81:B81"/>
    <mergeCell ref="A83:B83"/>
    <mergeCell ref="E79:F79"/>
    <mergeCell ref="I15:P15"/>
    <mergeCell ref="F133:H133"/>
    <mergeCell ref="F132:H132"/>
    <mergeCell ref="A239:B239"/>
    <mergeCell ref="A148:H148"/>
    <mergeCell ref="G137:H137"/>
    <mergeCell ref="A126:E126"/>
    <mergeCell ref="A164:B164"/>
    <mergeCell ref="A61:B61"/>
    <mergeCell ref="C61:E61"/>
    <mergeCell ref="D63:H63"/>
    <mergeCell ref="F126:H126"/>
    <mergeCell ref="E137:F137"/>
    <mergeCell ref="A137:B137"/>
    <mergeCell ref="C142:D142"/>
    <mergeCell ref="D73:H73"/>
    <mergeCell ref="A74:C74"/>
    <mergeCell ref="E43:H43"/>
    <mergeCell ref="A43:D43"/>
    <mergeCell ref="A200:H200"/>
    <mergeCell ref="A186:H186"/>
    <mergeCell ref="A187:B187"/>
    <mergeCell ref="A214:H214"/>
    <mergeCell ref="A215:B215"/>
    <mergeCell ref="A90:B90"/>
    <mergeCell ref="C90:H90"/>
    <mergeCell ref="A85:B85"/>
    <mergeCell ref="A50:B50"/>
    <mergeCell ref="C50:E50"/>
    <mergeCell ref="L187:M187"/>
    <mergeCell ref="A188:B188"/>
    <mergeCell ref="C188:H188"/>
    <mergeCell ref="L188:M188"/>
    <mergeCell ref="G51:H51"/>
    <mergeCell ref="A52:B53"/>
    <mergeCell ref="A60:B60"/>
    <mergeCell ref="C60:E60"/>
    <mergeCell ref="G60:H60"/>
    <mergeCell ref="G50:H50"/>
    <mergeCell ref="G52:H52"/>
    <mergeCell ref="A51:B51"/>
    <mergeCell ref="A62:H62"/>
    <mergeCell ref="A63:C63"/>
    <mergeCell ref="A64:C64"/>
    <mergeCell ref="D64:H64"/>
    <mergeCell ref="G61:H61"/>
    <mergeCell ref="A54:B55"/>
    <mergeCell ref="C54:E54"/>
    <mergeCell ref="A189:B189"/>
    <mergeCell ref="L189:M189"/>
    <mergeCell ref="A190:B190"/>
    <mergeCell ref="L190:M190"/>
    <mergeCell ref="A191:B191"/>
    <mergeCell ref="L191:M191"/>
    <mergeCell ref="L215:M215"/>
    <mergeCell ref="A216:B216"/>
    <mergeCell ref="C216:H216"/>
    <mergeCell ref="L216:M216"/>
    <mergeCell ref="C193:H194"/>
    <mergeCell ref="L203:M203"/>
    <mergeCell ref="A204:B204"/>
    <mergeCell ref="L204:M204"/>
    <mergeCell ref="A205:B205"/>
    <mergeCell ref="L205:M205"/>
    <mergeCell ref="A206:B206"/>
    <mergeCell ref="L206:M206"/>
    <mergeCell ref="A201:H201"/>
    <mergeCell ref="A198:H198"/>
    <mergeCell ref="A199:H199"/>
    <mergeCell ref="L213:M213"/>
    <mergeCell ref="C210:H210"/>
    <mergeCell ref="A192:H192"/>
    <mergeCell ref="B268:H268"/>
    <mergeCell ref="L221:M221"/>
    <mergeCell ref="A222:B222"/>
    <mergeCell ref="L222:M222"/>
    <mergeCell ref="A223:B223"/>
    <mergeCell ref="L223:M223"/>
    <mergeCell ref="A224:B224"/>
    <mergeCell ref="L224:M224"/>
    <mergeCell ref="A225:B225"/>
    <mergeCell ref="L225:M225"/>
    <mergeCell ref="A237:H237"/>
    <mergeCell ref="A248:B248"/>
    <mergeCell ref="A243:H243"/>
    <mergeCell ref="L231:M231"/>
    <mergeCell ref="A244:B244"/>
    <mergeCell ref="L230:M230"/>
    <mergeCell ref="L227:M227"/>
    <mergeCell ref="A228:B228"/>
    <mergeCell ref="A241:B241"/>
    <mergeCell ref="L228:M228"/>
    <mergeCell ref="A229:B229"/>
    <mergeCell ref="L229:M229"/>
    <mergeCell ref="A230:B230"/>
    <mergeCell ref="B261:H261"/>
    <mergeCell ref="A245:B245"/>
    <mergeCell ref="A217:B217"/>
    <mergeCell ref="L217:M217"/>
    <mergeCell ref="A218:B218"/>
    <mergeCell ref="L218:M218"/>
    <mergeCell ref="A219:B219"/>
    <mergeCell ref="L219:M219"/>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9:E150">
      <formula1>"Attached Loft area,Attached Otla area,Attached Mezzanine area"</formula1>
    </dataValidation>
    <dataValidation type="list" allowBlank="1" showInputMessage="1" showErrorMessage="1" sqref="G278:H278">
      <formula1>"Kunal Kadam,Pranita Mhatre,Shruti Fule,Pooja Kawale,Gaurav Panchal,Shruti Tathare, Hitakshi Mhatre, Sachin Sawant"</formula1>
    </dataValidation>
    <dataValidation type="list" allowBlank="1" showInputMessage="1" showErrorMessage="1" sqref="F120:H120">
      <formula1>"On Saleable Area,On Builtup Area,On Carpet Area,On Plot Area"</formula1>
    </dataValidation>
    <dataValidation type="list" allowBlank="1" showInputMessage="1" showErrorMessage="1" sqref="F134:H134">
      <formula1>OFFSET($S$120,1,MATCH($G20,$S$120:$W$120,0)-1,15,1)</formula1>
    </dataValidation>
    <dataValidation type="list" allowBlank="1" showInputMessage="1" showErrorMessage="1" sqref="B149:B150">
      <formula1>"Shop No. (Sale Plan),Sale / Rehab,Sale / Mhada"</formula1>
    </dataValidation>
    <dataValidation type="list" allowBlank="1" showInputMessage="1" showErrorMessage="1" sqref="B168:B16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8:E169">
      <formula1>"Fungible area,Balcony Area,Chajja Area,Cornice Area,AP Area,WS Area"</formula1>
    </dataValidation>
    <dataValidation type="list" allowBlank="1" showInputMessage="1" showErrorMessage="1" sqref="H169 H15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9 H168">
      <formula1>"Saleable area Loading :,Builder Saleable Area"</formula1>
    </dataValidation>
    <dataValidation type="list" allowBlank="1" showInputMessage="1" showErrorMessage="1" sqref="D168:D169 D149:D150">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82" max="16383" man="1"/>
    <brk id="325" max="16383" man="1"/>
    <brk id="36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F9" sqref="F9"/>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8" t="s">
        <v>102</v>
      </c>
      <c r="C3" s="268"/>
      <c r="D3" s="268"/>
      <c r="E3" s="268"/>
      <c r="F3" s="268"/>
      <c r="G3" s="268"/>
      <c r="H3" s="268"/>
    </row>
    <row r="4" spans="1:9" x14ac:dyDescent="0.35">
      <c r="A4" s="2"/>
      <c r="B4" s="3" t="s">
        <v>103</v>
      </c>
      <c r="C4" s="3" t="s">
        <v>104</v>
      </c>
      <c r="D4" s="3" t="s">
        <v>66</v>
      </c>
      <c r="E4" s="3" t="s">
        <v>105</v>
      </c>
      <c r="F4" s="3" t="s">
        <v>111</v>
      </c>
      <c r="G4" s="3" t="s">
        <v>112</v>
      </c>
      <c r="H4" s="3" t="s">
        <v>106</v>
      </c>
    </row>
    <row r="5" spans="1:9" ht="15" customHeight="1" x14ac:dyDescent="0.35">
      <c r="A5" s="2"/>
      <c r="B5" s="5" t="s">
        <v>107</v>
      </c>
      <c r="C5" s="6"/>
      <c r="D5" s="5"/>
      <c r="E5" s="5"/>
      <c r="F5" s="7">
        <f>E5*1.6</f>
        <v>0</v>
      </c>
      <c r="G5" s="7" t="e">
        <f>H5/F5</f>
        <v>#DIV/0!</v>
      </c>
      <c r="H5" s="8"/>
    </row>
    <row r="6" spans="1:9" x14ac:dyDescent="0.35">
      <c r="A6" s="2"/>
      <c r="B6" s="5" t="s">
        <v>107</v>
      </c>
      <c r="C6" s="9"/>
      <c r="D6" s="5"/>
      <c r="E6" s="5"/>
      <c r="F6" s="7">
        <f t="shared" ref="F6:F11" si="0">E6*1.6</f>
        <v>0</v>
      </c>
      <c r="G6" s="7" t="e">
        <f t="shared" ref="G6:G11" si="1">H6/F6</f>
        <v>#DIV/0!</v>
      </c>
      <c r="H6" s="8"/>
    </row>
    <row r="7" spans="1:9" ht="15" customHeight="1" x14ac:dyDescent="0.35">
      <c r="A7" s="2"/>
      <c r="B7" s="5" t="s">
        <v>107</v>
      </c>
      <c r="C7" s="6"/>
      <c r="D7" s="5"/>
      <c r="E7" s="5"/>
      <c r="F7" s="7">
        <f t="shared" si="0"/>
        <v>0</v>
      </c>
      <c r="G7" s="7" t="e">
        <f t="shared" si="1"/>
        <v>#DIV/0!</v>
      </c>
      <c r="H7" s="8"/>
    </row>
    <row r="8" spans="1:9" x14ac:dyDescent="0.35">
      <c r="A8" s="2"/>
      <c r="B8" s="5" t="s">
        <v>107</v>
      </c>
      <c r="C8" s="9"/>
      <c r="D8" s="5"/>
      <c r="E8" s="5"/>
      <c r="F8" s="7">
        <f t="shared" si="0"/>
        <v>0</v>
      </c>
      <c r="G8" s="7" t="e">
        <f t="shared" si="1"/>
        <v>#DIV/0!</v>
      </c>
      <c r="H8" s="8"/>
    </row>
    <row r="9" spans="1:9" ht="15" customHeight="1" x14ac:dyDescent="0.35">
      <c r="A9" s="2"/>
      <c r="B9" s="5" t="s">
        <v>107</v>
      </c>
      <c r="C9" s="9"/>
      <c r="D9" s="5"/>
      <c r="E9" s="5"/>
      <c r="F9" s="7">
        <f t="shared" si="0"/>
        <v>0</v>
      </c>
      <c r="G9" s="7" t="e">
        <f t="shared" si="1"/>
        <v>#DIV/0!</v>
      </c>
      <c r="H9" s="8"/>
    </row>
    <row r="10" spans="1:9" ht="15" customHeight="1" x14ac:dyDescent="0.35">
      <c r="A10" s="2"/>
      <c r="B10" s="5" t="s">
        <v>108</v>
      </c>
      <c r="C10" s="6"/>
      <c r="D10" s="5"/>
      <c r="E10" s="5"/>
      <c r="F10" s="7">
        <f t="shared" si="0"/>
        <v>0</v>
      </c>
      <c r="G10" s="7" t="e">
        <f t="shared" si="1"/>
        <v>#DIV/0!</v>
      </c>
      <c r="H10" s="8"/>
    </row>
    <row r="11" spans="1:9" ht="15" customHeight="1" x14ac:dyDescent="0.35">
      <c r="A11" s="2"/>
      <c r="B11" s="5" t="s">
        <v>108</v>
      </c>
      <c r="C11" s="6"/>
      <c r="D11" s="5"/>
      <c r="E11" s="5"/>
      <c r="F11" s="7">
        <f t="shared" si="0"/>
        <v>0</v>
      </c>
      <c r="G11" s="7" t="e">
        <f t="shared" si="1"/>
        <v>#DIV/0!</v>
      </c>
      <c r="H11" s="8"/>
    </row>
    <row r="12" spans="1:9" ht="15" customHeight="1" x14ac:dyDescent="0.35">
      <c r="A12" s="2"/>
      <c r="B12" s="10" t="s">
        <v>109</v>
      </c>
      <c r="C12" s="5"/>
      <c r="D12" s="5"/>
      <c r="E12" s="5"/>
      <c r="F12" s="5"/>
      <c r="G12" s="11" t="e">
        <f>AVERAGE(G5:G11)</f>
        <v>#DIV/0!</v>
      </c>
      <c r="H12" s="5"/>
    </row>
    <row r="13" spans="1:9" ht="15" customHeight="1" x14ac:dyDescent="0.35">
      <c r="B13" s="10" t="s">
        <v>110</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11</v>
      </c>
      <c r="D4" s="49" t="s">
        <v>179</v>
      </c>
      <c r="E4" s="49" t="s">
        <v>189</v>
      </c>
      <c r="F4" s="49" t="s">
        <v>171</v>
      </c>
      <c r="G4" s="49" t="s">
        <v>194</v>
      </c>
      <c r="H4" s="49" t="s">
        <v>212</v>
      </c>
      <c r="J4" t="s">
        <v>194</v>
      </c>
      <c r="K4" t="s">
        <v>210</v>
      </c>
    </row>
    <row r="5" spans="2:11" x14ac:dyDescent="0.35">
      <c r="B5" s="48"/>
      <c r="C5" s="48"/>
      <c r="D5" s="49" t="s">
        <v>180</v>
      </c>
      <c r="E5" s="49" t="s">
        <v>187</v>
      </c>
      <c r="F5" s="49" t="s">
        <v>209</v>
      </c>
      <c r="G5" s="49" t="s">
        <v>195</v>
      </c>
      <c r="H5" s="49" t="s">
        <v>213</v>
      </c>
    </row>
    <row r="6" spans="2:11" x14ac:dyDescent="0.35">
      <c r="B6" s="48"/>
      <c r="C6" s="48"/>
      <c r="D6" s="49" t="s">
        <v>181</v>
      </c>
      <c r="E6" s="49" t="s">
        <v>188</v>
      </c>
      <c r="F6" s="49" t="s">
        <v>210</v>
      </c>
      <c r="G6" s="49" t="s">
        <v>196</v>
      </c>
      <c r="H6" s="49" t="s">
        <v>226</v>
      </c>
    </row>
    <row r="7" spans="2:11" x14ac:dyDescent="0.35">
      <c r="B7" s="48"/>
      <c r="C7" s="48"/>
      <c r="D7" s="49" t="s">
        <v>182</v>
      </c>
      <c r="E7" s="49" t="s">
        <v>190</v>
      </c>
      <c r="F7" s="49" t="s">
        <v>211</v>
      </c>
      <c r="G7" s="49" t="s">
        <v>197</v>
      </c>
      <c r="H7" s="49" t="s">
        <v>214</v>
      </c>
    </row>
    <row r="8" spans="2:11" x14ac:dyDescent="0.35">
      <c r="B8" s="48"/>
      <c r="C8" s="48"/>
      <c r="D8" s="49" t="s">
        <v>183</v>
      </c>
      <c r="E8" s="49" t="s">
        <v>191</v>
      </c>
      <c r="F8" s="49"/>
      <c r="G8" s="49" t="s">
        <v>198</v>
      </c>
      <c r="H8" s="49" t="s">
        <v>215</v>
      </c>
    </row>
    <row r="9" spans="2:11" x14ac:dyDescent="0.35">
      <c r="B9" s="48"/>
      <c r="C9" s="48"/>
      <c r="D9" s="49" t="s">
        <v>184</v>
      </c>
      <c r="E9" s="49" t="s">
        <v>189</v>
      </c>
      <c r="F9" s="49"/>
      <c r="G9" s="49" t="s">
        <v>199</v>
      </c>
      <c r="H9" s="49" t="s">
        <v>216</v>
      </c>
    </row>
    <row r="10" spans="2:11" x14ac:dyDescent="0.35">
      <c r="B10" s="48"/>
      <c r="C10" s="48"/>
      <c r="D10" s="49" t="s">
        <v>185</v>
      </c>
      <c r="E10" s="49" t="s">
        <v>192</v>
      </c>
      <c r="F10" s="49"/>
      <c r="G10" s="49" t="s">
        <v>200</v>
      </c>
      <c r="H10" s="49" t="s">
        <v>217</v>
      </c>
    </row>
    <row r="11" spans="2:11" x14ac:dyDescent="0.35">
      <c r="B11" s="48"/>
      <c r="C11" s="48"/>
      <c r="D11" s="49" t="s">
        <v>186</v>
      </c>
      <c r="E11" s="49" t="s">
        <v>193</v>
      </c>
      <c r="F11" s="49"/>
      <c r="G11" s="49" t="s">
        <v>201</v>
      </c>
      <c r="H11" s="49" t="s">
        <v>218</v>
      </c>
    </row>
    <row r="12" spans="2:11" x14ac:dyDescent="0.35">
      <c r="B12" s="48"/>
      <c r="C12" s="48"/>
      <c r="D12" s="49"/>
      <c r="E12" s="49"/>
      <c r="F12" s="49"/>
      <c r="G12" s="49" t="s">
        <v>202</v>
      </c>
      <c r="H12" s="49" t="s">
        <v>219</v>
      </c>
    </row>
    <row r="13" spans="2:11" x14ac:dyDescent="0.35">
      <c r="B13" s="48"/>
      <c r="C13" s="48"/>
      <c r="D13" s="49"/>
      <c r="E13" s="49"/>
      <c r="F13" s="49"/>
      <c r="G13" s="49" t="s">
        <v>203</v>
      </c>
      <c r="H13" s="49" t="s">
        <v>220</v>
      </c>
    </row>
    <row r="14" spans="2:11" x14ac:dyDescent="0.35">
      <c r="B14" s="48"/>
      <c r="C14" s="48"/>
      <c r="D14" s="49"/>
      <c r="E14" s="49"/>
      <c r="F14" s="49"/>
      <c r="G14" s="49" t="s">
        <v>204</v>
      </c>
      <c r="H14" s="49" t="s">
        <v>221</v>
      </c>
    </row>
    <row r="15" spans="2:11" x14ac:dyDescent="0.35">
      <c r="B15" s="48"/>
      <c r="C15" s="48"/>
      <c r="D15" s="49"/>
      <c r="E15" s="49"/>
      <c r="F15" s="49"/>
      <c r="G15" s="49" t="s">
        <v>205</v>
      </c>
      <c r="H15" s="49" t="s">
        <v>222</v>
      </c>
    </row>
    <row r="16" spans="2:11" x14ac:dyDescent="0.35">
      <c r="B16" s="48"/>
      <c r="C16" s="48"/>
      <c r="D16" s="49"/>
      <c r="E16" s="49"/>
      <c r="F16" s="49"/>
      <c r="G16" s="49" t="s">
        <v>206</v>
      </c>
      <c r="H16" s="49" t="s">
        <v>223</v>
      </c>
    </row>
    <row r="17" spans="2:8" x14ac:dyDescent="0.35">
      <c r="B17" s="48"/>
      <c r="C17" s="48"/>
      <c r="D17" s="49"/>
      <c r="E17" s="49"/>
      <c r="F17" s="49"/>
      <c r="G17" s="49" t="s">
        <v>207</v>
      </c>
      <c r="H17" s="49" t="s">
        <v>224</v>
      </c>
    </row>
    <row r="18" spans="2:8" x14ac:dyDescent="0.35">
      <c r="B18" s="48"/>
      <c r="C18" s="48"/>
      <c r="D18" s="49"/>
      <c r="E18" s="49"/>
      <c r="F18" s="49"/>
      <c r="G18" s="49" t="s">
        <v>208</v>
      </c>
      <c r="H18" s="49" t="s">
        <v>225</v>
      </c>
    </row>
    <row r="24" spans="2:8" x14ac:dyDescent="0.35">
      <c r="C24" t="s">
        <v>168</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168</v>
      </c>
    </row>
    <row r="33" spans="3:11" x14ac:dyDescent="0.35">
      <c r="J33">
        <v>1</v>
      </c>
      <c r="K33">
        <v>2</v>
      </c>
    </row>
    <row r="34" spans="3:11" x14ac:dyDescent="0.35">
      <c r="C34" s="52" t="s">
        <v>238</v>
      </c>
      <c r="D34" s="49" t="s">
        <v>236</v>
      </c>
      <c r="E34" s="49" t="s">
        <v>241</v>
      </c>
      <c r="F34" s="49" t="s">
        <v>239</v>
      </c>
      <c r="G34" s="49" t="s">
        <v>240</v>
      </c>
      <c r="H34" s="49" t="s">
        <v>242</v>
      </c>
      <c r="J34" t="s">
        <v>194</v>
      </c>
      <c r="K34" t="s">
        <v>210</v>
      </c>
    </row>
    <row r="35" spans="3:11" x14ac:dyDescent="0.35">
      <c r="C35" s="48" t="s">
        <v>237</v>
      </c>
      <c r="D35" s="49" t="s">
        <v>169</v>
      </c>
      <c r="E35" s="49" t="s">
        <v>246</v>
      </c>
      <c r="F35" s="49" t="s">
        <v>248</v>
      </c>
      <c r="G35" s="49" t="s">
        <v>250</v>
      </c>
      <c r="H35" s="49"/>
    </row>
    <row r="36" spans="3:11" x14ac:dyDescent="0.35">
      <c r="C36" s="48"/>
      <c r="D36" s="49" t="s">
        <v>243</v>
      </c>
      <c r="E36" s="49" t="s">
        <v>247</v>
      </c>
      <c r="F36" s="49" t="s">
        <v>249</v>
      </c>
      <c r="G36" s="49" t="s">
        <v>251</v>
      </c>
      <c r="H36" s="49"/>
    </row>
    <row r="37" spans="3:11" x14ac:dyDescent="0.35">
      <c r="C37" s="48"/>
      <c r="D37" s="49" t="s">
        <v>244</v>
      </c>
      <c r="E37" s="49"/>
      <c r="F37" s="49"/>
      <c r="G37" s="49" t="s">
        <v>252</v>
      </c>
      <c r="H37" s="49"/>
    </row>
    <row r="38" spans="3:11" x14ac:dyDescent="0.35">
      <c r="C38" s="48"/>
      <c r="D38" s="49" t="s">
        <v>245</v>
      </c>
      <c r="E38" s="49"/>
      <c r="F38" s="49"/>
      <c r="G38" s="49" t="s">
        <v>252</v>
      </c>
      <c r="H38" s="49"/>
    </row>
    <row r="39" spans="3:11" x14ac:dyDescent="0.35">
      <c r="C39" s="48"/>
      <c r="D39" s="49"/>
      <c r="E39" s="49"/>
      <c r="F39" s="49"/>
      <c r="G39" s="49" t="s">
        <v>253</v>
      </c>
      <c r="H39" s="49"/>
    </row>
    <row r="40" spans="3:11" x14ac:dyDescent="0.35">
      <c r="C40" s="48"/>
      <c r="D40" s="49"/>
      <c r="E40" s="49"/>
      <c r="F40" s="49"/>
      <c r="G40" s="49" t="s">
        <v>254</v>
      </c>
      <c r="H40" s="49"/>
    </row>
    <row r="41" spans="3:11" x14ac:dyDescent="0.35">
      <c r="C41" s="48"/>
      <c r="D41" s="49"/>
      <c r="E41" s="49"/>
      <c r="F41" s="49"/>
      <c r="G41" s="49"/>
      <c r="H41" s="49"/>
    </row>
    <row r="43" spans="3:11" x14ac:dyDescent="0.35">
      <c r="C43" t="s">
        <v>255</v>
      </c>
    </row>
    <row r="44" spans="3:11" x14ac:dyDescent="0.35">
      <c r="C44" t="s">
        <v>171</v>
      </c>
      <c r="D44" t="s">
        <v>256</v>
      </c>
    </row>
    <row r="45" spans="3:11" x14ac:dyDescent="0.35">
      <c r="D45" t="s">
        <v>257</v>
      </c>
    </row>
    <row r="46" spans="3:11" x14ac:dyDescent="0.35">
      <c r="D46" t="s">
        <v>258</v>
      </c>
    </row>
    <row r="47" spans="3:11" x14ac:dyDescent="0.35">
      <c r="D47" t="s">
        <v>259</v>
      </c>
    </row>
    <row r="48" spans="3:11" x14ac:dyDescent="0.35">
      <c r="D48" t="s">
        <v>260</v>
      </c>
    </row>
    <row r="49" spans="3:4" x14ac:dyDescent="0.35">
      <c r="C49" t="s">
        <v>179</v>
      </c>
      <c r="D49" t="s">
        <v>261</v>
      </c>
    </row>
    <row r="50" spans="3:4" x14ac:dyDescent="0.35">
      <c r="D50" t="s">
        <v>262</v>
      </c>
    </row>
    <row r="51" spans="3:4" x14ac:dyDescent="0.35">
      <c r="D51" t="s">
        <v>263</v>
      </c>
    </row>
    <row r="52" spans="3:4" x14ac:dyDescent="0.35">
      <c r="D52" t="s">
        <v>266</v>
      </c>
    </row>
    <row r="53" spans="3:4" x14ac:dyDescent="0.35">
      <c r="D53" t="s">
        <v>264</v>
      </c>
    </row>
    <row r="54" spans="3:4" x14ac:dyDescent="0.35">
      <c r="D54" t="s">
        <v>265</v>
      </c>
    </row>
    <row r="55" spans="3:4" x14ac:dyDescent="0.35">
      <c r="D55" t="s">
        <v>267</v>
      </c>
    </row>
    <row r="56" spans="3:4" x14ac:dyDescent="0.35">
      <c r="D56" t="s">
        <v>268</v>
      </c>
    </row>
    <row r="57" spans="3:4" x14ac:dyDescent="0.35">
      <c r="D57" t="s">
        <v>269</v>
      </c>
    </row>
    <row r="58" spans="3:4" x14ac:dyDescent="0.35">
      <c r="D58" t="s">
        <v>271</v>
      </c>
    </row>
    <row r="59" spans="3:4" x14ac:dyDescent="0.35">
      <c r="D59" t="s">
        <v>280</v>
      </c>
    </row>
    <row r="60" spans="3:4" x14ac:dyDescent="0.35">
      <c r="C60" t="s">
        <v>194</v>
      </c>
      <c r="D60" t="s">
        <v>272</v>
      </c>
    </row>
    <row r="61" spans="3:4" x14ac:dyDescent="0.35">
      <c r="D61" t="s">
        <v>270</v>
      </c>
    </row>
    <row r="62" spans="3:4" x14ac:dyDescent="0.35">
      <c r="D62" t="s">
        <v>260</v>
      </c>
    </row>
    <row r="63" spans="3:4" x14ac:dyDescent="0.35">
      <c r="D63" t="s">
        <v>273</v>
      </c>
    </row>
    <row r="64" spans="3:4" x14ac:dyDescent="0.35">
      <c r="D64" t="s">
        <v>274</v>
      </c>
    </row>
    <row r="65" spans="3:4" x14ac:dyDescent="0.35">
      <c r="D65" t="s">
        <v>275</v>
      </c>
    </row>
    <row r="66" spans="3:4" x14ac:dyDescent="0.35">
      <c r="D66" t="s">
        <v>276</v>
      </c>
    </row>
    <row r="67" spans="3:4" x14ac:dyDescent="0.35">
      <c r="C67" t="s">
        <v>189</v>
      </c>
      <c r="D67" t="s">
        <v>277</v>
      </c>
    </row>
    <row r="68" spans="3:4" x14ac:dyDescent="0.35">
      <c r="D68" t="s">
        <v>278</v>
      </c>
    </row>
    <row r="69" spans="3:4" x14ac:dyDescent="0.3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4.5" x14ac:dyDescent="0.35"/>
  <cols>
    <col min="2" max="2" width="3" bestFit="1" customWidth="1"/>
    <col min="3" max="3" width="155.26953125" customWidth="1"/>
  </cols>
  <sheetData>
    <row r="2" spans="2:3" ht="15" customHeight="1" x14ac:dyDescent="0.35">
      <c r="B2" s="53">
        <v>1</v>
      </c>
      <c r="C2" s="56" t="s">
        <v>285</v>
      </c>
    </row>
    <row r="3" spans="2:3" x14ac:dyDescent="0.35">
      <c r="B3" s="53">
        <v>2</v>
      </c>
      <c r="C3" s="54" t="s">
        <v>286</v>
      </c>
    </row>
    <row r="4" spans="2:3" x14ac:dyDescent="0.35">
      <c r="B4" s="53">
        <v>3</v>
      </c>
      <c r="C4" s="55" t="s">
        <v>287</v>
      </c>
    </row>
    <row r="5" spans="2:3" x14ac:dyDescent="0.35">
      <c r="B5" s="53">
        <v>4</v>
      </c>
      <c r="C5" s="54" t="s">
        <v>288</v>
      </c>
    </row>
    <row r="6" spans="2:3" x14ac:dyDescent="0.35">
      <c r="B6" s="53">
        <v>5</v>
      </c>
      <c r="C6" s="55" t="s">
        <v>289</v>
      </c>
    </row>
    <row r="7" spans="2:3" ht="29" x14ac:dyDescent="0.35">
      <c r="B7" s="53">
        <v>6</v>
      </c>
      <c r="C7" s="54" t="s">
        <v>290</v>
      </c>
    </row>
    <row r="8" spans="2:3" ht="72.5" x14ac:dyDescent="0.35">
      <c r="B8" s="53">
        <v>7</v>
      </c>
      <c r="C8" s="54" t="s">
        <v>291</v>
      </c>
    </row>
    <row r="9" spans="2:3" x14ac:dyDescent="0.35">
      <c r="B9" s="53">
        <v>8</v>
      </c>
      <c r="C9" s="55" t="s">
        <v>292</v>
      </c>
    </row>
    <row r="10" spans="2:3" x14ac:dyDescent="0.35">
      <c r="B10" s="53">
        <v>9</v>
      </c>
      <c r="C10" s="55" t="s">
        <v>293</v>
      </c>
    </row>
    <row r="11" spans="2:3" x14ac:dyDescent="0.35">
      <c r="B11" s="53">
        <v>10</v>
      </c>
      <c r="C11" s="55" t="s">
        <v>294</v>
      </c>
    </row>
    <row r="12" spans="2:3" x14ac:dyDescent="0.35">
      <c r="B12" s="53">
        <v>11</v>
      </c>
      <c r="C12" s="55" t="s">
        <v>295</v>
      </c>
    </row>
    <row r="13" spans="2:3" x14ac:dyDescent="0.35">
      <c r="B13" s="53">
        <v>12</v>
      </c>
      <c r="C13" s="55" t="s">
        <v>296</v>
      </c>
    </row>
    <row r="14" spans="2:3" x14ac:dyDescent="0.35">
      <c r="B14" s="53">
        <v>13</v>
      </c>
      <c r="C14" s="55" t="s">
        <v>297</v>
      </c>
    </row>
    <row r="15" spans="2:3" x14ac:dyDescent="0.35">
      <c r="B15" s="53">
        <v>14</v>
      </c>
      <c r="C15" s="55" t="s">
        <v>287</v>
      </c>
    </row>
    <row r="16" spans="2:3" x14ac:dyDescent="0.35">
      <c r="B16" s="53">
        <v>15</v>
      </c>
      <c r="C16" s="55" t="s">
        <v>299</v>
      </c>
    </row>
    <row r="17" spans="2:3" ht="31.5" customHeight="1" x14ac:dyDescent="0.35">
      <c r="B17" s="57">
        <v>16</v>
      </c>
      <c r="C17" s="59" t="s">
        <v>300</v>
      </c>
    </row>
    <row r="18" spans="2:3" x14ac:dyDescent="0.35">
      <c r="B18" s="58">
        <v>17</v>
      </c>
      <c r="C18" s="59" t="s">
        <v>301</v>
      </c>
    </row>
    <row r="19" spans="2:3" x14ac:dyDescent="0.35">
      <c r="B19" s="57">
        <v>18</v>
      </c>
      <c r="C19" s="53" t="s">
        <v>302</v>
      </c>
    </row>
    <row r="20" spans="2:3" x14ac:dyDescent="0.35">
      <c r="B20" s="58">
        <v>19</v>
      </c>
      <c r="C20" s="53" t="s">
        <v>303</v>
      </c>
    </row>
    <row r="21" spans="2:3" x14ac:dyDescent="0.35">
      <c r="B21" s="60">
        <v>20</v>
      </c>
      <c r="C21" s="53" t="s">
        <v>304</v>
      </c>
    </row>
    <row r="22" spans="2:3" x14ac:dyDescent="0.35">
      <c r="B22" s="58">
        <v>21</v>
      </c>
      <c r="C22" s="53" t="s">
        <v>302</v>
      </c>
    </row>
    <row r="23" spans="2:3" s="68" customFormat="1" ht="29.25" customHeight="1" x14ac:dyDescent="0.35">
      <c r="B23" s="67">
        <v>22</v>
      </c>
      <c r="C23" s="56" t="s">
        <v>331</v>
      </c>
    </row>
    <row r="24" spans="2:3" s="68" customFormat="1" ht="30.75" customHeight="1" x14ac:dyDescent="0.35">
      <c r="B24" s="69">
        <v>23</v>
      </c>
      <c r="C24" s="56" t="s">
        <v>332</v>
      </c>
    </row>
    <row r="25" spans="2:3" x14ac:dyDescent="0.35">
      <c r="B25" s="60">
        <v>24</v>
      </c>
      <c r="C25" s="53" t="s">
        <v>335</v>
      </c>
    </row>
    <row r="26" spans="2:3" x14ac:dyDescent="0.35">
      <c r="B26" s="58">
        <v>25</v>
      </c>
      <c r="C26" s="53" t="s">
        <v>333</v>
      </c>
    </row>
    <row r="27" spans="2:3" x14ac:dyDescent="0.35">
      <c r="B27" s="69">
        <v>26</v>
      </c>
      <c r="C27" s="60" t="s">
        <v>334</v>
      </c>
    </row>
    <row r="28" spans="2:3" x14ac:dyDescent="0.35">
      <c r="B28" s="70">
        <v>27</v>
      </c>
      <c r="C28" s="53"/>
    </row>
    <row r="29" spans="2:3" x14ac:dyDescent="0.35">
      <c r="B29" s="58">
        <v>28</v>
      </c>
      <c r="C29" s="53"/>
    </row>
    <row r="30" spans="2:3" x14ac:dyDescent="0.35">
      <c r="B30" s="69">
        <v>29</v>
      </c>
      <c r="C30" s="53"/>
    </row>
    <row r="31" spans="2:3" x14ac:dyDescent="0.35">
      <c r="B31" s="70">
        <v>30</v>
      </c>
      <c r="C31" s="53"/>
    </row>
    <row r="32" spans="2:3" x14ac:dyDescent="0.35">
      <c r="B32" s="58">
        <v>31</v>
      </c>
      <c r="C32" s="53"/>
    </row>
    <row r="33" spans="2:3" x14ac:dyDescent="0.35">
      <c r="B33" s="69">
        <v>32</v>
      </c>
      <c r="C33" s="53"/>
    </row>
    <row r="34" spans="2:3" x14ac:dyDescent="0.35">
      <c r="B34" s="70">
        <v>33</v>
      </c>
      <c r="C34" s="53"/>
    </row>
    <row r="35" spans="2:3" x14ac:dyDescent="0.35">
      <c r="B35" s="58">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8"/>
    <col min="2" max="2" width="12.26953125" style="48" customWidth="1"/>
    <col min="3" max="16384" width="9.1796875" style="48"/>
  </cols>
  <sheetData>
    <row r="2" spans="1:12" x14ac:dyDescent="0.35">
      <c r="B2" s="61" t="s">
        <v>305</v>
      </c>
      <c r="C2" s="269"/>
      <c r="D2" s="269"/>
    </row>
    <row r="3" spans="1:12" x14ac:dyDescent="0.35">
      <c r="D3" s="62"/>
      <c r="E3" s="62"/>
      <c r="F3" s="62"/>
      <c r="G3" s="62"/>
      <c r="H3" s="62"/>
      <c r="I3" s="62"/>
    </row>
    <row r="4" spans="1:12" x14ac:dyDescent="0.35">
      <c r="A4" s="61" t="s">
        <v>66</v>
      </c>
      <c r="B4" s="63" t="s">
        <v>306</v>
      </c>
      <c r="C4" s="270" t="s">
        <v>307</v>
      </c>
      <c r="D4" s="270"/>
      <c r="E4" s="270"/>
      <c r="F4" s="63"/>
      <c r="G4" s="271" t="s">
        <v>308</v>
      </c>
      <c r="H4" s="271"/>
      <c r="I4" s="271"/>
      <c r="J4" s="272" t="s">
        <v>309</v>
      </c>
      <c r="K4" s="272"/>
      <c r="L4" s="272"/>
    </row>
    <row r="5" spans="1:12" x14ac:dyDescent="0.35">
      <c r="A5" s="61"/>
      <c r="B5" s="63"/>
      <c r="C5" s="63" t="s">
        <v>310</v>
      </c>
      <c r="D5" s="63" t="s">
        <v>311</v>
      </c>
      <c r="E5" s="63" t="s">
        <v>312</v>
      </c>
      <c r="F5" s="63"/>
      <c r="G5" s="63" t="s">
        <v>310</v>
      </c>
      <c r="H5" s="63" t="s">
        <v>311</v>
      </c>
      <c r="I5" s="63" t="s">
        <v>312</v>
      </c>
      <c r="J5" s="63" t="s">
        <v>310</v>
      </c>
      <c r="K5" s="63" t="s">
        <v>311</v>
      </c>
      <c r="L5" s="63" t="s">
        <v>312</v>
      </c>
    </row>
    <row r="6" spans="1:12" x14ac:dyDescent="0.35">
      <c r="B6" s="49" t="s">
        <v>313</v>
      </c>
      <c r="C6" s="49"/>
      <c r="D6" s="49"/>
      <c r="E6" s="49">
        <f>C6*D6</f>
        <v>0</v>
      </c>
      <c r="F6" s="49" t="s">
        <v>330</v>
      </c>
      <c r="G6" s="49"/>
      <c r="H6" s="49"/>
      <c r="I6" s="49">
        <f>G6*H6</f>
        <v>0</v>
      </c>
      <c r="J6" s="49"/>
      <c r="K6" s="49"/>
      <c r="L6" s="49">
        <f>J6*K6</f>
        <v>0</v>
      </c>
    </row>
    <row r="7" spans="1:12" x14ac:dyDescent="0.35">
      <c r="B7" s="49"/>
      <c r="C7" s="49"/>
      <c r="D7" s="49"/>
      <c r="E7" s="49">
        <f t="shared" ref="E7:E41" si="0">C7*D7</f>
        <v>0</v>
      </c>
      <c r="F7" s="49" t="s">
        <v>330</v>
      </c>
      <c r="G7" s="49"/>
      <c r="H7" s="49"/>
      <c r="I7" s="49">
        <f t="shared" ref="I7:I35" si="1">G7*H7</f>
        <v>0</v>
      </c>
      <c r="J7" s="49"/>
      <c r="K7" s="49"/>
      <c r="L7" s="49">
        <f t="shared" ref="L7:L35" si="2">J7*K7</f>
        <v>0</v>
      </c>
    </row>
    <row r="8" spans="1:12" x14ac:dyDescent="0.35">
      <c r="B8" s="49"/>
      <c r="C8" s="49"/>
      <c r="D8" s="49"/>
      <c r="E8" s="49">
        <f t="shared" si="0"/>
        <v>0</v>
      </c>
      <c r="F8" s="49"/>
      <c r="G8" s="49"/>
      <c r="H8" s="49"/>
      <c r="I8" s="49">
        <f t="shared" si="1"/>
        <v>0</v>
      </c>
      <c r="J8" s="49"/>
      <c r="K8" s="49"/>
      <c r="L8" s="49">
        <f t="shared" si="2"/>
        <v>0</v>
      </c>
    </row>
    <row r="9" spans="1:12" x14ac:dyDescent="0.35">
      <c r="B9" s="49"/>
      <c r="C9" s="49"/>
      <c r="D9" s="49"/>
      <c r="E9" s="49">
        <f t="shared" si="0"/>
        <v>0</v>
      </c>
      <c r="F9" s="49" t="s">
        <v>314</v>
      </c>
      <c r="G9" s="49"/>
      <c r="H9" s="49"/>
      <c r="I9" s="49">
        <f t="shared" si="1"/>
        <v>0</v>
      </c>
      <c r="J9" s="49"/>
      <c r="K9" s="49"/>
      <c r="L9" s="49">
        <f t="shared" si="2"/>
        <v>0</v>
      </c>
    </row>
    <row r="10" spans="1:12" x14ac:dyDescent="0.35">
      <c r="B10" s="49" t="s">
        <v>315</v>
      </c>
      <c r="C10" s="49"/>
      <c r="D10" s="49"/>
      <c r="E10" s="49">
        <f t="shared" si="0"/>
        <v>0</v>
      </c>
      <c r="F10" s="49" t="s">
        <v>314</v>
      </c>
      <c r="G10" s="49"/>
      <c r="H10" s="49"/>
      <c r="I10" s="49">
        <f t="shared" si="1"/>
        <v>0</v>
      </c>
      <c r="J10" s="49"/>
      <c r="K10" s="49"/>
      <c r="L10" s="49">
        <f t="shared" si="2"/>
        <v>0</v>
      </c>
    </row>
    <row r="11" spans="1:12" x14ac:dyDescent="0.35">
      <c r="B11" s="49"/>
      <c r="C11" s="49"/>
      <c r="D11" s="49"/>
      <c r="E11" s="49">
        <f t="shared" si="0"/>
        <v>0</v>
      </c>
      <c r="F11" s="49" t="s">
        <v>316</v>
      </c>
      <c r="G11" s="49"/>
      <c r="H11" s="49"/>
      <c r="I11" s="49">
        <f t="shared" si="1"/>
        <v>0</v>
      </c>
      <c r="J11" s="49"/>
      <c r="K11" s="49"/>
      <c r="L11" s="49">
        <f t="shared" si="2"/>
        <v>0</v>
      </c>
    </row>
    <row r="12" spans="1:12" x14ac:dyDescent="0.35">
      <c r="B12" s="49"/>
      <c r="C12" s="49"/>
      <c r="D12" s="49"/>
      <c r="E12" s="49">
        <f t="shared" si="0"/>
        <v>0</v>
      </c>
      <c r="F12" s="49"/>
      <c r="G12" s="49"/>
      <c r="H12" s="49"/>
      <c r="I12" s="49">
        <f t="shared" si="1"/>
        <v>0</v>
      </c>
      <c r="J12" s="49"/>
      <c r="K12" s="49"/>
      <c r="L12" s="49">
        <f t="shared" si="2"/>
        <v>0</v>
      </c>
    </row>
    <row r="13" spans="1:12" x14ac:dyDescent="0.35">
      <c r="B13" s="49"/>
      <c r="C13" s="49"/>
      <c r="D13" s="49"/>
      <c r="E13" s="49">
        <f t="shared" si="0"/>
        <v>0</v>
      </c>
      <c r="F13" s="49"/>
      <c r="G13" s="49"/>
      <c r="H13" s="49"/>
      <c r="I13" s="49">
        <f t="shared" si="1"/>
        <v>0</v>
      </c>
      <c r="J13" s="49"/>
      <c r="K13" s="49"/>
      <c r="L13" s="49">
        <f t="shared" si="2"/>
        <v>0</v>
      </c>
    </row>
    <row r="14" spans="1:12" x14ac:dyDescent="0.35">
      <c r="B14" s="49" t="s">
        <v>317</v>
      </c>
      <c r="C14" s="49"/>
      <c r="D14" s="49"/>
      <c r="E14" s="49">
        <f t="shared" si="0"/>
        <v>0</v>
      </c>
      <c r="F14" s="49" t="s">
        <v>314</v>
      </c>
      <c r="G14" s="49"/>
      <c r="H14" s="49"/>
      <c r="I14" s="49">
        <f t="shared" si="1"/>
        <v>0</v>
      </c>
      <c r="J14" s="49"/>
      <c r="K14" s="49"/>
      <c r="L14" s="49">
        <f t="shared" si="2"/>
        <v>0</v>
      </c>
    </row>
    <row r="15" spans="1:12" x14ac:dyDescent="0.35">
      <c r="B15" s="49"/>
      <c r="C15" s="49"/>
      <c r="D15" s="49"/>
      <c r="E15" s="49">
        <f t="shared" si="0"/>
        <v>0</v>
      </c>
      <c r="F15" s="49" t="s">
        <v>316</v>
      </c>
      <c r="G15" s="49"/>
      <c r="H15" s="49"/>
      <c r="I15" s="49">
        <f t="shared" si="1"/>
        <v>0</v>
      </c>
      <c r="J15" s="49"/>
      <c r="K15" s="49"/>
      <c r="L15" s="49">
        <f t="shared" si="2"/>
        <v>0</v>
      </c>
    </row>
    <row r="16" spans="1:12" x14ac:dyDescent="0.35">
      <c r="B16" s="49"/>
      <c r="C16" s="49"/>
      <c r="D16" s="49"/>
      <c r="E16" s="49">
        <f t="shared" si="0"/>
        <v>0</v>
      </c>
      <c r="F16" s="49"/>
      <c r="G16" s="49"/>
      <c r="H16" s="49"/>
      <c r="I16" s="49">
        <f t="shared" si="1"/>
        <v>0</v>
      </c>
      <c r="J16" s="49"/>
      <c r="K16" s="49"/>
      <c r="L16" s="49">
        <f t="shared" si="2"/>
        <v>0</v>
      </c>
    </row>
    <row r="17" spans="2:12" x14ac:dyDescent="0.35">
      <c r="B17" s="49"/>
      <c r="C17" s="49"/>
      <c r="D17" s="49"/>
      <c r="E17" s="49">
        <f t="shared" si="0"/>
        <v>0</v>
      </c>
      <c r="F17" s="49"/>
      <c r="G17" s="49"/>
      <c r="H17" s="49"/>
      <c r="I17" s="49">
        <f t="shared" si="1"/>
        <v>0</v>
      </c>
      <c r="J17" s="49"/>
      <c r="K17" s="49"/>
      <c r="L17" s="49">
        <f t="shared" si="2"/>
        <v>0</v>
      </c>
    </row>
    <row r="18" spans="2:12" x14ac:dyDescent="0.35">
      <c r="B18" s="49" t="s">
        <v>318</v>
      </c>
      <c r="C18" s="49"/>
      <c r="D18" s="49"/>
      <c r="E18" s="49">
        <f t="shared" si="0"/>
        <v>0</v>
      </c>
      <c r="F18" s="49" t="s">
        <v>314</v>
      </c>
      <c r="G18" s="49"/>
      <c r="H18" s="49"/>
      <c r="I18" s="49">
        <f t="shared" si="1"/>
        <v>0</v>
      </c>
      <c r="J18" s="49"/>
      <c r="K18" s="49"/>
      <c r="L18" s="49">
        <f t="shared" si="2"/>
        <v>0</v>
      </c>
    </row>
    <row r="19" spans="2:12" x14ac:dyDescent="0.35">
      <c r="B19" s="49"/>
      <c r="C19" s="49"/>
      <c r="D19" s="49"/>
      <c r="E19" s="49">
        <f t="shared" si="0"/>
        <v>0</v>
      </c>
      <c r="F19" s="49" t="s">
        <v>316</v>
      </c>
      <c r="G19" s="49"/>
      <c r="H19" s="49"/>
      <c r="I19" s="49">
        <f t="shared" si="1"/>
        <v>0</v>
      </c>
      <c r="J19" s="49"/>
      <c r="K19" s="49"/>
      <c r="L19" s="49">
        <f t="shared" si="2"/>
        <v>0</v>
      </c>
    </row>
    <row r="20" spans="2:12" x14ac:dyDescent="0.35">
      <c r="B20" s="49"/>
      <c r="C20" s="49"/>
      <c r="D20" s="49"/>
      <c r="E20" s="49">
        <f t="shared" si="0"/>
        <v>0</v>
      </c>
      <c r="F20" s="49"/>
      <c r="G20" s="49"/>
      <c r="H20" s="49"/>
      <c r="I20" s="49">
        <f t="shared" si="1"/>
        <v>0</v>
      </c>
      <c r="J20" s="49"/>
      <c r="K20" s="49"/>
      <c r="L20" s="49">
        <f t="shared" si="2"/>
        <v>0</v>
      </c>
    </row>
    <row r="21" spans="2:12" x14ac:dyDescent="0.35">
      <c r="B21" s="49" t="s">
        <v>319</v>
      </c>
      <c r="C21" s="49"/>
      <c r="D21" s="49"/>
      <c r="E21" s="49">
        <f t="shared" si="0"/>
        <v>0</v>
      </c>
      <c r="F21" s="49" t="s">
        <v>314</v>
      </c>
      <c r="G21" s="49"/>
      <c r="H21" s="49"/>
      <c r="I21" s="49">
        <f t="shared" si="1"/>
        <v>0</v>
      </c>
      <c r="J21" s="49"/>
      <c r="K21" s="49"/>
      <c r="L21" s="49">
        <f t="shared" si="2"/>
        <v>0</v>
      </c>
    </row>
    <row r="22" spans="2:12" x14ac:dyDescent="0.35">
      <c r="B22" s="49"/>
      <c r="C22" s="49"/>
      <c r="D22" s="49"/>
      <c r="E22" s="49">
        <f t="shared" si="0"/>
        <v>0</v>
      </c>
      <c r="F22" s="49" t="s">
        <v>316</v>
      </c>
      <c r="G22" s="49"/>
      <c r="H22" s="49"/>
      <c r="I22" s="49">
        <f t="shared" si="1"/>
        <v>0</v>
      </c>
      <c r="J22" s="49"/>
      <c r="K22" s="49"/>
      <c r="L22" s="49">
        <f t="shared" si="2"/>
        <v>0</v>
      </c>
    </row>
    <row r="23" spans="2:12" x14ac:dyDescent="0.35">
      <c r="B23" s="49"/>
      <c r="C23" s="49"/>
      <c r="D23" s="49"/>
      <c r="E23" s="49">
        <f t="shared" si="0"/>
        <v>0</v>
      </c>
      <c r="F23" s="49"/>
      <c r="G23" s="49"/>
      <c r="H23" s="49"/>
      <c r="I23" s="49">
        <f t="shared" si="1"/>
        <v>0</v>
      </c>
      <c r="J23" s="49"/>
      <c r="K23" s="49"/>
      <c r="L23" s="49">
        <f t="shared" si="2"/>
        <v>0</v>
      </c>
    </row>
    <row r="24" spans="2:12" x14ac:dyDescent="0.35">
      <c r="B24" s="49" t="s">
        <v>320</v>
      </c>
      <c r="C24" s="49"/>
      <c r="D24" s="49"/>
      <c r="E24" s="49">
        <f t="shared" si="0"/>
        <v>0</v>
      </c>
      <c r="F24" s="49" t="s">
        <v>321</v>
      </c>
      <c r="G24" s="49"/>
      <c r="H24" s="49"/>
      <c r="I24" s="49">
        <f t="shared" si="1"/>
        <v>0</v>
      </c>
      <c r="J24" s="49"/>
      <c r="K24" s="49"/>
      <c r="L24" s="49">
        <f t="shared" si="2"/>
        <v>0</v>
      </c>
    </row>
    <row r="25" spans="2:12" x14ac:dyDescent="0.35">
      <c r="B25" s="49"/>
      <c r="C25" s="49"/>
      <c r="D25" s="49"/>
      <c r="E25" s="49">
        <f t="shared" ref="E25:E27" si="3">C25*D25</f>
        <v>0</v>
      </c>
      <c r="F25" s="49" t="s">
        <v>321</v>
      </c>
      <c r="G25" s="49"/>
      <c r="H25" s="49"/>
      <c r="I25" s="49">
        <f t="shared" ref="I25:I27" si="4">G25*H25</f>
        <v>0</v>
      </c>
      <c r="J25" s="49"/>
      <c r="K25" s="49"/>
      <c r="L25" s="49">
        <f t="shared" ref="L25:L27" si="5">J25*K25</f>
        <v>0</v>
      </c>
    </row>
    <row r="26" spans="2:12" x14ac:dyDescent="0.35">
      <c r="B26" s="49"/>
      <c r="C26" s="49"/>
      <c r="D26" s="49"/>
      <c r="E26" s="49">
        <f t="shared" si="3"/>
        <v>0</v>
      </c>
      <c r="F26" s="49" t="s">
        <v>321</v>
      </c>
      <c r="G26" s="49"/>
      <c r="H26" s="49"/>
      <c r="I26" s="49">
        <f t="shared" si="4"/>
        <v>0</v>
      </c>
      <c r="J26" s="49"/>
      <c r="K26" s="49"/>
      <c r="L26" s="49">
        <f t="shared" si="5"/>
        <v>0</v>
      </c>
    </row>
    <row r="27" spans="2:12" x14ac:dyDescent="0.35">
      <c r="B27" s="49"/>
      <c r="C27" s="49"/>
      <c r="D27" s="49"/>
      <c r="E27" s="49">
        <f t="shared" si="3"/>
        <v>0</v>
      </c>
      <c r="F27" s="49" t="s">
        <v>321</v>
      </c>
      <c r="G27" s="49"/>
      <c r="H27" s="49"/>
      <c r="I27" s="49">
        <f t="shared" si="4"/>
        <v>0</v>
      </c>
      <c r="J27" s="49"/>
      <c r="K27" s="49"/>
      <c r="L27" s="49">
        <f t="shared" si="5"/>
        <v>0</v>
      </c>
    </row>
    <row r="28" spans="2:12" x14ac:dyDescent="0.35">
      <c r="B28" s="49" t="s">
        <v>322</v>
      </c>
      <c r="C28" s="49"/>
      <c r="D28" s="49"/>
      <c r="E28" s="49">
        <f t="shared" si="0"/>
        <v>0</v>
      </c>
      <c r="F28" s="49" t="s">
        <v>321</v>
      </c>
      <c r="G28" s="49"/>
      <c r="H28" s="49"/>
      <c r="I28" s="49">
        <f t="shared" si="1"/>
        <v>0</v>
      </c>
      <c r="J28" s="49"/>
      <c r="K28" s="49"/>
      <c r="L28" s="49">
        <f t="shared" si="2"/>
        <v>0</v>
      </c>
    </row>
    <row r="29" spans="2:12" x14ac:dyDescent="0.35">
      <c r="B29" s="49" t="s">
        <v>323</v>
      </c>
      <c r="C29" s="49"/>
      <c r="D29" s="49"/>
      <c r="E29" s="49">
        <f t="shared" si="0"/>
        <v>0</v>
      </c>
      <c r="F29" s="49" t="s">
        <v>321</v>
      </c>
      <c r="G29" s="49"/>
      <c r="H29" s="49"/>
      <c r="I29" s="49">
        <f t="shared" si="1"/>
        <v>0</v>
      </c>
      <c r="J29" s="49"/>
      <c r="K29" s="49"/>
      <c r="L29" s="49">
        <f t="shared" si="2"/>
        <v>0</v>
      </c>
    </row>
    <row r="30" spans="2:12" x14ac:dyDescent="0.35">
      <c r="B30" s="49" t="s">
        <v>327</v>
      </c>
      <c r="C30" s="49"/>
      <c r="D30" s="49"/>
      <c r="E30" s="49">
        <f t="shared" si="0"/>
        <v>0</v>
      </c>
      <c r="F30" s="49"/>
      <c r="G30" s="49"/>
      <c r="H30" s="49"/>
      <c r="I30" s="49">
        <f t="shared" si="1"/>
        <v>0</v>
      </c>
      <c r="J30" s="49"/>
      <c r="K30" s="49"/>
      <c r="L30" s="49">
        <f t="shared" si="2"/>
        <v>0</v>
      </c>
    </row>
    <row r="31" spans="2:12" x14ac:dyDescent="0.35">
      <c r="B31" s="49"/>
      <c r="C31" s="49"/>
      <c r="D31" s="49"/>
      <c r="E31" s="49">
        <f t="shared" ref="E31:E32" si="6">C31*D31</f>
        <v>0</v>
      </c>
      <c r="F31" s="49"/>
      <c r="G31" s="49"/>
      <c r="H31" s="49"/>
      <c r="I31" s="49">
        <f t="shared" ref="I31:I32" si="7">G31*H31</f>
        <v>0</v>
      </c>
      <c r="J31" s="49"/>
      <c r="K31" s="49"/>
      <c r="L31" s="49">
        <f t="shared" ref="L31:L32" si="8">J31*K31</f>
        <v>0</v>
      </c>
    </row>
    <row r="32" spans="2:12" x14ac:dyDescent="0.35">
      <c r="B32" s="49"/>
      <c r="C32" s="49"/>
      <c r="D32" s="49"/>
      <c r="E32" s="49">
        <f t="shared" si="6"/>
        <v>0</v>
      </c>
      <c r="F32" s="49"/>
      <c r="G32" s="49"/>
      <c r="H32" s="49"/>
      <c r="I32" s="49">
        <f t="shared" si="7"/>
        <v>0</v>
      </c>
      <c r="J32" s="49"/>
      <c r="K32" s="49"/>
      <c r="L32" s="49">
        <f t="shared" si="8"/>
        <v>0</v>
      </c>
    </row>
    <row r="33" spans="2:12" x14ac:dyDescent="0.35">
      <c r="B33" s="49" t="s">
        <v>324</v>
      </c>
      <c r="C33" s="49"/>
      <c r="D33" s="49"/>
      <c r="E33" s="49">
        <f t="shared" si="0"/>
        <v>0</v>
      </c>
      <c r="F33" s="49"/>
      <c r="G33" s="49"/>
      <c r="H33" s="49"/>
      <c r="I33" s="49">
        <f t="shared" si="1"/>
        <v>0</v>
      </c>
      <c r="J33" s="49"/>
      <c r="K33" s="49"/>
      <c r="L33" s="49">
        <f t="shared" si="2"/>
        <v>0</v>
      </c>
    </row>
    <row r="34" spans="2:12" x14ac:dyDescent="0.35">
      <c r="B34" s="49" t="s">
        <v>328</v>
      </c>
      <c r="C34" s="49"/>
      <c r="D34" s="49"/>
      <c r="E34" s="49">
        <f t="shared" si="0"/>
        <v>0</v>
      </c>
      <c r="F34" s="49"/>
      <c r="G34" s="49"/>
      <c r="H34" s="49"/>
      <c r="I34" s="49">
        <f t="shared" si="1"/>
        <v>0</v>
      </c>
      <c r="J34" s="49"/>
      <c r="K34" s="49"/>
      <c r="L34" s="49">
        <f t="shared" si="2"/>
        <v>0</v>
      </c>
    </row>
    <row r="35" spans="2:12" x14ac:dyDescent="0.35">
      <c r="B35" s="49" t="s">
        <v>325</v>
      </c>
      <c r="C35" s="49"/>
      <c r="D35" s="49"/>
      <c r="E35" s="49">
        <f t="shared" si="0"/>
        <v>0</v>
      </c>
      <c r="F35" s="49"/>
      <c r="G35" s="49"/>
      <c r="H35" s="49"/>
      <c r="I35" s="49">
        <f t="shared" si="1"/>
        <v>0</v>
      </c>
      <c r="J35" s="49"/>
      <c r="K35" s="49"/>
      <c r="L35" s="49">
        <f t="shared" si="2"/>
        <v>0</v>
      </c>
    </row>
    <row r="36" spans="2:12" x14ac:dyDescent="0.35">
      <c r="B36" s="49" t="s">
        <v>326</v>
      </c>
      <c r="C36" s="49"/>
      <c r="D36" s="49"/>
      <c r="E36" s="49">
        <f t="shared" si="0"/>
        <v>0</v>
      </c>
      <c r="F36" s="49"/>
      <c r="G36" s="49"/>
      <c r="H36" s="49"/>
      <c r="I36" s="49">
        <f>G36*H36</f>
        <v>0</v>
      </c>
      <c r="J36" s="49"/>
      <c r="K36" s="49"/>
      <c r="L36" s="49">
        <f>J36*K36</f>
        <v>0</v>
      </c>
    </row>
    <row r="37" spans="2:12" x14ac:dyDescent="0.35">
      <c r="B37" s="49"/>
      <c r="C37" s="49"/>
      <c r="D37" s="49"/>
      <c r="E37" s="49">
        <f t="shared" ref="E37:E38" si="9">C37*D37</f>
        <v>0</v>
      </c>
      <c r="F37" s="49"/>
      <c r="G37" s="49"/>
      <c r="H37" s="49"/>
      <c r="I37" s="49">
        <f t="shared" ref="I37:I38" si="10">G37*H37</f>
        <v>0</v>
      </c>
      <c r="J37" s="49"/>
      <c r="K37" s="49"/>
      <c r="L37" s="49">
        <f t="shared" ref="L37:L38" si="11">J37*K37</f>
        <v>0</v>
      </c>
    </row>
    <row r="38" spans="2:12" x14ac:dyDescent="0.35">
      <c r="B38" s="49" t="s">
        <v>329</v>
      </c>
      <c r="C38" s="49"/>
      <c r="D38" s="49"/>
      <c r="E38" s="49">
        <f t="shared" si="9"/>
        <v>0</v>
      </c>
      <c r="F38" s="49"/>
      <c r="G38" s="49"/>
      <c r="H38" s="49"/>
      <c r="I38" s="49">
        <f t="shared" si="10"/>
        <v>0</v>
      </c>
      <c r="J38" s="49"/>
      <c r="K38" s="49"/>
      <c r="L38" s="49">
        <f t="shared" si="11"/>
        <v>0</v>
      </c>
    </row>
    <row r="39" spans="2:12" x14ac:dyDescent="0.35">
      <c r="B39" s="49"/>
      <c r="C39" s="49"/>
      <c r="D39" s="49"/>
      <c r="E39" s="49">
        <f t="shared" si="0"/>
        <v>0</v>
      </c>
      <c r="F39" s="49"/>
      <c r="G39" s="49"/>
      <c r="H39" s="49"/>
      <c r="I39" s="49">
        <f>G39*H39</f>
        <v>0</v>
      </c>
      <c r="J39" s="49"/>
      <c r="K39" s="49"/>
      <c r="L39" s="49">
        <f>J39*K39</f>
        <v>0</v>
      </c>
    </row>
    <row r="40" spans="2:12" x14ac:dyDescent="0.35">
      <c r="B40" s="49"/>
      <c r="C40" s="49"/>
      <c r="D40" s="49"/>
      <c r="E40" s="49">
        <f t="shared" si="0"/>
        <v>0</v>
      </c>
      <c r="F40" s="49"/>
      <c r="G40" s="49"/>
      <c r="H40" s="49"/>
      <c r="I40" s="49">
        <f>G40*H40</f>
        <v>0</v>
      </c>
      <c r="J40" s="49"/>
      <c r="K40" s="49"/>
      <c r="L40" s="49">
        <f>J40*K40</f>
        <v>0</v>
      </c>
    </row>
    <row r="41" spans="2:12" x14ac:dyDescent="0.35">
      <c r="B41" s="49"/>
      <c r="C41" s="49"/>
      <c r="D41" s="49"/>
      <c r="E41" s="49">
        <f t="shared" si="0"/>
        <v>0</v>
      </c>
      <c r="F41" s="49"/>
      <c r="G41" s="49"/>
      <c r="H41" s="49"/>
      <c r="I41" s="49">
        <f>G41*H41</f>
        <v>0</v>
      </c>
      <c r="J41" s="49"/>
      <c r="K41" s="49"/>
      <c r="L41" s="49">
        <f>J41*K41</f>
        <v>0</v>
      </c>
    </row>
    <row r="42" spans="2:12" x14ac:dyDescent="0.35">
      <c r="B42" s="49" t="s">
        <v>148</v>
      </c>
      <c r="C42" s="49"/>
      <c r="D42" s="49">
        <f>E42*10.764</f>
        <v>0</v>
      </c>
      <c r="E42" s="66">
        <f>SUM(E6:E41)</f>
        <v>0</v>
      </c>
      <c r="F42" s="49"/>
      <c r="G42" s="49"/>
      <c r="H42" s="49">
        <f>I42*10.764</f>
        <v>0</v>
      </c>
      <c r="I42" s="65">
        <f>SUM(I6:I41)</f>
        <v>0</v>
      </c>
      <c r="J42" s="49"/>
      <c r="K42" s="49">
        <f>L42*10.764</f>
        <v>0</v>
      </c>
      <c r="L42" s="64">
        <f>SUM(L6:L41)</f>
        <v>0</v>
      </c>
    </row>
    <row r="44" spans="2:12" x14ac:dyDescent="0.3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2025-08-25T07:11:02Z</cp:lastPrinted>
  <dcterms:created xsi:type="dcterms:W3CDTF">2019-07-16T09:29:46Z</dcterms:created>
  <dcterms:modified xsi:type="dcterms:W3CDTF">2025-08-25T07:13:14Z</dcterms:modified>
</cp:coreProperties>
</file>