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09-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9" i="1" l="1"/>
  <c r="K171" i="1" l="1"/>
  <c r="I122" i="1" l="1"/>
  <c r="J122" i="1" s="1"/>
  <c r="M122" i="1"/>
  <c r="N122" i="1"/>
  <c r="N120" i="1"/>
  <c r="N119" i="1"/>
  <c r="M120" i="1"/>
  <c r="M119" i="1"/>
  <c r="L119" i="1"/>
  <c r="E235" i="1" l="1"/>
  <c r="E234" i="1"/>
  <c r="E233" i="1"/>
  <c r="E230" i="1"/>
  <c r="E229" i="1"/>
  <c r="E228" i="1"/>
  <c r="E226" i="1"/>
  <c r="E225" i="1"/>
  <c r="E224" i="1"/>
  <c r="E221" i="1"/>
  <c r="E220" i="1"/>
  <c r="E219" i="1"/>
  <c r="E216" i="1"/>
  <c r="E215" i="1"/>
  <c r="E214" i="1"/>
  <c r="E211" i="1"/>
  <c r="E210" i="1"/>
  <c r="E209" i="1"/>
  <c r="E201" i="1"/>
  <c r="E200" i="1"/>
  <c r="E199" i="1"/>
  <c r="E196" i="1"/>
  <c r="E195" i="1"/>
  <c r="E194" i="1"/>
  <c r="E192" i="1"/>
  <c r="E191" i="1"/>
  <c r="E190" i="1"/>
  <c r="E187" i="1"/>
  <c r="E186" i="1"/>
  <c r="E185" i="1"/>
  <c r="E183" i="1"/>
  <c r="E182" i="1"/>
  <c r="E181" i="1"/>
  <c r="E178" i="1"/>
  <c r="E177" i="1"/>
  <c r="E176" i="1"/>
  <c r="I171" i="1"/>
  <c r="E207" i="1"/>
  <c r="E206" i="1"/>
  <c r="E205" i="1"/>
  <c r="E204" i="1"/>
  <c r="E174" i="1"/>
  <c r="E173" i="1"/>
  <c r="E172" i="1"/>
  <c r="E171" i="1"/>
  <c r="J163" i="1"/>
  <c r="D230" i="1"/>
  <c r="D229" i="1"/>
  <c r="D228" i="1"/>
  <c r="D216" i="1"/>
  <c r="D215" i="1"/>
  <c r="D214" i="1"/>
  <c r="D196" i="1"/>
  <c r="D195" i="1"/>
  <c r="D194" i="1"/>
  <c r="D183" i="1"/>
  <c r="D182" i="1"/>
  <c r="D181" i="1"/>
  <c r="D187" i="1"/>
  <c r="D186" i="1"/>
  <c r="D185" i="1"/>
  <c r="I150" i="1"/>
  <c r="I147" i="1"/>
  <c r="F185" i="1" l="1"/>
  <c r="H185" i="1" s="1"/>
  <c r="F187" i="1"/>
  <c r="H187" i="1" s="1"/>
  <c r="F186" i="1"/>
  <c r="H186" i="1" s="1"/>
  <c r="F229" i="1"/>
  <c r="H229" i="1" s="1"/>
  <c r="F183" i="1"/>
  <c r="F215" i="1"/>
  <c r="H215" i="1" s="1"/>
  <c r="F181" i="1"/>
  <c r="F216" i="1"/>
  <c r="H216" i="1" s="1"/>
  <c r="F228" i="1"/>
  <c r="H228" i="1" s="1"/>
  <c r="F194" i="1"/>
  <c r="H194" i="1" s="1"/>
  <c r="F195" i="1"/>
  <c r="H195" i="1" s="1"/>
  <c r="F230" i="1"/>
  <c r="H230" i="1" s="1"/>
  <c r="F182" i="1"/>
  <c r="F214" i="1"/>
  <c r="H214" i="1" s="1"/>
  <c r="F196" i="1"/>
  <c r="H196" i="1" s="1"/>
  <c r="D235" i="1"/>
  <c r="D234" i="1"/>
  <c r="D233" i="1"/>
  <c r="D226" i="1"/>
  <c r="D225" i="1"/>
  <c r="D224" i="1"/>
  <c r="D221" i="1"/>
  <c r="D220" i="1"/>
  <c r="D219" i="1"/>
  <c r="D211" i="1"/>
  <c r="D210" i="1"/>
  <c r="D209" i="1"/>
  <c r="D207" i="1"/>
  <c r="D206" i="1"/>
  <c r="D205" i="1"/>
  <c r="D204" i="1"/>
  <c r="D201" i="1"/>
  <c r="D200" i="1"/>
  <c r="D199" i="1"/>
  <c r="D192" i="1"/>
  <c r="D191" i="1"/>
  <c r="D190" i="1"/>
  <c r="D178" i="1"/>
  <c r="D177" i="1"/>
  <c r="D176" i="1"/>
  <c r="D174" i="1"/>
  <c r="D173" i="1"/>
  <c r="D172" i="1"/>
  <c r="D171" i="1"/>
  <c r="D163" i="1"/>
  <c r="D162" i="1"/>
  <c r="D161" i="1"/>
  <c r="D160" i="1"/>
  <c r="D159" i="1"/>
  <c r="D158" i="1"/>
  <c r="D157" i="1"/>
  <c r="D156" i="1"/>
  <c r="D155" i="1"/>
  <c r="D154" i="1"/>
  <c r="D153" i="1"/>
  <c r="D152" i="1"/>
  <c r="D151" i="1"/>
  <c r="D150" i="1"/>
  <c r="D149" i="1"/>
  <c r="D148" i="1"/>
  <c r="D147" i="1"/>
  <c r="I143" i="1"/>
  <c r="C136" i="1" l="1"/>
  <c r="H181" i="1"/>
  <c r="J181" i="1"/>
  <c r="H182" i="1"/>
  <c r="J182" i="1"/>
  <c r="H183" i="1"/>
  <c r="J183" i="1"/>
  <c r="C137" i="1"/>
  <c r="F225" i="1"/>
  <c r="H225" i="1" s="1"/>
  <c r="F235" i="1"/>
  <c r="H235" i="1" s="1"/>
  <c r="F234" i="1"/>
  <c r="H234" i="1" s="1"/>
  <c r="F233" i="1"/>
  <c r="H233" i="1" s="1"/>
  <c r="F226" i="1"/>
  <c r="H226" i="1" s="1"/>
  <c r="F224" i="1"/>
  <c r="H224" i="1" s="1"/>
  <c r="F221" i="1"/>
  <c r="H221" i="1" s="1"/>
  <c r="F220" i="1"/>
  <c r="H220" i="1" s="1"/>
  <c r="F219" i="1"/>
  <c r="H219" i="1" s="1"/>
  <c r="F211" i="1"/>
  <c r="H211" i="1" s="1"/>
  <c r="F210" i="1"/>
  <c r="H210" i="1" s="1"/>
  <c r="A210" i="1"/>
  <c r="A211" i="1" s="1"/>
  <c r="A212" i="1" s="1"/>
  <c r="F209" i="1"/>
  <c r="I207" i="1"/>
  <c r="F207" i="1"/>
  <c r="H207" i="1" s="1"/>
  <c r="F206" i="1"/>
  <c r="H206" i="1" s="1"/>
  <c r="I205" i="1"/>
  <c r="F205" i="1"/>
  <c r="H205" i="1" s="1"/>
  <c r="A205" i="1"/>
  <c r="A206" i="1" s="1"/>
  <c r="A207" i="1" s="1"/>
  <c r="I204" i="1"/>
  <c r="F204" i="1"/>
  <c r="H204" i="1" s="1"/>
  <c r="I174" i="1"/>
  <c r="I172" i="1"/>
  <c r="I156" i="1"/>
  <c r="I155" i="1"/>
  <c r="I154" i="1"/>
  <c r="F163" i="1"/>
  <c r="H163" i="1" s="1"/>
  <c r="F157" i="1"/>
  <c r="H157" i="1" s="1"/>
  <c r="F156" i="1"/>
  <c r="H156" i="1" s="1"/>
  <c r="F155" i="1"/>
  <c r="H155" i="1" s="1"/>
  <c r="F154" i="1"/>
  <c r="H154" i="1" s="1"/>
  <c r="F152" i="1"/>
  <c r="H152" i="1" s="1"/>
  <c r="F151" i="1"/>
  <c r="H151" i="1" s="1"/>
  <c r="F162" i="1"/>
  <c r="H162" i="1" s="1"/>
  <c r="F161" i="1"/>
  <c r="H161" i="1" s="1"/>
  <c r="F160" i="1"/>
  <c r="H160" i="1" s="1"/>
  <c r="F159" i="1"/>
  <c r="H159" i="1" s="1"/>
  <c r="F158" i="1"/>
  <c r="H158" i="1" s="1"/>
  <c r="F153" i="1"/>
  <c r="H153" i="1" s="1"/>
  <c r="E43" i="1"/>
  <c r="H209" i="1" l="1"/>
  <c r="G137" i="1" s="1"/>
  <c r="E137" i="1"/>
  <c r="F147" i="1"/>
  <c r="H147" i="1" l="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66" i="1"/>
  <c r="B239" i="1"/>
  <c r="B238" i="1"/>
  <c r="F201" i="1"/>
  <c r="H201" i="1" s="1"/>
  <c r="F200" i="1"/>
  <c r="H200" i="1" s="1"/>
  <c r="F199" i="1"/>
  <c r="H199" i="1" s="1"/>
  <c r="F192" i="1"/>
  <c r="H192" i="1" s="1"/>
  <c r="F191" i="1"/>
  <c r="H191" i="1" s="1"/>
  <c r="F190" i="1"/>
  <c r="H190" i="1" s="1"/>
  <c r="F178" i="1"/>
  <c r="H178" i="1" s="1"/>
  <c r="F177" i="1"/>
  <c r="H177" i="1" s="1"/>
  <c r="F176" i="1"/>
  <c r="A177" i="1"/>
  <c r="A178" i="1" s="1"/>
  <c r="A179" i="1" s="1"/>
  <c r="F174" i="1"/>
  <c r="H174" i="1" s="1"/>
  <c r="F173" i="1"/>
  <c r="H173" i="1" s="1"/>
  <c r="F172" i="1"/>
  <c r="H172" i="1" s="1"/>
  <c r="A172" i="1"/>
  <c r="A173" i="1" s="1"/>
  <c r="A174" i="1" s="1"/>
  <c r="F171" i="1"/>
  <c r="F150" i="1"/>
  <c r="H150" i="1" s="1"/>
  <c r="F149" i="1"/>
  <c r="H149" i="1" s="1"/>
  <c r="F148" i="1"/>
  <c r="H148" i="1" s="1"/>
  <c r="F129" i="1"/>
  <c r="C103" i="1"/>
  <c r="C89" i="1"/>
  <c r="C75" i="1"/>
  <c r="B76" i="1" s="1"/>
  <c r="D69" i="1"/>
  <c r="D62" i="1"/>
  <c r="K54" i="1"/>
  <c r="G51" i="1"/>
  <c r="C51" i="1"/>
  <c r="C52" i="1" s="1"/>
  <c r="E44" i="1"/>
  <c r="E45" i="1" s="1"/>
  <c r="S33" i="1"/>
  <c r="E31" i="1"/>
  <c r="E28" i="1"/>
  <c r="E26" i="1"/>
  <c r="C16" i="1"/>
  <c r="I15" i="1"/>
  <c r="Z13" i="1"/>
  <c r="E8" i="1"/>
  <c r="E3" i="1"/>
  <c r="B251" i="1" s="1"/>
  <c r="H76" i="1"/>
  <c r="H90" i="1"/>
  <c r="H104" i="1"/>
  <c r="E42" i="7" l="1"/>
  <c r="E136" i="1"/>
  <c r="E138" i="1" s="1"/>
  <c r="E132" i="1"/>
  <c r="E133" i="1" s="1"/>
  <c r="C132" i="1"/>
  <c r="C133" i="1" s="1"/>
  <c r="H176" i="1"/>
  <c r="G132" i="1"/>
  <c r="G133" i="1" s="1"/>
  <c r="H171" i="1"/>
  <c r="J171" i="1" s="1"/>
  <c r="C138" i="1"/>
  <c r="B104" i="1"/>
  <c r="J112" i="1" s="1"/>
  <c r="I42" i="7"/>
  <c r="H42" i="7" s="1"/>
  <c r="L42" i="7"/>
  <c r="K42" i="7" s="1"/>
  <c r="J89" i="1"/>
  <c r="J91" i="1" s="1"/>
  <c r="D98" i="1"/>
  <c r="D97" i="1"/>
  <c r="D102" i="1"/>
  <c r="D96" i="1"/>
  <c r="J92" i="1"/>
  <c r="D101" i="1"/>
  <c r="J94" i="1"/>
  <c r="C93" i="1" s="1"/>
  <c r="D95" i="1"/>
  <c r="D100" i="1"/>
  <c r="J93" i="1"/>
  <c r="D99" i="1"/>
  <c r="D84" i="1"/>
  <c r="J78" i="1"/>
  <c r="D83" i="1"/>
  <c r="D88" i="1"/>
  <c r="D82" i="1"/>
  <c r="D87" i="1"/>
  <c r="D81" i="1"/>
  <c r="J80" i="1"/>
  <c r="C79" i="1" s="1"/>
  <c r="D86" i="1"/>
  <c r="D85" i="1"/>
  <c r="J79" i="1"/>
  <c r="J75" i="1"/>
  <c r="J77" i="1" s="1"/>
  <c r="D113" i="1"/>
  <c r="J107" i="1"/>
  <c r="J103" i="1"/>
  <c r="J105" i="1" s="1"/>
  <c r="J106" i="1"/>
  <c r="D111" i="1"/>
  <c r="D116" i="1"/>
  <c r="D110" i="1"/>
  <c r="D115" i="1"/>
  <c r="D109" i="1"/>
  <c r="D112" i="1"/>
  <c r="J108" i="1"/>
  <c r="C107" i="1" s="1"/>
  <c r="D107" i="1" s="1"/>
  <c r="D114" i="1"/>
  <c r="D42" i="7"/>
  <c r="L54" i="1"/>
  <c r="B90" i="1"/>
  <c r="J85" i="1"/>
  <c r="J86" i="1"/>
  <c r="I52" i="1"/>
  <c r="J81" i="1"/>
  <c r="J82" i="1" s="1"/>
  <c r="G136" i="1" l="1"/>
  <c r="G138" i="1" s="1"/>
  <c r="G139" i="1" s="1"/>
  <c r="J87" i="1"/>
  <c r="J114" i="1"/>
  <c r="E139" i="1"/>
  <c r="J113" i="1"/>
  <c r="C139" i="1"/>
  <c r="J83" i="1"/>
  <c r="J84" i="1" s="1"/>
  <c r="D44" i="7"/>
  <c r="E44" i="7"/>
  <c r="J111" i="1"/>
  <c r="J109" i="1"/>
  <c r="J110" i="1" s="1"/>
  <c r="J115" i="1" s="1"/>
  <c r="J116" i="1" s="1"/>
  <c r="C108" i="1" s="1"/>
  <c r="G107" i="1" s="1"/>
  <c r="D79" i="1"/>
  <c r="D93" i="1"/>
  <c r="J98" i="1"/>
  <c r="J95" i="1"/>
  <c r="J96" i="1" s="1"/>
  <c r="J101" i="1" s="1"/>
  <c r="J102" i="1" s="1"/>
  <c r="C94" i="1" s="1"/>
  <c r="J100" i="1"/>
  <c r="J97" i="1"/>
  <c r="J99" i="1"/>
  <c r="J88" i="1" l="1"/>
  <c r="D108" i="1"/>
  <c r="I104" i="1" s="1"/>
  <c r="I105" i="1" s="1"/>
  <c r="J104" i="1"/>
  <c r="E107" i="1"/>
  <c r="E93" i="1"/>
  <c r="D94" i="1"/>
  <c r="I90" i="1" s="1"/>
  <c r="J90" i="1"/>
  <c r="G93" i="1"/>
  <c r="C80" i="1" l="1"/>
  <c r="J76" i="1" s="1"/>
  <c r="I103" i="1"/>
  <c r="C105" i="1" s="1"/>
  <c r="I91" i="1"/>
  <c r="I89" i="1" s="1"/>
  <c r="C91" i="1" s="1"/>
  <c r="D80" i="1" l="1"/>
  <c r="I76" i="1" s="1"/>
  <c r="I77" i="1" s="1"/>
  <c r="G79" i="1"/>
  <c r="D73" i="1" s="1"/>
  <c r="D74" i="1" s="1"/>
  <c r="E79" i="1"/>
  <c r="I75" i="1" l="1"/>
  <c r="C77" i="1" s="1"/>
  <c r="F74"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<sst xmlns="http://schemas.openxmlformats.org/spreadsheetml/2006/main" count="772" uniqueCount="425">
  <si>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</si>
  <si>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</si>
  <si>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</si>
  <si>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</si>
  <si>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</si>
  <si>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</si>
  <si>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</si>
  <si>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</si>
  <si>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</si>
  <si>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</si>
  <si>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</si>
  <si>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</si>
  <si>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</si>
  <si>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</si>
  <si>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</si>
  <si>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</si>
  <si>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</si>
  <si>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</si>
  <si>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</si>
  <si>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</si>
  <si>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</si>
  <si>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</si>
  <si>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</si>
  <si>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</si>
  <si>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</si>
  <si>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</si>
  <si>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</si>
  <si>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</si>
  <si>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</si>
  <si>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</si>
  <si>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</si>
  <si>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</si>
  <si>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</si>
  <si>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</si>
  <si>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</si>
  <si>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</si>
  <si>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</si>
  <si>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</si>
  <si>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</si>
  <si>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</si>
  <si>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</si>
  <si>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</si>
  <si>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</si>
  <si>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</si>
  <si>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</si>
  <si>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</si>
  <si>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</si>
  <si>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</si>
  <si>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</si>
  <si>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</si>
  <si>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</si>
  <si>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</si>
  <si>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</si>
  <si>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</si>
  <si>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</si>
  <si>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</si>
  <si>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</si>
  <si>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</si>
  <si>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</si>
  <si>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</si>
  <si>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</si>
  <si>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</si>
  <si>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</si>
  <si>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</si>
  <si>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</si>
  <si>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</si>
  <si>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</si>
  <si>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</si>
  <si>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</si>
  <si>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</si>
  <si>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</si>
  <si>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</si>
  <si>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</si>
  <si>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</si>
  <si>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</si>
  <si>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</si>
  <si>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</si>
  <si>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</si>
  <si>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</si>
  <si>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</si>
  <si>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</si>
  <si>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</si>
  <si>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</si>
  <si>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</si>
  <si>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</si>
  <si>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</si>
  <si>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</si>
  <si>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</si>
  <si>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</si>
  <si>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</si>
  <si>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</si>
  <si>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</si>
  <si>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</si>
  <si>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</si>
  <si>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</si>
  <si>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</si>
  <si>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</si>
  <si>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</si>
  <si>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</si>
  <si>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</si>
  <si>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</si>
  <si>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</si>
  <si>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</si>
  <si>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</si>
  <si>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</si>
  <si>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</si>
  <si>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</si>
  <si>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</si>
  <si>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</si>
  <si>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</si>
  <si>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</si>
  <si>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</si>
  <si>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</si>
  <si>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</si>
  <si>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</si>
  <si>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</si>
  <si>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</si>
  <si>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</si>
  <si>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</si>
  <si>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</si>
  <si>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</si>
  <si>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</si>
  <si>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</si>
  <si>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</si>
  <si>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</si>
  <si>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</si>
  <si>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</si>
  <si>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</si>
  <si>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</si>
  <si>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</si>
  <si>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</si>
  <si>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</si>
  <si>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</si>
  <si>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</si>
  <si>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</si>
  <si>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</si>
  <si>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</si>
  <si>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</si>
  <si>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</si>
  <si>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</si>
  <si>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</si>
  <si>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</si>
  <si>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</si>
  <si>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</si>
  <si>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</si>
  <si>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</si>
  <si>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</si>
  <si>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</si>
  <si>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</si>
  <si>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</si>
  <si>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</si>
  <si>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</si>
  <si>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</si>
  <si>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</si>
  <si>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</si>
  <si>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</si>
  <si>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</si>
  <si>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</si>
  <si>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</si>
  <si>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</si>
  <si>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</si>
  <si>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</si>
  <si>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</si>
  <si>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</si>
  <si>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</si>
  <si>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</si>
  <si>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</si>
  <si>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</si>
  <si>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</si>
  <si>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</si>
  <si>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</si>
  <si>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</si>
  <si>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</si>
  <si>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</si>
  <si>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</si>
  <si>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</si>
  <si>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</si>
  <si>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</si>
  <si>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</si>
  <si>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</si>
  <si>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</si>
  <si>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</si>
  <si>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</si>
  <si>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</si>
  <si>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</si>
  <si>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</si>
  <si>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</si>
  <si>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</si>
  <si>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</si>
  <si>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</si>
  <si>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</si>
  <si>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</si>
  <si>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</si>
  <si>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</si>
  <si>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</si>
  <si>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</si>
  <si>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</si>
  <si>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</si>
  <si>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</si>
  <si>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</si>
  <si>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</si>
  <si>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</si>
  <si>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</si>
  <si>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</si>
  <si>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</si>
  <si>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</si>
  <si>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</si>
  <si>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</si>
  <si>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</si>
  <si>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</si>
  <si>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</si>
  <si>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</si>
  <si>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</si>
  <si>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</si>
  <si>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</si>
  <si>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</si>
  <si>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</si>
  <si>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</si>
  <si>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</si>
  <si>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</si>
  <si>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</si>
  <si>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</si>
  <si>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</si>
  <si>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</si>
  <si>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</si>
  <si>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</si>
  <si>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</si>
  <si>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</si>
  <si>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</si>
  <si>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</si>
  <si>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</si>
  <si>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</si>
  <si>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</si>
  <si>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</si>
  <si>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</si>
  <si>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</si>
  <si>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</si>
  <si>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</si>
  <si>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</si>
  <si>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</si>
  <si>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</si>
  <si>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</si>
  <si>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</si>
  <si>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</si>
  <si>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</si>
  <si>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</si>
  <si>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</si>
  <si>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</si>
  <si>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</si>
  <si>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</si>
  <si>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</si>
  <si>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</si>
  <si>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</si>
  <si>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</si>
  <si>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</si>
  <si>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</si>
  <si>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</si>
  <si>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</si>
  <si>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</si>
  <si>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</si>
  <si>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</si>
  <si>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</si>
  <si>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</si>
  <si>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</si>
  <si>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</si>
  <si>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</si>
  <si>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</si>
  <si>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</si>
  <si>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</si>
  <si>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</si>
  <si>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</si>
  <si>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</si>
  <si>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</si>
  <si>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</si>
  <si>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</si>
  <si>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</si>
  <si>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</si>
  <si>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</si>
  <si>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</si>
  <si>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</si>
  <si>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</si>
  <si>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</si>
  <si>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</si>
  <si>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</si>
  <si>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</si>
  <si>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</si>
  <si>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</si>
  <si>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</si>
  <si>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</si>
  <si>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</si>
  <si>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</si>
  <si>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</si>
  <si>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</si>
  <si>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</si>
  <si>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</si>
  <si>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</si>
  <si>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</si>
  <si>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</si>
  <si>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</si>
  <si>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</si>
  <si>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</si>
  <si>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</si>
  <si>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</si>
  <si>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</si>
  <si>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</si>
  <si>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</si>
  <si>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</si>
  <si>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</si>
  <si>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</si>
  <si>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</si>
  <si>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</si>
  <si>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</si>
  <si>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</si>
  <si>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</si>
  <si>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</si>
  <si>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</si>
  <si>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</si>
  <si>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</si>
  <si>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</si>
  <si>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</si>
  <si>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</si>
  <si>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</si>
  <si>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</si>
  <si>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</si>
  <si>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</si>
  <si>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</si>
  <si>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</si>
  <si>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</si>
  <si>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</si>
  <si>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</si>
  <si>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</si>
  <si>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</si>
  <si>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</si>
  <si>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</si>
  <si>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</si>
  <si>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</si>
  <si>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</si>
  <si>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</si>
  <si>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</si>
  <si>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</si>
  <si>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</si>
  <si>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</si>
  <si>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</si>
  <si>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</si>
  <si>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</si>
  <si>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</si>
  <si>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</si>
  <si>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</si>
  <si>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</si>
  <si>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</si>
  <si>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</si>
  <si>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</si>
  <si>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</si>
  <si>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Escaso Ventures</t>
  </si>
  <si>
    <t>P52000078185</t>
  </si>
  <si>
    <t>Layout Not Approved</t>
  </si>
  <si>
    <t>Plot No</t>
  </si>
  <si>
    <t>Kharghar</t>
  </si>
  <si>
    <t>CIDCO/BP-18665/TPO(NM &amp; K)/2023/13056</t>
  </si>
  <si>
    <t>19.039952,73.073122</t>
  </si>
  <si>
    <t>https://maps.app.goo.gl/nTnkjGZ3BSk4qxat6</t>
  </si>
  <si>
    <t>Platinum The Reserve</t>
  </si>
  <si>
    <t>As per RERA - 31/12/2030</t>
  </si>
  <si>
    <t>Shop</t>
  </si>
  <si>
    <t>RERA Carpet area</t>
  </si>
  <si>
    <t>2nd Floor For Residential</t>
  </si>
  <si>
    <t>Wing A + B</t>
  </si>
  <si>
    <t>1st Floor For Parking, Indoor Games, Library, Toddlers Area,  Banquet Hall, Gymnasium, Society Office &amp; Driver Room</t>
  </si>
  <si>
    <t>Wing A</t>
  </si>
  <si>
    <t>3BHK</t>
  </si>
  <si>
    <t>4BHK</t>
  </si>
  <si>
    <t>Open To Sky Terrace</t>
  </si>
  <si>
    <t>Fire Rescue Balcony</t>
  </si>
  <si>
    <t>16th Floor</t>
  </si>
  <si>
    <t>Wing B</t>
  </si>
  <si>
    <t>Shops</t>
  </si>
  <si>
    <t>Flats -104, Shops -17</t>
  </si>
  <si>
    <t>11.0 M Wide Road</t>
  </si>
  <si>
    <t>30 M Wide Road</t>
  </si>
  <si>
    <t>Plot No. 89</t>
  </si>
  <si>
    <t>Construction work is in process at the time of Visit (labour found)</t>
  </si>
  <si>
    <t>Mr. Sunil Peravi</t>
  </si>
  <si>
    <t xml:space="preserve">                             </t>
  </si>
  <si>
    <t xml:space="preserve">  </t>
  </si>
  <si>
    <t>90, Sector 11</t>
  </si>
  <si>
    <t>Kharghar East</t>
  </si>
  <si>
    <t>2.6 KM from Kharghar Railway Station</t>
  </si>
  <si>
    <t>11.0 M Wide Road &amp; Plot No.96 &amp; 102</t>
  </si>
  <si>
    <t>Open Plot</t>
  </si>
  <si>
    <t>02 Wings</t>
  </si>
  <si>
    <t>A &amp; B Wing = 3B + G + 1st to 18th Floor</t>
  </si>
  <si>
    <t xml:space="preserve">Ground Floor For Commercial Banquet Entrance, Meter Room &amp; Fire Panel Room </t>
  </si>
  <si>
    <t>1st to 3rd Basement For Parking</t>
  </si>
  <si>
    <t>7th, 9th, 11th, 13th &amp; 15th Floor For Residential ( Part Fire Rescue Balcony)</t>
  </si>
  <si>
    <t>4th to 6th, 8th, 10th, 12th &amp; 14th Floor For Residential</t>
  </si>
  <si>
    <t>17th Floor (Part Fire Rescue Balcony)</t>
  </si>
  <si>
    <t>18th Floor</t>
  </si>
  <si>
    <r>
      <t xml:space="preserve">Proposed Amenities :                                                                                                                                                                                                                         </t>
    </r>
    <r>
      <rPr>
        <b/>
        <sz val="12"/>
        <rFont val="Times New Roman"/>
        <family val="1"/>
      </rPr>
      <t xml:space="preserve">                                               </t>
    </r>
  </si>
  <si>
    <t>Wing A &amp; B</t>
  </si>
  <si>
    <t>Sitout area</t>
  </si>
  <si>
    <t>3rd Floor  For Residential (Part Terrace Area)</t>
  </si>
  <si>
    <t>We considered Gross carpet area = Net carpet + Siteout Area.</t>
  </si>
  <si>
    <t>Nala is Located on South side of project.</t>
  </si>
  <si>
    <t>Rate</t>
  </si>
  <si>
    <t>as per cost sheet</t>
  </si>
  <si>
    <t>As per online</t>
  </si>
  <si>
    <t>As per visitor</t>
  </si>
  <si>
    <t>02241276677/ 9820771054</t>
  </si>
  <si>
    <t>Internal Road</t>
  </si>
  <si>
    <t>Shivesh Aurum</t>
  </si>
  <si>
    <t>3B + Gr.+ 1st + 2nd to 18th Floor
Net Builtup Area = 21906.7 Sq.m
Residential Units =  104, Commercial Units = 17</t>
  </si>
  <si>
    <t>Floor Rise Rate from 2nd  Floor</t>
  </si>
  <si>
    <t>Society Transfer Charges</t>
  </si>
  <si>
    <t>Saftey Grill Charges</t>
  </si>
  <si>
    <t>Premium Clubhouse, Indoor Games Room, Gymnasium, Children’s Play Area, Jogging Track, Banquet Hall, Library, &amp; etc.</t>
  </si>
  <si>
    <t>We are unable to consider builder salable area because the loading of each flat is different.</t>
  </si>
  <si>
    <t>NAVI/WEST/B/083022/695457</t>
  </si>
  <si>
    <t>Site Elevation = 7M
Permissible Top Elevation = 72.42M</t>
  </si>
  <si>
    <t>Approved Plans, CC, Sale Plan, Airport Noc Payment Schedule, Cost Sheet &amp; Salable Area</t>
  </si>
  <si>
    <t>SIA/MH/INFRA2/452082/2023</t>
  </si>
  <si>
    <t>Wing A &amp; B = 3B + Gr + 1st to 18th Floor (65.40M Height)</t>
  </si>
  <si>
    <t>We have updated EC on 25/02/2025.</t>
  </si>
  <si>
    <t>Pooja Kawale</t>
  </si>
  <si>
    <t>RATE 16350 by SMITH VERBAL for CASE A1102 on 17/7/2025</t>
  </si>
  <si>
    <t>Recommended Rates of the Property have been revised on 17/07/2025.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</si>
</sst>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2" fillId="0" borderId="0" xfId="1" applyNumberFormat="1" applyFont="1" applyAlignment="1">
      <alignment horizontal="center" vertical="center"/>
    </xf>
    <xf numFmtId="1" fontId="15" fillId="0" borderId="0" xfId="1" applyNumberFormat="1" applyFont="1" applyAlignment="1">
      <alignment horizontal="center" vertical="center"/>
    </xf>
    <xf numFmtId="1" fontId="7"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7" fillId="0" borderId="1" xfId="1" applyNumberFormat="1" applyFont="1" applyFill="1"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xf>
    <xf numFmtId="0" fontId="7" fillId="0" borderId="0" xfId="1" applyFont="1" applyAlignment="1">
      <alignment vertical="center"/>
    </xf>
    <xf numFmtId="0" fontId="12" fillId="0" borderId="0" xfId="0" applyFont="1" applyAlignment="1">
      <alignment horizontal="center" vertical="center"/>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5" fillId="0" borderId="1" xfId="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8" fillId="0" borderId="1" xfId="1" applyFont="1" applyBorder="1" applyAlignment="1" applyProtection="1">
      <alignment horizontal="center" vertical="top"/>
      <protection locked="0"/>
    </xf>
    <xf numFmtId="1" fontId="4" fillId="0" borderId="1" xfId="1" applyNumberFormat="1" applyFont="1" applyBorder="1" applyAlignment="1" applyProtection="1">
      <alignment horizontal="center" vertical="top" wrapText="1"/>
      <protection locked="0"/>
    </xf>
    <xf numFmtId="0" fontId="13" fillId="0" borderId="16"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8" xfId="1" applyNumberFormat="1" applyFont="1" applyFill="1" applyBorder="1" applyAlignment="1" applyProtection="1">
      <alignment horizontal="center" vertical="center" wrapText="1"/>
      <protection locked="0"/>
    </xf>
    <xf numFmtId="1" fontId="8" fillId="0" borderId="21" xfId="1" applyNumberFormat="1" applyFont="1" applyFill="1" applyBorder="1" applyAlignment="1" applyProtection="1">
      <alignment horizontal="center" vertical="center" wrapText="1"/>
      <protection locked="0"/>
    </xf>
    <xf numFmtId="1" fontId="8" fillId="0" borderId="9" xfId="1" applyNumberFormat="1"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12" fillId="0"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top"/>
      <protection locked="0"/>
    </xf>
    <xf numFmtId="0" fontId="13" fillId="0" borderId="1" xfId="1" applyFont="1" applyFill="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protection locked="0"/>
    </xf>
    <xf numFmtId="0" fontId="12" fillId="0" borderId="1" xfId="1" applyFont="1" applyBorder="1" applyAlignment="1" applyProtection="1">
      <alignment horizontal="center" vertical="center" wrapText="1"/>
      <protection locked="0"/>
    </xf>
    <xf numFmtId="0" fontId="13" fillId="0" borderId="5"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 fontId="8" fillId="0" borderId="1" xfId="1"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31" fillId="0" borderId="1"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3" fillId="0" borderId="4" xfId="1" applyFont="1" applyBorder="1" applyAlignment="1" applyProtection="1">
      <alignment horizontal="left" vertical="top"/>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0" xfId="1" applyFont="1" applyAlignment="1">
      <alignment horizontal="center" vertical="center"/>
    </xf>
    <xf numFmtId="0" fontId="8" fillId="0" borderId="16" xfId="1" applyFont="1" applyBorder="1" applyAlignment="1" applyProtection="1">
      <alignment horizontal="left" vertical="top"/>
      <protection locked="0"/>
    </xf>
    <xf numFmtId="0" fontId="8" fillId="0" borderId="22" xfId="1" applyFont="1" applyFill="1" applyBorder="1" applyAlignment="1" applyProtection="1">
      <alignment horizontal="left" vertical="top" wrapText="1"/>
      <protection locked="0"/>
    </xf>
    <xf numFmtId="0" fontId="8" fillId="0" borderId="15" xfId="1" applyFont="1" applyFill="1" applyBorder="1" applyAlignment="1" applyProtection="1">
      <alignment horizontal="left" vertical="top" wrapText="1"/>
      <protection locked="0"/>
    </xf>
    <xf numFmtId="167" fontId="7" fillId="0" borderId="1" xfId="9" applyNumberFormat="1" applyFont="1" applyFill="1" applyBorder="1" applyAlignment="1" applyProtection="1">
      <alignment horizontal="lef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xdr:from>
      <xdr:col>0</xdr:col>
      <xdr:colOff>182856</xdr:colOff>
      <xdr:row>309</xdr:row>
      <xdr:rowOff>108857</xdr:rowOff>
    </xdr:from>
    <xdr:to>
      <xdr:col>7</xdr:col>
      <xdr:colOff>580531</xdr:colOff>
      <xdr:row>332</xdr:row>
      <xdr:rowOff>39199</xdr:rowOff>
    </xdr:to>
    <xdr:grpSp>
      <xdr:nvGrpSpPr>
        <xdr:cNvPr id="23" name="Group 22"/>
        <xdr:cNvGrpSpPr/>
      </xdr:nvGrpSpPr>
      <xdr:grpSpPr>
        <a:xfrm>
          <a:off x="182856" y="57747807"/>
          <a:ext cx="6252375" cy="4457892"/>
          <a:chOff x="561497" y="3582224"/>
          <a:chExt cx="5979262" cy="4533076"/>
        </a:xfrm>
      </xdr:grpSpPr>
      <xdr:pic>
        <xdr:nvPicPr>
          <xdr:cNvPr id="24" name="Picture 2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497" y="3582224"/>
            <a:ext cx="5979262" cy="4533076"/>
          </a:xfrm>
          <a:prstGeom prst="rect">
            <a:avLst/>
          </a:prstGeom>
          <a:ln>
            <a:solidFill>
              <a:sysClr val="windowText" lastClr="000000"/>
            </a:solidFill>
          </a:ln>
        </xdr:spPr>
      </xdr:pic>
      <xdr:sp macro="" textlink="">
        <xdr:nvSpPr>
          <xdr:cNvPr id="25" name="Round Same Side Corner Rectangle 24"/>
          <xdr:cNvSpPr/>
        </xdr:nvSpPr>
        <xdr:spPr>
          <a:xfrm rot="16200000">
            <a:off x="982394" y="4808804"/>
            <a:ext cx="2971802" cy="2206089"/>
          </a:xfrm>
          <a:prstGeom prst="round2Same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6" name="Round Same Side Corner Rectangle 25"/>
          <xdr:cNvSpPr/>
        </xdr:nvSpPr>
        <xdr:spPr>
          <a:xfrm rot="5400000" flipH="1">
            <a:off x="3188483" y="4808804"/>
            <a:ext cx="2971802" cy="2206089"/>
          </a:xfrm>
          <a:prstGeom prst="round2Same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7" name="TextBox 44"/>
          <xdr:cNvSpPr txBox="1"/>
        </xdr:nvSpPr>
        <xdr:spPr>
          <a:xfrm>
            <a:off x="1198821" y="4056615"/>
            <a:ext cx="93477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 B</a:t>
            </a:r>
          </a:p>
        </xdr:txBody>
      </xdr:sp>
      <xdr:sp macro="" textlink="">
        <xdr:nvSpPr>
          <xdr:cNvPr id="28" name="TextBox 45"/>
          <xdr:cNvSpPr txBox="1"/>
        </xdr:nvSpPr>
        <xdr:spPr>
          <a:xfrm>
            <a:off x="5131724" y="4056615"/>
            <a:ext cx="87537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Wing</a:t>
            </a:r>
            <a:r>
              <a:rPr lang="en-US"/>
              <a:t> </a:t>
            </a:r>
            <a:r>
              <a:rPr lang="en-US">
                <a:solidFill>
                  <a:srgbClr val="FF0000"/>
                </a:solidFill>
              </a:rPr>
              <a:t>A</a:t>
            </a:r>
          </a:p>
        </xdr:txBody>
      </xdr:sp>
    </xdr:grpSp>
    <xdr:clientData/>
  </xdr:twoCellAnchor>
  <xdr:twoCellAnchor editAs="oneCell">
    <xdr:from>
      <xdr:col>8</xdr:col>
      <xdr:colOff>552450</xdr:colOff>
      <xdr:row>50</xdr:row>
      <xdr:rowOff>343098</xdr:rowOff>
    </xdr:from>
    <xdr:to>
      <xdr:col>12</xdr:col>
      <xdr:colOff>180114</xdr:colOff>
      <xdr:row>55</xdr:row>
      <xdr:rowOff>332992</xdr:rowOff>
    </xdr:to>
    <xdr:pic>
      <xdr:nvPicPr>
        <xdr:cNvPr id="2" name="Picture 1"/>
        <xdr:cNvPicPr>
          <a:picLocks noChangeAspect="1"/>
        </xdr:cNvPicPr>
      </xdr:nvPicPr>
      <xdr:blipFill>
        <a:blip xmlns:r="http://schemas.openxmlformats.org/officeDocument/2006/relationships" r:embed="rId2"/>
        <a:stretch>
          <a:fillRect/>
        </a:stretch>
      </xdr:blipFill>
      <xdr:spPr>
        <a:xfrm>
          <a:off x="6867525" y="11982648"/>
          <a:ext cx="3228114" cy="1437694"/>
        </a:xfrm>
        <a:prstGeom prst="rect">
          <a:avLst/>
        </a:prstGeom>
      </xdr:spPr>
    </xdr:pic>
    <xdr:clientData/>
  </xdr:twoCellAnchor>
  <xdr:twoCellAnchor editAs="oneCell">
    <xdr:from>
      <xdr:col>9</xdr:col>
      <xdr:colOff>371475</xdr:colOff>
      <xdr:row>46</xdr:row>
      <xdr:rowOff>19050</xdr:rowOff>
    </xdr:from>
    <xdr:to>
      <xdr:col>14</xdr:col>
      <xdr:colOff>66205</xdr:colOff>
      <xdr:row>50</xdr:row>
      <xdr:rowOff>256993</xdr:rowOff>
    </xdr:to>
    <xdr:pic>
      <xdr:nvPicPr>
        <xdr:cNvPr id="3" name="Picture 2"/>
        <xdr:cNvPicPr>
          <a:picLocks noChangeAspect="1"/>
        </xdr:cNvPicPr>
      </xdr:nvPicPr>
      <xdr:blipFill>
        <a:blip xmlns:r="http://schemas.openxmlformats.org/officeDocument/2006/relationships" r:embed="rId3"/>
        <a:stretch>
          <a:fillRect/>
        </a:stretch>
      </xdr:blipFill>
      <xdr:spPr>
        <a:xfrm>
          <a:off x="7848600" y="10439400"/>
          <a:ext cx="3761905" cy="1457143"/>
        </a:xfrm>
        <a:prstGeom prst="rect">
          <a:avLst/>
        </a:prstGeom>
      </xdr:spPr>
    </xdr:pic>
    <xdr:clientData/>
  </xdr:twoCellAnchor>
  <xdr:twoCellAnchor editAs="oneCell">
    <xdr:from>
      <xdr:col>0</xdr:col>
      <xdr:colOff>671707</xdr:colOff>
      <xdr:row>332</xdr:row>
      <xdr:rowOff>168671</xdr:rowOff>
    </xdr:from>
    <xdr:to>
      <xdr:col>6</xdr:col>
      <xdr:colOff>598273</xdr:colOff>
      <xdr:row>348</xdr:row>
      <xdr:rowOff>165100</xdr:rowOff>
    </xdr:to>
    <xdr:pic>
      <xdr:nvPicPr>
        <xdr:cNvPr id="17" name="Picture 16"/>
        <xdr:cNvPicPr>
          <a:picLocks noChangeAspect="1"/>
        </xdr:cNvPicPr>
      </xdr:nvPicPr>
      <xdr:blipFill rotWithShape="1">
        <a:blip xmlns:r="http://schemas.openxmlformats.org/officeDocument/2006/relationships" r:embed="rId4"/>
        <a:srcRect t="2799"/>
        <a:stretch/>
      </xdr:blipFill>
      <xdr:spPr>
        <a:xfrm>
          <a:off x="671707" y="62138321"/>
          <a:ext cx="5012916" cy="3146029"/>
        </a:xfrm>
        <a:prstGeom prst="rect">
          <a:avLst/>
        </a:prstGeom>
        <a:ln>
          <a:solidFill>
            <a:sysClr val="windowText" lastClr="000000"/>
          </a:solidFill>
        </a:ln>
      </xdr:spPr>
    </xdr:pic>
    <xdr:clientData/>
  </xdr:twoCellAnchor>
  <xdr:twoCellAnchor editAs="oneCell">
    <xdr:from>
      <xdr:col>0</xdr:col>
      <xdr:colOff>188122</xdr:colOff>
      <xdr:row>311</xdr:row>
      <xdr:rowOff>111894</xdr:rowOff>
    </xdr:from>
    <xdr:to>
      <xdr:col>1</xdr:col>
      <xdr:colOff>248110</xdr:colOff>
      <xdr:row>315</xdr:row>
      <xdr:rowOff>138627</xdr:rowOff>
    </xdr:to>
    <xdr:pic>
      <xdr:nvPicPr>
        <xdr:cNvPr id="18" name="Picture 1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8122" y="59021218"/>
          <a:ext cx="821988" cy="833557"/>
        </a:xfrm>
        <a:prstGeom prst="rect">
          <a:avLst/>
        </a:prstGeom>
      </xdr:spPr>
    </xdr:pic>
    <xdr:clientData/>
  </xdr:twoCellAnchor>
  <xdr:twoCellAnchor editAs="oneCell">
    <xdr:from>
      <xdr:col>11</xdr:col>
      <xdr:colOff>714374</xdr:colOff>
      <xdr:row>64</xdr:row>
      <xdr:rowOff>73707</xdr:rowOff>
    </xdr:from>
    <xdr:to>
      <xdr:col>16</xdr:col>
      <xdr:colOff>121684</xdr:colOff>
      <xdr:row>79</xdr:row>
      <xdr:rowOff>55468</xdr:rowOff>
    </xdr:to>
    <xdr:pic>
      <xdr:nvPicPr>
        <xdr:cNvPr id="19" name="Picture 1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705974" y="13751607"/>
          <a:ext cx="3550685" cy="3039286"/>
        </a:xfrm>
        <a:prstGeom prst="rect">
          <a:avLst/>
        </a:prstGeom>
      </xdr:spPr>
    </xdr:pic>
    <xdr:clientData/>
  </xdr:twoCellAnchor>
  <xdr:twoCellAnchor editAs="oneCell">
    <xdr:from>
      <xdr:col>10</xdr:col>
      <xdr:colOff>368674</xdr:colOff>
      <xdr:row>137</xdr:row>
      <xdr:rowOff>108259</xdr:rowOff>
    </xdr:from>
    <xdr:to>
      <xdr:col>16</xdr:col>
      <xdr:colOff>520378</xdr:colOff>
      <xdr:row>157</xdr:row>
      <xdr:rowOff>132602</xdr:rowOff>
    </xdr:to>
    <xdr:pic>
      <xdr:nvPicPr>
        <xdr:cNvPr id="20" name="Picture 19"/>
        <xdr:cNvPicPr>
          <a:picLocks noChangeAspect="1"/>
        </xdr:cNvPicPr>
      </xdr:nvPicPr>
      <xdr:blipFill>
        <a:blip xmlns:r="http://schemas.openxmlformats.org/officeDocument/2006/relationships" r:embed="rId7"/>
        <a:stretch>
          <a:fillRect/>
        </a:stretch>
      </xdr:blipFill>
      <xdr:spPr>
        <a:xfrm>
          <a:off x="8607799" y="21425209"/>
          <a:ext cx="5047554" cy="4431243"/>
        </a:xfrm>
        <a:prstGeom prst="rect">
          <a:avLst/>
        </a:prstGeom>
      </xdr:spPr>
    </xdr:pic>
    <xdr:clientData/>
  </xdr:twoCellAnchor>
  <xdr:twoCellAnchor editAs="oneCell">
    <xdr:from>
      <xdr:col>11</xdr:col>
      <xdr:colOff>266141</xdr:colOff>
      <xdr:row>165</xdr:row>
      <xdr:rowOff>98051</xdr:rowOff>
    </xdr:from>
    <xdr:to>
      <xdr:col>19</xdr:col>
      <xdr:colOff>79386</xdr:colOff>
      <xdr:row>189</xdr:row>
      <xdr:rowOff>69152</xdr:rowOff>
    </xdr:to>
    <xdr:pic>
      <xdr:nvPicPr>
        <xdr:cNvPr id="21" name="Picture 20"/>
        <xdr:cNvPicPr>
          <a:picLocks noChangeAspect="1"/>
        </xdr:cNvPicPr>
      </xdr:nvPicPr>
      <xdr:blipFill>
        <a:blip xmlns:r="http://schemas.openxmlformats.org/officeDocument/2006/relationships" r:embed="rId8"/>
        <a:stretch>
          <a:fillRect/>
        </a:stretch>
      </xdr:blipFill>
      <xdr:spPr>
        <a:xfrm>
          <a:off x="9257741" y="27834851"/>
          <a:ext cx="5899720" cy="4952676"/>
        </a:xfrm>
        <a:prstGeom prst="rect">
          <a:avLst/>
        </a:prstGeom>
      </xdr:spPr>
    </xdr:pic>
    <xdr:clientData/>
  </xdr:twoCellAnchor>
  <xdr:twoCellAnchor editAs="oneCell">
    <xdr:from>
      <xdr:col>8</xdr:col>
      <xdr:colOff>1000125</xdr:colOff>
      <xdr:row>201</xdr:row>
      <xdr:rowOff>47624</xdr:rowOff>
    </xdr:from>
    <xdr:to>
      <xdr:col>16</xdr:col>
      <xdr:colOff>77025</xdr:colOff>
      <xdr:row>226</xdr:row>
      <xdr:rowOff>123825</xdr:rowOff>
    </xdr:to>
    <xdr:pic>
      <xdr:nvPicPr>
        <xdr:cNvPr id="30" name="Picture 29"/>
        <xdr:cNvPicPr>
          <a:picLocks noChangeAspect="1"/>
        </xdr:cNvPicPr>
      </xdr:nvPicPr>
      <xdr:blipFill>
        <a:blip xmlns:r="http://schemas.openxmlformats.org/officeDocument/2006/relationships" r:embed="rId9"/>
        <a:stretch>
          <a:fillRect/>
        </a:stretch>
      </xdr:blipFill>
      <xdr:spPr>
        <a:xfrm>
          <a:off x="7315200" y="34880549"/>
          <a:ext cx="5896800" cy="5076825"/>
        </a:xfrm>
        <a:prstGeom prst="rect">
          <a:avLst/>
        </a:prstGeom>
      </xdr:spPr>
    </xdr:pic>
    <xdr:clientData/>
  </xdr:twoCellAnchor>
  <xdr:twoCellAnchor>
    <xdr:from>
      <xdr:col>0</xdr:col>
      <xdr:colOff>747432</xdr:colOff>
      <xdr:row>352</xdr:row>
      <xdr:rowOff>43143</xdr:rowOff>
    </xdr:from>
    <xdr:to>
      <xdr:col>7</xdr:col>
      <xdr:colOff>61782</xdr:colOff>
      <xdr:row>372</xdr:row>
      <xdr:rowOff>22562</xdr:rowOff>
    </xdr:to>
    <xdr:grpSp>
      <xdr:nvGrpSpPr>
        <xdr:cNvPr id="32" name="Group 31"/>
        <xdr:cNvGrpSpPr/>
      </xdr:nvGrpSpPr>
      <xdr:grpSpPr>
        <a:xfrm>
          <a:off x="747432" y="66146643"/>
          <a:ext cx="5169050" cy="3916419"/>
          <a:chOff x="380547" y="3766684"/>
          <a:chExt cx="5410200" cy="4600575"/>
        </a:xfrm>
      </xdr:grpSpPr>
      <xdr:pic>
        <xdr:nvPicPr>
          <xdr:cNvPr id="33" name="Picture 32"/>
          <xdr:cNvPicPr>
            <a:picLocks noChangeAspect="1"/>
          </xdr:cNvPicPr>
        </xdr:nvPicPr>
        <xdr:blipFill>
          <a:blip xmlns:r="http://schemas.openxmlformats.org/officeDocument/2006/relationships" r:embed="rId10"/>
          <a:stretch>
            <a:fillRect/>
          </a:stretch>
        </xdr:blipFill>
        <xdr:spPr>
          <a:xfrm>
            <a:off x="380547" y="3766684"/>
            <a:ext cx="5410200" cy="4600575"/>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165260" y="4239645"/>
            <a:ext cx="236384" cy="412977"/>
          </a:xfrm>
          <a:prstGeom prst="rect">
            <a:avLst/>
          </a:prstGeom>
        </xdr:spPr>
      </xdr:pic>
    </xdr:grpSp>
    <xdr:clientData/>
  </xdr:twoCellAnchor>
  <xdr:twoCellAnchor editAs="oneCell">
    <xdr:from>
      <xdr:col>8</xdr:col>
      <xdr:colOff>851647</xdr:colOff>
      <xdr:row>130</xdr:row>
      <xdr:rowOff>89648</xdr:rowOff>
    </xdr:from>
    <xdr:to>
      <xdr:col>12</xdr:col>
      <xdr:colOff>187892</xdr:colOff>
      <xdr:row>131</xdr:row>
      <xdr:rowOff>164132</xdr:rowOff>
    </xdr:to>
    <xdr:pic>
      <xdr:nvPicPr>
        <xdr:cNvPr id="4" name="Picture 3"/>
        <xdr:cNvPicPr>
          <a:picLocks noChangeAspect="1"/>
        </xdr:cNvPicPr>
      </xdr:nvPicPr>
      <xdr:blipFill>
        <a:blip xmlns:r="http://schemas.openxmlformats.org/officeDocument/2006/relationships" r:embed="rId12"/>
        <a:stretch>
          <a:fillRect/>
        </a:stretch>
      </xdr:blipFill>
      <xdr:spPr>
        <a:xfrm>
          <a:off x="7160559" y="21885089"/>
          <a:ext cx="2933333" cy="276190"/>
        </a:xfrm>
        <a:prstGeom prst="rect">
          <a:avLst/>
        </a:prstGeom>
      </xdr:spPr>
    </xdr:pic>
    <xdr:clientData/>
  </xdr:twoCellAnchor>
  <xdr:twoCellAnchor>
    <xdr:from>
      <xdr:col>8</xdr:col>
      <xdr:colOff>298078</xdr:colOff>
      <xdr:row>266</xdr:row>
      <xdr:rowOff>114300</xdr:rowOff>
    </xdr:from>
    <xdr:to>
      <xdr:col>15</xdr:col>
      <xdr:colOff>86463</xdr:colOff>
      <xdr:row>303</xdr:row>
      <xdr:rowOff>108284</xdr:rowOff>
    </xdr:to>
    <xdr:grpSp>
      <xdr:nvGrpSpPr>
        <xdr:cNvPr id="7" name="Group 6"/>
        <xdr:cNvGrpSpPr/>
      </xdr:nvGrpSpPr>
      <xdr:grpSpPr>
        <a:xfrm>
          <a:off x="6921128" y="49295050"/>
          <a:ext cx="6112985" cy="7271084"/>
          <a:chOff x="259978" y="49387125"/>
          <a:chExt cx="5827235" cy="7385384"/>
        </a:xfrm>
      </xdr:grpSpPr>
      <xdr:grpSp>
        <xdr:nvGrpSpPr>
          <xdr:cNvPr id="39" name="Group 38"/>
          <xdr:cNvGrpSpPr/>
        </xdr:nvGrpSpPr>
        <xdr:grpSpPr>
          <a:xfrm>
            <a:off x="963814" y="51996975"/>
            <a:ext cx="4418591" cy="2880000"/>
            <a:chOff x="3086262" y="3427358"/>
            <a:chExt cx="4418591" cy="2880000"/>
          </a:xfrm>
        </xdr:grpSpPr>
        <xdr:pic>
          <xdr:nvPicPr>
            <xdr:cNvPr id="40" name="Picture 3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086262" y="3427358"/>
              <a:ext cx="2157750" cy="288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347103" y="3427358"/>
              <a:ext cx="2157750" cy="2880000"/>
            </a:xfrm>
            <a:prstGeom prst="rect">
              <a:avLst/>
            </a:prstGeom>
            <a:ln>
              <a:solidFill>
                <a:schemeClr val="tx1"/>
              </a:solidFill>
            </a:ln>
          </xdr:spPr>
        </xdr:pic>
      </xdr:grpSp>
      <xdr:grpSp>
        <xdr:nvGrpSpPr>
          <xdr:cNvPr id="43" name="Group 42"/>
          <xdr:cNvGrpSpPr/>
        </xdr:nvGrpSpPr>
        <xdr:grpSpPr>
          <a:xfrm>
            <a:off x="476250" y="54968775"/>
            <a:ext cx="5232056" cy="1803734"/>
            <a:chOff x="1625944" y="7340266"/>
            <a:chExt cx="5232056" cy="1803734"/>
          </a:xfrm>
        </xdr:grpSpPr>
        <xdr:pic>
          <xdr:nvPicPr>
            <xdr:cNvPr id="44" name="Picture 4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25944" y="7344000"/>
              <a:ext cx="2397778" cy="180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092267" y="7340266"/>
              <a:ext cx="1348594" cy="180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509406" y="7344000"/>
              <a:ext cx="1348594" cy="1800000"/>
            </a:xfrm>
            <a:prstGeom prst="rect">
              <a:avLst/>
            </a:prstGeom>
            <a:ln>
              <a:solidFill>
                <a:schemeClr val="tx1"/>
              </a:solidFill>
            </a:ln>
          </xdr:spPr>
        </xdr:pic>
      </xdr:grpSp>
      <xdr:grpSp>
        <xdr:nvGrpSpPr>
          <xdr:cNvPr id="6" name="Group 5"/>
          <xdr:cNvGrpSpPr/>
        </xdr:nvGrpSpPr>
        <xdr:grpSpPr>
          <a:xfrm>
            <a:off x="259978" y="49387125"/>
            <a:ext cx="5827235" cy="2520001"/>
            <a:chOff x="259978" y="49387125"/>
            <a:chExt cx="5827235" cy="2520001"/>
          </a:xfrm>
        </xdr:grpSpPr>
        <xdr:grpSp>
          <xdr:nvGrpSpPr>
            <xdr:cNvPr id="35" name="Group 34"/>
            <xdr:cNvGrpSpPr/>
          </xdr:nvGrpSpPr>
          <xdr:grpSpPr>
            <a:xfrm>
              <a:off x="259978" y="49387125"/>
              <a:ext cx="5827235" cy="2520001"/>
              <a:chOff x="-3827740" y="13365"/>
              <a:chExt cx="6868286" cy="2531696"/>
            </a:xfrm>
          </xdr:grpSpPr>
          <xdr:pic>
            <xdr:nvPicPr>
              <xdr:cNvPr id="38" name="Picture 37"/>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31923" y="13365"/>
                <a:ext cx="3372469" cy="2531695"/>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827740" y="13366"/>
                <a:ext cx="3372467" cy="2531695"/>
              </a:xfrm>
              <a:prstGeom prst="rect">
                <a:avLst/>
              </a:prstGeom>
              <a:ln>
                <a:solidFill>
                  <a:schemeClr val="tx1"/>
                </a:solidFill>
              </a:ln>
            </xdr:spPr>
          </xdr:pic>
        </xdr:grpSp>
        <xdr:sp macro="" textlink="">
          <xdr:nvSpPr>
            <xdr:cNvPr id="47" name="TextBox 45"/>
            <xdr:cNvSpPr txBox="1"/>
          </xdr:nvSpPr>
          <xdr:spPr>
            <a:xfrm>
              <a:off x="279029" y="49406175"/>
              <a:ext cx="1406896" cy="369156"/>
            </a:xfrm>
            <a:prstGeom prst="rect">
              <a:avLst/>
            </a:prstGeom>
            <a:solidFill>
              <a:schemeClr val="accent3">
                <a:lumMod val="20000"/>
                <a:lumOff val="80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ysClr val="windowText" lastClr="000000"/>
                  </a:solidFill>
                </a:rPr>
                <a:t>Wing A &amp; B</a:t>
              </a:r>
            </a:p>
          </xdr:txBody>
        </xdr:sp>
      </xdr:grpSp>
    </xdr:grpSp>
    <xdr:clientData/>
  </xdr:twoCellAnchor>
  <xdr:twoCellAnchor>
    <xdr:from>
      <xdr:col>0</xdr:col>
      <xdr:colOff>747582</xdr:colOff>
      <xdr:row>372</xdr:row>
      <xdr:rowOff>120463</xdr:rowOff>
    </xdr:from>
    <xdr:to>
      <xdr:col>7</xdr:col>
      <xdr:colOff>61782</xdr:colOff>
      <xdr:row>392</xdr:row>
      <xdr:rowOff>114300</xdr:rowOff>
    </xdr:to>
    <xdr:grpSp>
      <xdr:nvGrpSpPr>
        <xdr:cNvPr id="75" name="Group 74"/>
        <xdr:cNvGrpSpPr/>
      </xdr:nvGrpSpPr>
      <xdr:grpSpPr>
        <a:xfrm>
          <a:off x="747582" y="70160963"/>
          <a:ext cx="5168900" cy="3930837"/>
          <a:chOff x="747582" y="70900738"/>
          <a:chExt cx="4895850" cy="3994337"/>
        </a:xfrm>
      </xdr:grpSpPr>
      <xdr:grpSp>
        <xdr:nvGrpSpPr>
          <xdr:cNvPr id="22" name="Group 21"/>
          <xdr:cNvGrpSpPr/>
        </xdr:nvGrpSpPr>
        <xdr:grpSpPr>
          <a:xfrm>
            <a:off x="747582" y="70900738"/>
            <a:ext cx="4895850" cy="3981450"/>
            <a:chOff x="923925" y="4772372"/>
            <a:chExt cx="4895850" cy="3981450"/>
          </a:xfrm>
        </xdr:grpSpPr>
        <xdr:pic>
          <xdr:nvPicPr>
            <xdr:cNvPr id="29" name="Picture 28"/>
            <xdr:cNvPicPr>
              <a:picLocks noChangeAspect="1"/>
            </xdr:cNvPicPr>
          </xdr:nvPicPr>
          <xdr:blipFill>
            <a:blip xmlns:r="http://schemas.openxmlformats.org/officeDocument/2006/relationships" r:embed="rId20"/>
            <a:stretch>
              <a:fillRect/>
            </a:stretch>
          </xdr:blipFill>
          <xdr:spPr>
            <a:xfrm>
              <a:off x="923925" y="4772372"/>
              <a:ext cx="4895850" cy="3981450"/>
            </a:xfrm>
            <a:prstGeom prst="rect">
              <a:avLst/>
            </a:prstGeom>
            <a:ln>
              <a:solidFill>
                <a:schemeClr val="tx1"/>
              </a:solidFill>
            </a:ln>
          </xdr:spPr>
        </xdr:pic>
        <xdr:sp macro="" textlink="">
          <xdr:nvSpPr>
            <xdr:cNvPr id="31" name="Round Single Corner Rectangle 30"/>
            <xdr:cNvSpPr/>
          </xdr:nvSpPr>
          <xdr:spPr>
            <a:xfrm rot="980147" flipV="1">
              <a:off x="3380829" y="6992137"/>
              <a:ext cx="1171366" cy="904972"/>
            </a:xfrm>
            <a:prstGeom prst="round1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xnSp macro="">
        <xdr:nvCxnSpPr>
          <xdr:cNvPr id="8" name="Straight Connector 7"/>
          <xdr:cNvCxnSpPr/>
        </xdr:nvCxnSpPr>
        <xdr:spPr>
          <a:xfrm>
            <a:off x="1190625" y="73428225"/>
            <a:ext cx="2914650" cy="9334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1076325" y="74066400"/>
            <a:ext cx="371475" cy="3524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xdr:cNvCxnSpPr/>
        </xdr:nvCxnSpPr>
        <xdr:spPr>
          <a:xfrm>
            <a:off x="1447800" y="74409300"/>
            <a:ext cx="95250" cy="4572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Freeform 40"/>
          <xdr:cNvSpPr/>
        </xdr:nvSpPr>
        <xdr:spPr>
          <a:xfrm>
            <a:off x="2105025" y="74666475"/>
            <a:ext cx="1181100" cy="219075"/>
          </a:xfrm>
          <a:custGeom>
            <a:avLst/>
            <a:gdLst>
              <a:gd name="connsiteX0" fmla="*/ 0 w 1181100"/>
              <a:gd name="connsiteY0" fmla="*/ 209550 h 219075"/>
              <a:gd name="connsiteX1" fmla="*/ 0 w 1181100"/>
              <a:gd name="connsiteY1" fmla="*/ 209550 h 219075"/>
              <a:gd name="connsiteX2" fmla="*/ 123825 w 1181100"/>
              <a:gd name="connsiteY2" fmla="*/ 95250 h 219075"/>
              <a:gd name="connsiteX3" fmla="*/ 152400 w 1181100"/>
              <a:gd name="connsiteY3" fmla="*/ 66675 h 219075"/>
              <a:gd name="connsiteX4" fmla="*/ 200025 w 1181100"/>
              <a:gd name="connsiteY4" fmla="*/ 9525 h 219075"/>
              <a:gd name="connsiteX5" fmla="*/ 219075 w 1181100"/>
              <a:gd name="connsiteY5" fmla="*/ 0 h 219075"/>
              <a:gd name="connsiteX6" fmla="*/ 742950 w 1181100"/>
              <a:gd name="connsiteY6" fmla="*/ 38100 h 219075"/>
              <a:gd name="connsiteX7" fmla="*/ 1181100 w 1181100"/>
              <a:gd name="connsiteY7" fmla="*/ 200025 h 219075"/>
              <a:gd name="connsiteX8" fmla="*/ 1143000 w 1181100"/>
              <a:gd name="connsiteY8" fmla="*/ 219075 h 219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81100" h="219075">
                <a:moveTo>
                  <a:pt x="0" y="209550"/>
                </a:moveTo>
                <a:lnTo>
                  <a:pt x="0" y="209550"/>
                </a:lnTo>
                <a:cubicBezTo>
                  <a:pt x="87130" y="134867"/>
                  <a:pt x="45977" y="173098"/>
                  <a:pt x="123825" y="95250"/>
                </a:cubicBezTo>
                <a:cubicBezTo>
                  <a:pt x="133350" y="85725"/>
                  <a:pt x="144928" y="77883"/>
                  <a:pt x="152400" y="66675"/>
                </a:cubicBezTo>
                <a:cubicBezTo>
                  <a:pt x="170018" y="40248"/>
                  <a:pt x="173832" y="30479"/>
                  <a:pt x="200025" y="9525"/>
                </a:cubicBezTo>
                <a:cubicBezTo>
                  <a:pt x="205569" y="5090"/>
                  <a:pt x="212725" y="3175"/>
                  <a:pt x="219075" y="0"/>
                </a:cubicBezTo>
                <a:lnTo>
                  <a:pt x="742950" y="38100"/>
                </a:lnTo>
                <a:lnTo>
                  <a:pt x="1181100" y="200025"/>
                </a:lnTo>
                <a:lnTo>
                  <a:pt x="1143000" y="219075"/>
                </a:lnTo>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xnSp macro="">
        <xdr:nvCxnSpPr>
          <xdr:cNvPr id="54" name="Straight Connector 53"/>
          <xdr:cNvCxnSpPr/>
        </xdr:nvCxnSpPr>
        <xdr:spPr>
          <a:xfrm>
            <a:off x="4095750" y="74371200"/>
            <a:ext cx="190500" cy="5238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xdr:cNvCxnSpPr/>
        </xdr:nvCxnSpPr>
        <xdr:spPr>
          <a:xfrm flipV="1">
            <a:off x="1095375" y="73637775"/>
            <a:ext cx="790575" cy="457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flipV="1">
            <a:off x="1309557" y="73723500"/>
            <a:ext cx="757368" cy="48241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xdr:cNvCxnSpPr/>
        </xdr:nvCxnSpPr>
        <xdr:spPr>
          <a:xfrm flipV="1">
            <a:off x="1447800" y="73780650"/>
            <a:ext cx="876300" cy="638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9" name="Straight Connector 58"/>
          <xdr:cNvCxnSpPr/>
        </xdr:nvCxnSpPr>
        <xdr:spPr>
          <a:xfrm flipV="1">
            <a:off x="3005007" y="74282113"/>
            <a:ext cx="790575" cy="457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xdr:cNvCxnSpPr/>
        </xdr:nvCxnSpPr>
        <xdr:spPr>
          <a:xfrm flipV="1">
            <a:off x="2324100" y="74075925"/>
            <a:ext cx="866775" cy="5619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1" name="Straight Connector 60"/>
          <xdr:cNvCxnSpPr/>
        </xdr:nvCxnSpPr>
        <xdr:spPr>
          <a:xfrm flipV="1">
            <a:off x="2652582" y="74161650"/>
            <a:ext cx="766893" cy="51098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xdr:cNvCxnSpPr/>
        </xdr:nvCxnSpPr>
        <xdr:spPr>
          <a:xfrm flipV="1">
            <a:off x="1504950" y="73866375"/>
            <a:ext cx="1028700" cy="73342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flipV="1">
            <a:off x="1571625" y="73990200"/>
            <a:ext cx="1285875" cy="86677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74" name="TextBox 73"/>
          <xdr:cNvSpPr txBox="1"/>
        </xdr:nvSpPr>
        <xdr:spPr>
          <a:xfrm>
            <a:off x="1590675" y="74009250"/>
            <a:ext cx="6572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Nala</a:t>
            </a:r>
          </a:p>
        </xdr:txBody>
      </xdr:sp>
    </xdr:grpSp>
    <xdr:clientData/>
  </xdr:twoCellAnchor>
  <xdr:twoCellAnchor editAs="oneCell">
    <xdr:from>
      <xdr:col>10</xdr:col>
      <xdr:colOff>238125</xdr:colOff>
      <xdr:row>83</xdr:row>
      <xdr:rowOff>130175</xdr:rowOff>
    </xdr:from>
    <xdr:to>
      <xdr:col>17</xdr:col>
      <xdr:colOff>300932</xdr:colOff>
      <xdr:row>116</xdr:row>
      <xdr:rowOff>139574</xdr:rowOff>
    </xdr:to>
    <xdr:pic>
      <xdr:nvPicPr>
        <xdr:cNvPr id="76" name="Picture 75"/>
        <xdr:cNvPicPr>
          <a:picLocks noChangeAspect="1"/>
        </xdr:cNvPicPr>
      </xdr:nvPicPr>
      <xdr:blipFill>
        <a:blip xmlns:r="http://schemas.openxmlformats.org/officeDocument/2006/relationships" r:embed="rId21"/>
        <a:stretch>
          <a:fillRect/>
        </a:stretch>
      </xdr:blipFill>
      <xdr:spPr>
        <a:xfrm>
          <a:off x="8880475" y="18951575"/>
          <a:ext cx="5828607" cy="993649"/>
        </a:xfrm>
        <a:prstGeom prst="rect">
          <a:avLst/>
        </a:prstGeom>
      </xdr:spPr>
    </xdr:pic>
    <xdr:clientData/>
  </xdr:twoCellAnchor>
  <xdr:twoCellAnchor editAs="oneCell">
    <xdr:from>
      <xdr:col>10</xdr:col>
      <xdr:colOff>202406</xdr:colOff>
      <xdr:row>73</xdr:row>
      <xdr:rowOff>219075</xdr:rowOff>
    </xdr:from>
    <xdr:to>
      <xdr:col>14</xdr:col>
      <xdr:colOff>513708</xdr:colOff>
      <xdr:row>83</xdr:row>
      <xdr:rowOff>56783</xdr:rowOff>
    </xdr:to>
    <xdr:pic>
      <xdr:nvPicPr>
        <xdr:cNvPr id="77" name="Picture 76"/>
        <xdr:cNvPicPr>
          <a:picLocks noChangeAspect="1"/>
        </xdr:cNvPicPr>
      </xdr:nvPicPr>
      <xdr:blipFill>
        <a:blip xmlns:r="http://schemas.openxmlformats.org/officeDocument/2006/relationships" r:embed="rId22"/>
        <a:stretch>
          <a:fillRect/>
        </a:stretch>
      </xdr:blipFill>
      <xdr:spPr>
        <a:xfrm>
          <a:off x="8441531" y="15706725"/>
          <a:ext cx="3616477" cy="2066558"/>
        </a:xfrm>
        <a:prstGeom prst="rect">
          <a:avLst/>
        </a:prstGeom>
      </xdr:spPr>
    </xdr:pic>
    <xdr:clientData/>
  </xdr:twoCellAnchor>
  <xdr:oneCellAnchor>
    <xdr:from>
      <xdr:col>10</xdr:col>
      <xdr:colOff>222250</xdr:colOff>
      <xdr:row>259</xdr:row>
      <xdr:rowOff>139700</xdr:rowOff>
    </xdr:from>
    <xdr:ext cx="708912" cy="311496"/>
    <xdr:sp macro="" textlink="">
      <xdr:nvSpPr>
        <xdr:cNvPr id="9" name="TextBox 8"/>
        <xdr:cNvSpPr txBox="1"/>
      </xdr:nvSpPr>
      <xdr:spPr>
        <a:xfrm>
          <a:off x="8864600" y="475107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A Wing</a:t>
          </a:r>
        </a:p>
      </xdr:txBody>
    </xdr:sp>
    <xdr:clientData/>
  </xdr:oneCellAnchor>
  <xdr:twoCellAnchor>
    <xdr:from>
      <xdr:col>0</xdr:col>
      <xdr:colOff>88900</xdr:colOff>
      <xdr:row>266</xdr:row>
      <xdr:rowOff>114300</xdr:rowOff>
    </xdr:from>
    <xdr:to>
      <xdr:col>7</xdr:col>
      <xdr:colOff>687570</xdr:colOff>
      <xdr:row>299</xdr:row>
      <xdr:rowOff>13954</xdr:rowOff>
    </xdr:to>
    <xdr:grpSp>
      <xdr:nvGrpSpPr>
        <xdr:cNvPr id="5" name="Group 4"/>
        <xdr:cNvGrpSpPr/>
      </xdr:nvGrpSpPr>
      <xdr:grpSpPr>
        <a:xfrm>
          <a:off x="88900" y="49295050"/>
          <a:ext cx="6453370" cy="6389354"/>
          <a:chOff x="88900" y="49098200"/>
          <a:chExt cx="6453370" cy="6389354"/>
        </a:xfrm>
      </xdr:grpSpPr>
      <xdr:pic>
        <xdr:nvPicPr>
          <xdr:cNvPr id="62" name="Picture 6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88900" y="53687554"/>
            <a:ext cx="2397778" cy="180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5193676" y="53687554"/>
            <a:ext cx="1348594" cy="180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99129" y="49098200"/>
            <a:ext cx="2877333" cy="2160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2641288" y="53687554"/>
            <a:ext cx="2397778" cy="1800000"/>
          </a:xfrm>
          <a:prstGeom prst="rect">
            <a:avLst/>
          </a:prstGeom>
          <a:ln>
            <a:solidFill>
              <a:schemeClr val="tx1"/>
            </a:solidFill>
          </a:ln>
        </xdr:spPr>
      </xdr:pic>
      <xdr:pic>
        <xdr:nvPicPr>
          <xdr:cNvPr id="78" name="Picture 77"/>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3427506" y="49098200"/>
            <a:ext cx="2877333" cy="2160000"/>
          </a:xfrm>
          <a:prstGeom prst="rect">
            <a:avLst/>
          </a:prstGeom>
          <a:ln>
            <a:solidFill>
              <a:schemeClr val="tx1"/>
            </a:solidFill>
          </a:ln>
        </xdr:spPr>
      </xdr:pic>
      <xdr:pic>
        <xdr:nvPicPr>
          <xdr:cNvPr id="79" name="Picture 78"/>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399128" y="51392877"/>
            <a:ext cx="2877333" cy="2160000"/>
          </a:xfrm>
          <a:prstGeom prst="rect">
            <a:avLst/>
          </a:prstGeom>
          <a:ln>
            <a:solidFill>
              <a:schemeClr val="tx1"/>
            </a:solidFill>
          </a:ln>
        </xdr:spPr>
      </xdr:pic>
      <xdr:pic>
        <xdr:nvPicPr>
          <xdr:cNvPr id="80" name="Picture 79"/>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3427505" y="51392877"/>
            <a:ext cx="287733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TnkjGZ3BSk4qxat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52"/>
  <sheetViews>
    <sheetView tabSelected="1" view="pageBreakPreview" topLeftCell="A233" zoomScaleNormal="100" zoomScaleSheetLayoutView="100" zoomScalePageLayoutView="85" workbookViewId="0">
      <selection activeCell="A254" sqref="A254:H254"/>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1.2695312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93" t="s">
        <v>159</v>
      </c>
      <c r="B1" s="193"/>
      <c r="C1" s="193"/>
      <c r="D1" s="193"/>
      <c r="E1" s="193"/>
      <c r="F1" s="193"/>
      <c r="G1" s="193"/>
      <c r="H1" s="193"/>
    </row>
    <row r="2" spans="1:26" ht="16.5" customHeight="1" x14ac:dyDescent="0.35">
      <c r="A2" s="180" t="s">
        <v>0</v>
      </c>
      <c r="B2" s="180"/>
      <c r="C2" s="180"/>
      <c r="D2" s="180"/>
      <c r="E2" s="180"/>
      <c r="F2" s="180"/>
      <c r="G2" s="180"/>
      <c r="H2" s="180"/>
    </row>
    <row r="3" spans="1:26" x14ac:dyDescent="0.35">
      <c r="A3" s="154" t="s">
        <v>1</v>
      </c>
      <c r="B3" s="154"/>
      <c r="C3" s="154"/>
      <c r="D3" s="154"/>
      <c r="E3" s="154" t="str">
        <f ca="1">TEXT(TODAY(),"DD/MM/YYYY")</f>
        <v>17/07/2025</v>
      </c>
      <c r="F3" s="154"/>
      <c r="G3" s="154"/>
      <c r="H3" s="154"/>
      <c r="K3" s="60" t="s">
        <v>230</v>
      </c>
      <c r="L3" s="57" t="s">
        <v>228</v>
      </c>
      <c r="M3" s="57" t="s">
        <v>233</v>
      </c>
      <c r="N3" s="57" t="s">
        <v>231</v>
      </c>
      <c r="O3" s="57" t="s">
        <v>351</v>
      </c>
      <c r="P3" s="57" t="s">
        <v>234</v>
      </c>
    </row>
    <row r="4" spans="1:26" ht="15" customHeight="1" x14ac:dyDescent="0.35">
      <c r="A4" s="154" t="s">
        <v>227</v>
      </c>
      <c r="B4" s="154"/>
      <c r="C4" s="154"/>
      <c r="D4" s="154"/>
      <c r="E4" s="154" t="s">
        <v>228</v>
      </c>
      <c r="F4" s="154"/>
      <c r="G4" s="154"/>
      <c r="H4" s="154"/>
      <c r="K4" s="56" t="s">
        <v>229</v>
      </c>
      <c r="L4" s="57" t="s">
        <v>166</v>
      </c>
      <c r="M4" s="57" t="s">
        <v>238</v>
      </c>
      <c r="N4" s="57" t="s">
        <v>240</v>
      </c>
      <c r="O4" s="57" t="s">
        <v>336</v>
      </c>
      <c r="P4" s="57"/>
    </row>
    <row r="5" spans="1:26" ht="15" customHeight="1" x14ac:dyDescent="0.35">
      <c r="A5" s="154" t="s">
        <v>2</v>
      </c>
      <c r="B5" s="154"/>
      <c r="C5" s="154"/>
      <c r="D5" s="154"/>
      <c r="E5" s="154" t="s">
        <v>236</v>
      </c>
      <c r="F5" s="154"/>
      <c r="G5" s="154"/>
      <c r="H5" s="154"/>
      <c r="K5" s="56"/>
      <c r="L5" s="57" t="s">
        <v>235</v>
      </c>
      <c r="M5" s="57" t="s">
        <v>239</v>
      </c>
      <c r="N5" s="57" t="s">
        <v>241</v>
      </c>
      <c r="O5" s="57" t="s">
        <v>337</v>
      </c>
      <c r="P5" s="57"/>
    </row>
    <row r="6" spans="1:26" x14ac:dyDescent="0.35">
      <c r="A6" s="154" t="s">
        <v>3</v>
      </c>
      <c r="B6" s="154"/>
      <c r="C6" s="154"/>
      <c r="D6" s="154"/>
      <c r="E6" s="196">
        <v>45847</v>
      </c>
      <c r="F6" s="154"/>
      <c r="G6" s="154"/>
      <c r="H6" s="154"/>
      <c r="K6" s="56"/>
      <c r="L6" s="57" t="s">
        <v>236</v>
      </c>
      <c r="M6" s="57" t="s">
        <v>349</v>
      </c>
      <c r="N6" s="57"/>
      <c r="O6" s="57" t="s">
        <v>338</v>
      </c>
      <c r="P6" s="57"/>
    </row>
    <row r="7" spans="1:26" ht="16.5" customHeight="1" x14ac:dyDescent="0.35">
      <c r="A7" s="154" t="s">
        <v>4</v>
      </c>
      <c r="B7" s="154"/>
      <c r="C7" s="154"/>
      <c r="D7" s="154"/>
      <c r="E7" s="154" t="s">
        <v>353</v>
      </c>
      <c r="F7" s="154"/>
      <c r="G7" s="154"/>
      <c r="H7" s="154"/>
      <c r="K7" s="56"/>
      <c r="L7" s="57" t="s">
        <v>237</v>
      </c>
      <c r="M7" s="57"/>
      <c r="N7" s="57"/>
      <c r="O7" s="57" t="s">
        <v>338</v>
      </c>
      <c r="P7" s="57"/>
    </row>
    <row r="8" spans="1:26" ht="15" customHeight="1" x14ac:dyDescent="0.35">
      <c r="A8" s="154" t="s">
        <v>5</v>
      </c>
      <c r="B8" s="154"/>
      <c r="C8" s="154"/>
      <c r="D8" s="154"/>
      <c r="E8" s="154" t="str">
        <f>E7</f>
        <v>Escaso Ventures</v>
      </c>
      <c r="F8" s="154"/>
      <c r="G8" s="154"/>
      <c r="H8" s="154"/>
      <c r="K8" s="56"/>
      <c r="L8" s="57"/>
      <c r="M8" s="57"/>
      <c r="N8" s="57"/>
      <c r="O8" s="57" t="s">
        <v>339</v>
      </c>
      <c r="P8" s="57"/>
    </row>
    <row r="9" spans="1:26" x14ac:dyDescent="0.35">
      <c r="A9" s="154" t="s">
        <v>6</v>
      </c>
      <c r="B9" s="154"/>
      <c r="C9" s="154"/>
      <c r="D9" s="154"/>
      <c r="E9" s="194" t="s">
        <v>361</v>
      </c>
      <c r="F9" s="195"/>
      <c r="G9" s="195"/>
      <c r="H9" s="195"/>
      <c r="K9" s="56"/>
      <c r="L9" s="57"/>
      <c r="M9" s="57"/>
      <c r="N9" s="57"/>
      <c r="O9" s="57" t="s">
        <v>340</v>
      </c>
      <c r="P9" s="57"/>
    </row>
    <row r="10" spans="1:26" x14ac:dyDescent="0.35">
      <c r="A10" s="154" t="s">
        <v>162</v>
      </c>
      <c r="B10" s="154"/>
      <c r="C10" s="154"/>
      <c r="D10" s="154"/>
      <c r="E10" s="154" t="s">
        <v>407</v>
      </c>
      <c r="F10" s="154"/>
      <c r="G10" s="154"/>
      <c r="H10" s="154"/>
      <c r="K10" s="56"/>
      <c r="L10" s="57"/>
      <c r="M10" s="57"/>
      <c r="N10" s="57"/>
      <c r="O10" s="57" t="s">
        <v>341</v>
      </c>
      <c r="P10" s="57"/>
    </row>
    <row r="11" spans="1:26" x14ac:dyDescent="0.35">
      <c r="A11" s="154" t="s">
        <v>163</v>
      </c>
      <c r="B11" s="154"/>
      <c r="C11" s="154"/>
      <c r="D11" s="154"/>
      <c r="E11" s="154">
        <v>9820771054</v>
      </c>
      <c r="F11" s="154"/>
      <c r="G11" s="154"/>
      <c r="H11" s="154"/>
      <c r="O11" s="57" t="s">
        <v>342</v>
      </c>
    </row>
    <row r="12" spans="1:26" x14ac:dyDescent="0.35">
      <c r="A12" s="154" t="s">
        <v>7</v>
      </c>
      <c r="B12" s="154"/>
      <c r="C12" s="154"/>
      <c r="D12" s="154"/>
      <c r="E12" s="198" t="s">
        <v>398</v>
      </c>
      <c r="F12" s="198"/>
      <c r="G12" s="198"/>
      <c r="H12" s="198"/>
      <c r="J12" s="21" t="s">
        <v>383</v>
      </c>
    </row>
    <row r="13" spans="1:26" x14ac:dyDescent="0.35">
      <c r="A13" s="154" t="s">
        <v>167</v>
      </c>
      <c r="B13" s="154"/>
      <c r="C13" s="154"/>
      <c r="D13" s="154"/>
      <c r="E13" s="154" t="s">
        <v>28</v>
      </c>
      <c r="F13" s="154"/>
      <c r="G13" s="154"/>
      <c r="H13" s="154"/>
      <c r="S13" s="57" t="s">
        <v>175</v>
      </c>
      <c r="T13" s="57" t="s">
        <v>184</v>
      </c>
      <c r="U13" s="57" t="s">
        <v>168</v>
      </c>
      <c r="V13" s="57" t="s">
        <v>189</v>
      </c>
      <c r="W13" s="57" t="s">
        <v>207</v>
      </c>
      <c r="X13"/>
      <c r="Y13" t="s">
        <v>189</v>
      </c>
      <c r="Z13" t="e">
        <f ca="1">OFFSET($S$13,1,MATCH($G20,$S$13:$W$13,0)-1,15,1)</f>
        <v>#VALUE!</v>
      </c>
    </row>
    <row r="14" spans="1:26" ht="30.75" customHeight="1" x14ac:dyDescent="0.35">
      <c r="A14" s="199" t="s">
        <v>273</v>
      </c>
      <c r="B14" s="199"/>
      <c r="C14" s="199"/>
      <c r="D14" s="199"/>
      <c r="E14" s="167" t="s">
        <v>418</v>
      </c>
      <c r="F14" s="167"/>
      <c r="G14" s="167"/>
      <c r="H14" s="167"/>
      <c r="S14" s="57" t="s">
        <v>175</v>
      </c>
      <c r="T14" s="57" t="s">
        <v>182</v>
      </c>
      <c r="U14" s="57" t="s">
        <v>204</v>
      </c>
      <c r="V14" s="57" t="s">
        <v>190</v>
      </c>
      <c r="W14" s="57" t="s">
        <v>208</v>
      </c>
      <c r="X14"/>
      <c r="Y14"/>
      <c r="Z14"/>
    </row>
    <row r="15" spans="1:26" x14ac:dyDescent="0.35">
      <c r="A15" s="124" t="s">
        <v>8</v>
      </c>
      <c r="B15" s="124"/>
      <c r="C15" s="124"/>
      <c r="D15" s="124"/>
      <c r="E15" s="197" t="s">
        <v>354</v>
      </c>
      <c r="F15" s="198"/>
      <c r="G15" s="198"/>
      <c r="H15" s="198"/>
      <c r="I15" s="144" t="e">
        <f ca="1">OFFSET($D$5,1,MATCH($J13,$D$5:$H$5,0)-1,15,1)</f>
        <v>#N/A</v>
      </c>
      <c r="J15" s="145"/>
      <c r="K15" s="145"/>
      <c r="L15" s="145"/>
      <c r="M15" s="145"/>
      <c r="N15" s="145"/>
      <c r="O15" s="145"/>
      <c r="P15" s="145"/>
      <c r="S15" s="57" t="s">
        <v>176</v>
      </c>
      <c r="T15" s="57" t="s">
        <v>183</v>
      </c>
      <c r="U15" s="57" t="s">
        <v>205</v>
      </c>
      <c r="V15" s="57" t="s">
        <v>191</v>
      </c>
      <c r="W15" s="57" t="s">
        <v>221</v>
      </c>
      <c r="X15"/>
      <c r="Y15"/>
      <c r="Z15"/>
    </row>
    <row r="16" spans="1:26" ht="33.75" customHeight="1" x14ac:dyDescent="0.35">
      <c r="A16" s="137" t="s">
        <v>9</v>
      </c>
      <c r="B16" s="137"/>
      <c r="C16" s="137" t="str">
        <f>CONCATENATE((IF(OR(E9="",E9="NA"),"",E9)),", ",(IF(OR(A17="",A17="NA"),"",A17)),".",(IF(OR(C17="",C17="NA"),"",C17)),", near ",(IF(OR(C22="",C22="NA"),"",C22)),", ",(IF(OR(C19="",C19="NA"),"",C19)),", ",(IF(OR(C18="",C18="NA"),"",C18)),", ",(IF(OR(G19="",G19="NA"),"",G19)),", ",(IF(OR(C20="",C20="NA"),"",C20)),", ",(IF(OR(C21="",C21="NA"),"",C21)),", ",(IF(OR(G20="",G20="NA"),"",G20))," - ",(IF(OR(G21="",G21="NA"),"",G21)),".")</f>
        <v>Platinum The Reserve, Plot No.90, Sector 11, near Shivesh Aurum, Internal Road, Kharghar, Kharghar, Kharghar East, Panvel, Raigad - 410210.</v>
      </c>
      <c r="D16" s="137"/>
      <c r="E16" s="137"/>
      <c r="F16" s="137"/>
      <c r="G16" s="137"/>
      <c r="H16" s="137"/>
      <c r="J16" s="21" t="s">
        <v>382</v>
      </c>
      <c r="S16" s="57" t="s">
        <v>177</v>
      </c>
      <c r="T16" s="57" t="s">
        <v>185</v>
      </c>
      <c r="U16" s="57" t="s">
        <v>206</v>
      </c>
      <c r="V16" s="57" t="s">
        <v>192</v>
      </c>
      <c r="W16" s="57" t="s">
        <v>209</v>
      </c>
      <c r="X16"/>
      <c r="Y16"/>
      <c r="Z16"/>
    </row>
    <row r="17" spans="1:26" x14ac:dyDescent="0.35">
      <c r="A17" s="167" t="s">
        <v>356</v>
      </c>
      <c r="B17" s="167"/>
      <c r="C17" s="197" t="s">
        <v>384</v>
      </c>
      <c r="D17" s="197"/>
      <c r="E17" s="197"/>
      <c r="F17" s="197"/>
      <c r="G17" s="197"/>
      <c r="H17" s="197"/>
      <c r="S17" s="57" t="s">
        <v>178</v>
      </c>
      <c r="T17" s="57" t="s">
        <v>186</v>
      </c>
      <c r="U17" s="57" t="s">
        <v>168</v>
      </c>
      <c r="V17" s="57" t="s">
        <v>193</v>
      </c>
      <c r="W17" s="57" t="s">
        <v>210</v>
      </c>
      <c r="X17"/>
      <c r="Y17"/>
      <c r="Z17"/>
    </row>
    <row r="18" spans="1:26" ht="15.75" customHeight="1" x14ac:dyDescent="0.35">
      <c r="A18" s="167" t="s">
        <v>157</v>
      </c>
      <c r="B18" s="167"/>
      <c r="C18" s="197" t="s">
        <v>357</v>
      </c>
      <c r="D18" s="197"/>
      <c r="E18" s="197"/>
      <c r="F18" s="197"/>
      <c r="G18" s="197"/>
      <c r="H18" s="197"/>
      <c r="S18" s="57" t="s">
        <v>179</v>
      </c>
      <c r="T18" s="57" t="s">
        <v>184</v>
      </c>
      <c r="U18" s="57"/>
      <c r="V18" s="57" t="s">
        <v>194</v>
      </c>
      <c r="W18" s="57" t="s">
        <v>211</v>
      </c>
      <c r="X18"/>
      <c r="Y18"/>
      <c r="Z18"/>
    </row>
    <row r="19" spans="1:26" ht="15.75" customHeight="1" x14ac:dyDescent="0.35">
      <c r="A19" s="137" t="s">
        <v>10</v>
      </c>
      <c r="B19" s="137"/>
      <c r="C19" s="154" t="s">
        <v>408</v>
      </c>
      <c r="D19" s="154"/>
      <c r="E19" s="137" t="s">
        <v>69</v>
      </c>
      <c r="F19" s="137"/>
      <c r="G19" s="167" t="s">
        <v>357</v>
      </c>
      <c r="H19" s="167"/>
      <c r="S19" s="57" t="s">
        <v>180</v>
      </c>
      <c r="T19" s="57" t="s">
        <v>187</v>
      </c>
      <c r="U19" s="57"/>
      <c r="V19" s="57" t="s">
        <v>195</v>
      </c>
      <c r="W19" s="57" t="s">
        <v>212</v>
      </c>
      <c r="X19"/>
      <c r="Y19"/>
      <c r="Z19"/>
    </row>
    <row r="20" spans="1:26" x14ac:dyDescent="0.35">
      <c r="A20" s="124" t="s">
        <v>12</v>
      </c>
      <c r="B20" s="124"/>
      <c r="C20" s="167" t="s">
        <v>385</v>
      </c>
      <c r="D20" s="167"/>
      <c r="E20" s="137" t="s">
        <v>11</v>
      </c>
      <c r="F20" s="137"/>
      <c r="G20" s="200" t="s">
        <v>189</v>
      </c>
      <c r="H20" s="200"/>
      <c r="S20" s="57" t="s">
        <v>181</v>
      </c>
      <c r="T20" s="57" t="s">
        <v>188</v>
      </c>
      <c r="U20" s="57"/>
      <c r="V20" s="57" t="s">
        <v>196</v>
      </c>
      <c r="W20" s="57" t="s">
        <v>213</v>
      </c>
      <c r="X20"/>
      <c r="Y20"/>
      <c r="Z20"/>
    </row>
    <row r="21" spans="1:26" x14ac:dyDescent="0.35">
      <c r="A21" s="124" t="s">
        <v>70</v>
      </c>
      <c r="B21" s="124"/>
      <c r="C21" s="167" t="s">
        <v>191</v>
      </c>
      <c r="D21" s="167"/>
      <c r="E21" s="137" t="s">
        <v>13</v>
      </c>
      <c r="F21" s="137"/>
      <c r="G21" s="167">
        <v>410210</v>
      </c>
      <c r="H21" s="167"/>
      <c r="S21" s="57"/>
      <c r="T21" s="57"/>
      <c r="U21" s="57"/>
      <c r="V21" s="57" t="s">
        <v>197</v>
      </c>
      <c r="W21" s="57" t="s">
        <v>214</v>
      </c>
      <c r="X21"/>
      <c r="Y21"/>
      <c r="Z21"/>
    </row>
    <row r="22" spans="1:26" ht="32.25" customHeight="1" x14ac:dyDescent="0.35">
      <c r="A22" s="124" t="s">
        <v>116</v>
      </c>
      <c r="B22" s="124"/>
      <c r="C22" s="167" t="s">
        <v>409</v>
      </c>
      <c r="D22" s="167"/>
      <c r="E22" s="137" t="s">
        <v>14</v>
      </c>
      <c r="F22" s="137"/>
      <c r="G22" s="167" t="s">
        <v>386</v>
      </c>
      <c r="H22" s="167"/>
      <c r="S22" s="57"/>
      <c r="T22" s="57"/>
      <c r="U22" s="57"/>
      <c r="V22" s="57" t="s">
        <v>198</v>
      </c>
      <c r="W22" s="57" t="s">
        <v>215</v>
      </c>
      <c r="X22"/>
      <c r="Y22"/>
      <c r="Z22"/>
    </row>
    <row r="23" spans="1:26" ht="15" customHeight="1" x14ac:dyDescent="0.35">
      <c r="A23" s="137" t="s">
        <v>72</v>
      </c>
      <c r="B23" s="137"/>
      <c r="C23" s="137"/>
      <c r="D23" s="137"/>
      <c r="E23" s="154" t="s">
        <v>15</v>
      </c>
      <c r="F23" s="154"/>
      <c r="G23" s="154"/>
      <c r="H23" s="154"/>
      <c r="S23" s="57"/>
      <c r="T23" s="57"/>
      <c r="U23" s="57"/>
      <c r="V23" s="57" t="s">
        <v>199</v>
      </c>
      <c r="W23" s="57" t="s">
        <v>216</v>
      </c>
      <c r="X23"/>
      <c r="Y23"/>
      <c r="Z23"/>
    </row>
    <row r="24" spans="1:26" ht="18.75" customHeight="1" x14ac:dyDescent="0.35">
      <c r="A24" s="137"/>
      <c r="B24" s="137"/>
      <c r="C24" s="137"/>
      <c r="D24" s="137"/>
      <c r="E24" s="154"/>
      <c r="F24" s="154"/>
      <c r="G24" s="154"/>
      <c r="H24" s="154"/>
      <c r="S24" s="57"/>
      <c r="T24" s="57"/>
      <c r="U24" s="57"/>
      <c r="V24" s="57" t="s">
        <v>200</v>
      </c>
      <c r="W24" s="57" t="s">
        <v>217</v>
      </c>
      <c r="X24"/>
      <c r="Y24"/>
      <c r="Z24"/>
    </row>
    <row r="25" spans="1:26" ht="15" customHeight="1" x14ac:dyDescent="0.35">
      <c r="A25" s="137" t="s">
        <v>16</v>
      </c>
      <c r="B25" s="137"/>
      <c r="C25" s="137"/>
      <c r="D25" s="137"/>
      <c r="E25" s="167" t="s">
        <v>17</v>
      </c>
      <c r="F25" s="167"/>
      <c r="G25" s="167"/>
      <c r="H25" s="167"/>
      <c r="S25" s="57"/>
      <c r="T25" s="57"/>
      <c r="U25" s="57"/>
      <c r="V25" s="57" t="s">
        <v>201</v>
      </c>
      <c r="W25" s="57" t="s">
        <v>218</v>
      </c>
      <c r="X25"/>
      <c r="Y25"/>
      <c r="Z25"/>
    </row>
    <row r="26" spans="1:26" ht="15" customHeight="1" x14ac:dyDescent="0.35">
      <c r="A26" s="124" t="s">
        <v>18</v>
      </c>
      <c r="B26" s="124"/>
      <c r="C26" s="124"/>
      <c r="D26" s="124"/>
      <c r="E26" s="167" t="str">
        <f>IF(AND(G20="Mumbai"),"Upper Class","Middle Class")</f>
        <v>Middle Class</v>
      </c>
      <c r="F26" s="167"/>
      <c r="G26" s="167"/>
      <c r="H26" s="167"/>
      <c r="S26" s="57"/>
      <c r="T26" s="57"/>
      <c r="U26" s="57"/>
      <c r="V26" s="57" t="s">
        <v>202</v>
      </c>
      <c r="W26" s="57" t="s">
        <v>219</v>
      </c>
      <c r="X26"/>
      <c r="Y26"/>
      <c r="Z26"/>
    </row>
    <row r="27" spans="1:26" x14ac:dyDescent="0.35">
      <c r="A27" s="124" t="s">
        <v>19</v>
      </c>
      <c r="B27" s="124"/>
      <c r="C27" s="124"/>
      <c r="D27" s="124"/>
      <c r="E27" s="167" t="s">
        <v>20</v>
      </c>
      <c r="F27" s="167"/>
      <c r="G27" s="167"/>
      <c r="H27" s="167"/>
      <c r="S27" s="57"/>
      <c r="T27" s="57"/>
      <c r="U27" s="57"/>
      <c r="V27" s="57" t="s">
        <v>203</v>
      </c>
      <c r="W27" s="57" t="s">
        <v>220</v>
      </c>
      <c r="X27"/>
      <c r="Y27"/>
      <c r="Z27"/>
    </row>
    <row r="28" spans="1:26" ht="15.75" customHeight="1" x14ac:dyDescent="0.35">
      <c r="A28" s="124" t="s">
        <v>21</v>
      </c>
      <c r="B28" s="124"/>
      <c r="C28" s="124"/>
      <c r="D28" s="124"/>
      <c r="E28" s="167" t="str">
        <f>IF(AND(G20="Mumbai"),"Developed","Developing")</f>
        <v>Developing</v>
      </c>
      <c r="F28" s="167"/>
      <c r="G28" s="167"/>
      <c r="H28" s="167"/>
    </row>
    <row r="29" spans="1:26" x14ac:dyDescent="0.35">
      <c r="A29" s="124" t="s">
        <v>22</v>
      </c>
      <c r="B29" s="124"/>
      <c r="C29" s="124"/>
      <c r="D29" s="124"/>
      <c r="E29" s="167" t="s">
        <v>23</v>
      </c>
      <c r="F29" s="167"/>
      <c r="G29" s="167"/>
      <c r="H29" s="167"/>
    </row>
    <row r="30" spans="1:26" ht="15.75" customHeight="1" x14ac:dyDescent="0.35">
      <c r="A30" s="124" t="s">
        <v>77</v>
      </c>
      <c r="B30" s="124"/>
      <c r="C30" s="124"/>
      <c r="D30" s="124"/>
      <c r="E30" s="167" t="s">
        <v>78</v>
      </c>
      <c r="F30" s="167"/>
      <c r="G30" s="167"/>
      <c r="H30" s="167"/>
    </row>
    <row r="31" spans="1:26" ht="15" customHeight="1" x14ac:dyDescent="0.35">
      <c r="A31" s="124" t="s">
        <v>30</v>
      </c>
      <c r="B31" s="124"/>
      <c r="C31" s="124"/>
      <c r="D31" s="124"/>
      <c r="E31" s="16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67"/>
      <c r="G31" s="167"/>
      <c r="H31" s="167"/>
    </row>
    <row r="32" spans="1:26" ht="15.75" customHeight="1" x14ac:dyDescent="0.35">
      <c r="A32" s="124" t="s">
        <v>89</v>
      </c>
      <c r="B32" s="124"/>
      <c r="C32" s="124"/>
      <c r="D32" s="124"/>
      <c r="E32" s="167" t="s">
        <v>31</v>
      </c>
      <c r="F32" s="167"/>
      <c r="G32" s="167"/>
      <c r="H32" s="167"/>
    </row>
    <row r="33" spans="1:19" s="22" customFormat="1" x14ac:dyDescent="0.35">
      <c r="A33" s="204" t="s">
        <v>90</v>
      </c>
      <c r="B33" s="204"/>
      <c r="C33" s="147" t="s">
        <v>169</v>
      </c>
      <c r="D33" s="147"/>
      <c r="E33" s="147"/>
      <c r="F33" s="202" t="s">
        <v>29</v>
      </c>
      <c r="G33" s="202"/>
      <c r="H33" s="202"/>
      <c r="S33" s="22" t="e">
        <f ca="1">OFFSET($S$13,1,MATCH($G20,$S$13:$W$13,0)-1,15,1)</f>
        <v>#VALUE!</v>
      </c>
    </row>
    <row r="34" spans="1:19" s="22" customFormat="1" x14ac:dyDescent="0.35">
      <c r="A34" s="203" t="s">
        <v>24</v>
      </c>
      <c r="B34" s="203" t="s">
        <v>28</v>
      </c>
      <c r="C34" s="201" t="s">
        <v>378</v>
      </c>
      <c r="D34" s="201"/>
      <c r="E34" s="201"/>
      <c r="F34" s="201" t="s">
        <v>10</v>
      </c>
      <c r="G34" s="201"/>
      <c r="H34" s="201"/>
    </row>
    <row r="35" spans="1:19" s="109" customFormat="1" x14ac:dyDescent="0.35">
      <c r="A35" s="205" t="s">
        <v>25</v>
      </c>
      <c r="B35" s="205" t="s">
        <v>28</v>
      </c>
      <c r="C35" s="205" t="s">
        <v>387</v>
      </c>
      <c r="D35" s="205"/>
      <c r="E35" s="205"/>
      <c r="F35" s="206" t="s">
        <v>409</v>
      </c>
      <c r="G35" s="206"/>
      <c r="H35" s="206"/>
    </row>
    <row r="36" spans="1:19" s="22" customFormat="1" x14ac:dyDescent="0.35">
      <c r="A36" s="203" t="s">
        <v>27</v>
      </c>
      <c r="B36" s="203" t="s">
        <v>28</v>
      </c>
      <c r="C36" s="201" t="s">
        <v>379</v>
      </c>
      <c r="D36" s="201"/>
      <c r="E36" s="201"/>
      <c r="F36" s="201" t="s">
        <v>388</v>
      </c>
      <c r="G36" s="201"/>
      <c r="H36" s="201"/>
    </row>
    <row r="37" spans="1:19" x14ac:dyDescent="0.35">
      <c r="A37" s="203" t="s">
        <v>26</v>
      </c>
      <c r="B37" s="203" t="s">
        <v>28</v>
      </c>
      <c r="C37" s="201" t="s">
        <v>377</v>
      </c>
      <c r="D37" s="201"/>
      <c r="E37" s="201"/>
      <c r="F37" s="201" t="s">
        <v>10</v>
      </c>
      <c r="G37" s="201"/>
      <c r="H37" s="201"/>
    </row>
    <row r="38" spans="1:19" x14ac:dyDescent="0.35">
      <c r="A38" s="124" t="s">
        <v>274</v>
      </c>
      <c r="B38" s="124"/>
      <c r="C38" s="124"/>
      <c r="D38" s="124"/>
      <c r="E38" s="124"/>
      <c r="F38" s="124"/>
      <c r="G38" s="124"/>
      <c r="H38" s="124"/>
    </row>
    <row r="39" spans="1:19" ht="15.75" customHeight="1" x14ac:dyDescent="0.35">
      <c r="A39" s="124" t="s">
        <v>160</v>
      </c>
      <c r="B39" s="124"/>
      <c r="C39" s="190" t="s">
        <v>359</v>
      </c>
      <c r="D39" s="190"/>
      <c r="E39" s="190"/>
      <c r="F39" s="190"/>
      <c r="G39" s="190"/>
      <c r="H39" s="190"/>
    </row>
    <row r="40" spans="1:19" x14ac:dyDescent="0.35">
      <c r="A40" s="124" t="s">
        <v>156</v>
      </c>
      <c r="B40" s="124"/>
      <c r="C40" s="229" t="s">
        <v>360</v>
      </c>
      <c r="D40" s="167"/>
      <c r="E40" s="167"/>
      <c r="F40" s="167"/>
      <c r="G40" s="167"/>
      <c r="H40" s="167"/>
    </row>
    <row r="41" spans="1:19" x14ac:dyDescent="0.35">
      <c r="A41" s="190" t="s">
        <v>32</v>
      </c>
      <c r="B41" s="190"/>
      <c r="C41" s="190"/>
      <c r="D41" s="190"/>
      <c r="E41" s="190"/>
      <c r="F41" s="190"/>
      <c r="G41" s="190"/>
      <c r="H41" s="190"/>
    </row>
    <row r="42" spans="1:19" x14ac:dyDescent="0.35">
      <c r="A42" s="124" t="s">
        <v>33</v>
      </c>
      <c r="B42" s="124"/>
      <c r="C42" s="124"/>
      <c r="D42" s="124"/>
      <c r="E42" s="224">
        <v>3891.08</v>
      </c>
      <c r="F42" s="224"/>
      <c r="G42" s="224"/>
      <c r="H42" s="224"/>
    </row>
    <row r="43" spans="1:19" x14ac:dyDescent="0.35">
      <c r="A43" s="124" t="s">
        <v>34</v>
      </c>
      <c r="B43" s="124"/>
      <c r="C43" s="124"/>
      <c r="D43" s="124"/>
      <c r="E43" s="123">
        <f>5836.62/3891.08</f>
        <v>1.5</v>
      </c>
      <c r="F43" s="123"/>
      <c r="G43" s="123"/>
      <c r="H43" s="123"/>
    </row>
    <row r="44" spans="1:19" x14ac:dyDescent="0.35">
      <c r="A44" s="124" t="s">
        <v>35</v>
      </c>
      <c r="B44" s="124"/>
      <c r="C44" s="124"/>
      <c r="D44" s="124"/>
      <c r="E44" s="123">
        <f>E46/E42-E43</f>
        <v>4.1299767673756387</v>
      </c>
      <c r="F44" s="123"/>
      <c r="G44" s="123"/>
      <c r="H44" s="123"/>
    </row>
    <row r="45" spans="1:19" x14ac:dyDescent="0.35">
      <c r="A45" s="124" t="s">
        <v>36</v>
      </c>
      <c r="B45" s="124"/>
      <c r="C45" s="124"/>
      <c r="D45" s="124"/>
      <c r="E45" s="123">
        <f>E43+E44</f>
        <v>5.6299767673756387</v>
      </c>
      <c r="F45" s="123"/>
      <c r="G45" s="123"/>
      <c r="H45" s="123"/>
    </row>
    <row r="46" spans="1:19" x14ac:dyDescent="0.35">
      <c r="A46" s="124" t="s">
        <v>88</v>
      </c>
      <c r="B46" s="124"/>
      <c r="C46" s="124"/>
      <c r="D46" s="124"/>
      <c r="E46" s="212">
        <v>21906.69</v>
      </c>
      <c r="F46" s="212"/>
      <c r="G46" s="212"/>
      <c r="H46" s="212"/>
    </row>
    <row r="47" spans="1:19" x14ac:dyDescent="0.35">
      <c r="A47" s="154" t="s">
        <v>37</v>
      </c>
      <c r="B47" s="154"/>
      <c r="C47" s="154"/>
      <c r="D47" s="154"/>
      <c r="E47" s="198" t="s">
        <v>389</v>
      </c>
      <c r="F47" s="198"/>
      <c r="G47" s="198"/>
      <c r="H47" s="198"/>
    </row>
    <row r="48" spans="1:19" x14ac:dyDescent="0.35">
      <c r="A48" s="190" t="s">
        <v>38</v>
      </c>
      <c r="B48" s="190"/>
      <c r="C48" s="190"/>
      <c r="D48" s="190"/>
      <c r="E48" s="190"/>
      <c r="F48" s="190"/>
      <c r="G48" s="190"/>
      <c r="H48" s="190"/>
    </row>
    <row r="49" spans="1:24" ht="33.75" customHeight="1" x14ac:dyDescent="0.35">
      <c r="A49" s="127" t="s">
        <v>145</v>
      </c>
      <c r="B49" s="128"/>
      <c r="C49" s="217" t="s">
        <v>262</v>
      </c>
      <c r="D49" s="218"/>
      <c r="E49" s="218"/>
      <c r="F49" s="218"/>
      <c r="G49" s="218"/>
      <c r="H49" s="219"/>
      <c r="R49" t="s">
        <v>247</v>
      </c>
      <c r="S49" s="61" t="s">
        <v>168</v>
      </c>
      <c r="T49" s="61" t="s">
        <v>175</v>
      </c>
      <c r="U49" s="61" t="s">
        <v>189</v>
      </c>
      <c r="V49" s="61" t="s">
        <v>184</v>
      </c>
    </row>
    <row r="50" spans="1:24" ht="30.75" customHeight="1" x14ac:dyDescent="0.35">
      <c r="A50" s="127" t="s">
        <v>39</v>
      </c>
      <c r="B50" s="128"/>
      <c r="C50" s="127" t="s">
        <v>358</v>
      </c>
      <c r="D50" s="130"/>
      <c r="E50" s="128"/>
      <c r="F50" s="18" t="s">
        <v>40</v>
      </c>
      <c r="G50" s="161">
        <v>45587</v>
      </c>
      <c r="H50" s="162"/>
      <c r="I50" s="22" t="s">
        <v>355</v>
      </c>
      <c r="R50"/>
      <c r="S50" s="61" t="s">
        <v>248</v>
      </c>
      <c r="T50" s="61" t="s">
        <v>253</v>
      </c>
      <c r="U50" s="61" t="s">
        <v>264</v>
      </c>
      <c r="V50" s="61" t="s">
        <v>269</v>
      </c>
    </row>
    <row r="51" spans="1:24" ht="30.75" customHeight="1" x14ac:dyDescent="0.35">
      <c r="A51" s="127" t="s">
        <v>41</v>
      </c>
      <c r="B51" s="128"/>
      <c r="C51" s="127" t="str">
        <f>C50</f>
        <v>CIDCO/BP-18665/TPO(NM &amp; K)/2023/13056</v>
      </c>
      <c r="D51" s="130"/>
      <c r="E51" s="128"/>
      <c r="F51" s="18" t="s">
        <v>40</v>
      </c>
      <c r="G51" s="161">
        <f>G50</f>
        <v>45587</v>
      </c>
      <c r="H51" s="162"/>
      <c r="R51"/>
      <c r="S51" s="61" t="s">
        <v>249</v>
      </c>
      <c r="T51" s="61" t="s">
        <v>352</v>
      </c>
      <c r="U51" s="61" t="s">
        <v>262</v>
      </c>
      <c r="V51" s="61" t="s">
        <v>270</v>
      </c>
    </row>
    <row r="52" spans="1:24" s="23" customFormat="1" ht="31.5" customHeight="1" x14ac:dyDescent="0.35">
      <c r="A52" s="225" t="s">
        <v>149</v>
      </c>
      <c r="B52" s="226"/>
      <c r="C52" s="127" t="str">
        <f>C51</f>
        <v>CIDCO/BP-18665/TPO(NM &amp; K)/2023/13056</v>
      </c>
      <c r="D52" s="130"/>
      <c r="E52" s="128"/>
      <c r="F52" s="18" t="s">
        <v>40</v>
      </c>
      <c r="G52" s="161">
        <v>45587</v>
      </c>
      <c r="H52" s="162"/>
      <c r="I52" s="22" t="str">
        <f ca="1">IF(G52&gt;EDATE(E3,-48),"NO REMARK","CC REMARK FOR CC")</f>
        <v>NO REMARK</v>
      </c>
      <c r="J52" s="93"/>
      <c r="R52"/>
      <c r="S52" s="61" t="s">
        <v>250</v>
      </c>
      <c r="T52" s="61" t="s">
        <v>255</v>
      </c>
      <c r="U52" s="61" t="s">
        <v>252</v>
      </c>
      <c r="V52" s="61" t="s">
        <v>271</v>
      </c>
    </row>
    <row r="53" spans="1:24" s="23" customFormat="1" ht="51.75" customHeight="1" x14ac:dyDescent="0.35">
      <c r="A53" s="227"/>
      <c r="B53" s="228"/>
      <c r="C53" s="127" t="s">
        <v>410</v>
      </c>
      <c r="D53" s="130"/>
      <c r="E53" s="130"/>
      <c r="F53" s="130"/>
      <c r="G53" s="130"/>
      <c r="H53" s="128"/>
      <c r="R53"/>
      <c r="S53" s="61" t="s">
        <v>251</v>
      </c>
      <c r="T53" s="61" t="s">
        <v>258</v>
      </c>
      <c r="U53" s="61" t="s">
        <v>265</v>
      </c>
      <c r="V53" s="84" t="s">
        <v>344</v>
      </c>
    </row>
    <row r="54" spans="1:24" s="23" customFormat="1" hidden="1" x14ac:dyDescent="0.35">
      <c r="A54" s="157" t="s">
        <v>275</v>
      </c>
      <c r="B54" s="158"/>
      <c r="C54" s="127"/>
      <c r="D54" s="130"/>
      <c r="E54" s="128"/>
      <c r="F54" s="18" t="s">
        <v>40</v>
      </c>
      <c r="G54" s="161"/>
      <c r="H54" s="162"/>
      <c r="K54" s="94">
        <f>EDATE(G52,-48)</f>
        <v>44126</v>
      </c>
      <c r="L54" s="23" t="str">
        <f ca="1">IF(G52&gt;EDATE(E3,-48),"NO REMARK","CC REMARK FOR CC")</f>
        <v>NO REMARK</v>
      </c>
      <c r="R54"/>
      <c r="S54" s="61" t="s">
        <v>250</v>
      </c>
      <c r="T54" s="61" t="s">
        <v>255</v>
      </c>
      <c r="U54" s="61" t="s">
        <v>252</v>
      </c>
      <c r="V54" s="61" t="s">
        <v>271</v>
      </c>
    </row>
    <row r="55" spans="1:24" s="23" customFormat="1" ht="32.25" hidden="1" customHeight="1" x14ac:dyDescent="0.35">
      <c r="A55" s="159"/>
      <c r="B55" s="160"/>
      <c r="C55" s="234"/>
      <c r="D55" s="235"/>
      <c r="E55" s="235"/>
      <c r="F55" s="235"/>
      <c r="G55" s="235"/>
      <c r="H55" s="236"/>
      <c r="R55"/>
      <c r="S55" s="61" t="s">
        <v>252</v>
      </c>
      <c r="T55" s="61" t="s">
        <v>256</v>
      </c>
      <c r="U55" s="61" t="s">
        <v>266</v>
      </c>
      <c r="V55" s="85"/>
      <c r="W55" s="21"/>
      <c r="X55" s="21"/>
    </row>
    <row r="56" spans="1:24" s="23" customFormat="1" ht="34.5" customHeight="1" x14ac:dyDescent="0.35">
      <c r="A56" s="163" t="s">
        <v>276</v>
      </c>
      <c r="B56" s="164"/>
      <c r="C56" s="127" t="s">
        <v>419</v>
      </c>
      <c r="D56" s="130"/>
      <c r="E56" s="128"/>
      <c r="F56" s="18" t="s">
        <v>40</v>
      </c>
      <c r="G56" s="161">
        <v>45523</v>
      </c>
      <c r="H56" s="162"/>
      <c r="R56"/>
      <c r="S56" s="85"/>
      <c r="T56" s="61" t="s">
        <v>257</v>
      </c>
      <c r="U56" s="61" t="s">
        <v>267</v>
      </c>
      <c r="V56" s="85"/>
      <c r="W56" s="21"/>
      <c r="X56" s="21"/>
    </row>
    <row r="57" spans="1:24" s="23" customFormat="1" ht="18" customHeight="1" x14ac:dyDescent="0.35">
      <c r="A57" s="165"/>
      <c r="B57" s="166"/>
      <c r="C57" s="127" t="s">
        <v>420</v>
      </c>
      <c r="D57" s="130"/>
      <c r="E57" s="130"/>
      <c r="F57" s="130"/>
      <c r="G57" s="130"/>
      <c r="H57" s="128"/>
      <c r="R57"/>
      <c r="S57" s="85"/>
      <c r="T57" s="61" t="s">
        <v>259</v>
      </c>
      <c r="U57" s="61" t="s">
        <v>268</v>
      </c>
      <c r="V57" s="85"/>
      <c r="W57" s="21"/>
      <c r="X57" s="21"/>
    </row>
    <row r="58" spans="1:24" s="23" customFormat="1" ht="15.75" customHeight="1" x14ac:dyDescent="0.35">
      <c r="A58" s="163" t="s">
        <v>347</v>
      </c>
      <c r="B58" s="164"/>
      <c r="C58" s="127" t="s">
        <v>416</v>
      </c>
      <c r="D58" s="130"/>
      <c r="E58" s="128"/>
      <c r="F58" s="18" t="s">
        <v>40</v>
      </c>
      <c r="G58" s="161">
        <v>44851</v>
      </c>
      <c r="H58" s="162"/>
      <c r="R58"/>
      <c r="S58" s="85"/>
      <c r="T58" s="61" t="s">
        <v>260</v>
      </c>
      <c r="U58" s="85" t="s">
        <v>290</v>
      </c>
      <c r="V58" s="85"/>
      <c r="W58" s="21"/>
      <c r="X58" s="21"/>
    </row>
    <row r="59" spans="1:24" s="23" customFormat="1" ht="33.75" customHeight="1" x14ac:dyDescent="0.35">
      <c r="A59" s="165"/>
      <c r="B59" s="166"/>
      <c r="C59" s="137" t="s">
        <v>417</v>
      </c>
      <c r="D59" s="137"/>
      <c r="E59" s="137"/>
      <c r="F59" s="18" t="s">
        <v>348</v>
      </c>
      <c r="G59" s="161">
        <v>47772</v>
      </c>
      <c r="H59" s="162"/>
      <c r="I59" s="23">
        <f>72.42-7</f>
        <v>65.42</v>
      </c>
      <c r="R59"/>
      <c r="S59" s="85"/>
      <c r="T59" s="61" t="s">
        <v>261</v>
      </c>
      <c r="U59" s="85"/>
      <c r="V59" s="85"/>
      <c r="W59" s="21"/>
      <c r="X59" s="21"/>
    </row>
    <row r="60" spans="1:24" x14ac:dyDescent="0.35">
      <c r="A60" s="149" t="s">
        <v>42</v>
      </c>
      <c r="B60" s="150"/>
      <c r="C60" s="149" t="s">
        <v>100</v>
      </c>
      <c r="D60" s="151"/>
      <c r="E60" s="150"/>
      <c r="F60" s="45" t="s">
        <v>40</v>
      </c>
      <c r="G60" s="155" t="s">
        <v>28</v>
      </c>
      <c r="H60" s="156"/>
      <c r="R60"/>
      <c r="S60" s="85"/>
      <c r="T60" s="61" t="s">
        <v>263</v>
      </c>
      <c r="U60" s="85"/>
      <c r="V60" s="85"/>
    </row>
    <row r="61" spans="1:24" x14ac:dyDescent="0.35">
      <c r="A61" s="192" t="s">
        <v>44</v>
      </c>
      <c r="B61" s="192"/>
      <c r="C61" s="192"/>
      <c r="D61" s="192"/>
      <c r="E61" s="192"/>
      <c r="F61" s="192"/>
      <c r="G61" s="192"/>
      <c r="H61" s="192"/>
      <c r="S61" s="85"/>
      <c r="T61" s="61" t="s">
        <v>272</v>
      </c>
      <c r="U61" s="85"/>
      <c r="V61" s="85"/>
    </row>
    <row r="62" spans="1:24" x14ac:dyDescent="0.35">
      <c r="A62" s="137" t="s">
        <v>87</v>
      </c>
      <c r="B62" s="137"/>
      <c r="C62" s="137"/>
      <c r="D62" s="124">
        <f>E46</f>
        <v>21906.69</v>
      </c>
      <c r="E62" s="124"/>
      <c r="F62" s="124"/>
      <c r="G62" s="124"/>
      <c r="H62" s="124"/>
      <c r="R62"/>
    </row>
    <row r="63" spans="1:24" x14ac:dyDescent="0.35">
      <c r="A63" s="167" t="s">
        <v>45</v>
      </c>
      <c r="B63" s="154"/>
      <c r="C63" s="154"/>
      <c r="D63" s="154" t="s">
        <v>376</v>
      </c>
      <c r="E63" s="154"/>
      <c r="F63" s="154"/>
      <c r="G63" s="154"/>
      <c r="H63" s="154"/>
      <c r="I63" s="24"/>
      <c r="R63"/>
    </row>
    <row r="64" spans="1:24" x14ac:dyDescent="0.35">
      <c r="A64" s="214" t="s">
        <v>46</v>
      </c>
      <c r="B64" s="215"/>
      <c r="C64" s="216"/>
      <c r="D64" s="138" t="s">
        <v>390</v>
      </c>
      <c r="E64" s="213"/>
      <c r="F64" s="213"/>
      <c r="G64" s="213"/>
      <c r="H64" s="213"/>
      <c r="R64"/>
    </row>
    <row r="65" spans="1:19" x14ac:dyDescent="0.35">
      <c r="A65" s="214" t="s">
        <v>85</v>
      </c>
      <c r="B65" s="215"/>
      <c r="C65" s="215"/>
      <c r="D65" s="154" t="s">
        <v>390</v>
      </c>
      <c r="E65" s="154"/>
      <c r="F65" s="154"/>
      <c r="G65" s="154"/>
      <c r="H65" s="154"/>
      <c r="R65"/>
    </row>
    <row r="66" spans="1:19" hidden="1" x14ac:dyDescent="0.35">
      <c r="A66" s="220"/>
      <c r="B66" s="221"/>
      <c r="C66" s="221"/>
      <c r="D66" s="129" t="s">
        <v>291</v>
      </c>
      <c r="E66" s="129"/>
      <c r="F66" s="129"/>
      <c r="G66" s="129"/>
      <c r="H66" s="129"/>
      <c r="R66"/>
    </row>
    <row r="67" spans="1:19" hidden="1" x14ac:dyDescent="0.35">
      <c r="A67" s="222"/>
      <c r="B67" s="223"/>
      <c r="C67" s="223"/>
      <c r="D67" s="129" t="s">
        <v>164</v>
      </c>
      <c r="E67" s="129"/>
      <c r="F67" s="129"/>
      <c r="G67" s="129"/>
      <c r="H67" s="129"/>
      <c r="S67"/>
    </row>
    <row r="68" spans="1:19" ht="15.75" customHeight="1" x14ac:dyDescent="0.35">
      <c r="A68" s="124" t="s">
        <v>43</v>
      </c>
      <c r="B68" s="124"/>
      <c r="C68" s="124"/>
      <c r="D68" s="167" t="s">
        <v>362</v>
      </c>
      <c r="E68" s="167"/>
      <c r="F68" s="167"/>
      <c r="G68" s="167"/>
      <c r="H68" s="167"/>
      <c r="J68" s="25"/>
      <c r="K68" s="24"/>
      <c r="N68" s="24"/>
      <c r="S68"/>
    </row>
    <row r="69" spans="1:19" ht="15.75" customHeight="1" x14ac:dyDescent="0.35">
      <c r="A69" s="124" t="s">
        <v>83</v>
      </c>
      <c r="B69" s="124"/>
      <c r="C69" s="124"/>
      <c r="D69" s="211" t="str">
        <f>(IF(G60="NA","60 Years After Completion",IF(G60&lt;&gt;"NA",""&amp;60-ROUNDDOWN((E3-G60)/360,0)&amp;" Years"," ")))</f>
        <v>60 Years After Completion</v>
      </c>
      <c r="E69" s="211"/>
      <c r="F69" s="211"/>
      <c r="G69" s="211"/>
      <c r="H69" s="211"/>
      <c r="N69" s="24"/>
      <c r="S69"/>
    </row>
    <row r="70" spans="1:19" ht="15.75" customHeight="1" x14ac:dyDescent="0.35">
      <c r="A70" s="124" t="s">
        <v>84</v>
      </c>
      <c r="B70" s="124"/>
      <c r="C70" s="124"/>
      <c r="D70" s="137" t="s">
        <v>23</v>
      </c>
      <c r="E70" s="137"/>
      <c r="F70" s="137"/>
      <c r="G70" s="137"/>
      <c r="H70" s="137"/>
      <c r="J70" s="26"/>
      <c r="K70" s="26"/>
      <c r="S70"/>
    </row>
    <row r="71" spans="1:19" ht="33.75" customHeight="1" x14ac:dyDescent="0.35">
      <c r="A71" s="154" t="s">
        <v>397</v>
      </c>
      <c r="B71" s="154"/>
      <c r="C71" s="154"/>
      <c r="D71" s="197" t="s">
        <v>414</v>
      </c>
      <c r="E71" s="208"/>
      <c r="F71" s="208"/>
      <c r="G71" s="208"/>
      <c r="H71" s="208"/>
      <c r="S71"/>
    </row>
    <row r="72" spans="1:19" x14ac:dyDescent="0.35">
      <c r="A72" s="137" t="s">
        <v>142</v>
      </c>
      <c r="B72" s="137"/>
      <c r="C72" s="137"/>
      <c r="D72" s="137" t="s">
        <v>28</v>
      </c>
      <c r="E72" s="137"/>
      <c r="F72" s="137"/>
      <c r="G72" s="137"/>
      <c r="H72" s="137"/>
      <c r="I72" s="27"/>
      <c r="J72" s="27"/>
      <c r="K72" s="27"/>
      <c r="L72" s="27"/>
      <c r="M72" s="27"/>
      <c r="N72" s="27"/>
    </row>
    <row r="73" spans="1:19" ht="15.75" customHeight="1" x14ac:dyDescent="0.35">
      <c r="A73" s="210" t="s">
        <v>82</v>
      </c>
      <c r="B73" s="210"/>
      <c r="C73" s="210"/>
      <c r="D73" s="138" t="str">
        <f ca="1">(IF(G79&gt;95%,"Nothing",IF(G79&gt;0%,"Cement, Aggregate, Steel, etc",IF(G79=0%,"Work not yet Started"))))</f>
        <v>Cement, Aggregate, Steel, etc</v>
      </c>
      <c r="E73" s="138"/>
      <c r="F73" s="138"/>
      <c r="G73" s="138"/>
      <c r="H73" s="138"/>
      <c r="J73" s="26"/>
      <c r="S73"/>
    </row>
    <row r="74" spans="1:19" ht="33.75" customHeight="1" thickBot="1" x14ac:dyDescent="0.4">
      <c r="A74" s="209" t="s">
        <v>113</v>
      </c>
      <c r="B74" s="209"/>
      <c r="C74" s="209"/>
      <c r="D74" s="138" t="str">
        <f ca="1">(IF(D73="Nothing","Yes",IF(D73="Cement, Aggregate, Steel, etc","Under Construction",IF(D73="Work not yet Started","Work not yet Started"))))</f>
        <v>Under Construction</v>
      </c>
      <c r="E74" s="138"/>
      <c r="F74" s="138" t="str">
        <f ca="1">(IF(D73="Nothing","Yes",IF(D73="Cement, Aggregate, Steel, etc","Under Construction",IF(D73="Work not yet Started","Work not yet Started"))))</f>
        <v>Under Construction</v>
      </c>
      <c r="G74" s="138"/>
      <c r="H74" s="138"/>
      <c r="S74"/>
    </row>
    <row r="75" spans="1:19" ht="15.75" customHeight="1" x14ac:dyDescent="0.35">
      <c r="A75" s="255" t="s">
        <v>134</v>
      </c>
      <c r="B75" s="256"/>
      <c r="C75" s="239" t="str">
        <f>D65</f>
        <v>A &amp; B Wing = 3B + G + 1st to 18th Floor</v>
      </c>
      <c r="D75" s="240"/>
      <c r="E75" s="240"/>
      <c r="F75" s="240"/>
      <c r="G75" s="240"/>
      <c r="H75" s="241"/>
      <c r="I75" s="49" t="str">
        <f ca="1">IF(D88=100%,"All work Completed. Possession granted to the Building.",IF(D87=100%,"All work Completed, Waiting for OC",I76&amp;""&amp;I77&amp;""&amp;J76&amp;""&amp;J75&amp;" "&amp;J77))</f>
        <v xml:space="preserve">Excavation, Plinth Completed </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35">
      <c r="A76" s="16" t="s">
        <v>136</v>
      </c>
      <c r="B76" s="53">
        <f>IF(AND(ISNUMBER(SEARCH("1B",C75))),1,IF(AND(ISNUMBER(SEARCH("2B",C75))),2,IF(AND(ISNUMBER(SEARCH("3B",C75))),3,IF(AND(ISNUMBER(SEARCH("4B",C75))),4,IF(ISNUMBER(SEARCH("5B",C75)),5,0)))))</f>
        <v>3</v>
      </c>
      <c r="C76" s="47" t="s">
        <v>68</v>
      </c>
      <c r="D76" s="47">
        <v>1</v>
      </c>
      <c r="E76" s="47" t="s">
        <v>67</v>
      </c>
      <c r="F76" s="54">
        <v>0</v>
      </c>
      <c r="G76" s="48" t="s">
        <v>76</v>
      </c>
      <c r="H76" s="17">
        <f ca="1">--TRIM(RIGHT(SUBSTITUTE(LEFT(C75,_xlfn.AGGREGATE(16,6,FIND({0,1,2,3,4,5,6,7,8,9},C75,ROW(INDIRECT("1:"&amp;LEN(C75)))),1))," ",REPT(" ",LEN(C75))),LEN(C75)))</f>
        <v>18</v>
      </c>
      <c r="I76" s="51"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5">
      <c r="A77" s="249" t="s">
        <v>86</v>
      </c>
      <c r="B77" s="195"/>
      <c r="C77" s="194" t="str">
        <f ca="1">I75</f>
        <v xml:space="preserve">Excavation, Plinth Completed </v>
      </c>
      <c r="D77" s="194"/>
      <c r="E77" s="194"/>
      <c r="F77" s="194"/>
      <c r="G77" s="194"/>
      <c r="H77" s="207"/>
      <c r="I77" s="51" t="str">
        <f ca="1">IF(I76&lt;&gt;""," Completed","")</f>
        <v xml:space="preserve"> Completed</v>
      </c>
      <c r="J77" s="52" t="str">
        <f ca="1">IF(J75&lt;&gt;"","Completed","")</f>
        <v/>
      </c>
      <c r="S77"/>
    </row>
    <row r="78" spans="1:19" ht="15.75" customHeight="1" x14ac:dyDescent="0.35">
      <c r="A78" s="125" t="s">
        <v>47</v>
      </c>
      <c r="B78" s="126"/>
      <c r="C78" s="43" t="s">
        <v>133</v>
      </c>
      <c r="D78" s="43" t="s">
        <v>79</v>
      </c>
      <c r="E78" s="126" t="s">
        <v>81</v>
      </c>
      <c r="F78" s="126"/>
      <c r="G78" s="126" t="s">
        <v>80</v>
      </c>
      <c r="H78" s="139"/>
      <c r="I78" s="13" t="s">
        <v>135</v>
      </c>
      <c r="J78" s="28">
        <f ca="1">H76*25%</f>
        <v>4.5</v>
      </c>
      <c r="S78"/>
    </row>
    <row r="79" spans="1:19" x14ac:dyDescent="0.35">
      <c r="A79" s="125" t="s">
        <v>122</v>
      </c>
      <c r="B79" s="126"/>
      <c r="C79" s="104">
        <f ca="1">J80</f>
        <v>18</v>
      </c>
      <c r="D79" s="19">
        <f ca="1">((100/H76)*C79)/100</f>
        <v>1</v>
      </c>
      <c r="E79" s="243">
        <f ca="1">(((C80/H76*10)+(40/(D76+F76+H76)*C81)+(7.5/(H76)*C82)+(7.5/(H76)*C83)+(10/H76*C84)+(10/H76*C85)+(5/H76*C86)+(5/H76*C87)+(5/H76*C88))/100)</f>
        <v>0.1</v>
      </c>
      <c r="F79" s="244"/>
      <c r="G79" s="243">
        <f ca="1">((((C79/H76)*20)+((C80/H76)*25)+(30/(H76+F76+D76)*C81)+(5/H76*C82)+(5/H76*C83)+(5/H76*C84)+(5/H76*C85)+(0/H76*C86)+(0/H76*C87)+(5/H76*C88))/100)</f>
        <v>0.45</v>
      </c>
      <c r="H79" s="250"/>
      <c r="I79" s="13" t="s">
        <v>95</v>
      </c>
      <c r="J79" s="29">
        <f ca="1">H76*50%</f>
        <v>9</v>
      </c>
    </row>
    <row r="80" spans="1:19" x14ac:dyDescent="0.35">
      <c r="A80" s="125" t="s">
        <v>48</v>
      </c>
      <c r="B80" s="126"/>
      <c r="C80" s="103">
        <f ca="1">J88</f>
        <v>18</v>
      </c>
      <c r="D80" s="19">
        <f ca="1">((100/H76)*C80)/100</f>
        <v>1</v>
      </c>
      <c r="E80" s="245"/>
      <c r="F80" s="246"/>
      <c r="G80" s="245"/>
      <c r="H80" s="251"/>
      <c r="I80" s="13" t="s">
        <v>96</v>
      </c>
      <c r="J80" s="29">
        <f ca="1">H76</f>
        <v>18</v>
      </c>
      <c r="S80"/>
    </row>
    <row r="81" spans="1:19" ht="15.75" customHeight="1" x14ac:dyDescent="0.35">
      <c r="A81" s="125" t="s">
        <v>123</v>
      </c>
      <c r="B81" s="126"/>
      <c r="C81" s="43">
        <v>0</v>
      </c>
      <c r="D81" s="19">
        <f ca="1">((100/(D76+F76+H76))*C81)/100</f>
        <v>0</v>
      </c>
      <c r="E81" s="245"/>
      <c r="F81" s="246"/>
      <c r="G81" s="245"/>
      <c r="H81" s="251"/>
      <c r="I81" s="13" t="s">
        <v>97</v>
      </c>
      <c r="J81" s="30">
        <f ca="1">(IF(B76&gt;1,(H76/(B76+2)),H76/4))</f>
        <v>3.6</v>
      </c>
      <c r="S81"/>
    </row>
    <row r="82" spans="1:19" ht="15.75" customHeight="1" x14ac:dyDescent="0.35">
      <c r="A82" s="125" t="s">
        <v>130</v>
      </c>
      <c r="B82" s="126" t="s">
        <v>124</v>
      </c>
      <c r="C82" s="43">
        <v>0</v>
      </c>
      <c r="D82" s="19">
        <f ca="1">((100/H76)*C82)/100</f>
        <v>0</v>
      </c>
      <c r="E82" s="245"/>
      <c r="F82" s="246"/>
      <c r="G82" s="245"/>
      <c r="H82" s="251"/>
      <c r="I82" s="13" t="s">
        <v>98</v>
      </c>
      <c r="J82" s="30">
        <f ca="1">(IF(B76&gt;1,(H76/(B76+2)+J81),H76/4+J81))</f>
        <v>7.2</v>
      </c>
    </row>
    <row r="83" spans="1:19" ht="15.75" customHeight="1" x14ac:dyDescent="0.35">
      <c r="A83" s="125" t="s">
        <v>131</v>
      </c>
      <c r="B83" s="126" t="s">
        <v>124</v>
      </c>
      <c r="C83" s="43">
        <v>0</v>
      </c>
      <c r="D83" s="19">
        <f ca="1">((100/H76)*C83)/100</f>
        <v>0</v>
      </c>
      <c r="E83" s="245"/>
      <c r="F83" s="246"/>
      <c r="G83" s="245"/>
      <c r="H83" s="251"/>
      <c r="I83" s="13" t="s">
        <v>140</v>
      </c>
      <c r="J83" s="30">
        <f ca="1">(IF(B76&gt;1,(H76/(B76+2)+J82),0))</f>
        <v>10.8</v>
      </c>
    </row>
    <row r="84" spans="1:19" ht="15" customHeight="1" x14ac:dyDescent="0.35">
      <c r="A84" s="125" t="s">
        <v>129</v>
      </c>
      <c r="B84" s="126" t="s">
        <v>126</v>
      </c>
      <c r="C84" s="65">
        <v>0</v>
      </c>
      <c r="D84" s="19">
        <f ca="1">((100/(H76))*C84)/100</f>
        <v>0</v>
      </c>
      <c r="E84" s="245"/>
      <c r="F84" s="246"/>
      <c r="G84" s="245"/>
      <c r="H84" s="251"/>
      <c r="I84" s="13" t="s">
        <v>137</v>
      </c>
      <c r="J84" s="30">
        <f ca="1">(IF(B76&gt;2,(H76/(B76+2)+J83),0))</f>
        <v>14.4</v>
      </c>
    </row>
    <row r="85" spans="1:19" ht="15.75" customHeight="1" x14ac:dyDescent="0.35">
      <c r="A85" s="125" t="s">
        <v>125</v>
      </c>
      <c r="B85" s="126" t="s">
        <v>125</v>
      </c>
      <c r="C85" s="43">
        <v>0</v>
      </c>
      <c r="D85" s="19">
        <f ca="1">((100/H76)*C85)/100</f>
        <v>0</v>
      </c>
      <c r="E85" s="245"/>
      <c r="F85" s="246"/>
      <c r="G85" s="245"/>
      <c r="H85" s="251"/>
      <c r="I85" s="13" t="s">
        <v>138</v>
      </c>
      <c r="J85" s="31">
        <f>(IF(B76&gt;3,(H76/(B76+2)+J84),0))</f>
        <v>0</v>
      </c>
    </row>
    <row r="86" spans="1:19" ht="15.75" customHeight="1" x14ac:dyDescent="0.35">
      <c r="A86" s="125" t="s">
        <v>132</v>
      </c>
      <c r="B86" s="126"/>
      <c r="C86" s="43">
        <v>0</v>
      </c>
      <c r="D86" s="19">
        <f ca="1">((100/H76)*C86)/100</f>
        <v>0</v>
      </c>
      <c r="E86" s="245"/>
      <c r="F86" s="246"/>
      <c r="G86" s="245"/>
      <c r="H86" s="251"/>
      <c r="I86" s="13" t="s">
        <v>139</v>
      </c>
      <c r="J86" s="30">
        <f>(IF(B76&gt;4,(H76/(B76+2)+J85),0))</f>
        <v>0</v>
      </c>
    </row>
    <row r="87" spans="1:19" ht="15.75" customHeight="1" x14ac:dyDescent="0.35">
      <c r="A87" s="125" t="s">
        <v>127</v>
      </c>
      <c r="B87" s="126" t="s">
        <v>127</v>
      </c>
      <c r="C87" s="43">
        <v>0</v>
      </c>
      <c r="D87" s="19">
        <f ca="1">((100/(H76))*C87)/100</f>
        <v>0</v>
      </c>
      <c r="E87" s="245"/>
      <c r="F87" s="246"/>
      <c r="G87" s="245"/>
      <c r="H87" s="251"/>
      <c r="I87" s="13" t="s">
        <v>141</v>
      </c>
      <c r="J87" s="30">
        <f>(IF(B76=1,(H76/(B76+3)+J82),IF(B76=0,(H76/4+J82),IF(B76&gt;1,0))))</f>
        <v>0</v>
      </c>
    </row>
    <row r="88" spans="1:19" ht="16" thickBot="1" x14ac:dyDescent="0.4">
      <c r="A88" s="140" t="s">
        <v>128</v>
      </c>
      <c r="B88" s="141"/>
      <c r="C88" s="44">
        <v>0</v>
      </c>
      <c r="D88" s="20">
        <f ca="1">((100/(H76))*C88)/100</f>
        <v>0</v>
      </c>
      <c r="E88" s="247"/>
      <c r="F88" s="248"/>
      <c r="G88" s="247"/>
      <c r="H88" s="252"/>
      <c r="I88" s="15" t="s">
        <v>99</v>
      </c>
      <c r="J88" s="32">
        <f ca="1">(IF(B76&gt;1.5,(H76/(B76+2)+J82+MAX(0,J83-J82)+MAX(0,J84-J83)+MAX(0,J85-J84)+MAX(0,J86-J85)+MAX(0,J87-J86)),IF(B76=1,(H76/(B76+3)+J87),IF(B76=0,H76/4+J87))))</f>
        <v>18</v>
      </c>
    </row>
    <row r="89" spans="1:19" ht="15.75" hidden="1" customHeight="1" x14ac:dyDescent="0.35">
      <c r="A89" s="237" t="s">
        <v>134</v>
      </c>
      <c r="B89" s="238"/>
      <c r="C89" s="239" t="str">
        <f>D66</f>
        <v>B Wing = 1B + G + 1st to 19th Floor</v>
      </c>
      <c r="D89" s="240"/>
      <c r="E89" s="240"/>
      <c r="F89" s="240"/>
      <c r="G89" s="240"/>
      <c r="H89" s="241"/>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35">
      <c r="A90" s="16" t="s">
        <v>136</v>
      </c>
      <c r="B90" s="54">
        <f>IF(AND(ISNUMBER(SEARCH("1B",C89))),1,IF(AND(ISNUMBER(SEARCH("2B",C89))),2,IF(AND(ISNUMBER(SEARCH("3B",C89))),3,IF(AND(ISNUMBER(SEARCH("4B",C89))),4,IF(ISNUMBER(SEARCH("5B",C89)),5,0)))))</f>
        <v>1</v>
      </c>
      <c r="C90" s="54" t="s">
        <v>68</v>
      </c>
      <c r="D90" s="54">
        <v>1</v>
      </c>
      <c r="E90" s="54" t="s">
        <v>67</v>
      </c>
      <c r="F90" s="14">
        <v>0</v>
      </c>
      <c r="G90" s="48" t="s">
        <v>76</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35">
      <c r="A91" s="249" t="s">
        <v>86</v>
      </c>
      <c r="B91" s="195"/>
      <c r="C91" s="194" t="str">
        <f ca="1">I89</f>
        <v xml:space="preserve">Excavation, Plinth Completed </v>
      </c>
      <c r="D91" s="194"/>
      <c r="E91" s="194"/>
      <c r="F91" s="194"/>
      <c r="G91" s="194"/>
      <c r="H91" s="207"/>
      <c r="I91" s="51" t="str">
        <f ca="1">IF(I90&lt;&gt;""," Completed","")</f>
        <v xml:space="preserve"> Completed</v>
      </c>
      <c r="J91" s="52" t="str">
        <f ca="1">IF(J89&lt;&gt;"","Completed","")</f>
        <v/>
      </c>
      <c r="S91"/>
    </row>
    <row r="92" spans="1:19" ht="15.75" hidden="1" customHeight="1" x14ac:dyDescent="0.35">
      <c r="A92" s="125" t="s">
        <v>47</v>
      </c>
      <c r="B92" s="126"/>
      <c r="C92" s="87" t="s">
        <v>133</v>
      </c>
      <c r="D92" s="87" t="s">
        <v>79</v>
      </c>
      <c r="E92" s="126" t="s">
        <v>81</v>
      </c>
      <c r="F92" s="126"/>
      <c r="G92" s="126" t="s">
        <v>80</v>
      </c>
      <c r="H92" s="139"/>
      <c r="I92" s="13" t="s">
        <v>135</v>
      </c>
      <c r="J92" s="28">
        <f ca="1">H90*25%</f>
        <v>4.75</v>
      </c>
      <c r="S92"/>
    </row>
    <row r="93" spans="1:19" hidden="1" x14ac:dyDescent="0.35">
      <c r="A93" s="125" t="s">
        <v>122</v>
      </c>
      <c r="B93" s="126"/>
      <c r="C93" s="66">
        <f ca="1">J94</f>
        <v>19</v>
      </c>
      <c r="D93" s="19">
        <f ca="1">((100/H90)*C93)/100</f>
        <v>1</v>
      </c>
      <c r="E93" s="243">
        <f ca="1">(((C94/H90*10)+(40/(D90+F90+H90)*C95)+(7.5/(H90)*C96)+(7.5/(H90)*C97)+(10/H90*C98)+(10/H90*C99)+(5/H90*C100)+(5/H90*C101)+(5/H90*C102))/100)</f>
        <v>0.1</v>
      </c>
      <c r="F93" s="244"/>
      <c r="G93" s="243">
        <f ca="1">((((C93/H90)*20)+((C94/H90)*25)+(30/(H90+F90+D90)*C95)+(5/H90*C96)+(5/H90*C97)+(5/H90*C98)+(5/H90*C99)+(0/H90*C100)+(0/H90*C101)+(5/H90*C102))/100)</f>
        <v>0.45</v>
      </c>
      <c r="H93" s="250"/>
      <c r="I93" s="13" t="s">
        <v>95</v>
      </c>
      <c r="J93" s="29">
        <f ca="1">H90*50%</f>
        <v>9.5</v>
      </c>
    </row>
    <row r="94" spans="1:19" hidden="1" x14ac:dyDescent="0.35">
      <c r="A94" s="125" t="s">
        <v>48</v>
      </c>
      <c r="B94" s="126"/>
      <c r="C94" s="87">
        <f ca="1">J102</f>
        <v>19</v>
      </c>
      <c r="D94" s="19">
        <f ca="1">((100/H90)*C94)/100</f>
        <v>1</v>
      </c>
      <c r="E94" s="245"/>
      <c r="F94" s="246"/>
      <c r="G94" s="245"/>
      <c r="H94" s="251"/>
      <c r="I94" s="13" t="s">
        <v>96</v>
      </c>
      <c r="J94" s="29">
        <f ca="1">H90</f>
        <v>19</v>
      </c>
      <c r="S94"/>
    </row>
    <row r="95" spans="1:19" ht="15.75" hidden="1" customHeight="1" x14ac:dyDescent="0.35">
      <c r="A95" s="125" t="s">
        <v>123</v>
      </c>
      <c r="B95" s="126"/>
      <c r="C95" s="87">
        <v>0</v>
      </c>
      <c r="D95" s="19">
        <f ca="1">((100/(D90+F90+H90))*C95)/100</f>
        <v>0</v>
      </c>
      <c r="E95" s="245"/>
      <c r="F95" s="246"/>
      <c r="G95" s="245"/>
      <c r="H95" s="251"/>
      <c r="I95" s="13" t="s">
        <v>97</v>
      </c>
      <c r="J95" s="30">
        <f ca="1">(IF(B90&gt;1,(H90/(B90+2)),H90/4))</f>
        <v>4.75</v>
      </c>
      <c r="S95"/>
    </row>
    <row r="96" spans="1:19" ht="15.75" hidden="1" customHeight="1" x14ac:dyDescent="0.35">
      <c r="A96" s="125" t="s">
        <v>130</v>
      </c>
      <c r="B96" s="126" t="s">
        <v>124</v>
      </c>
      <c r="C96" s="87">
        <v>0</v>
      </c>
      <c r="D96" s="19">
        <f ca="1">((100/H90)*C96)/100</f>
        <v>0</v>
      </c>
      <c r="E96" s="245"/>
      <c r="F96" s="246"/>
      <c r="G96" s="245"/>
      <c r="H96" s="251"/>
      <c r="I96" s="13" t="s">
        <v>98</v>
      </c>
      <c r="J96" s="30">
        <f ca="1">(IF(B90&gt;1,(H90/(B90+2)+J95),H90/4+J95))</f>
        <v>9.5</v>
      </c>
    </row>
    <row r="97" spans="1:19" ht="15.75" hidden="1" customHeight="1" x14ac:dyDescent="0.35">
      <c r="A97" s="125" t="s">
        <v>131</v>
      </c>
      <c r="B97" s="126" t="s">
        <v>124</v>
      </c>
      <c r="C97" s="87">
        <v>0</v>
      </c>
      <c r="D97" s="19">
        <f ca="1">((100/H90)*C97)/100</f>
        <v>0</v>
      </c>
      <c r="E97" s="245"/>
      <c r="F97" s="246"/>
      <c r="G97" s="245"/>
      <c r="H97" s="251"/>
      <c r="I97" s="13" t="s">
        <v>140</v>
      </c>
      <c r="J97" s="30">
        <f>(IF(B90&gt;1,(H90/(B90+2)+J96),0))</f>
        <v>0</v>
      </c>
    </row>
    <row r="98" spans="1:19" ht="15" hidden="1" customHeight="1" x14ac:dyDescent="0.35">
      <c r="A98" s="125" t="s">
        <v>129</v>
      </c>
      <c r="B98" s="126" t="s">
        <v>126</v>
      </c>
      <c r="C98" s="87">
        <v>0</v>
      </c>
      <c r="D98" s="19">
        <f ca="1">((100/(H90))*C98)/100</f>
        <v>0</v>
      </c>
      <c r="E98" s="245"/>
      <c r="F98" s="246"/>
      <c r="G98" s="245"/>
      <c r="H98" s="251"/>
      <c r="I98" s="13" t="s">
        <v>137</v>
      </c>
      <c r="J98" s="30">
        <f>(IF(B90&gt;2,(H90/(B90+2)+J97),0))</f>
        <v>0</v>
      </c>
    </row>
    <row r="99" spans="1:19" ht="15.75" hidden="1" customHeight="1" x14ac:dyDescent="0.35">
      <c r="A99" s="125" t="s">
        <v>125</v>
      </c>
      <c r="B99" s="126" t="s">
        <v>125</v>
      </c>
      <c r="C99" s="87">
        <v>0</v>
      </c>
      <c r="D99" s="19">
        <f ca="1">((100/H90)*C99)/100</f>
        <v>0</v>
      </c>
      <c r="E99" s="245"/>
      <c r="F99" s="246"/>
      <c r="G99" s="245"/>
      <c r="H99" s="251"/>
      <c r="I99" s="13" t="s">
        <v>138</v>
      </c>
      <c r="J99" s="31">
        <f>(IF(B90&gt;3,(H90/(B90+2)+J98),0))</f>
        <v>0</v>
      </c>
    </row>
    <row r="100" spans="1:19" ht="15.75" hidden="1" customHeight="1" x14ac:dyDescent="0.35">
      <c r="A100" s="125" t="s">
        <v>132</v>
      </c>
      <c r="B100" s="126"/>
      <c r="C100" s="87">
        <v>0</v>
      </c>
      <c r="D100" s="19">
        <f ca="1">((100/H90)*C100)/100</f>
        <v>0</v>
      </c>
      <c r="E100" s="245"/>
      <c r="F100" s="246"/>
      <c r="G100" s="245"/>
      <c r="H100" s="251"/>
      <c r="I100" s="13" t="s">
        <v>139</v>
      </c>
      <c r="J100" s="30">
        <f>(IF(B90&gt;4,(H90/(B90+2)+J99),0))</f>
        <v>0</v>
      </c>
    </row>
    <row r="101" spans="1:19" ht="15.75" hidden="1" customHeight="1" x14ac:dyDescent="0.35">
      <c r="A101" s="125" t="s">
        <v>127</v>
      </c>
      <c r="B101" s="126" t="s">
        <v>127</v>
      </c>
      <c r="C101" s="87">
        <v>0</v>
      </c>
      <c r="D101" s="19">
        <f ca="1">((100/(H90))*C101)/100</f>
        <v>0</v>
      </c>
      <c r="E101" s="245"/>
      <c r="F101" s="246"/>
      <c r="G101" s="245"/>
      <c r="H101" s="251"/>
      <c r="I101" s="13" t="s">
        <v>141</v>
      </c>
      <c r="J101" s="30">
        <f ca="1">(IF(B90=1,(H90/(B90+3)+J96),IF(B90=0,(H90/4+J96),IF(B90&gt;1,0))))</f>
        <v>14.25</v>
      </c>
    </row>
    <row r="102" spans="1:19" ht="16" hidden="1" thickBot="1" x14ac:dyDescent="0.4">
      <c r="A102" s="140" t="s">
        <v>128</v>
      </c>
      <c r="B102" s="141"/>
      <c r="C102" s="86">
        <v>0</v>
      </c>
      <c r="D102" s="20">
        <f ca="1">((100/(H90))*C102)/100</f>
        <v>0</v>
      </c>
      <c r="E102" s="247"/>
      <c r="F102" s="248"/>
      <c r="G102" s="247"/>
      <c r="H102" s="252"/>
      <c r="I102" s="15" t="s">
        <v>99</v>
      </c>
      <c r="J102" s="32">
        <f ca="1">(IF(B90&gt;1.5,(H90/(B90+2)+J96+MAX(0,J97-J96)+MAX(0,J98-J97)+MAX(0,J99-J98)+MAX(0,J100-J99)+MAX(0,J101-J100)),IF(B90=1,(H90/(B90+3)+J101),IF(B90=0,H90/4+J101))))</f>
        <v>19</v>
      </c>
    </row>
    <row r="103" spans="1:19" ht="15.75" hidden="1" customHeight="1" x14ac:dyDescent="0.35">
      <c r="A103" s="237" t="s">
        <v>134</v>
      </c>
      <c r="B103" s="238"/>
      <c r="C103" s="239" t="str">
        <f>D67</f>
        <v>C Wing = 1B + G + 1st to 20th Floor</v>
      </c>
      <c r="D103" s="240"/>
      <c r="E103" s="240"/>
      <c r="F103" s="240"/>
      <c r="G103" s="240"/>
      <c r="H103" s="241"/>
      <c r="I103" s="49" t="str">
        <f ca="1">IF(D116=100%,"All work Completed. Possession granted to the Building.",IF(D115=100%,"All work Completed, Waiting for OC",I104&amp;""&amp;I105&amp;""&amp;J104&amp;""&amp;J103&amp;" "&amp;J105))</f>
        <v xml:space="preserve">Excavation, Plinth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35">
      <c r="A104" s="16" t="s">
        <v>136</v>
      </c>
      <c r="B104" s="54">
        <f>IF(AND(ISNUMBER(SEARCH("1B",C103))),1,IF(AND(ISNUMBER(SEARCH("2B",C103))),2,IF(AND(ISNUMBER(SEARCH("3B",C103))),3,IF(AND(ISNUMBER(SEARCH("4B",C103))),4,IF(ISNUMBER(SEARCH("5B",C103)),5,0)))))</f>
        <v>1</v>
      </c>
      <c r="C104" s="54" t="s">
        <v>68</v>
      </c>
      <c r="D104" s="54">
        <v>1</v>
      </c>
      <c r="E104" s="54" t="s">
        <v>67</v>
      </c>
      <c r="F104" s="14">
        <v>0</v>
      </c>
      <c r="G104" s="48" t="s">
        <v>76</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idden="1" x14ac:dyDescent="0.35">
      <c r="A105" s="249" t="s">
        <v>86</v>
      </c>
      <c r="B105" s="195"/>
      <c r="C105" s="194" t="str">
        <f ca="1">I103</f>
        <v xml:space="preserve">Excavation, Plinth Completed </v>
      </c>
      <c r="D105" s="194"/>
      <c r="E105" s="194"/>
      <c r="F105" s="194"/>
      <c r="G105" s="194"/>
      <c r="H105" s="207"/>
      <c r="I105" s="51" t="str">
        <f ca="1">IF(I104&lt;&gt;""," Completed","")</f>
        <v xml:space="preserve"> Completed</v>
      </c>
      <c r="J105" s="52" t="str">
        <f ca="1">IF(J103&lt;&gt;"","Completed","")</f>
        <v/>
      </c>
      <c r="S105"/>
    </row>
    <row r="106" spans="1:19" ht="15.75" hidden="1" customHeight="1" x14ac:dyDescent="0.35">
      <c r="A106" s="125" t="s">
        <v>47</v>
      </c>
      <c r="B106" s="126"/>
      <c r="C106" s="87" t="s">
        <v>133</v>
      </c>
      <c r="D106" s="87" t="s">
        <v>79</v>
      </c>
      <c r="E106" s="126" t="s">
        <v>81</v>
      </c>
      <c r="F106" s="126"/>
      <c r="G106" s="126" t="s">
        <v>80</v>
      </c>
      <c r="H106" s="139"/>
      <c r="I106" s="13" t="s">
        <v>135</v>
      </c>
      <c r="J106" s="28">
        <f ca="1">H104*25%</f>
        <v>5</v>
      </c>
      <c r="S106"/>
    </row>
    <row r="107" spans="1:19" hidden="1" x14ac:dyDescent="0.35">
      <c r="A107" s="125" t="s">
        <v>122</v>
      </c>
      <c r="B107" s="126"/>
      <c r="C107" s="66">
        <f ca="1">J108</f>
        <v>20</v>
      </c>
      <c r="D107" s="19">
        <f ca="1">((100/H104)*C107)/100</f>
        <v>1</v>
      </c>
      <c r="E107" s="243">
        <f ca="1">(((C108/H104*10)+(40/(D104+F104+H104)*C109)+(7.5/(H104)*C110)+(7.5/(H104)*C111)+(10/H104*C112)+(10/H104*C113)+(5/H104*C114)+(5/H104*C115)+(5/H104*C116))/100)</f>
        <v>0.1</v>
      </c>
      <c r="F107" s="244"/>
      <c r="G107" s="243">
        <f ca="1">((((C107/H104)*20)+((C108/H104)*25)+(30/(H104+F104+D104)*C109)+(5/H104*C110)+(5/H104*C111)+(5/H104*C112)+(5/H104*C113)+(0/H104*C114)+(0/H104*C115)+(5/H104*C116))/100)</f>
        <v>0.45</v>
      </c>
      <c r="H107" s="250"/>
      <c r="I107" s="13" t="s">
        <v>95</v>
      </c>
      <c r="J107" s="29">
        <f ca="1">H104*50%</f>
        <v>10</v>
      </c>
    </row>
    <row r="108" spans="1:19" hidden="1" x14ac:dyDescent="0.35">
      <c r="A108" s="125" t="s">
        <v>48</v>
      </c>
      <c r="B108" s="126"/>
      <c r="C108" s="87">
        <f ca="1">J116</f>
        <v>20</v>
      </c>
      <c r="D108" s="19">
        <f ca="1">((100/H104)*C108)/100</f>
        <v>1</v>
      </c>
      <c r="E108" s="245"/>
      <c r="F108" s="246"/>
      <c r="G108" s="245"/>
      <c r="H108" s="251"/>
      <c r="I108" s="13" t="s">
        <v>96</v>
      </c>
      <c r="J108" s="29">
        <f ca="1">H104</f>
        <v>20</v>
      </c>
      <c r="S108"/>
    </row>
    <row r="109" spans="1:19" ht="15.75" hidden="1" customHeight="1" x14ac:dyDescent="0.35">
      <c r="A109" s="125" t="s">
        <v>123</v>
      </c>
      <c r="B109" s="126"/>
      <c r="C109" s="87">
        <v>0</v>
      </c>
      <c r="D109" s="19">
        <f ca="1">((100/(D104+F104+H104))*C109)/100</f>
        <v>0</v>
      </c>
      <c r="E109" s="245"/>
      <c r="F109" s="246"/>
      <c r="G109" s="245"/>
      <c r="H109" s="251"/>
      <c r="I109" s="13" t="s">
        <v>97</v>
      </c>
      <c r="J109" s="30">
        <f ca="1">(IF(B104&gt;1,(H104/(B104+2)),H104/4))</f>
        <v>5</v>
      </c>
      <c r="S109"/>
    </row>
    <row r="110" spans="1:19" ht="15.75" hidden="1" customHeight="1" x14ac:dyDescent="0.35">
      <c r="A110" s="125" t="s">
        <v>130</v>
      </c>
      <c r="B110" s="126" t="s">
        <v>124</v>
      </c>
      <c r="C110" s="87">
        <v>0</v>
      </c>
      <c r="D110" s="19">
        <f ca="1">((100/H104)*C110)/100</f>
        <v>0</v>
      </c>
      <c r="E110" s="245"/>
      <c r="F110" s="246"/>
      <c r="G110" s="245"/>
      <c r="H110" s="251"/>
      <c r="I110" s="13" t="s">
        <v>98</v>
      </c>
      <c r="J110" s="30">
        <f ca="1">(IF(B104&gt;1,(H104/(B104+2)+J109),H104/4+J109))</f>
        <v>10</v>
      </c>
    </row>
    <row r="111" spans="1:19" ht="15.75" hidden="1" customHeight="1" x14ac:dyDescent="0.35">
      <c r="A111" s="125" t="s">
        <v>131</v>
      </c>
      <c r="B111" s="126" t="s">
        <v>124</v>
      </c>
      <c r="C111" s="87">
        <v>0</v>
      </c>
      <c r="D111" s="19">
        <f ca="1">((100/H104)*C111)/100</f>
        <v>0</v>
      </c>
      <c r="E111" s="245"/>
      <c r="F111" s="246"/>
      <c r="G111" s="245"/>
      <c r="H111" s="251"/>
      <c r="I111" s="13" t="s">
        <v>140</v>
      </c>
      <c r="J111" s="30">
        <f>(IF(B104&gt;1,(H104/(B104+2)+J110),0))</f>
        <v>0</v>
      </c>
    </row>
    <row r="112" spans="1:19" ht="15" hidden="1" customHeight="1" x14ac:dyDescent="0.35">
      <c r="A112" s="125" t="s">
        <v>129</v>
      </c>
      <c r="B112" s="126" t="s">
        <v>126</v>
      </c>
      <c r="C112" s="87">
        <v>0</v>
      </c>
      <c r="D112" s="19">
        <f ca="1">((100/(H104))*C112)/100</f>
        <v>0</v>
      </c>
      <c r="E112" s="245"/>
      <c r="F112" s="246"/>
      <c r="G112" s="245"/>
      <c r="H112" s="251"/>
      <c r="I112" s="13" t="s">
        <v>137</v>
      </c>
      <c r="J112" s="30">
        <f>(IF(B104&gt;2,(H104/(B104+2)+J111),0))</f>
        <v>0</v>
      </c>
    </row>
    <row r="113" spans="1:22" ht="15.75" hidden="1" customHeight="1" x14ac:dyDescent="0.35">
      <c r="A113" s="125" t="s">
        <v>125</v>
      </c>
      <c r="B113" s="126" t="s">
        <v>125</v>
      </c>
      <c r="C113" s="87">
        <v>0</v>
      </c>
      <c r="D113" s="19">
        <f ca="1">((100/H104)*C113)/100</f>
        <v>0</v>
      </c>
      <c r="E113" s="245"/>
      <c r="F113" s="246"/>
      <c r="G113" s="245"/>
      <c r="H113" s="251"/>
      <c r="I113" s="13" t="s">
        <v>138</v>
      </c>
      <c r="J113" s="31">
        <f>(IF(B104&gt;3,(H104/(B104+2)+J112),0))</f>
        <v>0</v>
      </c>
    </row>
    <row r="114" spans="1:22" ht="15.75" hidden="1" customHeight="1" x14ac:dyDescent="0.35">
      <c r="A114" s="125" t="s">
        <v>132</v>
      </c>
      <c r="B114" s="126"/>
      <c r="C114" s="87">
        <v>0</v>
      </c>
      <c r="D114" s="19">
        <f ca="1">((100/H104)*C114)/100</f>
        <v>0</v>
      </c>
      <c r="E114" s="245"/>
      <c r="F114" s="246"/>
      <c r="G114" s="245"/>
      <c r="H114" s="251"/>
      <c r="I114" s="13" t="s">
        <v>139</v>
      </c>
      <c r="J114" s="30">
        <f>(IF(B104&gt;4,(H104/(B104+2)+J113),0))</f>
        <v>0</v>
      </c>
    </row>
    <row r="115" spans="1:22" ht="15.75" hidden="1" customHeight="1" x14ac:dyDescent="0.35">
      <c r="A115" s="125" t="s">
        <v>127</v>
      </c>
      <c r="B115" s="126" t="s">
        <v>127</v>
      </c>
      <c r="C115" s="87">
        <v>0</v>
      </c>
      <c r="D115" s="19">
        <f ca="1">((100/(H104))*C115)/100</f>
        <v>0</v>
      </c>
      <c r="E115" s="245"/>
      <c r="F115" s="246"/>
      <c r="G115" s="245"/>
      <c r="H115" s="251"/>
      <c r="I115" s="13" t="s">
        <v>141</v>
      </c>
      <c r="J115" s="30">
        <f ca="1">(IF(B104=1,(H104/(B104+3)+J110),IF(B104=0,(H104/4+J110),IF(B104&gt;1,0))))</f>
        <v>15</v>
      </c>
    </row>
    <row r="116" spans="1:22" ht="16" hidden="1" thickBot="1" x14ac:dyDescent="0.4">
      <c r="A116" s="140" t="s">
        <v>128</v>
      </c>
      <c r="B116" s="141"/>
      <c r="C116" s="86">
        <v>0</v>
      </c>
      <c r="D116" s="20">
        <f ca="1">((100/(H104))*C116)/100</f>
        <v>0</v>
      </c>
      <c r="E116" s="247"/>
      <c r="F116" s="248"/>
      <c r="G116" s="247"/>
      <c r="H116" s="252"/>
      <c r="I116" s="15" t="s">
        <v>99</v>
      </c>
      <c r="J116" s="32">
        <f ca="1">(IF(B104&gt;1.5,(H104/(B104+2)+J110+MAX(0,J111-J110)+MAX(0,J112-J111)+MAX(0,J113-J112)+MAX(0,J114-J113)+MAX(0,J115-J114)),IF(B104=1,(H104/(B104+3)+J115),IF(B104=0,H104/4+J115))))</f>
        <v>20</v>
      </c>
    </row>
    <row r="117" spans="1:22" x14ac:dyDescent="0.35">
      <c r="A117" s="254" t="s">
        <v>151</v>
      </c>
      <c r="B117" s="254"/>
      <c r="C117" s="254"/>
      <c r="D117" s="254"/>
      <c r="E117" s="254"/>
      <c r="F117" s="182" t="s">
        <v>155</v>
      </c>
      <c r="G117" s="182"/>
      <c r="H117" s="182"/>
      <c r="R117" t="s">
        <v>247</v>
      </c>
      <c r="S117" t="s">
        <v>168</v>
      </c>
      <c r="T117" t="s">
        <v>175</v>
      </c>
      <c r="U117" t="s">
        <v>189</v>
      </c>
      <c r="V117" t="s">
        <v>184</v>
      </c>
    </row>
    <row r="118" spans="1:22" x14ac:dyDescent="0.35">
      <c r="A118" s="124" t="s">
        <v>153</v>
      </c>
      <c r="B118" s="124"/>
      <c r="C118" s="124"/>
      <c r="D118" s="124"/>
      <c r="E118" s="124"/>
      <c r="F118" s="146">
        <v>16350</v>
      </c>
      <c r="G118" s="146"/>
      <c r="H118" s="146"/>
      <c r="I118" s="21" t="s">
        <v>423</v>
      </c>
      <c r="K118" s="21" t="s">
        <v>403</v>
      </c>
      <c r="L118" s="21" t="s">
        <v>404</v>
      </c>
      <c r="M118" s="21" t="s">
        <v>405</v>
      </c>
      <c r="N118" s="21" t="s">
        <v>406</v>
      </c>
      <c r="R118"/>
      <c r="S118">
        <v>800000</v>
      </c>
      <c r="T118">
        <v>150000</v>
      </c>
      <c r="U118">
        <v>100000</v>
      </c>
      <c r="V118">
        <v>100000</v>
      </c>
    </row>
    <row r="119" spans="1:22" x14ac:dyDescent="0.35">
      <c r="A119" s="124" t="s">
        <v>152</v>
      </c>
      <c r="B119" s="124"/>
      <c r="C119" s="124"/>
      <c r="D119" s="124"/>
      <c r="E119" s="124"/>
      <c r="F119" s="257">
        <v>25000</v>
      </c>
      <c r="G119" s="257"/>
      <c r="H119" s="257"/>
      <c r="L119" s="108">
        <f>15000</f>
        <v>15000</v>
      </c>
      <c r="M119" s="108">
        <f>33500000/2139</f>
        <v>15661.524076671341</v>
      </c>
      <c r="N119" s="108">
        <f>36200000/2139</f>
        <v>16923.796166432912</v>
      </c>
      <c r="R119"/>
      <c r="S119">
        <v>900000</v>
      </c>
      <c r="T119">
        <v>200000</v>
      </c>
      <c r="U119">
        <v>150000</v>
      </c>
      <c r="V119">
        <v>150000</v>
      </c>
    </row>
    <row r="120" spans="1:22" hidden="1" x14ac:dyDescent="0.35">
      <c r="A120" s="124" t="s">
        <v>154</v>
      </c>
      <c r="B120" s="124"/>
      <c r="C120" s="124"/>
      <c r="D120" s="124"/>
      <c r="E120" s="124"/>
      <c r="F120" s="146"/>
      <c r="G120" s="146"/>
      <c r="H120" s="146"/>
      <c r="M120" s="108">
        <f>33500000/1846</f>
        <v>18147.345612134344</v>
      </c>
      <c r="N120" s="21">
        <f>36200000/2007</f>
        <v>18036.87095166916</v>
      </c>
      <c r="R120"/>
      <c r="S120">
        <v>1000000</v>
      </c>
      <c r="T120">
        <v>250000</v>
      </c>
      <c r="U120">
        <v>200000</v>
      </c>
      <c r="V120">
        <v>200000</v>
      </c>
    </row>
    <row r="121" spans="1:22" s="33" customFormat="1" x14ac:dyDescent="0.35">
      <c r="A121" s="124" t="s">
        <v>411</v>
      </c>
      <c r="B121" s="124"/>
      <c r="C121" s="124"/>
      <c r="D121" s="124"/>
      <c r="E121" s="124"/>
      <c r="F121" s="146">
        <v>50</v>
      </c>
      <c r="G121" s="146"/>
      <c r="H121" s="146"/>
      <c r="R121"/>
      <c r="S121">
        <v>1100000</v>
      </c>
      <c r="T121">
        <v>300000</v>
      </c>
      <c r="U121">
        <v>250000</v>
      </c>
      <c r="V121" s="23">
        <v>250000</v>
      </c>
    </row>
    <row r="122" spans="1:22" s="33" customFormat="1" x14ac:dyDescent="0.35">
      <c r="A122" s="124" t="s">
        <v>91</v>
      </c>
      <c r="B122" s="124"/>
      <c r="C122" s="124"/>
      <c r="D122" s="124"/>
      <c r="E122" s="124"/>
      <c r="F122" s="146">
        <v>400000</v>
      </c>
      <c r="G122" s="146"/>
      <c r="H122" s="146"/>
      <c r="I122" s="33">
        <f>15800*2139</f>
        <v>33796200</v>
      </c>
      <c r="J122" s="33">
        <f>0.08*I122</f>
        <v>2703696</v>
      </c>
      <c r="M122" s="33">
        <f>61600000/3757</f>
        <v>16396.060686718127</v>
      </c>
      <c r="N122" s="33">
        <f>67300000/3757</f>
        <v>17913.228639872239</v>
      </c>
      <c r="R122"/>
      <c r="S122">
        <v>1200000</v>
      </c>
      <c r="T122">
        <v>350000</v>
      </c>
      <c r="U122">
        <v>300000</v>
      </c>
      <c r="V122">
        <v>300000</v>
      </c>
    </row>
    <row r="123" spans="1:22" s="33" customFormat="1" x14ac:dyDescent="0.35">
      <c r="A123" s="124" t="s">
        <v>92</v>
      </c>
      <c r="B123" s="124"/>
      <c r="C123" s="124"/>
      <c r="D123" s="124"/>
      <c r="E123" s="124"/>
      <c r="F123" s="146">
        <v>300000</v>
      </c>
      <c r="G123" s="146"/>
      <c r="H123" s="146"/>
      <c r="R123"/>
      <c r="S123">
        <v>1300000</v>
      </c>
      <c r="T123">
        <v>400000</v>
      </c>
      <c r="U123">
        <v>350000</v>
      </c>
      <c r="V123" s="23">
        <v>400000</v>
      </c>
    </row>
    <row r="124" spans="1:22" s="33" customFormat="1" hidden="1" x14ac:dyDescent="0.35">
      <c r="A124" s="124" t="s">
        <v>93</v>
      </c>
      <c r="B124" s="124"/>
      <c r="C124" s="124"/>
      <c r="D124" s="124"/>
      <c r="E124" s="124"/>
      <c r="F124" s="146"/>
      <c r="G124" s="146"/>
      <c r="H124" s="146"/>
      <c r="R124"/>
      <c r="S124">
        <v>1400000</v>
      </c>
      <c r="T124">
        <v>500000</v>
      </c>
      <c r="U124">
        <v>400000</v>
      </c>
      <c r="V124"/>
    </row>
    <row r="125" spans="1:22" s="33" customFormat="1" hidden="1" x14ac:dyDescent="0.35">
      <c r="A125" s="124" t="s">
        <v>94</v>
      </c>
      <c r="B125" s="124"/>
      <c r="C125" s="124"/>
      <c r="D125" s="124"/>
      <c r="E125" s="124"/>
      <c r="F125" s="146"/>
      <c r="G125" s="146"/>
      <c r="H125" s="146"/>
      <c r="R125"/>
      <c r="S125">
        <v>1500000</v>
      </c>
      <c r="T125">
        <v>600000</v>
      </c>
      <c r="U125">
        <v>500000</v>
      </c>
      <c r="V125" s="23"/>
    </row>
    <row r="126" spans="1:22" s="33" customFormat="1" x14ac:dyDescent="0.35">
      <c r="A126" s="124" t="s">
        <v>412</v>
      </c>
      <c r="B126" s="124"/>
      <c r="C126" s="124"/>
      <c r="D126" s="124"/>
      <c r="E126" s="124"/>
      <c r="F126" s="146">
        <v>200000</v>
      </c>
      <c r="G126" s="146"/>
      <c r="H126" s="146"/>
      <c r="R126"/>
      <c r="S126">
        <v>1600000</v>
      </c>
      <c r="T126">
        <v>700000</v>
      </c>
      <c r="U126">
        <v>600000</v>
      </c>
      <c r="V126"/>
    </row>
    <row r="127" spans="1:22" s="33" customFormat="1" x14ac:dyDescent="0.35">
      <c r="A127" s="124" t="s">
        <v>413</v>
      </c>
      <c r="B127" s="124"/>
      <c r="C127" s="124"/>
      <c r="D127" s="124"/>
      <c r="E127" s="124"/>
      <c r="F127" s="146">
        <v>100000</v>
      </c>
      <c r="G127" s="146"/>
      <c r="H127" s="146"/>
      <c r="R127"/>
      <c r="S127">
        <v>1700000</v>
      </c>
      <c r="T127">
        <v>800000</v>
      </c>
      <c r="U127">
        <v>700000</v>
      </c>
      <c r="V127" s="23"/>
    </row>
    <row r="128" spans="1:22" x14ac:dyDescent="0.35">
      <c r="A128" s="124" t="s">
        <v>49</v>
      </c>
      <c r="B128" s="124"/>
      <c r="C128" s="124"/>
      <c r="D128" s="124"/>
      <c r="E128" s="124"/>
      <c r="F128" s="146">
        <v>700000</v>
      </c>
      <c r="G128" s="146"/>
      <c r="H128" s="146"/>
      <c r="I128" s="21">
        <v>700000</v>
      </c>
      <c r="R128"/>
      <c r="S128">
        <v>1800000</v>
      </c>
      <c r="T128">
        <v>900000</v>
      </c>
      <c r="U128"/>
    </row>
    <row r="129" spans="1:22" s="34" customFormat="1" x14ac:dyDescent="0.35">
      <c r="A129" s="190" t="s">
        <v>50</v>
      </c>
      <c r="B129" s="190"/>
      <c r="C129" s="190"/>
      <c r="D129" s="190"/>
      <c r="E129" s="190"/>
      <c r="F129" s="146">
        <f>F118*0.8</f>
        <v>13080</v>
      </c>
      <c r="G129" s="146"/>
      <c r="H129" s="146"/>
      <c r="R129" s="21"/>
      <c r="S129" s="21"/>
      <c r="T129">
        <v>1000000</v>
      </c>
      <c r="U129"/>
      <c r="V129" s="21"/>
    </row>
    <row r="130" spans="1:22" s="35" customFormat="1" ht="15.75" customHeight="1" x14ac:dyDescent="0.35">
      <c r="A130" s="183" t="s">
        <v>71</v>
      </c>
      <c r="B130" s="183"/>
      <c r="C130" s="183"/>
      <c r="D130" s="183"/>
      <c r="E130" s="183"/>
      <c r="F130" s="183"/>
      <c r="G130" s="183"/>
      <c r="H130" s="183"/>
      <c r="R130"/>
      <c r="S130" s="21"/>
      <c r="T130"/>
      <c r="U130"/>
      <c r="V130" s="21"/>
    </row>
    <row r="131" spans="1:22" s="35" customFormat="1" ht="15.75" customHeight="1" x14ac:dyDescent="0.35">
      <c r="A131" s="148" t="s">
        <v>51</v>
      </c>
      <c r="B131" s="148"/>
      <c r="C131" s="153" t="s">
        <v>74</v>
      </c>
      <c r="D131" s="153"/>
      <c r="E131" s="152" t="s">
        <v>52</v>
      </c>
      <c r="F131" s="152"/>
      <c r="G131" s="148" t="s">
        <v>53</v>
      </c>
      <c r="H131" s="148"/>
      <c r="R131"/>
      <c r="S131" s="21"/>
      <c r="T131"/>
      <c r="U131" s="21"/>
      <c r="V131" s="21"/>
    </row>
    <row r="132" spans="1:22" s="35" customFormat="1" x14ac:dyDescent="0.35">
      <c r="A132" s="191" t="s">
        <v>375</v>
      </c>
      <c r="B132" s="191"/>
      <c r="C132" s="172">
        <f>COUNT(F147:F163)</f>
        <v>17</v>
      </c>
      <c r="D132" s="172"/>
      <c r="E132" s="171">
        <f>SUM(F147:F163)</f>
        <v>8809.8603839999996</v>
      </c>
      <c r="F132" s="172"/>
      <c r="G132" s="171">
        <f>SUM(H147:H163)</f>
        <v>13214.790575999998</v>
      </c>
      <c r="H132" s="172"/>
      <c r="R132"/>
      <c r="S132" s="21"/>
      <c r="T132"/>
      <c r="U132" s="21"/>
      <c r="V132" s="21"/>
    </row>
    <row r="133" spans="1:22" s="35" customFormat="1" x14ac:dyDescent="0.35">
      <c r="A133" s="183" t="s">
        <v>144</v>
      </c>
      <c r="B133" s="183"/>
      <c r="C133" s="153">
        <f>SUM(C132)</f>
        <v>17</v>
      </c>
      <c r="D133" s="153"/>
      <c r="E133" s="176">
        <f>SUM(E132)</f>
        <v>8809.8603839999996</v>
      </c>
      <c r="F133" s="152"/>
      <c r="G133" s="148">
        <f>SUM(G132)</f>
        <v>13214.790575999998</v>
      </c>
      <c r="H133" s="148"/>
      <c r="R133"/>
      <c r="S133" s="21"/>
      <c r="T133"/>
      <c r="U133" s="21"/>
      <c r="V133" s="21"/>
    </row>
    <row r="134" spans="1:22" s="35" customFormat="1" x14ac:dyDescent="0.35">
      <c r="A134" s="183" t="s">
        <v>66</v>
      </c>
      <c r="B134" s="183"/>
      <c r="C134" s="183"/>
      <c r="D134" s="183"/>
      <c r="E134" s="183"/>
      <c r="F134" s="183"/>
      <c r="G134" s="183"/>
      <c r="H134" s="183"/>
      <c r="T134"/>
    </row>
    <row r="135" spans="1:22" s="35" customFormat="1" ht="15.75" customHeight="1" x14ac:dyDescent="0.35">
      <c r="A135" s="148" t="s">
        <v>51</v>
      </c>
      <c r="B135" s="148"/>
      <c r="C135" s="153" t="s">
        <v>74</v>
      </c>
      <c r="D135" s="153"/>
      <c r="E135" s="152" t="s">
        <v>52</v>
      </c>
      <c r="F135" s="152"/>
      <c r="G135" s="148" t="s">
        <v>53</v>
      </c>
      <c r="H135" s="148"/>
      <c r="T135"/>
    </row>
    <row r="136" spans="1:22" s="35" customFormat="1" x14ac:dyDescent="0.35">
      <c r="A136" s="191" t="s">
        <v>368</v>
      </c>
      <c r="B136" s="191"/>
      <c r="C136" s="171">
        <f>COUNT(D171:D174)+COUNT(D176:D178)+COUNT(D181:D183)*7+COUNT(D185:D187)*5+COUNT(D190:D192)+COUNT(D194:D196)+COUNT(D199:D201)</f>
        <v>52</v>
      </c>
      <c r="D136" s="171"/>
      <c r="E136" s="171">
        <f>SUM(F171:F174)+SUM(F176:F178)+SUM(F181:F183)*7+SUM(F185:F187)*5+SUM(F190:F192)+SUM(F194:F196)+SUM(F199:F201)</f>
        <v>90795.900779999967</v>
      </c>
      <c r="F136" s="171"/>
      <c r="G136" s="171">
        <f>SUM(H171:H174)+SUM(H176:H178)+SUM(H181:H183)*7+SUM(H185:H187)*5+SUM(H190:H192)+SUM(H194:H196)+SUM(H199:H201)</f>
        <v>136193.85116999998</v>
      </c>
      <c r="H136" s="171"/>
      <c r="T136"/>
    </row>
    <row r="137" spans="1:22" s="35" customFormat="1" x14ac:dyDescent="0.35">
      <c r="A137" s="191" t="s">
        <v>374</v>
      </c>
      <c r="B137" s="191"/>
      <c r="C137" s="171">
        <f>COUNT(D204:D207)+COUNT(D209:D211)+COUNT(D214:D216)*7+COUNT(D219:D221)*5+COUNT(D224:D226)+COUNT(D228:D230)+COUNT(D233:D235)</f>
        <v>52</v>
      </c>
      <c r="D137" s="171"/>
      <c r="E137" s="171">
        <f t="shared" ref="E137" si="0">SUM(F204:F207)+SUM(F209:F211)+SUM(F214:F216)*7+SUM(F219:F221)*5+SUM(F224:F226)+SUM(F228:F230)+SUM(F233:F235)</f>
        <v>90480.655511999968</v>
      </c>
      <c r="F137" s="171"/>
      <c r="G137" s="171">
        <f t="shared" ref="G137" si="1">SUM(H204:H207)+SUM(H209:H211)+SUM(H214:H216)*7+SUM(H219:H221)*5+SUM(H224:H226)+SUM(H228:H230)+SUM(H233:H235)</f>
        <v>135720.98326800001</v>
      </c>
      <c r="H137" s="171"/>
      <c r="T137"/>
    </row>
    <row r="138" spans="1:22" s="35" customFormat="1" x14ac:dyDescent="0.35">
      <c r="A138" s="183" t="s">
        <v>144</v>
      </c>
      <c r="B138" s="183"/>
      <c r="C138" s="173">
        <f>SUM(C136:C137)</f>
        <v>104</v>
      </c>
      <c r="D138" s="173"/>
      <c r="E138" s="176">
        <f>SUM(E136:E137)</f>
        <v>181276.55629199994</v>
      </c>
      <c r="F138" s="176"/>
      <c r="G138" s="148">
        <f>SUM(G136:G137)</f>
        <v>271914.83443799999</v>
      </c>
      <c r="H138" s="148"/>
      <c r="T138"/>
    </row>
    <row r="139" spans="1:22" s="35" customFormat="1" x14ac:dyDescent="0.35">
      <c r="A139" s="183" t="s">
        <v>161</v>
      </c>
      <c r="B139" s="183"/>
      <c r="C139" s="153">
        <f>C133+C138</f>
        <v>121</v>
      </c>
      <c r="D139" s="153"/>
      <c r="E139" s="176">
        <f>E133+E138</f>
        <v>190086.41667599994</v>
      </c>
      <c r="F139" s="176"/>
      <c r="G139" s="148">
        <f>G133+G138</f>
        <v>285129.62501399999</v>
      </c>
      <c r="H139" s="148"/>
      <c r="T139"/>
    </row>
    <row r="140" spans="1:22" s="34" customFormat="1" x14ac:dyDescent="0.35">
      <c r="A140" s="180" t="s">
        <v>350</v>
      </c>
      <c r="B140" s="180"/>
      <c r="C140" s="180"/>
      <c r="D140" s="180"/>
      <c r="E140" s="180"/>
      <c r="F140" s="180"/>
      <c r="G140" s="180"/>
      <c r="H140" s="180"/>
      <c r="T140" s="35"/>
    </row>
    <row r="141" spans="1:22" x14ac:dyDescent="0.35">
      <c r="A141" s="147" t="s">
        <v>170</v>
      </c>
      <c r="B141" s="147"/>
      <c r="C141" s="147"/>
      <c r="D141" s="147"/>
      <c r="E141" s="147"/>
      <c r="F141" s="147"/>
      <c r="G141" s="147"/>
      <c r="H141" s="147"/>
      <c r="T141" s="35"/>
    </row>
    <row r="142" spans="1:22" ht="47.25" customHeight="1" x14ac:dyDescent="0.35">
      <c r="A142" s="230" t="s">
        <v>114</v>
      </c>
      <c r="B142" s="231" t="s">
        <v>171</v>
      </c>
      <c r="C142" s="230" t="s">
        <v>54</v>
      </c>
      <c r="D142" s="231" t="s">
        <v>364</v>
      </c>
      <c r="E142" s="242" t="s">
        <v>150</v>
      </c>
      <c r="F142" s="230" t="s">
        <v>55</v>
      </c>
      <c r="G142" s="181" t="s">
        <v>56</v>
      </c>
      <c r="H142" s="114" t="s">
        <v>143</v>
      </c>
      <c r="T142" s="35"/>
    </row>
    <row r="143" spans="1:22" s="37" customFormat="1" x14ac:dyDescent="0.35">
      <c r="A143" s="230"/>
      <c r="B143" s="231"/>
      <c r="C143" s="230"/>
      <c r="D143" s="231"/>
      <c r="E143" s="242"/>
      <c r="F143" s="230"/>
      <c r="G143" s="181"/>
      <c r="H143" s="115">
        <v>0.5</v>
      </c>
      <c r="I143" s="37">
        <f>10.764</f>
        <v>10.763999999999999</v>
      </c>
      <c r="T143" s="35"/>
    </row>
    <row r="144" spans="1:22" s="100" customFormat="1" x14ac:dyDescent="0.35">
      <c r="A144" s="185" t="s">
        <v>366</v>
      </c>
      <c r="B144" s="186"/>
      <c r="C144" s="186"/>
      <c r="D144" s="186"/>
      <c r="E144" s="186"/>
      <c r="F144" s="186"/>
      <c r="G144" s="186"/>
      <c r="H144" s="187"/>
      <c r="J144" s="36"/>
    </row>
    <row r="145" spans="1:20" s="100" customFormat="1" x14ac:dyDescent="0.35">
      <c r="A145" s="132" t="s">
        <v>392</v>
      </c>
      <c r="B145" s="133"/>
      <c r="C145" s="133"/>
      <c r="D145" s="133"/>
      <c r="E145" s="133"/>
      <c r="F145" s="133"/>
      <c r="G145" s="133"/>
      <c r="H145" s="134"/>
      <c r="J145" s="36"/>
      <c r="T145" s="35"/>
    </row>
    <row r="146" spans="1:20" s="37" customFormat="1" x14ac:dyDescent="0.35">
      <c r="A146" s="132" t="s">
        <v>391</v>
      </c>
      <c r="B146" s="133"/>
      <c r="C146" s="133"/>
      <c r="D146" s="133"/>
      <c r="E146" s="133"/>
      <c r="F146" s="133"/>
      <c r="G146" s="133"/>
      <c r="H146" s="134"/>
      <c r="J146" s="36"/>
      <c r="T146" s="35"/>
    </row>
    <row r="147" spans="1:20" s="37" customFormat="1" ht="15.75" customHeight="1" x14ac:dyDescent="0.35">
      <c r="A147" s="135">
        <v>1</v>
      </c>
      <c r="B147" s="136"/>
      <c r="C147" s="42" t="s">
        <v>363</v>
      </c>
      <c r="D147" s="98">
        <f>(56.203)*(10.764)</f>
        <v>604.96909200000005</v>
      </c>
      <c r="E147" s="42">
        <v>0</v>
      </c>
      <c r="F147" s="67">
        <f t="shared" ref="F147:F163" si="2">D147+(IF(E147&lt;201,E147,IF(E147&lt;301,E147/2,E147/3)))</f>
        <v>604.96909200000005</v>
      </c>
      <c r="G147" s="68">
        <v>0</v>
      </c>
      <c r="H147" s="67">
        <f t="shared" ref="H147:H163" si="3">(F147+(IF(G147&lt;101,G147,IF(G147&lt;201,G147/2,IF(G147&lt;=301,G147/3,G147/4)))))*(($H$143)+1)</f>
        <v>907.45363800000007</v>
      </c>
      <c r="I147" s="36">
        <f>16.05*3.5</f>
        <v>56.175000000000004</v>
      </c>
      <c r="L147" s="253"/>
      <c r="M147" s="253"/>
      <c r="N147" s="36"/>
      <c r="T147" s="35"/>
    </row>
    <row r="148" spans="1:20" s="37" customFormat="1" ht="15.75" customHeight="1" x14ac:dyDescent="0.35">
      <c r="A148" s="135">
        <v>2</v>
      </c>
      <c r="B148" s="136"/>
      <c r="C148" s="97" t="s">
        <v>363</v>
      </c>
      <c r="D148" s="98">
        <f>(56.203)*(10.764)</f>
        <v>604.96909200000005</v>
      </c>
      <c r="E148" s="42">
        <v>0</v>
      </c>
      <c r="F148" s="67">
        <f t="shared" si="2"/>
        <v>604.96909200000005</v>
      </c>
      <c r="G148" s="58">
        <v>0</v>
      </c>
      <c r="H148" s="67">
        <f t="shared" si="3"/>
        <v>907.45363800000007</v>
      </c>
      <c r="I148" s="36"/>
      <c r="L148" s="253"/>
      <c r="M148" s="253"/>
      <c r="N148" s="36"/>
      <c r="T148" s="34"/>
    </row>
    <row r="149" spans="1:20" s="37" customFormat="1" ht="15.75" customHeight="1" x14ac:dyDescent="0.35">
      <c r="A149" s="135">
        <v>3</v>
      </c>
      <c r="B149" s="136"/>
      <c r="C149" s="97" t="s">
        <v>363</v>
      </c>
      <c r="D149" s="98">
        <f>(58.611)*(10.764)</f>
        <v>630.88880399999994</v>
      </c>
      <c r="E149" s="42">
        <v>0</v>
      </c>
      <c r="F149" s="67">
        <f t="shared" si="2"/>
        <v>630.88880399999994</v>
      </c>
      <c r="G149" s="58">
        <v>0</v>
      </c>
      <c r="H149" s="67">
        <f t="shared" si="3"/>
        <v>946.3332059999999</v>
      </c>
      <c r="I149" s="36"/>
      <c r="L149" s="253"/>
      <c r="M149" s="253"/>
      <c r="N149" s="36"/>
      <c r="T149" s="21"/>
    </row>
    <row r="150" spans="1:20" s="37" customFormat="1" ht="15.75" customHeight="1" x14ac:dyDescent="0.35">
      <c r="A150" s="135">
        <v>4</v>
      </c>
      <c r="B150" s="136"/>
      <c r="C150" s="97" t="s">
        <v>363</v>
      </c>
      <c r="D150" s="98">
        <f>(36.103)*(10.764)</f>
        <v>388.61269199999998</v>
      </c>
      <c r="E150" s="42">
        <v>0</v>
      </c>
      <c r="F150" s="67">
        <f t="shared" si="2"/>
        <v>388.61269199999998</v>
      </c>
      <c r="G150" s="58">
        <v>0</v>
      </c>
      <c r="H150" s="67">
        <f t="shared" si="3"/>
        <v>582.919038</v>
      </c>
      <c r="I150" s="101">
        <f>9.75*3.7</f>
        <v>36.075000000000003</v>
      </c>
      <c r="L150" s="253"/>
      <c r="M150" s="253"/>
      <c r="N150" s="36"/>
      <c r="T150" s="21"/>
    </row>
    <row r="151" spans="1:20" s="96" customFormat="1" ht="15.75" customHeight="1" x14ac:dyDescent="0.35">
      <c r="A151" s="135">
        <v>5</v>
      </c>
      <c r="B151" s="136"/>
      <c r="C151" s="97" t="s">
        <v>363</v>
      </c>
      <c r="D151" s="98">
        <f>(32.688)*(10.764)</f>
        <v>351.853632</v>
      </c>
      <c r="E151" s="97">
        <v>0</v>
      </c>
      <c r="F151" s="97">
        <f t="shared" si="2"/>
        <v>351.853632</v>
      </c>
      <c r="G151" s="68">
        <v>0</v>
      </c>
      <c r="H151" s="97">
        <f t="shared" si="3"/>
        <v>527.78044799999998</v>
      </c>
      <c r="I151" s="102"/>
      <c r="L151" s="253"/>
      <c r="M151" s="253"/>
      <c r="N151" s="36"/>
      <c r="T151" s="35"/>
    </row>
    <row r="152" spans="1:20" s="96" customFormat="1" ht="15.75" customHeight="1" x14ac:dyDescent="0.35">
      <c r="A152" s="135">
        <v>6</v>
      </c>
      <c r="B152" s="136"/>
      <c r="C152" s="97" t="s">
        <v>363</v>
      </c>
      <c r="D152" s="98">
        <f>(35.615)*(10.764)</f>
        <v>383.35986000000003</v>
      </c>
      <c r="E152" s="97">
        <v>0</v>
      </c>
      <c r="F152" s="97">
        <f t="shared" si="2"/>
        <v>383.35986000000003</v>
      </c>
      <c r="G152" s="97">
        <v>0</v>
      </c>
      <c r="H152" s="97">
        <f t="shared" si="3"/>
        <v>575.03979000000004</v>
      </c>
      <c r="I152" s="102"/>
      <c r="L152" s="253"/>
      <c r="M152" s="253"/>
      <c r="N152" s="36"/>
      <c r="T152" s="34"/>
    </row>
    <row r="153" spans="1:20" s="96" customFormat="1" ht="15.75" customHeight="1" x14ac:dyDescent="0.35">
      <c r="A153" s="135">
        <v>7</v>
      </c>
      <c r="B153" s="136"/>
      <c r="C153" s="97" t="s">
        <v>363</v>
      </c>
      <c r="D153" s="98">
        <f>(34.152)*(10.764)</f>
        <v>367.61212799999998</v>
      </c>
      <c r="E153" s="97">
        <v>0</v>
      </c>
      <c r="F153" s="97">
        <f t="shared" si="2"/>
        <v>367.61212799999998</v>
      </c>
      <c r="G153" s="97">
        <v>0</v>
      </c>
      <c r="H153" s="97">
        <f t="shared" si="3"/>
        <v>551.41819199999998</v>
      </c>
      <c r="I153" s="102"/>
      <c r="L153" s="253"/>
      <c r="M153" s="253"/>
      <c r="N153" s="36"/>
      <c r="T153" s="21"/>
    </row>
    <row r="154" spans="1:20" s="96" customFormat="1" ht="15.75" customHeight="1" x14ac:dyDescent="0.35">
      <c r="A154" s="135">
        <v>8</v>
      </c>
      <c r="B154" s="136"/>
      <c r="C154" s="97" t="s">
        <v>363</v>
      </c>
      <c r="D154" s="98">
        <f>(58.295)*(10.764)</f>
        <v>627.48738000000003</v>
      </c>
      <c r="E154" s="97">
        <v>0</v>
      </c>
      <c r="F154" s="97">
        <f t="shared" si="2"/>
        <v>627.48738000000003</v>
      </c>
      <c r="G154" s="97">
        <v>0</v>
      </c>
      <c r="H154" s="97">
        <f t="shared" si="3"/>
        <v>941.23107000000005</v>
      </c>
      <c r="I154" s="102">
        <f>6.45*9.85+1.2*1.5</f>
        <v>65.332499999999996</v>
      </c>
      <c r="L154" s="253"/>
      <c r="M154" s="253"/>
      <c r="N154" s="36"/>
      <c r="T154" s="21"/>
    </row>
    <row r="155" spans="1:20" s="96" customFormat="1" ht="15.75" customHeight="1" x14ac:dyDescent="0.35">
      <c r="A155" s="135">
        <v>9</v>
      </c>
      <c r="B155" s="136"/>
      <c r="C155" s="97" t="s">
        <v>363</v>
      </c>
      <c r="D155" s="98">
        <f>(31.516)*(10.764)</f>
        <v>339.23822399999995</v>
      </c>
      <c r="E155" s="97">
        <v>0</v>
      </c>
      <c r="F155" s="97">
        <f t="shared" si="2"/>
        <v>339.23822399999995</v>
      </c>
      <c r="G155" s="68">
        <v>0</v>
      </c>
      <c r="H155" s="97">
        <f t="shared" si="3"/>
        <v>508.85733599999992</v>
      </c>
      <c r="I155" s="102">
        <f>3.2*9.85+1.2*1.5</f>
        <v>33.32</v>
      </c>
      <c r="L155" s="253"/>
      <c r="M155" s="253"/>
      <c r="N155" s="36"/>
      <c r="T155" s="35"/>
    </row>
    <row r="156" spans="1:20" s="96" customFormat="1" ht="15.75" customHeight="1" x14ac:dyDescent="0.35">
      <c r="A156" s="135">
        <v>10</v>
      </c>
      <c r="B156" s="136"/>
      <c r="C156" s="97" t="s">
        <v>363</v>
      </c>
      <c r="D156" s="98">
        <f>(52.46)*(10.764)</f>
        <v>564.67944</v>
      </c>
      <c r="E156" s="97">
        <v>0</v>
      </c>
      <c r="F156" s="97">
        <f t="shared" si="2"/>
        <v>564.67944</v>
      </c>
      <c r="G156" s="97">
        <v>0</v>
      </c>
      <c r="H156" s="97">
        <f t="shared" si="3"/>
        <v>847.01916000000006</v>
      </c>
      <c r="I156" s="102">
        <f>4.3*12.2+1.5*1.2</f>
        <v>54.259999999999991</v>
      </c>
      <c r="L156" s="253"/>
      <c r="M156" s="253"/>
      <c r="N156" s="36"/>
      <c r="T156" s="34"/>
    </row>
    <row r="157" spans="1:20" s="96" customFormat="1" ht="15.75" customHeight="1" x14ac:dyDescent="0.35">
      <c r="A157" s="135">
        <v>11</v>
      </c>
      <c r="B157" s="136"/>
      <c r="C157" s="97" t="s">
        <v>363</v>
      </c>
      <c r="D157" s="98">
        <f>(45.14)*(10.764)</f>
        <v>485.88695999999999</v>
      </c>
      <c r="E157" s="97">
        <v>0</v>
      </c>
      <c r="F157" s="97">
        <f t="shared" si="2"/>
        <v>485.88695999999999</v>
      </c>
      <c r="G157" s="97">
        <v>0</v>
      </c>
      <c r="H157" s="97">
        <f t="shared" si="3"/>
        <v>728.83043999999995</v>
      </c>
      <c r="I157" s="36"/>
      <c r="L157" s="253"/>
      <c r="M157" s="253"/>
      <c r="N157" s="36"/>
      <c r="T157" s="21"/>
    </row>
    <row r="158" spans="1:20" s="96" customFormat="1" ht="15.75" customHeight="1" x14ac:dyDescent="0.35">
      <c r="A158" s="135">
        <v>12</v>
      </c>
      <c r="B158" s="136"/>
      <c r="C158" s="97" t="s">
        <v>363</v>
      </c>
      <c r="D158" s="98">
        <f>(51.85)*(10.764)</f>
        <v>558.11339999999996</v>
      </c>
      <c r="E158" s="97">
        <v>0</v>
      </c>
      <c r="F158" s="97">
        <f t="shared" si="2"/>
        <v>558.11339999999996</v>
      </c>
      <c r="G158" s="97">
        <v>0</v>
      </c>
      <c r="H158" s="97">
        <f t="shared" si="3"/>
        <v>837.17009999999993</v>
      </c>
      <c r="I158" s="36"/>
      <c r="L158" s="253"/>
      <c r="M158" s="253"/>
      <c r="N158" s="36"/>
      <c r="T158" s="21"/>
    </row>
    <row r="159" spans="1:20" s="96" customFormat="1" ht="15.75" customHeight="1" x14ac:dyDescent="0.35">
      <c r="A159" s="135">
        <v>13</v>
      </c>
      <c r="B159" s="136"/>
      <c r="C159" s="97" t="s">
        <v>363</v>
      </c>
      <c r="D159" s="98">
        <f>(61.61)*(10.764)</f>
        <v>663.17003999999997</v>
      </c>
      <c r="E159" s="97">
        <v>0</v>
      </c>
      <c r="F159" s="97">
        <f t="shared" si="2"/>
        <v>663.17003999999997</v>
      </c>
      <c r="G159" s="68">
        <v>0</v>
      </c>
      <c r="H159" s="97">
        <f t="shared" si="3"/>
        <v>994.75505999999996</v>
      </c>
      <c r="I159" s="36"/>
      <c r="L159" s="253"/>
      <c r="M159" s="253"/>
      <c r="N159" s="36"/>
      <c r="T159" s="35"/>
    </row>
    <row r="160" spans="1:20" s="96" customFormat="1" ht="15.75" customHeight="1" x14ac:dyDescent="0.35">
      <c r="A160" s="135">
        <v>14</v>
      </c>
      <c r="B160" s="136"/>
      <c r="C160" s="97" t="s">
        <v>363</v>
      </c>
      <c r="D160" s="98">
        <f>(47.58)*(10.764)</f>
        <v>512.15111999999999</v>
      </c>
      <c r="E160" s="97">
        <v>0</v>
      </c>
      <c r="F160" s="97">
        <f t="shared" si="2"/>
        <v>512.15111999999999</v>
      </c>
      <c r="G160" s="97">
        <v>0</v>
      </c>
      <c r="H160" s="97">
        <f t="shared" si="3"/>
        <v>768.22667999999999</v>
      </c>
      <c r="I160" s="36"/>
      <c r="L160" s="253"/>
      <c r="M160" s="253"/>
      <c r="N160" s="36"/>
      <c r="T160" s="34"/>
    </row>
    <row r="161" spans="1:20" s="96" customFormat="1" ht="15.75" customHeight="1" x14ac:dyDescent="0.35">
      <c r="A161" s="135">
        <v>15</v>
      </c>
      <c r="B161" s="136"/>
      <c r="C161" s="97" t="s">
        <v>363</v>
      </c>
      <c r="D161" s="98">
        <f>(63.44)*(10.764)</f>
        <v>682.86815999999999</v>
      </c>
      <c r="E161" s="97">
        <v>0</v>
      </c>
      <c r="F161" s="97">
        <f t="shared" si="2"/>
        <v>682.86815999999999</v>
      </c>
      <c r="G161" s="97">
        <v>0</v>
      </c>
      <c r="H161" s="97">
        <f t="shared" si="3"/>
        <v>1024.30224</v>
      </c>
      <c r="I161" s="36"/>
      <c r="L161" s="253"/>
      <c r="M161" s="253"/>
      <c r="N161" s="36"/>
      <c r="T161" s="21"/>
    </row>
    <row r="162" spans="1:20" s="96" customFormat="1" ht="15.75" customHeight="1" x14ac:dyDescent="0.35">
      <c r="A162" s="135">
        <v>16</v>
      </c>
      <c r="B162" s="136"/>
      <c r="C162" s="97" t="s">
        <v>363</v>
      </c>
      <c r="D162" s="98">
        <f>(52.46)*(10.764)</f>
        <v>564.67944</v>
      </c>
      <c r="E162" s="97">
        <v>0</v>
      </c>
      <c r="F162" s="97">
        <f t="shared" si="2"/>
        <v>564.67944</v>
      </c>
      <c r="G162" s="97">
        <v>0</v>
      </c>
      <c r="H162" s="97">
        <f t="shared" si="3"/>
        <v>847.01916000000006</v>
      </c>
      <c r="I162" s="36"/>
      <c r="L162" s="253"/>
      <c r="M162" s="253"/>
      <c r="N162" s="36"/>
      <c r="T162" s="21"/>
    </row>
    <row r="163" spans="1:20" s="96" customFormat="1" ht="15.75" customHeight="1" x14ac:dyDescent="0.35">
      <c r="A163" s="135">
        <v>17</v>
      </c>
      <c r="B163" s="136"/>
      <c r="C163" s="97" t="s">
        <v>363</v>
      </c>
      <c r="D163" s="98">
        <f>(44.53)*(10.764)</f>
        <v>479.32092</v>
      </c>
      <c r="E163" s="97">
        <v>0</v>
      </c>
      <c r="F163" s="97">
        <f t="shared" si="2"/>
        <v>479.32092</v>
      </c>
      <c r="G163" s="97">
        <v>0</v>
      </c>
      <c r="H163" s="97">
        <f t="shared" si="3"/>
        <v>718.98137999999994</v>
      </c>
      <c r="I163" s="36"/>
      <c r="J163" s="98">
        <f>10.764</f>
        <v>10.763999999999999</v>
      </c>
      <c r="L163" s="253"/>
      <c r="M163" s="253"/>
      <c r="N163" s="36"/>
      <c r="T163" s="21"/>
    </row>
    <row r="164" spans="1:20" s="37" customFormat="1" x14ac:dyDescent="0.35">
      <c r="A164" s="135"/>
      <c r="B164" s="184"/>
      <c r="C164" s="184"/>
      <c r="D164" s="184"/>
      <c r="E164" s="184"/>
      <c r="F164" s="184"/>
      <c r="G164" s="184"/>
      <c r="H164" s="136"/>
      <c r="I164" s="36"/>
      <c r="N164" s="36"/>
    </row>
    <row r="165" spans="1:20" ht="47.25" customHeight="1" x14ac:dyDescent="0.35">
      <c r="A165" s="174" t="s">
        <v>115</v>
      </c>
      <c r="B165" s="169" t="s">
        <v>172</v>
      </c>
      <c r="C165" s="169" t="s">
        <v>54</v>
      </c>
      <c r="D165" s="169" t="s">
        <v>364</v>
      </c>
      <c r="E165" s="169" t="s">
        <v>399</v>
      </c>
      <c r="F165" s="258" t="s">
        <v>55</v>
      </c>
      <c r="G165" s="232" t="s">
        <v>56</v>
      </c>
      <c r="H165" s="73" t="s">
        <v>143</v>
      </c>
      <c r="I165" s="36"/>
      <c r="T165" s="37"/>
    </row>
    <row r="166" spans="1:20" s="37" customFormat="1" x14ac:dyDescent="0.35">
      <c r="A166" s="175"/>
      <c r="B166" s="170"/>
      <c r="C166" s="170"/>
      <c r="D166" s="170"/>
      <c r="E166" s="170"/>
      <c r="F166" s="259"/>
      <c r="G166" s="233"/>
      <c r="H166" s="105">
        <v>0.5</v>
      </c>
      <c r="I166" s="36"/>
    </row>
    <row r="167" spans="1:20" s="96" customFormat="1" x14ac:dyDescent="0.35">
      <c r="A167" s="132" t="s">
        <v>366</v>
      </c>
      <c r="B167" s="133"/>
      <c r="C167" s="133"/>
      <c r="D167" s="133"/>
      <c r="E167" s="133"/>
      <c r="F167" s="133"/>
      <c r="G167" s="133"/>
      <c r="H167" s="134"/>
      <c r="J167" s="36"/>
    </row>
    <row r="168" spans="1:20" s="96" customFormat="1" ht="30" customHeight="1" x14ac:dyDescent="0.35">
      <c r="A168" s="132" t="s">
        <v>367</v>
      </c>
      <c r="B168" s="133"/>
      <c r="C168" s="133"/>
      <c r="D168" s="133"/>
      <c r="E168" s="133"/>
      <c r="F168" s="133"/>
      <c r="G168" s="133"/>
      <c r="H168" s="134"/>
      <c r="J168" s="36"/>
    </row>
    <row r="169" spans="1:20" s="96" customFormat="1" x14ac:dyDescent="0.35">
      <c r="A169" s="132" t="s">
        <v>368</v>
      </c>
      <c r="B169" s="133"/>
      <c r="C169" s="133"/>
      <c r="D169" s="133"/>
      <c r="E169" s="133"/>
      <c r="F169" s="133"/>
      <c r="G169" s="133"/>
      <c r="H169" s="134"/>
      <c r="J169" s="36"/>
    </row>
    <row r="170" spans="1:20" s="37" customFormat="1" x14ac:dyDescent="0.35">
      <c r="A170" s="132" t="s">
        <v>365</v>
      </c>
      <c r="B170" s="133"/>
      <c r="C170" s="133"/>
      <c r="D170" s="133"/>
      <c r="E170" s="133"/>
      <c r="F170" s="133"/>
      <c r="G170" s="133"/>
      <c r="H170" s="134"/>
      <c r="J170" s="36"/>
    </row>
    <row r="171" spans="1:20" s="37" customFormat="1" ht="15.75" customHeight="1" x14ac:dyDescent="0.35">
      <c r="A171" s="135">
        <v>1</v>
      </c>
      <c r="B171" s="136"/>
      <c r="C171" s="42" t="s">
        <v>369</v>
      </c>
      <c r="D171" s="98">
        <f>(125.012)*(10.764)</f>
        <v>1345.6291679999999</v>
      </c>
      <c r="E171" s="106">
        <f>(7.47)*(10.764)</f>
        <v>80.407079999999993</v>
      </c>
      <c r="F171" s="42">
        <f>D171+E171</f>
        <v>1426.0362479999999</v>
      </c>
      <c r="G171" s="58">
        <v>0</v>
      </c>
      <c r="H171" s="58">
        <f>F171*(($H$166)+1)+(IF(G171&lt;101,G171,IF(G171&lt;201,G171/2,IF(G171&lt;=301,G171/3,G171/4))))</f>
        <v>2139.0543719999996</v>
      </c>
      <c r="I171" s="36">
        <f>4.25*6.8+4.25*2.75+3.65*4.55+3.35*4.55+3.65*4.55+1.9*1.35+1+1.8*1.2+3.05*1.85+1.55*2.45+2.45*1.55+1.45*3.95+2.5*1.85</f>
        <v>118.36</v>
      </c>
      <c r="J171" s="37">
        <f>15500*H171</f>
        <v>33155342.765999995</v>
      </c>
      <c r="K171" s="37">
        <f>15000*2390</f>
        <v>35850000</v>
      </c>
      <c r="L171" s="253"/>
      <c r="M171" s="253"/>
      <c r="N171" s="36"/>
    </row>
    <row r="172" spans="1:20" s="37" customFormat="1" ht="15.75" customHeight="1" x14ac:dyDescent="0.35">
      <c r="A172" s="135">
        <f>A171+1</f>
        <v>2</v>
      </c>
      <c r="B172" s="136"/>
      <c r="C172" s="42" t="s">
        <v>370</v>
      </c>
      <c r="D172" s="98">
        <f>(210.459)*(10.764)</f>
        <v>2265.3806759999998</v>
      </c>
      <c r="E172" s="106">
        <f>(22.219)*(10.764)</f>
        <v>239.16531599999999</v>
      </c>
      <c r="F172" s="58">
        <f>D172+E172</f>
        <v>2504.5459919999998</v>
      </c>
      <c r="G172" s="68">
        <v>0</v>
      </c>
      <c r="H172" s="58">
        <f>F172*(($H$166)+1)+(IF(G172&lt;101,G172,IF(G172&lt;201,G172/2,IF(G172&lt;=301,G172/3,G172/4))))</f>
        <v>3756.818988</v>
      </c>
      <c r="I172" s="36">
        <f>9.725*6.1+3.8*3.65+3.65*6.2+4.85*3.65+4.85*3.35+6.15+3.65+1.7*3.55+4.25*1.2+2.95*1.2+2.825*1.55+1.85*3.55+1.85*2.9+1.55*2.9+1.55*3.05+1.85*3.05</f>
        <v>185.42374999999998</v>
      </c>
      <c r="K172" s="111"/>
      <c r="L172" s="253"/>
      <c r="M172" s="253"/>
      <c r="N172" s="36"/>
    </row>
    <row r="173" spans="1:20" s="37" customFormat="1" ht="15.75" customHeight="1" x14ac:dyDescent="0.35">
      <c r="A173" s="135">
        <f>A172+1</f>
        <v>3</v>
      </c>
      <c r="B173" s="136"/>
      <c r="C173" s="42" t="s">
        <v>369</v>
      </c>
      <c r="D173" s="98">
        <f>117.82*(10.764)</f>
        <v>1268.2144799999999</v>
      </c>
      <c r="E173" s="106">
        <f>(6.48)*(10.764)</f>
        <v>69.750720000000001</v>
      </c>
      <c r="F173" s="58">
        <f>D173+E173</f>
        <v>1337.9651999999999</v>
      </c>
      <c r="G173" s="58">
        <v>0</v>
      </c>
      <c r="H173" s="58">
        <f>F173*(($H$166)+1)+(IF(G173&lt;101,G173,IF(G173&lt;201,G173/2,IF(G173&lt;=301,G173/3,G173/4))))</f>
        <v>2006.9477999999999</v>
      </c>
      <c r="I173" s="36"/>
      <c r="K173" s="111"/>
      <c r="L173" s="253"/>
      <c r="M173" s="253"/>
      <c r="N173" s="36"/>
    </row>
    <row r="174" spans="1:20" s="37" customFormat="1" ht="15.75" customHeight="1" x14ac:dyDescent="0.35">
      <c r="A174" s="135">
        <f>A173+1</f>
        <v>4</v>
      </c>
      <c r="B174" s="136"/>
      <c r="C174" s="42" t="s">
        <v>369</v>
      </c>
      <c r="D174" s="98">
        <f>(107.935)*(10.764)</f>
        <v>1161.8123399999999</v>
      </c>
      <c r="E174" s="106">
        <f>(6.39)*(10.764)</f>
        <v>68.781959999999998</v>
      </c>
      <c r="F174" s="58">
        <f>D174+E174</f>
        <v>1230.5943</v>
      </c>
      <c r="G174" s="58">
        <v>0</v>
      </c>
      <c r="H174" s="58">
        <f>F174*(($H$166)+1)+(IF(G174&lt;101,G174,IF(G174&lt;201,G174/2,IF(G174&lt;=301,G174/3,G174/4))))</f>
        <v>1845.8914500000001</v>
      </c>
      <c r="I174" s="36">
        <f>3.65*6.35+3.35*2.6+3.35*4.55+3.35*4.55+3.65*4.25+1.8*3.5+1.55+1.5*1.7+1.1*1.2+2.45*1.55+3.35*1.55+1.55*2.4+6.39</f>
        <v>108.70499999999997</v>
      </c>
      <c r="K174" s="111"/>
      <c r="L174" s="253"/>
      <c r="M174" s="253"/>
      <c r="N174" s="36"/>
      <c r="T174" s="21"/>
    </row>
    <row r="175" spans="1:20" s="37" customFormat="1" x14ac:dyDescent="0.35">
      <c r="A175" s="142" t="s">
        <v>400</v>
      </c>
      <c r="B175" s="142"/>
      <c r="C175" s="142"/>
      <c r="D175" s="142"/>
      <c r="E175" s="142"/>
      <c r="F175" s="142"/>
      <c r="G175" s="142"/>
      <c r="H175" s="142"/>
      <c r="I175" s="36"/>
      <c r="L175" s="253"/>
      <c r="M175" s="253"/>
    </row>
    <row r="176" spans="1:20" s="37" customFormat="1" x14ac:dyDescent="0.35">
      <c r="A176" s="143">
        <v>1</v>
      </c>
      <c r="B176" s="143"/>
      <c r="C176" s="113" t="s">
        <v>369</v>
      </c>
      <c r="D176" s="98">
        <f>(125.012)*(10.764)</f>
        <v>1345.6291679999999</v>
      </c>
      <c r="E176" s="106">
        <f>(7.47)*(10.764)</f>
        <v>80.407079999999993</v>
      </c>
      <c r="F176" s="113">
        <f>D176+E176</f>
        <v>1426.0362479999999</v>
      </c>
      <c r="G176" s="113">
        <v>0</v>
      </c>
      <c r="H176" s="113">
        <f>F176*(($H$166)+1)+(IF(G176&lt;101,G176,IF(G176&lt;201,G176/2,IF(G176&lt;=301,G176/3,G176/4))))</f>
        <v>2139.0543719999996</v>
      </c>
      <c r="I176" s="36"/>
      <c r="N176" s="36"/>
    </row>
    <row r="177" spans="1:14" s="37" customFormat="1" x14ac:dyDescent="0.35">
      <c r="A177" s="143">
        <f>A176+1</f>
        <v>2</v>
      </c>
      <c r="B177" s="143"/>
      <c r="C177" s="113" t="s">
        <v>370</v>
      </c>
      <c r="D177" s="98">
        <f>(210.459)*(10.764)</f>
        <v>2265.3806759999998</v>
      </c>
      <c r="E177" s="106">
        <f>(22.219)*(10.764)</f>
        <v>239.16531599999999</v>
      </c>
      <c r="F177" s="113">
        <f>D177+E177</f>
        <v>2504.5459919999998</v>
      </c>
      <c r="G177" s="113">
        <v>0</v>
      </c>
      <c r="H177" s="113">
        <f>F177*(($H$166)+1)+(IF(G177&lt;101,G177,IF(G177&lt;201,G177/2,IF(G177&lt;=301,G177/3,G177/4))))</f>
        <v>3756.818988</v>
      </c>
      <c r="I177" s="36"/>
      <c r="N177" s="36"/>
    </row>
    <row r="178" spans="1:14" s="37" customFormat="1" x14ac:dyDescent="0.35">
      <c r="A178" s="143">
        <f>A177+1</f>
        <v>3</v>
      </c>
      <c r="B178" s="143"/>
      <c r="C178" s="113" t="s">
        <v>369</v>
      </c>
      <c r="D178" s="98">
        <f>117.82*(10.764)</f>
        <v>1268.2144799999999</v>
      </c>
      <c r="E178" s="106">
        <f>(6.48)*(10.764)</f>
        <v>69.750720000000001</v>
      </c>
      <c r="F178" s="113">
        <f>D178+E178</f>
        <v>1337.9651999999999</v>
      </c>
      <c r="G178" s="113">
        <v>0</v>
      </c>
      <c r="H178" s="113">
        <f>F178*(($H$166)+1)+(IF(G178&lt;101,G178,IF(G178&lt;201,G178/2,IF(G178&lt;=301,G178/3,G178/4))))</f>
        <v>2006.9477999999999</v>
      </c>
      <c r="I178" s="36"/>
      <c r="N178" s="36"/>
    </row>
    <row r="179" spans="1:14" s="37" customFormat="1" x14ac:dyDescent="0.35">
      <c r="A179" s="143">
        <f>A178+1</f>
        <v>4</v>
      </c>
      <c r="B179" s="143"/>
      <c r="C179" s="143" t="s">
        <v>371</v>
      </c>
      <c r="D179" s="143"/>
      <c r="E179" s="143"/>
      <c r="F179" s="143"/>
      <c r="G179" s="143"/>
      <c r="H179" s="143"/>
      <c r="I179" s="36"/>
      <c r="N179" s="36"/>
    </row>
    <row r="180" spans="1:14" s="100" customFormat="1" ht="15.75" customHeight="1" x14ac:dyDescent="0.35">
      <c r="A180" s="142" t="s">
        <v>394</v>
      </c>
      <c r="B180" s="142"/>
      <c r="C180" s="142"/>
      <c r="D180" s="142"/>
      <c r="E180" s="142"/>
      <c r="F180" s="142"/>
      <c r="G180" s="142"/>
      <c r="H180" s="142"/>
      <c r="I180" s="36"/>
    </row>
    <row r="181" spans="1:14" s="100" customFormat="1" ht="15.75" customHeight="1" x14ac:dyDescent="0.35">
      <c r="A181" s="143">
        <v>1</v>
      </c>
      <c r="B181" s="143"/>
      <c r="C181" s="113" t="s">
        <v>369</v>
      </c>
      <c r="D181" s="98">
        <f>(125.012)*(10.764)</f>
        <v>1345.6291679999999</v>
      </c>
      <c r="E181" s="106">
        <f>(7.47)*(10.764)</f>
        <v>80.407079999999993</v>
      </c>
      <c r="F181" s="113">
        <f>D181+E181</f>
        <v>1426.0362479999999</v>
      </c>
      <c r="G181" s="113">
        <v>0</v>
      </c>
      <c r="H181" s="113">
        <f>F181*(($H$166)+1)+(IF(G181&lt;101,G181,IF(G181&lt;201,G181/2,IF(G181&lt;=301,G181/3,G181/4))))</f>
        <v>2139.0543719999996</v>
      </c>
      <c r="I181" s="36">
        <v>2390</v>
      </c>
      <c r="J181" s="100">
        <f>I181/F181</f>
        <v>1.6759742281109253</v>
      </c>
    </row>
    <row r="182" spans="1:14" s="100" customFormat="1" ht="15.75" customHeight="1" x14ac:dyDescent="0.35">
      <c r="A182" s="143">
        <v>2</v>
      </c>
      <c r="B182" s="143"/>
      <c r="C182" s="113" t="s">
        <v>370</v>
      </c>
      <c r="D182" s="98">
        <f>(210.459)*(10.764)</f>
        <v>2265.3806759999998</v>
      </c>
      <c r="E182" s="106">
        <f>(22.219)*(10.764)</f>
        <v>239.16531599999999</v>
      </c>
      <c r="F182" s="113">
        <f>D182+E182</f>
        <v>2504.5459919999998</v>
      </c>
      <c r="G182" s="113">
        <v>0</v>
      </c>
      <c r="H182" s="113">
        <f>F182*(($H$166)+1)+(IF(G182&lt;101,G182,IF(G182&lt;201,G182/2,IF(G182&lt;=301,G182/3,G182/4))))</f>
        <v>3756.818988</v>
      </c>
      <c r="I182" s="36">
        <v>4490</v>
      </c>
      <c r="J182" s="111">
        <f t="shared" ref="J182:J183" si="4">I182/F182</f>
        <v>1.7927400871622725</v>
      </c>
    </row>
    <row r="183" spans="1:14" s="100" customFormat="1" ht="15.75" customHeight="1" x14ac:dyDescent="0.35">
      <c r="A183" s="143">
        <v>3</v>
      </c>
      <c r="B183" s="143"/>
      <c r="C183" s="113" t="s">
        <v>369</v>
      </c>
      <c r="D183" s="98">
        <f>117.82*(10.764)</f>
        <v>1268.2144799999999</v>
      </c>
      <c r="E183" s="106">
        <f>(6.48)*(10.764)</f>
        <v>69.750720000000001</v>
      </c>
      <c r="F183" s="113">
        <f>D183+E183</f>
        <v>1337.9651999999999</v>
      </c>
      <c r="G183" s="113">
        <v>0</v>
      </c>
      <c r="H183" s="113">
        <f>F183*(($H$166)+1)+(IF(G183&lt;101,G183,IF(G183&lt;201,G183/2,IF(G183&lt;=301,G183/3,G183/4))))</f>
        <v>2006.9477999999999</v>
      </c>
      <c r="I183" s="36">
        <v>2575</v>
      </c>
      <c r="J183" s="111">
        <f t="shared" si="4"/>
        <v>1.9245642562302818</v>
      </c>
    </row>
    <row r="184" spans="1:14" s="100" customFormat="1" ht="15.75" customHeight="1" x14ac:dyDescent="0.35">
      <c r="A184" s="142" t="s">
        <v>393</v>
      </c>
      <c r="B184" s="142"/>
      <c r="C184" s="142"/>
      <c r="D184" s="142"/>
      <c r="E184" s="142"/>
      <c r="F184" s="142"/>
      <c r="G184" s="142"/>
      <c r="H184" s="142"/>
      <c r="I184" s="36"/>
    </row>
    <row r="185" spans="1:14" s="100" customFormat="1" ht="15.75" customHeight="1" x14ac:dyDescent="0.35">
      <c r="A185" s="135">
        <v>1</v>
      </c>
      <c r="B185" s="136"/>
      <c r="C185" s="99" t="s">
        <v>369</v>
      </c>
      <c r="D185" s="98">
        <f>(125.012)*(10.764)</f>
        <v>1345.6291679999999</v>
      </c>
      <c r="E185" s="106">
        <f>(7.47)*(10.764)</f>
        <v>80.407079999999993</v>
      </c>
      <c r="F185" s="99">
        <f>D185+E185</f>
        <v>1426.0362479999999</v>
      </c>
      <c r="G185" s="99">
        <v>0</v>
      </c>
      <c r="H185" s="99">
        <f>F185*(($H$166)+1)+(IF(G185&lt;101,G185,IF(G185&lt;201,G185/2,IF(G185&lt;=301,G185/3,G185/4))))</f>
        <v>2139.0543719999996</v>
      </c>
      <c r="I185" s="36"/>
    </row>
    <row r="186" spans="1:14" s="100" customFormat="1" ht="15.75" customHeight="1" x14ac:dyDescent="0.35">
      <c r="A186" s="135">
        <v>2</v>
      </c>
      <c r="B186" s="136"/>
      <c r="C186" s="99" t="s">
        <v>370</v>
      </c>
      <c r="D186" s="98">
        <f>(210.459)*(10.764)</f>
        <v>2265.3806759999998</v>
      </c>
      <c r="E186" s="106">
        <f>(22.219)*(10.764)</f>
        <v>239.16531599999999</v>
      </c>
      <c r="F186" s="99">
        <f>D186+E186</f>
        <v>2504.5459919999998</v>
      </c>
      <c r="G186" s="99">
        <v>0</v>
      </c>
      <c r="H186" s="99">
        <f>F186*(($H$166)+1)+(IF(G186&lt;101,G186,IF(G186&lt;201,G186/2,IF(G186&lt;=301,G186/3,G186/4))))</f>
        <v>3756.818988</v>
      </c>
      <c r="I186" s="36"/>
    </row>
    <row r="187" spans="1:14" s="100" customFormat="1" ht="15.75" customHeight="1" x14ac:dyDescent="0.35">
      <c r="A187" s="135">
        <v>3</v>
      </c>
      <c r="B187" s="136"/>
      <c r="C187" s="99" t="s">
        <v>369</v>
      </c>
      <c r="D187" s="98">
        <f>117.82*(10.764)</f>
        <v>1268.2144799999999</v>
      </c>
      <c r="E187" s="106">
        <f>(6.48)*(10.764)</f>
        <v>69.750720000000001</v>
      </c>
      <c r="F187" s="99">
        <f>D187+E187</f>
        <v>1337.9651999999999</v>
      </c>
      <c r="G187" s="99">
        <v>0</v>
      </c>
      <c r="H187" s="99">
        <f>F187*(($H$166)+1)+(IF(G187&lt;101,G187,IF(G187&lt;201,G187/2,IF(G187&lt;=301,G187/3,G187/4))))</f>
        <v>2006.9477999999999</v>
      </c>
      <c r="I187" s="36"/>
    </row>
    <row r="188" spans="1:14" s="100" customFormat="1" ht="15.75" customHeight="1" x14ac:dyDescent="0.35">
      <c r="A188" s="135">
        <v>4</v>
      </c>
      <c r="B188" s="136"/>
      <c r="C188" s="135" t="s">
        <v>372</v>
      </c>
      <c r="D188" s="184"/>
      <c r="E188" s="184"/>
      <c r="F188" s="184"/>
      <c r="G188" s="184"/>
      <c r="H188" s="136"/>
      <c r="I188" s="36"/>
    </row>
    <row r="189" spans="1:14" s="37" customFormat="1" x14ac:dyDescent="0.35">
      <c r="A189" s="132" t="s">
        <v>373</v>
      </c>
      <c r="B189" s="133"/>
      <c r="C189" s="133"/>
      <c r="D189" s="133"/>
      <c r="E189" s="133"/>
      <c r="F189" s="133"/>
      <c r="G189" s="133"/>
      <c r="H189" s="134"/>
      <c r="I189" s="36"/>
    </row>
    <row r="190" spans="1:14" s="37" customFormat="1" ht="15.75" customHeight="1" x14ac:dyDescent="0.35">
      <c r="A190" s="135">
        <v>1</v>
      </c>
      <c r="B190" s="136"/>
      <c r="C190" s="97" t="s">
        <v>369</v>
      </c>
      <c r="D190" s="98">
        <f>(125.012)*(10.764)</f>
        <v>1345.6291679999999</v>
      </c>
      <c r="E190" s="106">
        <f>(7.47)*(10.764)</f>
        <v>80.407079999999993</v>
      </c>
      <c r="F190" s="58">
        <f>D190+E190</f>
        <v>1426.0362479999999</v>
      </c>
      <c r="G190" s="58">
        <v>0</v>
      </c>
      <c r="H190" s="58">
        <f>F190*(($H$166)+1)+(IF(G190&lt;101,G190,IF(G190&lt;201,G190/2,IF(G190&lt;=301,G190/3,G190/4))))</f>
        <v>2139.0543719999996</v>
      </c>
      <c r="I190" s="36"/>
    </row>
    <row r="191" spans="1:14" s="37" customFormat="1" ht="15.75" customHeight="1" x14ac:dyDescent="0.35">
      <c r="A191" s="135">
        <v>2</v>
      </c>
      <c r="B191" s="136"/>
      <c r="C191" s="97" t="s">
        <v>370</v>
      </c>
      <c r="D191" s="98">
        <f>(210.459)*(10.764)</f>
        <v>2265.3806759999998</v>
      </c>
      <c r="E191" s="106">
        <f>(22.219)*(10.764)</f>
        <v>239.16531599999999</v>
      </c>
      <c r="F191" s="58">
        <f>D191+E191</f>
        <v>2504.5459919999998</v>
      </c>
      <c r="G191" s="58">
        <v>0</v>
      </c>
      <c r="H191" s="58">
        <f>F191*(($H$166)+1)+(IF(G191&lt;101,G191,IF(G191&lt;201,G191/2,IF(G191&lt;=301,G191/3,G191/4))))</f>
        <v>3756.818988</v>
      </c>
      <c r="I191" s="36"/>
    </row>
    <row r="192" spans="1:14" s="37" customFormat="1" ht="15.75" customHeight="1" x14ac:dyDescent="0.35">
      <c r="A192" s="135">
        <v>3</v>
      </c>
      <c r="B192" s="136"/>
      <c r="C192" s="97" t="s">
        <v>369</v>
      </c>
      <c r="D192" s="98">
        <f>(117.82)*(10.764)</f>
        <v>1268.2144799999999</v>
      </c>
      <c r="E192" s="106">
        <f>(6.48)*(10.764)</f>
        <v>69.750720000000001</v>
      </c>
      <c r="F192" s="58">
        <f>D192+E192</f>
        <v>1337.9651999999999</v>
      </c>
      <c r="G192" s="58">
        <v>0</v>
      </c>
      <c r="H192" s="58">
        <f>F192*(($H$166)+1)+(IF(G192&lt;101,G192,IF(G192&lt;201,G192/2,IF(G192&lt;=301,G192/3,G192/4))))</f>
        <v>2006.9477999999999</v>
      </c>
      <c r="I192" s="36"/>
    </row>
    <row r="193" spans="1:20" s="100" customFormat="1" x14ac:dyDescent="0.35">
      <c r="A193" s="132" t="s">
        <v>395</v>
      </c>
      <c r="B193" s="133"/>
      <c r="C193" s="133"/>
      <c r="D193" s="133"/>
      <c r="E193" s="133"/>
      <c r="F193" s="133"/>
      <c r="G193" s="133"/>
      <c r="H193" s="134"/>
      <c r="I193" s="36"/>
    </row>
    <row r="194" spans="1:20" s="100" customFormat="1" ht="15.75" customHeight="1" x14ac:dyDescent="0.35">
      <c r="A194" s="135">
        <v>1</v>
      </c>
      <c r="B194" s="136"/>
      <c r="C194" s="99" t="s">
        <v>369</v>
      </c>
      <c r="D194" s="98">
        <f>(125.012)*(10.764)</f>
        <v>1345.6291679999999</v>
      </c>
      <c r="E194" s="106">
        <f>(7.47)*(10.764)</f>
        <v>80.407079999999993</v>
      </c>
      <c r="F194" s="99">
        <f>D194+E194</f>
        <v>1426.0362479999999</v>
      </c>
      <c r="G194" s="99">
        <v>0</v>
      </c>
      <c r="H194" s="99">
        <f>F194*(($H$166)+1)+(IF(G194&lt;101,G194,IF(G194&lt;201,G194/2,IF(G194&lt;=301,G194/3,G194/4))))</f>
        <v>2139.0543719999996</v>
      </c>
      <c r="I194" s="36"/>
    </row>
    <row r="195" spans="1:20" s="100" customFormat="1" ht="15.75" customHeight="1" x14ac:dyDescent="0.35">
      <c r="A195" s="135">
        <v>2</v>
      </c>
      <c r="B195" s="136"/>
      <c r="C195" s="99" t="s">
        <v>370</v>
      </c>
      <c r="D195" s="98">
        <f>(210.459)*(10.764)</f>
        <v>2265.3806759999998</v>
      </c>
      <c r="E195" s="106">
        <f>(22.219)*(10.764)</f>
        <v>239.16531599999999</v>
      </c>
      <c r="F195" s="99">
        <f>D195+E195</f>
        <v>2504.5459919999998</v>
      </c>
      <c r="G195" s="99">
        <v>0</v>
      </c>
      <c r="H195" s="99">
        <f>F195*(($H$166)+1)+(IF(G195&lt;101,G195,IF(G195&lt;201,G195/2,IF(G195&lt;=301,G195/3,G195/4))))</f>
        <v>3756.818988</v>
      </c>
      <c r="I195" s="36"/>
    </row>
    <row r="196" spans="1:20" s="100" customFormat="1" ht="15.75" customHeight="1" x14ac:dyDescent="0.35">
      <c r="A196" s="135">
        <v>3</v>
      </c>
      <c r="B196" s="136"/>
      <c r="C196" s="99" t="s">
        <v>369</v>
      </c>
      <c r="D196" s="98">
        <f>(117.82)*(10.764)</f>
        <v>1268.2144799999999</v>
      </c>
      <c r="E196" s="106">
        <f>(6.48)*(10.764)</f>
        <v>69.750720000000001</v>
      </c>
      <c r="F196" s="99">
        <f>D196+E196</f>
        <v>1337.9651999999999</v>
      </c>
      <c r="G196" s="99">
        <v>0</v>
      </c>
      <c r="H196" s="99">
        <f>F196*(($H$166)+1)+(IF(G196&lt;101,G196,IF(G196&lt;201,G196/2,IF(G196&lt;=301,G196/3,G196/4))))</f>
        <v>2006.9477999999999</v>
      </c>
      <c r="I196" s="36"/>
    </row>
    <row r="197" spans="1:20" s="100" customFormat="1" ht="15.75" customHeight="1" x14ac:dyDescent="0.35">
      <c r="A197" s="135">
        <v>4</v>
      </c>
      <c r="B197" s="136"/>
      <c r="C197" s="135" t="s">
        <v>372</v>
      </c>
      <c r="D197" s="184"/>
      <c r="E197" s="184"/>
      <c r="F197" s="184"/>
      <c r="G197" s="184"/>
      <c r="H197" s="136"/>
      <c r="I197" s="36"/>
    </row>
    <row r="198" spans="1:20" s="37" customFormat="1" x14ac:dyDescent="0.35">
      <c r="A198" s="132" t="s">
        <v>396</v>
      </c>
      <c r="B198" s="133"/>
      <c r="C198" s="133"/>
      <c r="D198" s="133"/>
      <c r="E198" s="133"/>
      <c r="F198" s="133"/>
      <c r="G198" s="133"/>
      <c r="H198" s="134"/>
      <c r="I198" s="36"/>
    </row>
    <row r="199" spans="1:20" s="37" customFormat="1" ht="15.75" customHeight="1" x14ac:dyDescent="0.35">
      <c r="A199" s="135">
        <v>1</v>
      </c>
      <c r="B199" s="136"/>
      <c r="C199" s="97" t="s">
        <v>369</v>
      </c>
      <c r="D199" s="98">
        <f>(125.012)*(10.764)</f>
        <v>1345.6291679999999</v>
      </c>
      <c r="E199" s="106">
        <f>(7.47)*(10.764)</f>
        <v>80.407079999999993</v>
      </c>
      <c r="F199" s="58">
        <f>D199+E199</f>
        <v>1426.0362479999999</v>
      </c>
      <c r="G199" s="58">
        <v>0</v>
      </c>
      <c r="H199" s="58">
        <f>F199*(($H$166)+1)+(IF(G199&lt;101,G199,IF(G199&lt;201,G199/2,IF(G199&lt;=301,G199/3,G199/4))))</f>
        <v>2139.0543719999996</v>
      </c>
      <c r="I199" s="36"/>
    </row>
    <row r="200" spans="1:20" s="37" customFormat="1" ht="15.75" customHeight="1" x14ac:dyDescent="0.35">
      <c r="A200" s="135">
        <v>2</v>
      </c>
      <c r="B200" s="136"/>
      <c r="C200" s="97" t="s">
        <v>370</v>
      </c>
      <c r="D200" s="98">
        <f>(210.459)*(10.764)</f>
        <v>2265.3806759999998</v>
      </c>
      <c r="E200" s="106">
        <f>(22.219)*(10.764)</f>
        <v>239.16531599999999</v>
      </c>
      <c r="F200" s="58">
        <f>D200+E200</f>
        <v>2504.5459919999998</v>
      </c>
      <c r="G200" s="58">
        <v>0</v>
      </c>
      <c r="H200" s="58">
        <f>F200*(($H$166)+1)+(IF(G200&lt;101,G200,IF(G200&lt;201,G200/2,IF(G200&lt;=301,G200/3,G200/4))))</f>
        <v>3756.818988</v>
      </c>
      <c r="I200" s="36"/>
    </row>
    <row r="201" spans="1:20" s="37" customFormat="1" ht="15.75" customHeight="1" x14ac:dyDescent="0.35">
      <c r="A201" s="135">
        <v>3</v>
      </c>
      <c r="B201" s="136"/>
      <c r="C201" s="97" t="s">
        <v>369</v>
      </c>
      <c r="D201" s="98">
        <f>(117.82)*(10.764)</f>
        <v>1268.2144799999999</v>
      </c>
      <c r="E201" s="106">
        <f>(6.48)*(10.764)</f>
        <v>69.750720000000001</v>
      </c>
      <c r="F201" s="58">
        <f>D201+E201</f>
        <v>1337.9651999999999</v>
      </c>
      <c r="G201" s="58">
        <v>0</v>
      </c>
      <c r="H201" s="58">
        <f>F201*(($H$166)+1)+(IF(G201&lt;101,G201,IF(G201&lt;201,G201/2,IF(G201&lt;=301,G201/3,G201/4))))</f>
        <v>2006.9477999999999</v>
      </c>
      <c r="I201" s="36"/>
    </row>
    <row r="202" spans="1:20" s="96" customFormat="1" x14ac:dyDescent="0.35">
      <c r="A202" s="132" t="s">
        <v>374</v>
      </c>
      <c r="B202" s="133"/>
      <c r="C202" s="133"/>
      <c r="D202" s="133"/>
      <c r="E202" s="133"/>
      <c r="F202" s="133"/>
      <c r="G202" s="133"/>
      <c r="H202" s="134"/>
      <c r="J202" s="36"/>
    </row>
    <row r="203" spans="1:20" s="96" customFormat="1" x14ac:dyDescent="0.35">
      <c r="A203" s="132" t="s">
        <v>365</v>
      </c>
      <c r="B203" s="133"/>
      <c r="C203" s="133"/>
      <c r="D203" s="133"/>
      <c r="E203" s="133"/>
      <c r="F203" s="133"/>
      <c r="G203" s="133"/>
      <c r="H203" s="134"/>
      <c r="J203" s="36"/>
    </row>
    <row r="204" spans="1:20" s="96" customFormat="1" ht="15.75" customHeight="1" x14ac:dyDescent="0.35">
      <c r="A204" s="135">
        <v>1</v>
      </c>
      <c r="B204" s="136"/>
      <c r="C204" s="97" t="s">
        <v>369</v>
      </c>
      <c r="D204" s="98">
        <f>(125.012)*(10.764)</f>
        <v>1345.6291679999999</v>
      </c>
      <c r="E204" s="106">
        <f>(7.47)*(10.764)</f>
        <v>80.407079999999993</v>
      </c>
      <c r="F204" s="97">
        <f>D204+E204</f>
        <v>1426.0362479999999</v>
      </c>
      <c r="G204" s="97">
        <v>0</v>
      </c>
      <c r="H204" s="97">
        <f>F204*(($H$166)+1)+(IF(G204&lt;101,G204,IF(G204&lt;201,G204/2,IF(G204&lt;=301,G204/3,G204/4))))</f>
        <v>2139.0543719999996</v>
      </c>
      <c r="I204" s="36">
        <f>4.25*6.8+4.25*2.75+3.65*4.55+3.35*4.55+3.65*4.55+1.9*1.35+1+1.8*1.2+3.05*1.85+1.55*2.45+2.45*1.55+1.45*3.95+2.5*1.85</f>
        <v>118.36</v>
      </c>
      <c r="L204" s="253"/>
      <c r="M204" s="253"/>
      <c r="N204" s="36"/>
    </row>
    <row r="205" spans="1:20" s="96" customFormat="1" ht="15.75" customHeight="1" x14ac:dyDescent="0.35">
      <c r="A205" s="135">
        <f>A204+1</f>
        <v>2</v>
      </c>
      <c r="B205" s="136"/>
      <c r="C205" s="97" t="s">
        <v>370</v>
      </c>
      <c r="D205" s="98">
        <f>(210.459)*(10.764)</f>
        <v>2265.3806759999998</v>
      </c>
      <c r="E205" s="106">
        <f>(22.219)*(10.764)</f>
        <v>239.16531599999999</v>
      </c>
      <c r="F205" s="97">
        <f>D205+E205</f>
        <v>2504.5459919999998</v>
      </c>
      <c r="G205" s="97">
        <v>0</v>
      </c>
      <c r="H205" s="97">
        <f>F205*(($H$166)+1)+(IF(G205&lt;101,G205,IF(G205&lt;201,G205/2,IF(G205&lt;=301,G205/3,G205/4))))</f>
        <v>3756.818988</v>
      </c>
      <c r="I205" s="36">
        <f>9.725*6.1+3.8*3.65+3.65*6.2+4.85*3.65+4.85*3.35+6.15+3.65+1.7*3.55+4.25*1.2+2.95*1.2+2.825*1.55+1.85*3.55+1.85*2.9+1.55*2.9+1.55*3.05+1.85*3.05</f>
        <v>185.42374999999998</v>
      </c>
      <c r="L205" s="253"/>
      <c r="M205" s="253"/>
      <c r="N205" s="36"/>
    </row>
    <row r="206" spans="1:20" s="96" customFormat="1" ht="15.75" customHeight="1" x14ac:dyDescent="0.35">
      <c r="A206" s="135">
        <f>A205+1</f>
        <v>3</v>
      </c>
      <c r="B206" s="136"/>
      <c r="C206" s="97" t="s">
        <v>369</v>
      </c>
      <c r="D206" s="98">
        <f>117.82*(10.764)</f>
        <v>1268.2144799999999</v>
      </c>
      <c r="E206" s="106">
        <f>(6.48)*(10.764)</f>
        <v>69.750720000000001</v>
      </c>
      <c r="F206" s="97">
        <f>D206+E206</f>
        <v>1337.9651999999999</v>
      </c>
      <c r="G206" s="97">
        <v>0</v>
      </c>
      <c r="H206" s="97">
        <f>F206*(($H$166)+1)+(IF(G206&lt;101,G206,IF(G206&lt;201,G206/2,IF(G206&lt;=301,G206/3,G206/4))))</f>
        <v>2006.9477999999999</v>
      </c>
      <c r="I206" s="36"/>
      <c r="L206" s="253"/>
      <c r="M206" s="253"/>
      <c r="N206" s="36"/>
    </row>
    <row r="207" spans="1:20" s="96" customFormat="1" ht="15.75" customHeight="1" x14ac:dyDescent="0.35">
      <c r="A207" s="135">
        <f>A206+1</f>
        <v>4</v>
      </c>
      <c r="B207" s="136"/>
      <c r="C207" s="97" t="s">
        <v>369</v>
      </c>
      <c r="D207" s="98">
        <f>(107.935)*(10.764)</f>
        <v>1161.8123399999999</v>
      </c>
      <c r="E207" s="106">
        <f>(6.39)*(10.764)</f>
        <v>68.781959999999998</v>
      </c>
      <c r="F207" s="97">
        <f>D207+E207</f>
        <v>1230.5943</v>
      </c>
      <c r="G207" s="97">
        <v>0</v>
      </c>
      <c r="H207" s="97">
        <f>F207*(($H$166)+1)+(IF(G207&lt;101,G207,IF(G207&lt;201,G207/2,IF(G207&lt;=301,G207/3,G207/4))))</f>
        <v>1845.8914500000001</v>
      </c>
      <c r="I207" s="36">
        <f>3.65*6.35+3.35*2.6+3.35*4.55+3.35*4.55+3.65*4.25+1.8*3.5+1.55+1.5*1.7+1.1*1.2+2.45*1.55+3.35*1.55+1.55*2.4+6.39</f>
        <v>108.70499999999997</v>
      </c>
      <c r="L207" s="253"/>
      <c r="M207" s="253"/>
      <c r="N207" s="36"/>
      <c r="T207" s="21"/>
    </row>
    <row r="208" spans="1:20" s="96" customFormat="1" x14ac:dyDescent="0.35">
      <c r="A208" s="142" t="s">
        <v>400</v>
      </c>
      <c r="B208" s="142"/>
      <c r="C208" s="142"/>
      <c r="D208" s="142"/>
      <c r="E208" s="142"/>
      <c r="F208" s="142"/>
      <c r="G208" s="142"/>
      <c r="H208" s="142"/>
      <c r="I208" s="36"/>
      <c r="L208" s="253"/>
      <c r="M208" s="253"/>
    </row>
    <row r="209" spans="1:14" s="96" customFormat="1" x14ac:dyDescent="0.35">
      <c r="A209" s="143">
        <v>1</v>
      </c>
      <c r="B209" s="143"/>
      <c r="C209" s="97" t="s">
        <v>369</v>
      </c>
      <c r="D209" s="98">
        <f>(125.012)*(10.764)</f>
        <v>1345.6291679999999</v>
      </c>
      <c r="E209" s="106">
        <f>(7.47)*(10.764)</f>
        <v>80.407079999999993</v>
      </c>
      <c r="F209" s="97">
        <f>D209+E209</f>
        <v>1426.0362479999999</v>
      </c>
      <c r="G209" s="97">
        <v>0</v>
      </c>
      <c r="H209" s="97">
        <f>F209*(($H$166)+1)+(IF(G209&lt;101,G209,IF(G209&lt;201,G209/2,IF(G209&lt;=301,G209/3,G209/4))))</f>
        <v>2139.0543719999996</v>
      </c>
      <c r="I209" s="36"/>
      <c r="N209" s="36"/>
    </row>
    <row r="210" spans="1:14" s="96" customFormat="1" x14ac:dyDescent="0.35">
      <c r="A210" s="143">
        <f>A209+1</f>
        <v>2</v>
      </c>
      <c r="B210" s="143"/>
      <c r="C210" s="97" t="s">
        <v>370</v>
      </c>
      <c r="D210" s="98">
        <f>(210.459)*(10.764)</f>
        <v>2265.3806759999998</v>
      </c>
      <c r="E210" s="106">
        <f>(22.219)*(10.764)</f>
        <v>239.16531599999999</v>
      </c>
      <c r="F210" s="97">
        <f>D210+E210</f>
        <v>2504.5459919999998</v>
      </c>
      <c r="G210" s="97">
        <v>0</v>
      </c>
      <c r="H210" s="97">
        <f>F210*(($H$166)+1)+(IF(G210&lt;101,G210,IF(G210&lt;201,G210/2,IF(G210&lt;=301,G210/3,G210/4))))</f>
        <v>3756.818988</v>
      </c>
      <c r="I210" s="36"/>
      <c r="N210" s="36"/>
    </row>
    <row r="211" spans="1:14" s="96" customFormat="1" x14ac:dyDescent="0.35">
      <c r="A211" s="143">
        <f>A210+1</f>
        <v>3</v>
      </c>
      <c r="B211" s="143"/>
      <c r="C211" s="97" t="s">
        <v>369</v>
      </c>
      <c r="D211" s="98">
        <f>117.82*(10.764)</f>
        <v>1268.2144799999999</v>
      </c>
      <c r="E211" s="106">
        <f>(6.48)*(10.764)</f>
        <v>69.750720000000001</v>
      </c>
      <c r="F211" s="97">
        <f>D211+E211</f>
        <v>1337.9651999999999</v>
      </c>
      <c r="G211" s="97">
        <v>0</v>
      </c>
      <c r="H211" s="97">
        <f>F211*(($H$166)+1)+(IF(G211&lt;101,G211,IF(G211&lt;201,G211/2,IF(G211&lt;=301,G211/3,G211/4))))</f>
        <v>2006.9477999999999</v>
      </c>
      <c r="I211" s="36"/>
      <c r="N211" s="36"/>
    </row>
    <row r="212" spans="1:14" s="96" customFormat="1" x14ac:dyDescent="0.35">
      <c r="A212" s="143">
        <f>A211+1</f>
        <v>4</v>
      </c>
      <c r="B212" s="143"/>
      <c r="C212" s="135" t="s">
        <v>371</v>
      </c>
      <c r="D212" s="184"/>
      <c r="E212" s="184"/>
      <c r="F212" s="184"/>
      <c r="G212" s="184"/>
      <c r="H212" s="136"/>
      <c r="I212" s="36"/>
      <c r="N212" s="36"/>
    </row>
    <row r="213" spans="1:14" s="100" customFormat="1" ht="15.75" customHeight="1" x14ac:dyDescent="0.35">
      <c r="A213" s="132" t="s">
        <v>394</v>
      </c>
      <c r="B213" s="133"/>
      <c r="C213" s="133"/>
      <c r="D213" s="133"/>
      <c r="E213" s="133"/>
      <c r="F213" s="133"/>
      <c r="G213" s="133"/>
      <c r="H213" s="134"/>
      <c r="I213" s="36"/>
    </row>
    <row r="214" spans="1:14" s="100" customFormat="1" ht="15.75" customHeight="1" x14ac:dyDescent="0.35">
      <c r="A214" s="135">
        <v>1</v>
      </c>
      <c r="B214" s="136"/>
      <c r="C214" s="99" t="s">
        <v>369</v>
      </c>
      <c r="D214" s="98">
        <f>(125.012)*(10.764)</f>
        <v>1345.6291679999999</v>
      </c>
      <c r="E214" s="106">
        <f>(7.47)*(10.764)</f>
        <v>80.407079999999993</v>
      </c>
      <c r="F214" s="99">
        <f>D214+E214</f>
        <v>1426.0362479999999</v>
      </c>
      <c r="G214" s="99">
        <v>0</v>
      </c>
      <c r="H214" s="99">
        <f>F214*(($H$166)+1)+(IF(G214&lt;101,G214,IF(G214&lt;201,G214/2,IF(G214&lt;=301,G214/3,G214/4))))</f>
        <v>2139.0543719999996</v>
      </c>
      <c r="I214" s="36"/>
    </row>
    <row r="215" spans="1:14" s="100" customFormat="1" ht="15.75" customHeight="1" x14ac:dyDescent="0.35">
      <c r="A215" s="135">
        <v>2</v>
      </c>
      <c r="B215" s="136"/>
      <c r="C215" s="99" t="s">
        <v>370</v>
      </c>
      <c r="D215" s="98">
        <f>(210.459)*(10.764)</f>
        <v>2265.3806759999998</v>
      </c>
      <c r="E215" s="106">
        <f>(22.219)*(10.764)</f>
        <v>239.16531599999999</v>
      </c>
      <c r="F215" s="99">
        <f>D215+E215</f>
        <v>2504.5459919999998</v>
      </c>
      <c r="G215" s="99">
        <v>0</v>
      </c>
      <c r="H215" s="99">
        <f>F215*(($H$166)+1)+(IF(G215&lt;101,G215,IF(G215&lt;201,G215/2,IF(G215&lt;=301,G215/3,G215/4))))</f>
        <v>3756.818988</v>
      </c>
      <c r="I215" s="36"/>
    </row>
    <row r="216" spans="1:14" s="100" customFormat="1" ht="15.75" customHeight="1" x14ac:dyDescent="0.35">
      <c r="A216" s="135">
        <v>3</v>
      </c>
      <c r="B216" s="136"/>
      <c r="C216" s="99" t="s">
        <v>369</v>
      </c>
      <c r="D216" s="98">
        <f>117.82*(10.764)</f>
        <v>1268.2144799999999</v>
      </c>
      <c r="E216" s="106">
        <f>(6.48)*(10.764)</f>
        <v>69.750720000000001</v>
      </c>
      <c r="F216" s="99">
        <f>D216+E216</f>
        <v>1337.9651999999999</v>
      </c>
      <c r="G216" s="99">
        <v>0</v>
      </c>
      <c r="H216" s="99">
        <f>F216*(($H$166)+1)+(IF(G216&lt;101,G216,IF(G216&lt;201,G216/2,IF(G216&lt;=301,G216/3,G216/4))))</f>
        <v>2006.9477999999999</v>
      </c>
      <c r="I216" s="36"/>
    </row>
    <row r="217" spans="1:14" s="100" customFormat="1" ht="15.75" customHeight="1" x14ac:dyDescent="0.35">
      <c r="A217" s="135">
        <v>4</v>
      </c>
      <c r="B217" s="136"/>
      <c r="C217" s="135" t="s">
        <v>372</v>
      </c>
      <c r="D217" s="184"/>
      <c r="E217" s="184"/>
      <c r="F217" s="184"/>
      <c r="G217" s="184"/>
      <c r="H217" s="136"/>
      <c r="I217" s="36"/>
    </row>
    <row r="218" spans="1:14" s="96" customFormat="1" ht="15.75" customHeight="1" x14ac:dyDescent="0.35">
      <c r="A218" s="142" t="s">
        <v>393</v>
      </c>
      <c r="B218" s="142"/>
      <c r="C218" s="142"/>
      <c r="D218" s="142"/>
      <c r="E218" s="142"/>
      <c r="F218" s="142"/>
      <c r="G218" s="142"/>
      <c r="H218" s="142"/>
      <c r="I218" s="36"/>
    </row>
    <row r="219" spans="1:14" s="96" customFormat="1" ht="15.75" customHeight="1" x14ac:dyDescent="0.35">
      <c r="A219" s="143">
        <v>1</v>
      </c>
      <c r="B219" s="143"/>
      <c r="C219" s="113" t="s">
        <v>369</v>
      </c>
      <c r="D219" s="98">
        <f>(125.012)*(10.764)</f>
        <v>1345.6291679999999</v>
      </c>
      <c r="E219" s="106">
        <f>(7.47)*(10.764)</f>
        <v>80.407079999999993</v>
      </c>
      <c r="F219" s="113">
        <f>D219+E219</f>
        <v>1426.0362479999999</v>
      </c>
      <c r="G219" s="113">
        <v>0</v>
      </c>
      <c r="H219" s="113">
        <f>F219*(($H$166)+1)+(IF(G219&lt;101,G219,IF(G219&lt;201,G219/2,IF(G219&lt;=301,G219/3,G219/4))))</f>
        <v>2139.0543719999996</v>
      </c>
      <c r="I219" s="36"/>
    </row>
    <row r="220" spans="1:14" s="96" customFormat="1" ht="15.75" customHeight="1" x14ac:dyDescent="0.35">
      <c r="A220" s="143">
        <v>2</v>
      </c>
      <c r="B220" s="143"/>
      <c r="C220" s="113" t="s">
        <v>370</v>
      </c>
      <c r="D220" s="98">
        <f>(210.459)*(10.764)</f>
        <v>2265.3806759999998</v>
      </c>
      <c r="E220" s="106">
        <f>(22.219)*(10.764)</f>
        <v>239.16531599999999</v>
      </c>
      <c r="F220" s="113">
        <f>D220+E220</f>
        <v>2504.5459919999998</v>
      </c>
      <c r="G220" s="113">
        <v>0</v>
      </c>
      <c r="H220" s="113">
        <f>F220*(($H$166)+1)+(IF(G220&lt;101,G220,IF(G220&lt;201,G220/2,IF(G220&lt;=301,G220/3,G220/4))))</f>
        <v>3756.818988</v>
      </c>
      <c r="I220" s="36"/>
    </row>
    <row r="221" spans="1:14" s="96" customFormat="1" ht="15.75" customHeight="1" x14ac:dyDescent="0.35">
      <c r="A221" s="143">
        <v>3</v>
      </c>
      <c r="B221" s="143"/>
      <c r="C221" s="113" t="s">
        <v>369</v>
      </c>
      <c r="D221" s="98">
        <f>117.82*(10.764)</f>
        <v>1268.2144799999999</v>
      </c>
      <c r="E221" s="106">
        <f>(6.48)*(10.764)</f>
        <v>69.750720000000001</v>
      </c>
      <c r="F221" s="113">
        <f>D221+E221</f>
        <v>1337.9651999999999</v>
      </c>
      <c r="G221" s="113">
        <v>0</v>
      </c>
      <c r="H221" s="113">
        <f>F221*(($H$166)+1)+(IF(G221&lt;101,G221,IF(G221&lt;201,G221/2,IF(G221&lt;=301,G221/3,G221/4))))</f>
        <v>2006.9477999999999</v>
      </c>
      <c r="I221" s="36"/>
    </row>
    <row r="222" spans="1:14" s="96" customFormat="1" ht="15.75" customHeight="1" x14ac:dyDescent="0.35">
      <c r="A222" s="143">
        <v>4</v>
      </c>
      <c r="B222" s="143"/>
      <c r="C222" s="143" t="s">
        <v>372</v>
      </c>
      <c r="D222" s="143"/>
      <c r="E222" s="143"/>
      <c r="F222" s="143"/>
      <c r="G222" s="143"/>
      <c r="H222" s="143"/>
      <c r="I222" s="36"/>
    </row>
    <row r="223" spans="1:14" s="96" customFormat="1" x14ac:dyDescent="0.35">
      <c r="A223" s="142" t="s">
        <v>373</v>
      </c>
      <c r="B223" s="142"/>
      <c r="C223" s="142"/>
      <c r="D223" s="142"/>
      <c r="E223" s="142"/>
      <c r="F223" s="142"/>
      <c r="G223" s="142"/>
      <c r="H223" s="142"/>
      <c r="I223" s="36"/>
    </row>
    <row r="224" spans="1:14" s="96" customFormat="1" ht="15.75" customHeight="1" x14ac:dyDescent="0.35">
      <c r="A224" s="143">
        <v>1</v>
      </c>
      <c r="B224" s="143"/>
      <c r="C224" s="113" t="s">
        <v>369</v>
      </c>
      <c r="D224" s="98">
        <f>(125.012)*(10.764)</f>
        <v>1345.6291679999999</v>
      </c>
      <c r="E224" s="106">
        <f>(7.47)*(10.764)</f>
        <v>80.407079999999993</v>
      </c>
      <c r="F224" s="113">
        <f>D224+E224</f>
        <v>1426.0362479999999</v>
      </c>
      <c r="G224" s="113">
        <v>0</v>
      </c>
      <c r="H224" s="113">
        <f>F224*(($H$166)+1)+(IF(G224&lt;101,G224,IF(G224&lt;201,G224/2,IF(G224&lt;=301,G224/3,G224/4))))</f>
        <v>2139.0543719999996</v>
      </c>
      <c r="I224" s="36"/>
    </row>
    <row r="225" spans="1:20" s="96" customFormat="1" ht="15.75" customHeight="1" x14ac:dyDescent="0.35">
      <c r="A225" s="143">
        <v>2</v>
      </c>
      <c r="B225" s="143"/>
      <c r="C225" s="113" t="s">
        <v>370</v>
      </c>
      <c r="D225" s="98">
        <f>(208.589)*(10.764)</f>
        <v>2245.251996</v>
      </c>
      <c r="E225" s="106">
        <f>(22.219)*(10.764)</f>
        <v>239.16531599999999</v>
      </c>
      <c r="F225" s="113">
        <f>D225+E225</f>
        <v>2484.417312</v>
      </c>
      <c r="G225" s="113">
        <v>0</v>
      </c>
      <c r="H225" s="113">
        <f>F225*(($H$166)+1)+(IF(G225&lt;101,G225,IF(G225&lt;201,G225/2,IF(G225&lt;=301,G225/3,G225/4))))</f>
        <v>3726.6259680000003</v>
      </c>
      <c r="I225" s="36"/>
    </row>
    <row r="226" spans="1:20" s="96" customFormat="1" ht="15.75" customHeight="1" x14ac:dyDescent="0.35">
      <c r="A226" s="143">
        <v>3</v>
      </c>
      <c r="B226" s="143"/>
      <c r="C226" s="113" t="s">
        <v>369</v>
      </c>
      <c r="D226" s="98">
        <f>(117.785)*(10.764)</f>
        <v>1267.8377399999999</v>
      </c>
      <c r="E226" s="106">
        <f>(6.48)*(10.764)</f>
        <v>69.750720000000001</v>
      </c>
      <c r="F226" s="113">
        <f>D226+E226</f>
        <v>1337.5884599999999</v>
      </c>
      <c r="G226" s="113">
        <v>0</v>
      </c>
      <c r="H226" s="113">
        <f>F226*(($H$166)+1)+(IF(G226&lt;101,G226,IF(G226&lt;201,G226/2,IF(G226&lt;=301,G226/3,G226/4))))</f>
        <v>2006.3826899999999</v>
      </c>
      <c r="I226" s="36"/>
    </row>
    <row r="227" spans="1:20" s="100" customFormat="1" x14ac:dyDescent="0.35">
      <c r="A227" s="142" t="s">
        <v>395</v>
      </c>
      <c r="B227" s="142"/>
      <c r="C227" s="142"/>
      <c r="D227" s="142"/>
      <c r="E227" s="142"/>
      <c r="F227" s="142"/>
      <c r="G227" s="142"/>
      <c r="H227" s="142"/>
      <c r="I227" s="36"/>
    </row>
    <row r="228" spans="1:20" s="100" customFormat="1" ht="15.75" customHeight="1" x14ac:dyDescent="0.35">
      <c r="A228" s="135">
        <v>1</v>
      </c>
      <c r="B228" s="136"/>
      <c r="C228" s="99" t="s">
        <v>369</v>
      </c>
      <c r="D228" s="98">
        <f>(125.012)*(10.764)</f>
        <v>1345.6291679999999</v>
      </c>
      <c r="E228" s="106">
        <f>(7.47)*(10.764)</f>
        <v>80.407079999999993</v>
      </c>
      <c r="F228" s="99">
        <f>D228+E228</f>
        <v>1426.0362479999999</v>
      </c>
      <c r="G228" s="99">
        <v>0</v>
      </c>
      <c r="H228" s="99">
        <f>F228*(($H$166)+1)+(IF(G228&lt;101,G228,IF(G228&lt;201,G228/2,IF(G228&lt;=301,G228/3,G228/4))))</f>
        <v>2139.0543719999996</v>
      </c>
      <c r="I228" s="36"/>
    </row>
    <row r="229" spans="1:20" s="100" customFormat="1" ht="15.75" customHeight="1" x14ac:dyDescent="0.35">
      <c r="A229" s="135">
        <v>2</v>
      </c>
      <c r="B229" s="136"/>
      <c r="C229" s="99" t="s">
        <v>370</v>
      </c>
      <c r="D229" s="98">
        <f>(202.803)*(10.764)</f>
        <v>2182.9714919999997</v>
      </c>
      <c r="E229" s="106">
        <f>(22.219)*(10.764)</f>
        <v>239.16531599999999</v>
      </c>
      <c r="F229" s="99">
        <f>D229+E229</f>
        <v>2422.1368079999997</v>
      </c>
      <c r="G229" s="99">
        <v>0</v>
      </c>
      <c r="H229" s="99">
        <f>F229*(($H$166)+1)+(IF(G229&lt;101,G229,IF(G229&lt;201,G229/2,IF(G229&lt;=301,G229/3,G229/4))))</f>
        <v>3633.2052119999998</v>
      </c>
      <c r="I229" s="36"/>
    </row>
    <row r="230" spans="1:20" s="100" customFormat="1" ht="15.75" customHeight="1" x14ac:dyDescent="0.35">
      <c r="A230" s="135">
        <v>3</v>
      </c>
      <c r="B230" s="136"/>
      <c r="C230" s="99" t="s">
        <v>369</v>
      </c>
      <c r="D230" s="98">
        <f>(111.785)*(10.764)</f>
        <v>1203.2537399999999</v>
      </c>
      <c r="E230" s="106">
        <f>(6.48)*(10.764)</f>
        <v>69.750720000000001</v>
      </c>
      <c r="F230" s="99">
        <f>D230+E230</f>
        <v>1273.0044599999999</v>
      </c>
      <c r="G230" s="99">
        <v>0</v>
      </c>
      <c r="H230" s="99">
        <f>F230*(($H$166)+1)+(IF(G230&lt;101,G230,IF(G230&lt;201,G230/2,IF(G230&lt;=301,G230/3,G230/4))))</f>
        <v>1909.5066899999997</v>
      </c>
      <c r="I230" s="36"/>
    </row>
    <row r="231" spans="1:20" s="100" customFormat="1" ht="15.75" customHeight="1" x14ac:dyDescent="0.35">
      <c r="A231" s="135">
        <v>4</v>
      </c>
      <c r="B231" s="136"/>
      <c r="C231" s="135" t="s">
        <v>372</v>
      </c>
      <c r="D231" s="184"/>
      <c r="E231" s="184"/>
      <c r="F231" s="184"/>
      <c r="G231" s="184"/>
      <c r="H231" s="136"/>
      <c r="I231" s="36"/>
    </row>
    <row r="232" spans="1:20" s="96" customFormat="1" x14ac:dyDescent="0.35">
      <c r="A232" s="132" t="s">
        <v>396</v>
      </c>
      <c r="B232" s="133"/>
      <c r="C232" s="133"/>
      <c r="D232" s="133"/>
      <c r="E232" s="133"/>
      <c r="F232" s="133"/>
      <c r="G232" s="133"/>
      <c r="H232" s="134"/>
      <c r="I232" s="36"/>
    </row>
    <row r="233" spans="1:20" s="96" customFormat="1" ht="15.75" customHeight="1" x14ac:dyDescent="0.35">
      <c r="A233" s="135">
        <v>1</v>
      </c>
      <c r="B233" s="136"/>
      <c r="C233" s="97" t="s">
        <v>369</v>
      </c>
      <c r="D233" s="98">
        <f>(125.012)*(10.764)</f>
        <v>1345.6291679999999</v>
      </c>
      <c r="E233" s="106">
        <f>(7.47)*(10.764)</f>
        <v>80.407079999999993</v>
      </c>
      <c r="F233" s="97">
        <f>D233+E233</f>
        <v>1426.0362479999999</v>
      </c>
      <c r="G233" s="97">
        <v>0</v>
      </c>
      <c r="H233" s="97">
        <f>F233*(($H$166)+1)+(IF(G233&lt;101,G233,IF(G233&lt;201,G233/2,IF(G233&lt;=301,G233/3,G233/4))))</f>
        <v>2139.0543719999996</v>
      </c>
      <c r="I233" s="36"/>
    </row>
    <row r="234" spans="1:20" s="96" customFormat="1" ht="15.75" customHeight="1" x14ac:dyDescent="0.35">
      <c r="A234" s="135">
        <v>2</v>
      </c>
      <c r="B234" s="136"/>
      <c r="C234" s="97" t="s">
        <v>370</v>
      </c>
      <c r="D234" s="98">
        <f>(202.803)*(10.764)</f>
        <v>2182.9714919999997</v>
      </c>
      <c r="E234" s="106">
        <f>(22.219)*(10.764)</f>
        <v>239.16531599999999</v>
      </c>
      <c r="F234" s="97">
        <f>D234+E234</f>
        <v>2422.1368079999997</v>
      </c>
      <c r="G234" s="97">
        <v>0</v>
      </c>
      <c r="H234" s="97">
        <f>F234*(($H$166)+1)+(IF(G234&lt;101,G234,IF(G234&lt;201,G234/2,IF(G234&lt;=301,G234/3,G234/4))))</f>
        <v>3633.2052119999998</v>
      </c>
      <c r="I234" s="36"/>
    </row>
    <row r="235" spans="1:20" s="96" customFormat="1" ht="15.75" customHeight="1" x14ac:dyDescent="0.35">
      <c r="A235" s="135">
        <v>3</v>
      </c>
      <c r="B235" s="136"/>
      <c r="C235" s="97" t="s">
        <v>369</v>
      </c>
      <c r="D235" s="98">
        <f>(111.785)*(10.764)</f>
        <v>1203.2537399999999</v>
      </c>
      <c r="E235" s="106">
        <f>(6.48)*(10.764)</f>
        <v>69.750720000000001</v>
      </c>
      <c r="F235" s="97">
        <f>D235+E235</f>
        <v>1273.0044599999999</v>
      </c>
      <c r="G235" s="97">
        <v>0</v>
      </c>
      <c r="H235" s="97">
        <f>F235*(($H$166)+1)+(IF(G235&lt;101,G235,IF(G235&lt;201,G235/2,IF(G235&lt;=301,G235/3,G235/4))))</f>
        <v>1909.5066899999997</v>
      </c>
      <c r="I235" s="36"/>
    </row>
    <row r="236" spans="1:20" s="35" customFormat="1" x14ac:dyDescent="0.35">
      <c r="A236" s="131" t="s">
        <v>64</v>
      </c>
      <c r="B236" s="131"/>
      <c r="C236" s="131"/>
      <c r="D236" s="131"/>
      <c r="E236" s="131"/>
      <c r="F236" s="131"/>
      <c r="G236" s="131"/>
      <c r="H236" s="131"/>
      <c r="T236" s="37"/>
    </row>
    <row r="237" spans="1:20" s="35" customFormat="1" x14ac:dyDescent="0.35">
      <c r="A237" s="46" t="s">
        <v>147</v>
      </c>
      <c r="B237" s="120" t="s">
        <v>380</v>
      </c>
      <c r="C237" s="121"/>
      <c r="D237" s="121"/>
      <c r="E237" s="121"/>
      <c r="F237" s="121"/>
      <c r="G237" s="121"/>
      <c r="H237" s="122"/>
      <c r="T237" s="37"/>
    </row>
    <row r="238" spans="1:20" s="35" customFormat="1" x14ac:dyDescent="0.35">
      <c r="A238" s="46" t="s">
        <v>147</v>
      </c>
      <c r="B238" s="120" t="str">
        <f>(IF(H165="Saleable area Loading :","We have considered Saleable area of Flats as per our Calculation.","We considered Saleable area of Flat as per Builder area Sheet."))</f>
        <v>We have considered Saleable area of Flats as per our Calculation.</v>
      </c>
      <c r="C238" s="121"/>
      <c r="D238" s="121"/>
      <c r="E238" s="121"/>
      <c r="F238" s="121"/>
      <c r="G238" s="121"/>
      <c r="H238" s="122"/>
      <c r="T238" s="37"/>
    </row>
    <row r="239" spans="1:20" s="35" customFormat="1" x14ac:dyDescent="0.35">
      <c r="A239" s="46" t="s">
        <v>147</v>
      </c>
      <c r="B239" s="120" t="str">
        <f>(IF(H142="Saleable area Loading :","We have considered Saleable area of Commercial as per our Calculation.","We considered Saleable area of Commercial as per Builder area Sheet."))</f>
        <v>We have considered Saleable area of Commercial as per our Calculation.</v>
      </c>
      <c r="C239" s="121"/>
      <c r="D239" s="121"/>
      <c r="E239" s="121"/>
      <c r="F239" s="121"/>
      <c r="G239" s="121"/>
      <c r="H239" s="122"/>
      <c r="T239" s="37"/>
    </row>
    <row r="240" spans="1:20" s="35" customFormat="1" x14ac:dyDescent="0.35">
      <c r="A240" s="46" t="s">
        <v>147</v>
      </c>
      <c r="B240" s="177" t="s">
        <v>117</v>
      </c>
      <c r="C240" s="178"/>
      <c r="D240" s="178"/>
      <c r="E240" s="178"/>
      <c r="F240" s="178"/>
      <c r="G240" s="178"/>
      <c r="H240" s="179"/>
      <c r="T240" s="37"/>
    </row>
    <row r="241" spans="1:20" s="35" customFormat="1" x14ac:dyDescent="0.35">
      <c r="A241" s="46" t="s">
        <v>147</v>
      </c>
      <c r="B241" s="120" t="s">
        <v>401</v>
      </c>
      <c r="C241" s="121"/>
      <c r="D241" s="121"/>
      <c r="E241" s="121"/>
      <c r="F241" s="121"/>
      <c r="G241" s="121"/>
      <c r="H241" s="122"/>
      <c r="T241" s="37"/>
    </row>
    <row r="242" spans="1:20" s="35" customFormat="1" x14ac:dyDescent="0.35">
      <c r="A242" s="46" t="s">
        <v>147</v>
      </c>
      <c r="B242" s="177" t="s">
        <v>146</v>
      </c>
      <c r="C242" s="178"/>
      <c r="D242" s="178"/>
      <c r="E242" s="178"/>
      <c r="F242" s="178"/>
      <c r="G242" s="178"/>
      <c r="H242" s="179"/>
    </row>
    <row r="243" spans="1:20" s="35" customFormat="1" x14ac:dyDescent="0.35">
      <c r="A243" s="46" t="s">
        <v>147</v>
      </c>
      <c r="B243" s="120" t="s">
        <v>118</v>
      </c>
      <c r="C243" s="121"/>
      <c r="D243" s="121"/>
      <c r="E243" s="121"/>
      <c r="F243" s="121"/>
      <c r="G243" s="121"/>
      <c r="H243" s="122"/>
    </row>
    <row r="244" spans="1:20" s="35" customFormat="1" ht="34.5" hidden="1" customHeight="1" x14ac:dyDescent="0.35">
      <c r="A244" s="46" t="s">
        <v>147</v>
      </c>
      <c r="B244" s="117" t="s">
        <v>148</v>
      </c>
      <c r="C244" s="118"/>
      <c r="D244" s="118"/>
      <c r="E244" s="118"/>
      <c r="F244" s="118"/>
      <c r="G244" s="118"/>
      <c r="H244" s="119"/>
    </row>
    <row r="245" spans="1:20" s="35" customFormat="1" x14ac:dyDescent="0.35">
      <c r="A245" s="46" t="s">
        <v>147</v>
      </c>
      <c r="B245" s="177" t="s">
        <v>119</v>
      </c>
      <c r="C245" s="178"/>
      <c r="D245" s="178"/>
      <c r="E245" s="178"/>
      <c r="F245" s="178"/>
      <c r="G245" s="178"/>
      <c r="H245" s="179"/>
    </row>
    <row r="246" spans="1:20" s="35" customFormat="1" ht="32.25" hidden="1" customHeight="1" x14ac:dyDescent="0.35">
      <c r="A246" s="55" t="s">
        <v>147</v>
      </c>
      <c r="B246" s="117" t="s">
        <v>173</v>
      </c>
      <c r="C246" s="118"/>
      <c r="D246" s="118"/>
      <c r="E246" s="118"/>
      <c r="F246" s="118"/>
      <c r="G246" s="118"/>
      <c r="H246" s="119"/>
    </row>
    <row r="247" spans="1:20" s="35" customFormat="1" hidden="1" x14ac:dyDescent="0.35">
      <c r="A247" s="91" t="s">
        <v>147</v>
      </c>
      <c r="B247" s="120" t="s">
        <v>345</v>
      </c>
      <c r="C247" s="121"/>
      <c r="D247" s="121"/>
      <c r="E247" s="121"/>
      <c r="F247" s="121"/>
      <c r="G247" s="121"/>
      <c r="H247" s="122"/>
    </row>
    <row r="248" spans="1:20" s="35" customFormat="1" x14ac:dyDescent="0.35">
      <c r="A248" s="107" t="s">
        <v>147</v>
      </c>
      <c r="B248" s="120" t="s">
        <v>402</v>
      </c>
      <c r="C248" s="121"/>
      <c r="D248" s="121"/>
      <c r="E248" s="121"/>
      <c r="F248" s="121"/>
      <c r="G248" s="121"/>
      <c r="H248" s="122"/>
      <c r="J248" s="110"/>
    </row>
    <row r="249" spans="1:20" s="35" customFormat="1" ht="31.5" customHeight="1" x14ac:dyDescent="0.35">
      <c r="A249" s="112" t="s">
        <v>147</v>
      </c>
      <c r="B249" s="120" t="s">
        <v>415</v>
      </c>
      <c r="C249" s="121"/>
      <c r="D249" s="121"/>
      <c r="E249" s="121"/>
      <c r="F249" s="121"/>
      <c r="G249" s="121"/>
      <c r="H249" s="122"/>
    </row>
    <row r="250" spans="1:20" s="35" customFormat="1" x14ac:dyDescent="0.35">
      <c r="A250" s="59" t="s">
        <v>147</v>
      </c>
      <c r="B250" s="120" t="s">
        <v>421</v>
      </c>
      <c r="C250" s="121"/>
      <c r="D250" s="121"/>
      <c r="E250" s="121"/>
      <c r="F250" s="121"/>
      <c r="G250" s="121"/>
      <c r="H250" s="122"/>
    </row>
    <row r="251" spans="1:20" s="35" customFormat="1" hidden="1" x14ac:dyDescent="0.35">
      <c r="A251" s="91" t="s">
        <v>147</v>
      </c>
      <c r="B251" s="117" t="str">
        <f ca="1">IF(G52&gt;EDATE(E3,-48),"NO REMARK FOR CC","REMARK FOR CC")</f>
        <v>NO REMARK FOR CC</v>
      </c>
      <c r="C251" s="118"/>
      <c r="D251" s="118"/>
      <c r="E251" s="118"/>
      <c r="F251" s="118"/>
      <c r="G251" s="118"/>
      <c r="H251" s="119"/>
    </row>
    <row r="252" spans="1:20" s="35" customFormat="1" ht="14.25" hidden="1" customHeight="1" x14ac:dyDescent="0.35">
      <c r="A252" s="92" t="s">
        <v>147</v>
      </c>
      <c r="B252" s="117" t="s">
        <v>346</v>
      </c>
      <c r="C252" s="118"/>
      <c r="D252" s="118"/>
      <c r="E252" s="118"/>
      <c r="F252" s="118"/>
      <c r="G252" s="118"/>
      <c r="H252" s="119"/>
    </row>
    <row r="253" spans="1:20" s="35" customFormat="1" x14ac:dyDescent="0.35">
      <c r="A253" s="116" t="s">
        <v>147</v>
      </c>
      <c r="B253" s="120" t="s">
        <v>424</v>
      </c>
      <c r="C253" s="121"/>
      <c r="D253" s="121"/>
      <c r="E253" s="121"/>
      <c r="F253" s="121"/>
      <c r="G253" s="121"/>
      <c r="H253" s="122"/>
    </row>
    <row r="254" spans="1:20" x14ac:dyDescent="0.35">
      <c r="A254" s="192" t="s">
        <v>57</v>
      </c>
      <c r="B254" s="192"/>
      <c r="C254" s="192"/>
      <c r="D254" s="192"/>
      <c r="E254" s="192"/>
      <c r="F254" s="192"/>
      <c r="G254" s="192"/>
      <c r="H254" s="192"/>
      <c r="T254" s="35"/>
    </row>
    <row r="255" spans="1:20" x14ac:dyDescent="0.35">
      <c r="A255" s="124" t="s">
        <v>58</v>
      </c>
      <c r="B255" s="124"/>
      <c r="C255" s="124"/>
      <c r="D255" s="124"/>
      <c r="E255" s="124"/>
      <c r="F255" s="124"/>
      <c r="G255" s="124"/>
      <c r="H255" s="124"/>
      <c r="T255" s="35"/>
    </row>
    <row r="256" spans="1:20" ht="15.75" customHeight="1" x14ac:dyDescent="0.35">
      <c r="A256" s="168" t="s">
        <v>59</v>
      </c>
      <c r="B256" s="168"/>
      <c r="C256" s="168"/>
      <c r="D256" s="168"/>
      <c r="E256" s="168"/>
      <c r="F256" s="168"/>
      <c r="G256" s="168"/>
      <c r="H256" s="168"/>
      <c r="T256" s="35"/>
    </row>
    <row r="257" spans="1:20" x14ac:dyDescent="0.35">
      <c r="A257" s="124" t="s">
        <v>60</v>
      </c>
      <c r="B257" s="124"/>
      <c r="C257" s="124"/>
      <c r="D257" s="124"/>
      <c r="E257" s="124"/>
      <c r="F257" s="124"/>
      <c r="G257" s="124"/>
      <c r="H257" s="124"/>
      <c r="T257" s="35"/>
    </row>
    <row r="258" spans="1:20" x14ac:dyDescent="0.35">
      <c r="A258" s="124" t="s">
        <v>61</v>
      </c>
      <c r="B258" s="124"/>
      <c r="C258" s="124"/>
      <c r="D258" s="124"/>
      <c r="E258" s="124"/>
      <c r="F258" s="124"/>
      <c r="G258" s="124"/>
      <c r="H258" s="124"/>
      <c r="T258" s="35"/>
    </row>
    <row r="259" spans="1:20" x14ac:dyDescent="0.35">
      <c r="A259" s="124" t="s">
        <v>120</v>
      </c>
      <c r="B259" s="124"/>
      <c r="C259" s="124"/>
      <c r="D259" s="124"/>
      <c r="E259" s="124"/>
      <c r="F259" s="124"/>
      <c r="G259" s="124"/>
      <c r="H259" s="124"/>
      <c r="T259" s="35"/>
    </row>
    <row r="260" spans="1:20" ht="34" customHeight="1" x14ac:dyDescent="0.35">
      <c r="A260" s="137" t="s">
        <v>121</v>
      </c>
      <c r="B260" s="137"/>
      <c r="C260" s="137"/>
      <c r="D260" s="137"/>
      <c r="E260" s="137"/>
      <c r="F260" s="137"/>
      <c r="G260" s="137"/>
      <c r="H260" s="137"/>
    </row>
    <row r="261" spans="1:20" x14ac:dyDescent="0.35">
      <c r="A261" s="189" t="s">
        <v>73</v>
      </c>
      <c r="B261" s="189"/>
      <c r="C261" s="189" t="s">
        <v>381</v>
      </c>
      <c r="D261" s="189"/>
      <c r="E261" s="189" t="s">
        <v>101</v>
      </c>
      <c r="F261" s="189"/>
      <c r="G261" s="189" t="s">
        <v>422</v>
      </c>
      <c r="H261" s="189"/>
    </row>
    <row r="262" spans="1:20" x14ac:dyDescent="0.35">
      <c r="A262" s="188" t="s">
        <v>75</v>
      </c>
      <c r="B262" s="188"/>
      <c r="C262" s="188"/>
      <c r="D262" s="188"/>
      <c r="E262" s="188"/>
      <c r="F262" s="188"/>
      <c r="G262" s="188"/>
      <c r="H262" s="188"/>
    </row>
    <row r="263" spans="1:20" x14ac:dyDescent="0.35">
      <c r="A263" s="188"/>
      <c r="B263" s="188"/>
      <c r="C263" s="188"/>
      <c r="D263" s="188"/>
      <c r="E263" s="188"/>
      <c r="F263" s="188"/>
      <c r="G263" s="188"/>
      <c r="H263" s="188"/>
    </row>
    <row r="264" spans="1:20" x14ac:dyDescent="0.35">
      <c r="A264" s="188"/>
      <c r="B264" s="188"/>
      <c r="C264" s="188"/>
      <c r="D264" s="188"/>
      <c r="E264" s="188"/>
      <c r="F264" s="188"/>
      <c r="G264" s="188"/>
      <c r="H264" s="188"/>
    </row>
    <row r="265" spans="1:20" x14ac:dyDescent="0.35">
      <c r="A265" s="188"/>
      <c r="B265" s="188"/>
      <c r="C265" s="188"/>
      <c r="D265" s="188"/>
      <c r="E265" s="188"/>
      <c r="F265" s="188"/>
      <c r="G265" s="188"/>
      <c r="H265" s="188"/>
    </row>
    <row r="266" spans="1:20" x14ac:dyDescent="0.35">
      <c r="A266" s="38" t="s">
        <v>62</v>
      </c>
      <c r="B266" s="39"/>
      <c r="C266" s="39"/>
      <c r="D266" s="38" t="str">
        <f>E9</f>
        <v>Platinum The Reserve</v>
      </c>
      <c r="F266" s="39"/>
      <c r="G266" s="39"/>
      <c r="H266" s="39"/>
    </row>
    <row r="267" spans="1:20" x14ac:dyDescent="0.35">
      <c r="A267" s="39"/>
      <c r="B267" s="39"/>
      <c r="C267" s="39"/>
      <c r="D267" s="39"/>
      <c r="E267" s="39"/>
      <c r="F267" s="39"/>
      <c r="G267" s="39"/>
      <c r="H267" s="39"/>
    </row>
    <row r="268" spans="1:20" x14ac:dyDescent="0.35">
      <c r="A268" s="39"/>
      <c r="B268" s="39"/>
      <c r="C268" s="39"/>
      <c r="D268" s="39"/>
      <c r="E268" s="39"/>
      <c r="F268" s="39"/>
      <c r="G268" s="39"/>
      <c r="H268" s="39"/>
    </row>
    <row r="269" spans="1:20" ht="15" customHeight="1" x14ac:dyDescent="0.35"/>
    <row r="309" spans="1:1" x14ac:dyDescent="0.35">
      <c r="A309" s="41" t="s">
        <v>158</v>
      </c>
    </row>
    <row r="352" spans="1:1" x14ac:dyDescent="0.35">
      <c r="A352" s="41" t="s">
        <v>63</v>
      </c>
    </row>
  </sheetData>
  <mergeCells count="443">
    <mergeCell ref="B253:H253"/>
    <mergeCell ref="B249:H249"/>
    <mergeCell ref="B248:H248"/>
    <mergeCell ref="A233:B233"/>
    <mergeCell ref="A234:B234"/>
    <mergeCell ref="A235:B235"/>
    <mergeCell ref="L207:M207"/>
    <mergeCell ref="A208:H208"/>
    <mergeCell ref="L208:M208"/>
    <mergeCell ref="A209:B209"/>
    <mergeCell ref="A210:B210"/>
    <mergeCell ref="A211:B211"/>
    <mergeCell ref="A212:B212"/>
    <mergeCell ref="C212:H212"/>
    <mergeCell ref="A218:H218"/>
    <mergeCell ref="A213:H213"/>
    <mergeCell ref="A214:B214"/>
    <mergeCell ref="A215:B215"/>
    <mergeCell ref="A216:B216"/>
    <mergeCell ref="A217:B217"/>
    <mergeCell ref="C217:H217"/>
    <mergeCell ref="A227:H227"/>
    <mergeCell ref="A228:B228"/>
    <mergeCell ref="A229:B229"/>
    <mergeCell ref="A230:B230"/>
    <mergeCell ref="B246:H246"/>
    <mergeCell ref="L204:M204"/>
    <mergeCell ref="A205:B205"/>
    <mergeCell ref="L205:M205"/>
    <mergeCell ref="L175:M175"/>
    <mergeCell ref="L174:M174"/>
    <mergeCell ref="L171:M171"/>
    <mergeCell ref="L172:M172"/>
    <mergeCell ref="L173:M173"/>
    <mergeCell ref="A206:B206"/>
    <mergeCell ref="L206:M206"/>
    <mergeCell ref="A193:H193"/>
    <mergeCell ref="A194:B194"/>
    <mergeCell ref="A195:B195"/>
    <mergeCell ref="A196:B196"/>
    <mergeCell ref="A197:B197"/>
    <mergeCell ref="C197:H197"/>
    <mergeCell ref="A174:B174"/>
    <mergeCell ref="A187:B187"/>
    <mergeCell ref="A188:B188"/>
    <mergeCell ref="C188:H188"/>
    <mergeCell ref="A180:H180"/>
    <mergeCell ref="A181:B181"/>
    <mergeCell ref="A182:B182"/>
    <mergeCell ref="A183:B183"/>
    <mergeCell ref="L160:M160"/>
    <mergeCell ref="A161:B161"/>
    <mergeCell ref="L161:M161"/>
    <mergeCell ref="A162:B162"/>
    <mergeCell ref="L162:M162"/>
    <mergeCell ref="A163:B163"/>
    <mergeCell ref="L163:M163"/>
    <mergeCell ref="A168:H168"/>
    <mergeCell ref="A167:H167"/>
    <mergeCell ref="F165:F166"/>
    <mergeCell ref="A160:B160"/>
    <mergeCell ref="L155:M155"/>
    <mergeCell ref="A156:B156"/>
    <mergeCell ref="L156:M156"/>
    <mergeCell ref="A157:B157"/>
    <mergeCell ref="L157:M157"/>
    <mergeCell ref="A158:B158"/>
    <mergeCell ref="L158:M158"/>
    <mergeCell ref="A159:B159"/>
    <mergeCell ref="L159:M159"/>
    <mergeCell ref="A155:B155"/>
    <mergeCell ref="A77:B77"/>
    <mergeCell ref="A75:B75"/>
    <mergeCell ref="C75:H75"/>
    <mergeCell ref="A70:C70"/>
    <mergeCell ref="D70:H70"/>
    <mergeCell ref="L154:M154"/>
    <mergeCell ref="A81:B81"/>
    <mergeCell ref="E79:F88"/>
    <mergeCell ref="G79:H88"/>
    <mergeCell ref="A98:B98"/>
    <mergeCell ref="G92:H92"/>
    <mergeCell ref="L150:M150"/>
    <mergeCell ref="L149:M149"/>
    <mergeCell ref="L148:M148"/>
    <mergeCell ref="L147:M147"/>
    <mergeCell ref="A94:B94"/>
    <mergeCell ref="A95:B95"/>
    <mergeCell ref="G93:H102"/>
    <mergeCell ref="A96:B96"/>
    <mergeCell ref="F119:H119"/>
    <mergeCell ref="A119:E119"/>
    <mergeCell ref="A112:B112"/>
    <mergeCell ref="A113:B113"/>
    <mergeCell ref="A100:B100"/>
    <mergeCell ref="G133:H133"/>
    <mergeCell ref="A137:B137"/>
    <mergeCell ref="C137:D137"/>
    <mergeCell ref="E137:F137"/>
    <mergeCell ref="A91:B91"/>
    <mergeCell ref="A78:B78"/>
    <mergeCell ref="A101:B101"/>
    <mergeCell ref="A120:E120"/>
    <mergeCell ref="A117:E117"/>
    <mergeCell ref="F121:H121"/>
    <mergeCell ref="A121:E121"/>
    <mergeCell ref="E135:F135"/>
    <mergeCell ref="E78:F78"/>
    <mergeCell ref="L151:M151"/>
    <mergeCell ref="A152:B152"/>
    <mergeCell ref="L152:M152"/>
    <mergeCell ref="A153:B153"/>
    <mergeCell ref="L153:M153"/>
    <mergeCell ref="D142:D143"/>
    <mergeCell ref="G137:H137"/>
    <mergeCell ref="G138:H138"/>
    <mergeCell ref="C139:D139"/>
    <mergeCell ref="A139:B139"/>
    <mergeCell ref="B252:H252"/>
    <mergeCell ref="A116:B116"/>
    <mergeCell ref="C142:C143"/>
    <mergeCell ref="B165:B166"/>
    <mergeCell ref="B239:H239"/>
    <mergeCell ref="A92:B92"/>
    <mergeCell ref="E92:F92"/>
    <mergeCell ref="E93:F10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E138:F138"/>
    <mergeCell ref="A127:E127"/>
    <mergeCell ref="A40:B40"/>
    <mergeCell ref="C40:H40"/>
    <mergeCell ref="F142:F143"/>
    <mergeCell ref="C132:D132"/>
    <mergeCell ref="E132:F132"/>
    <mergeCell ref="B142:B143"/>
    <mergeCell ref="A142:A143"/>
    <mergeCell ref="C165:C166"/>
    <mergeCell ref="G165:G166"/>
    <mergeCell ref="G139:H139"/>
    <mergeCell ref="C55:H55"/>
    <mergeCell ref="A114:B114"/>
    <mergeCell ref="A115:B115"/>
    <mergeCell ref="A86:B86"/>
    <mergeCell ref="C136:D136"/>
    <mergeCell ref="E136:F136"/>
    <mergeCell ref="G136:H136"/>
    <mergeCell ref="A118:E118"/>
    <mergeCell ref="A89:B89"/>
    <mergeCell ref="C89:H89"/>
    <mergeCell ref="A146:H146"/>
    <mergeCell ref="E142:E143"/>
    <mergeCell ref="A93:B93"/>
    <mergeCell ref="C91:H91"/>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A45:D45"/>
    <mergeCell ref="A49:B49"/>
    <mergeCell ref="C49:H49"/>
    <mergeCell ref="A65:C67"/>
    <mergeCell ref="D65:H65"/>
    <mergeCell ref="D66:H66"/>
    <mergeCell ref="G52:H52"/>
    <mergeCell ref="A61:H61"/>
    <mergeCell ref="A62:C62"/>
    <mergeCell ref="C53:H53"/>
    <mergeCell ref="C56:E56"/>
    <mergeCell ref="C77:H77"/>
    <mergeCell ref="A71:C71"/>
    <mergeCell ref="D71:H71"/>
    <mergeCell ref="A74:C74"/>
    <mergeCell ref="D74:H74"/>
    <mergeCell ref="A73:C73"/>
    <mergeCell ref="A36:B36"/>
    <mergeCell ref="C36:E36"/>
    <mergeCell ref="A31:D31"/>
    <mergeCell ref="E31:H31"/>
    <mergeCell ref="A32:D32"/>
    <mergeCell ref="E32:H32"/>
    <mergeCell ref="A46:D46"/>
    <mergeCell ref="A47:D47"/>
    <mergeCell ref="D69:H69"/>
    <mergeCell ref="A44:D44"/>
    <mergeCell ref="E44:H44"/>
    <mergeCell ref="E45:H45"/>
    <mergeCell ref="E46:H46"/>
    <mergeCell ref="E47:H47"/>
    <mergeCell ref="C57:H57"/>
    <mergeCell ref="A48:H48"/>
    <mergeCell ref="D64:H64"/>
    <mergeCell ref="A64:C64"/>
    <mergeCell ref="C33:E33"/>
    <mergeCell ref="F36:H36"/>
    <mergeCell ref="F33:H33"/>
    <mergeCell ref="A34:B34"/>
    <mergeCell ref="A33:B33"/>
    <mergeCell ref="C34:E34"/>
    <mergeCell ref="A35:B35"/>
    <mergeCell ref="C35:E35"/>
    <mergeCell ref="F34:H34"/>
    <mergeCell ref="F35:H35"/>
    <mergeCell ref="A29:D29"/>
    <mergeCell ref="E29:H29"/>
    <mergeCell ref="A26:D26"/>
    <mergeCell ref="E26:H26"/>
    <mergeCell ref="A25:D25"/>
    <mergeCell ref="E25:H25"/>
    <mergeCell ref="A30:D30"/>
    <mergeCell ref="E30:H30"/>
    <mergeCell ref="A27:D27"/>
    <mergeCell ref="A28:D28"/>
    <mergeCell ref="E28:H28"/>
    <mergeCell ref="A14:D14"/>
    <mergeCell ref="A19:B19"/>
    <mergeCell ref="C19:D19"/>
    <mergeCell ref="E19:F19"/>
    <mergeCell ref="G19:H19"/>
    <mergeCell ref="A20:B20"/>
    <mergeCell ref="C20:D20"/>
    <mergeCell ref="E20:F20"/>
    <mergeCell ref="G20:H20"/>
    <mergeCell ref="E14:H14"/>
    <mergeCell ref="A15:D15"/>
    <mergeCell ref="A11:D11"/>
    <mergeCell ref="E11:H11"/>
    <mergeCell ref="A185:B185"/>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62:H265"/>
    <mergeCell ref="A261:B261"/>
    <mergeCell ref="E261:F261"/>
    <mergeCell ref="C261:D261"/>
    <mergeCell ref="G261:H261"/>
    <mergeCell ref="A130:H130"/>
    <mergeCell ref="A128:E128"/>
    <mergeCell ref="F128:H128"/>
    <mergeCell ref="A129:E129"/>
    <mergeCell ref="F129:H129"/>
    <mergeCell ref="A175:H175"/>
    <mergeCell ref="A136:B136"/>
    <mergeCell ref="A132:B132"/>
    <mergeCell ref="A257:H257"/>
    <mergeCell ref="A134:H134"/>
    <mergeCell ref="A260:H260"/>
    <mergeCell ref="A258:H258"/>
    <mergeCell ref="A254:H254"/>
    <mergeCell ref="G135:H135"/>
    <mergeCell ref="B242:H242"/>
    <mergeCell ref="A192:B192"/>
    <mergeCell ref="A179:B179"/>
    <mergeCell ref="A172:B172"/>
    <mergeCell ref="B250:H250"/>
    <mergeCell ref="B238:H238"/>
    <mergeCell ref="B240:H240"/>
    <mergeCell ref="F117:H117"/>
    <mergeCell ref="F122:H122"/>
    <mergeCell ref="A171:B171"/>
    <mergeCell ref="A150:B150"/>
    <mergeCell ref="A149:B149"/>
    <mergeCell ref="A123:E123"/>
    <mergeCell ref="F123:H123"/>
    <mergeCell ref="A169:H169"/>
    <mergeCell ref="C179:H179"/>
    <mergeCell ref="A122:E122"/>
    <mergeCell ref="A138:B138"/>
    <mergeCell ref="A231:B231"/>
    <mergeCell ref="C231:H231"/>
    <mergeCell ref="A145:H145"/>
    <mergeCell ref="A144:H144"/>
    <mergeCell ref="A184:H184"/>
    <mergeCell ref="A164:H164"/>
    <mergeCell ref="A186:B186"/>
    <mergeCell ref="A151:B151"/>
    <mergeCell ref="A133:B133"/>
    <mergeCell ref="C133:D133"/>
    <mergeCell ref="E133:F133"/>
    <mergeCell ref="A225:B225"/>
    <mergeCell ref="A226:B226"/>
    <mergeCell ref="A232:H232"/>
    <mergeCell ref="E139:F139"/>
    <mergeCell ref="B245:H245"/>
    <mergeCell ref="B243:H243"/>
    <mergeCell ref="A177:B177"/>
    <mergeCell ref="A178:B178"/>
    <mergeCell ref="A190:B190"/>
    <mergeCell ref="A140:H140"/>
    <mergeCell ref="A202:H202"/>
    <mergeCell ref="A203:H203"/>
    <mergeCell ref="A204:B204"/>
    <mergeCell ref="A207:B207"/>
    <mergeCell ref="A219:B219"/>
    <mergeCell ref="A220:B220"/>
    <mergeCell ref="A221:B221"/>
    <mergeCell ref="A222:B222"/>
    <mergeCell ref="C222:H222"/>
    <mergeCell ref="A173:B173"/>
    <mergeCell ref="B244:H244"/>
    <mergeCell ref="G142:G143"/>
    <mergeCell ref="A191:B191"/>
    <mergeCell ref="B237:H237"/>
    <mergeCell ref="A259:H259"/>
    <mergeCell ref="A256:H256"/>
    <mergeCell ref="A176:B176"/>
    <mergeCell ref="A135:B135"/>
    <mergeCell ref="D165:D166"/>
    <mergeCell ref="E165:E166"/>
    <mergeCell ref="A97:B97"/>
    <mergeCell ref="A99:B99"/>
    <mergeCell ref="F118:H118"/>
    <mergeCell ref="G132:H132"/>
    <mergeCell ref="A102:B102"/>
    <mergeCell ref="F124:H124"/>
    <mergeCell ref="C131:D131"/>
    <mergeCell ref="C138:D138"/>
    <mergeCell ref="A170:H170"/>
    <mergeCell ref="B241:H241"/>
    <mergeCell ref="A199:B199"/>
    <mergeCell ref="A200:B200"/>
    <mergeCell ref="A255:H255"/>
    <mergeCell ref="A125:E125"/>
    <mergeCell ref="F120:H120"/>
    <mergeCell ref="A124:E124"/>
    <mergeCell ref="A165:A166"/>
    <mergeCell ref="A154:B154"/>
    <mergeCell ref="I15:P15"/>
    <mergeCell ref="F127:H127"/>
    <mergeCell ref="F125:H125"/>
    <mergeCell ref="A141:H141"/>
    <mergeCell ref="G131:H131"/>
    <mergeCell ref="A126:E126"/>
    <mergeCell ref="A148:B148"/>
    <mergeCell ref="A60:B60"/>
    <mergeCell ref="C60:E60"/>
    <mergeCell ref="D62:H62"/>
    <mergeCell ref="F126:H126"/>
    <mergeCell ref="E131:F131"/>
    <mergeCell ref="A131:B131"/>
    <mergeCell ref="C135:D135"/>
    <mergeCell ref="D72:H72"/>
    <mergeCell ref="D63:H63"/>
    <mergeCell ref="G60:H60"/>
    <mergeCell ref="A54:B55"/>
    <mergeCell ref="C59:E59"/>
    <mergeCell ref="G54:H54"/>
    <mergeCell ref="G59:H59"/>
    <mergeCell ref="A56:B57"/>
    <mergeCell ref="A147:B147"/>
    <mergeCell ref="E27:H27"/>
    <mergeCell ref="B251:H251"/>
    <mergeCell ref="B247:H247"/>
    <mergeCell ref="E43:H43"/>
    <mergeCell ref="A43:D43"/>
    <mergeCell ref="A84:B84"/>
    <mergeCell ref="A50:B50"/>
    <mergeCell ref="D67:H67"/>
    <mergeCell ref="C52:E52"/>
    <mergeCell ref="A236:H236"/>
    <mergeCell ref="A189:H189"/>
    <mergeCell ref="A201:B201"/>
    <mergeCell ref="A198:H198"/>
    <mergeCell ref="A72:C72"/>
    <mergeCell ref="D73:H73"/>
    <mergeCell ref="A79:B79"/>
    <mergeCell ref="G78:H78"/>
    <mergeCell ref="A87:B87"/>
    <mergeCell ref="A88:B88"/>
    <mergeCell ref="A83:B83"/>
    <mergeCell ref="A82:B82"/>
    <mergeCell ref="A85:B85"/>
    <mergeCell ref="A80:B80"/>
    <mergeCell ref="A223:H223"/>
    <mergeCell ref="A224:B224"/>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2:E143">
      <formula1>"Attached Loft area,Attached Otla area,Attached Mezzanine area"</formula1>
    </dataValidation>
    <dataValidation type="list" allowBlank="1" showInputMessage="1" showErrorMessage="1" sqref="G261:H261">
      <formula1>"Kunal Kadam,Pranita Mhatre,Shruti Fule,Pooja Kawale,Gaurav Panchal,Shruti Tathare, Dipti Gothawade,Saurav Panse,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2:B143">
      <formula1>"Shop No. (Sale Plan),Sale / Rehab,Sale / Mhada"</formula1>
    </dataValidation>
    <dataValidation type="list" allowBlank="1" showInputMessage="1" showErrorMessage="1" sqref="B165:B16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5:E166">
      <formula1>"Sitout area,Balcony Area,Chajja Area,Cornice Area,AP Area,WS Area"</formula1>
    </dataValidation>
    <dataValidation type="list" allowBlank="1" showInputMessage="1" showErrorMessage="1" sqref="H166 H14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2 H165">
      <formula1>"Saleable area Loading :,Builder Saleable Area"</formula1>
    </dataValidation>
    <dataValidation type="list" allowBlank="1" showInputMessage="1" showErrorMessage="1" sqref="D165:D166 D142:D14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4" max="7" man="1"/>
    <brk id="139" max="7" man="1"/>
    <brk id="265" max="16383" man="1"/>
    <brk id="308" max="16383" man="1"/>
    <brk id="35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H23" sqref="H2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60" t="s">
        <v>102</v>
      </c>
      <c r="C3" s="260"/>
      <c r="D3" s="260"/>
      <c r="E3" s="260"/>
      <c r="F3" s="260"/>
      <c r="G3" s="260"/>
      <c r="H3" s="260"/>
    </row>
    <row r="4" spans="1:9" x14ac:dyDescent="0.35">
      <c r="A4" s="2"/>
      <c r="B4" s="3" t="s">
        <v>103</v>
      </c>
      <c r="C4" s="3" t="s">
        <v>104</v>
      </c>
      <c r="D4" s="3" t="s">
        <v>65</v>
      </c>
      <c r="E4" s="3" t="s">
        <v>105</v>
      </c>
      <c r="F4" s="3" t="s">
        <v>111</v>
      </c>
      <c r="G4" s="3" t="s">
        <v>112</v>
      </c>
      <c r="H4" s="3" t="s">
        <v>106</v>
      </c>
    </row>
    <row r="5" spans="1:9" ht="15" customHeight="1" x14ac:dyDescent="0.35">
      <c r="A5" s="2"/>
      <c r="B5" s="5" t="s">
        <v>107</v>
      </c>
      <c r="C5" s="6"/>
      <c r="D5" s="5"/>
      <c r="E5" s="5"/>
      <c r="F5" s="7">
        <f>E5*1.6</f>
        <v>0</v>
      </c>
      <c r="G5" s="7" t="e">
        <f>H5/F5</f>
        <v>#DIV/0!</v>
      </c>
      <c r="H5" s="8"/>
    </row>
    <row r="6" spans="1:9" x14ac:dyDescent="0.35">
      <c r="A6" s="2"/>
      <c r="B6" s="5" t="s">
        <v>107</v>
      </c>
      <c r="C6" s="9"/>
      <c r="D6" s="5"/>
      <c r="E6" s="5"/>
      <c r="F6" s="7">
        <f t="shared" ref="F6:F11" si="0">E6*1.6</f>
        <v>0</v>
      </c>
      <c r="G6" s="7" t="e">
        <f t="shared" ref="G6:G10" si="1">H6/F6</f>
        <v>#DIV/0!</v>
      </c>
      <c r="H6" s="8"/>
    </row>
    <row r="7" spans="1:9" ht="15" customHeight="1" x14ac:dyDescent="0.35">
      <c r="A7" s="2"/>
      <c r="B7" s="5" t="s">
        <v>107</v>
      </c>
      <c r="C7" s="6"/>
      <c r="D7" s="5"/>
      <c r="E7" s="5"/>
      <c r="F7" s="7">
        <f t="shared" si="0"/>
        <v>0</v>
      </c>
      <c r="G7" s="7" t="e">
        <f t="shared" si="1"/>
        <v>#DIV/0!</v>
      </c>
      <c r="H7" s="8"/>
    </row>
    <row r="8" spans="1:9" x14ac:dyDescent="0.35">
      <c r="A8" s="2"/>
      <c r="B8" s="5" t="s">
        <v>107</v>
      </c>
      <c r="C8" s="9"/>
      <c r="D8" s="5"/>
      <c r="E8" s="5"/>
      <c r="F8" s="7">
        <f t="shared" si="0"/>
        <v>0</v>
      </c>
      <c r="G8" s="7" t="e">
        <f t="shared" si="1"/>
        <v>#DIV/0!</v>
      </c>
      <c r="H8" s="8"/>
    </row>
    <row r="9" spans="1:9" ht="15" customHeight="1" x14ac:dyDescent="0.35">
      <c r="A9" s="2"/>
      <c r="B9" s="5" t="s">
        <v>107</v>
      </c>
      <c r="C9" s="9"/>
      <c r="D9" s="5"/>
      <c r="E9" s="5"/>
      <c r="F9" s="7">
        <f t="shared" si="0"/>
        <v>0</v>
      </c>
      <c r="G9" s="7" t="e">
        <f t="shared" si="1"/>
        <v>#DIV/0!</v>
      </c>
      <c r="H9" s="8"/>
    </row>
    <row r="10" spans="1:9" ht="15" customHeight="1" x14ac:dyDescent="0.35">
      <c r="A10" s="2"/>
      <c r="B10" s="5" t="s">
        <v>108</v>
      </c>
      <c r="C10" s="6"/>
      <c r="D10" s="5"/>
      <c r="E10" s="5"/>
      <c r="F10" s="7">
        <f t="shared" si="0"/>
        <v>0</v>
      </c>
      <c r="G10" s="7" t="e">
        <f t="shared" si="1"/>
        <v>#DIV/0!</v>
      </c>
      <c r="H10" s="8"/>
    </row>
    <row r="11" spans="1:9" ht="15" customHeight="1" x14ac:dyDescent="0.35">
      <c r="A11" s="2"/>
      <c r="B11" s="5" t="s">
        <v>108</v>
      </c>
      <c r="C11" s="6"/>
      <c r="D11" s="5"/>
      <c r="E11" s="5"/>
      <c r="F11" s="7">
        <f t="shared" si="0"/>
        <v>0</v>
      </c>
      <c r="G11" s="7" t="e">
        <f>H11/F11</f>
        <v>#DIV/0!</v>
      </c>
      <c r="H11" s="8"/>
    </row>
    <row r="12" spans="1:9" ht="15" customHeight="1" x14ac:dyDescent="0.35">
      <c r="A12" s="2"/>
      <c r="B12" s="10" t="s">
        <v>109</v>
      </c>
      <c r="C12" s="5"/>
      <c r="D12" s="5"/>
      <c r="E12" s="5"/>
      <c r="F12" s="5"/>
      <c r="G12" s="11" t="e">
        <f>AVERAGE(G5:G11)</f>
        <v>#DIV/0!</v>
      </c>
      <c r="H12" s="5"/>
    </row>
    <row r="13" spans="1:9" ht="15" customHeight="1" x14ac:dyDescent="0.35">
      <c r="B13" s="10" t="s">
        <v>110</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zoomScaleNormal="10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6"/>
      <c r="C4" s="56" t="s">
        <v>11</v>
      </c>
      <c r="D4" s="57" t="s">
        <v>174</v>
      </c>
      <c r="E4" s="57" t="s">
        <v>184</v>
      </c>
      <c r="F4" s="57" t="s">
        <v>168</v>
      </c>
      <c r="G4" s="57" t="s">
        <v>189</v>
      </c>
      <c r="H4" s="57" t="s">
        <v>207</v>
      </c>
      <c r="J4" t="s">
        <v>189</v>
      </c>
      <c r="K4" t="s">
        <v>205</v>
      </c>
    </row>
    <row r="5" spans="2:11" x14ac:dyDescent="0.35">
      <c r="B5" s="56"/>
      <c r="C5" s="56"/>
      <c r="D5" s="57" t="s">
        <v>175</v>
      </c>
      <c r="E5" s="57" t="s">
        <v>182</v>
      </c>
      <c r="F5" s="57" t="s">
        <v>204</v>
      </c>
      <c r="G5" s="57" t="s">
        <v>190</v>
      </c>
      <c r="H5" s="57" t="s">
        <v>208</v>
      </c>
    </row>
    <row r="6" spans="2:11" x14ac:dyDescent="0.35">
      <c r="B6" s="56"/>
      <c r="C6" s="56"/>
      <c r="D6" s="57" t="s">
        <v>176</v>
      </c>
      <c r="E6" s="57" t="s">
        <v>183</v>
      </c>
      <c r="F6" s="57" t="s">
        <v>205</v>
      </c>
      <c r="G6" s="57" t="s">
        <v>191</v>
      </c>
      <c r="H6" s="57" t="s">
        <v>221</v>
      </c>
    </row>
    <row r="7" spans="2:11" x14ac:dyDescent="0.35">
      <c r="B7" s="56"/>
      <c r="C7" s="56"/>
      <c r="D7" s="57" t="s">
        <v>177</v>
      </c>
      <c r="E7" s="57" t="s">
        <v>185</v>
      </c>
      <c r="F7" s="57" t="s">
        <v>206</v>
      </c>
      <c r="G7" s="57" t="s">
        <v>192</v>
      </c>
      <c r="H7" s="57" t="s">
        <v>209</v>
      </c>
    </row>
    <row r="8" spans="2:11" x14ac:dyDescent="0.35">
      <c r="B8" s="56"/>
      <c r="C8" s="56"/>
      <c r="D8" s="57" t="s">
        <v>178</v>
      </c>
      <c r="E8" s="57" t="s">
        <v>186</v>
      </c>
      <c r="F8" s="57"/>
      <c r="G8" s="57" t="s">
        <v>193</v>
      </c>
      <c r="H8" s="57" t="s">
        <v>210</v>
      </c>
    </row>
    <row r="9" spans="2:11" x14ac:dyDescent="0.35">
      <c r="B9" s="56"/>
      <c r="C9" s="56"/>
      <c r="D9" s="57" t="s">
        <v>179</v>
      </c>
      <c r="E9" s="57" t="s">
        <v>184</v>
      </c>
      <c r="F9" s="57"/>
      <c r="G9" s="57" t="s">
        <v>194</v>
      </c>
      <c r="H9" s="57" t="s">
        <v>211</v>
      </c>
    </row>
    <row r="10" spans="2:11" x14ac:dyDescent="0.35">
      <c r="B10" s="56"/>
      <c r="C10" s="56"/>
      <c r="D10" s="57" t="s">
        <v>180</v>
      </c>
      <c r="E10" s="57" t="s">
        <v>187</v>
      </c>
      <c r="F10" s="57"/>
      <c r="G10" s="57" t="s">
        <v>195</v>
      </c>
      <c r="H10" s="57" t="s">
        <v>212</v>
      </c>
    </row>
    <row r="11" spans="2:11" x14ac:dyDescent="0.35">
      <c r="B11" s="56"/>
      <c r="C11" s="56"/>
      <c r="D11" s="57" t="s">
        <v>181</v>
      </c>
      <c r="E11" s="57" t="s">
        <v>188</v>
      </c>
      <c r="F11" s="57"/>
      <c r="G11" s="57" t="s">
        <v>196</v>
      </c>
      <c r="H11" s="57" t="s">
        <v>213</v>
      </c>
    </row>
    <row r="12" spans="2:11" x14ac:dyDescent="0.35">
      <c r="B12" s="56"/>
      <c r="C12" s="56"/>
      <c r="D12" s="57"/>
      <c r="E12" s="57"/>
      <c r="F12" s="57"/>
      <c r="G12" s="57" t="s">
        <v>197</v>
      </c>
      <c r="H12" s="57" t="s">
        <v>214</v>
      </c>
    </row>
    <row r="13" spans="2:11" x14ac:dyDescent="0.35">
      <c r="B13" s="56"/>
      <c r="C13" s="56"/>
      <c r="D13" s="57"/>
      <c r="E13" s="57"/>
      <c r="F13" s="57"/>
      <c r="G13" s="57" t="s">
        <v>198</v>
      </c>
      <c r="H13" s="57" t="s">
        <v>215</v>
      </c>
    </row>
    <row r="14" spans="2:11" x14ac:dyDescent="0.35">
      <c r="B14" s="56"/>
      <c r="C14" s="56"/>
      <c r="D14" s="57"/>
      <c r="E14" s="57"/>
      <c r="F14" s="57"/>
      <c r="G14" s="57" t="s">
        <v>199</v>
      </c>
      <c r="H14" s="57" t="s">
        <v>216</v>
      </c>
    </row>
    <row r="15" spans="2:11" x14ac:dyDescent="0.35">
      <c r="B15" s="56"/>
      <c r="C15" s="56"/>
      <c r="D15" s="57"/>
      <c r="E15" s="57"/>
      <c r="F15" s="57"/>
      <c r="G15" s="57" t="s">
        <v>200</v>
      </c>
      <c r="H15" s="57" t="s">
        <v>217</v>
      </c>
    </row>
    <row r="16" spans="2:11" x14ac:dyDescent="0.35">
      <c r="B16" s="56"/>
      <c r="C16" s="56"/>
      <c r="D16" s="57"/>
      <c r="E16" s="57"/>
      <c r="F16" s="57"/>
      <c r="G16" s="57" t="s">
        <v>201</v>
      </c>
      <c r="H16" s="57" t="s">
        <v>218</v>
      </c>
    </row>
    <row r="17" spans="2:8" x14ac:dyDescent="0.35">
      <c r="B17" s="56"/>
      <c r="C17" s="56"/>
      <c r="D17" s="57"/>
      <c r="E17" s="57"/>
      <c r="F17" s="57"/>
      <c r="G17" s="57" t="s">
        <v>202</v>
      </c>
      <c r="H17" s="57" t="s">
        <v>219</v>
      </c>
    </row>
    <row r="18" spans="2:8" x14ac:dyDescent="0.35">
      <c r="B18" s="56"/>
      <c r="C18" s="56"/>
      <c r="D18" s="57"/>
      <c r="E18" s="57"/>
      <c r="F18" s="57"/>
      <c r="G18" s="57" t="s">
        <v>203</v>
      </c>
      <c r="H18" s="57" t="s">
        <v>220</v>
      </c>
    </row>
    <row r="24" spans="2:8" x14ac:dyDescent="0.35">
      <c r="C24" t="s">
        <v>165</v>
      </c>
    </row>
    <row r="25" spans="2:8" x14ac:dyDescent="0.35">
      <c r="C25" t="s">
        <v>222</v>
      </c>
    </row>
    <row r="26" spans="2:8" x14ac:dyDescent="0.35">
      <c r="C26" t="s">
        <v>223</v>
      </c>
    </row>
    <row r="27" spans="2:8" x14ac:dyDescent="0.35">
      <c r="C27" t="s">
        <v>224</v>
      </c>
    </row>
    <row r="28" spans="2:8" x14ac:dyDescent="0.35">
      <c r="C28" t="s">
        <v>225</v>
      </c>
    </row>
    <row r="29" spans="2:8" x14ac:dyDescent="0.35">
      <c r="C29" t="s">
        <v>226</v>
      </c>
    </row>
    <row r="30" spans="2:8" x14ac:dyDescent="0.35">
      <c r="C30" t="s">
        <v>165</v>
      </c>
    </row>
    <row r="33" spans="3:11" x14ac:dyDescent="0.35">
      <c r="J33">
        <v>1</v>
      </c>
      <c r="K33">
        <v>2</v>
      </c>
    </row>
    <row r="34" spans="3:11" x14ac:dyDescent="0.35">
      <c r="C34" s="60" t="s">
        <v>230</v>
      </c>
      <c r="D34" s="57" t="s">
        <v>228</v>
      </c>
      <c r="E34" s="57" t="s">
        <v>233</v>
      </c>
      <c r="F34" s="57" t="s">
        <v>231</v>
      </c>
      <c r="G34" s="57" t="s">
        <v>232</v>
      </c>
      <c r="H34" s="57" t="s">
        <v>234</v>
      </c>
      <c r="J34" t="s">
        <v>189</v>
      </c>
      <c r="K34" t="s">
        <v>205</v>
      </c>
    </row>
    <row r="35" spans="3:11" x14ac:dyDescent="0.35">
      <c r="C35" s="56" t="s">
        <v>229</v>
      </c>
      <c r="D35" s="57" t="s">
        <v>166</v>
      </c>
      <c r="E35" s="57" t="s">
        <v>238</v>
      </c>
      <c r="F35" s="57" t="s">
        <v>240</v>
      </c>
      <c r="G35" s="57" t="s">
        <v>242</v>
      </c>
      <c r="H35" s="57"/>
    </row>
    <row r="36" spans="3:11" x14ac:dyDescent="0.35">
      <c r="C36" s="56"/>
      <c r="D36" s="57" t="s">
        <v>235</v>
      </c>
      <c r="E36" s="57" t="s">
        <v>239</v>
      </c>
      <c r="F36" s="57" t="s">
        <v>241</v>
      </c>
      <c r="G36" s="57" t="s">
        <v>243</v>
      </c>
      <c r="H36" s="57"/>
    </row>
    <row r="37" spans="3:11" x14ac:dyDescent="0.35">
      <c r="C37" s="56"/>
      <c r="D37" s="57" t="s">
        <v>236</v>
      </c>
      <c r="E37" s="57"/>
      <c r="F37" s="57"/>
      <c r="G37" s="57" t="s">
        <v>244</v>
      </c>
      <c r="H37" s="57"/>
    </row>
    <row r="38" spans="3:11" x14ac:dyDescent="0.35">
      <c r="C38" s="56"/>
      <c r="D38" s="57" t="s">
        <v>237</v>
      </c>
      <c r="E38" s="57"/>
      <c r="F38" s="57"/>
      <c r="G38" s="57" t="s">
        <v>244</v>
      </c>
      <c r="H38" s="57"/>
    </row>
    <row r="39" spans="3:11" x14ac:dyDescent="0.35">
      <c r="C39" s="56"/>
      <c r="D39" s="57"/>
      <c r="E39" s="57"/>
      <c r="F39" s="57"/>
      <c r="G39" s="57" t="s">
        <v>245</v>
      </c>
      <c r="H39" s="57"/>
    </row>
    <row r="40" spans="3:11" x14ac:dyDescent="0.35">
      <c r="C40" s="56"/>
      <c r="D40" s="57"/>
      <c r="E40" s="57"/>
      <c r="F40" s="57"/>
      <c r="G40" s="57" t="s">
        <v>246</v>
      </c>
      <c r="H40" s="57"/>
    </row>
    <row r="41" spans="3:11" x14ac:dyDescent="0.35">
      <c r="C41" s="56"/>
      <c r="D41" s="57"/>
      <c r="E41" s="57"/>
      <c r="F41" s="57"/>
      <c r="G41" s="57"/>
      <c r="H41" s="57"/>
    </row>
    <row r="43" spans="3:11" x14ac:dyDescent="0.35">
      <c r="C43" t="s">
        <v>247</v>
      </c>
    </row>
    <row r="44" spans="3:11" x14ac:dyDescent="0.35">
      <c r="C44" t="s">
        <v>168</v>
      </c>
      <c r="D44" t="s">
        <v>248</v>
      </c>
    </row>
    <row r="45" spans="3:11" x14ac:dyDescent="0.35">
      <c r="D45" t="s">
        <v>249</v>
      </c>
    </row>
    <row r="46" spans="3:11" x14ac:dyDescent="0.35">
      <c r="D46" t="s">
        <v>250</v>
      </c>
    </row>
    <row r="47" spans="3:11" x14ac:dyDescent="0.35">
      <c r="D47" t="s">
        <v>251</v>
      </c>
    </row>
    <row r="48" spans="3:11" x14ac:dyDescent="0.35">
      <c r="D48" t="s">
        <v>252</v>
      </c>
    </row>
    <row r="49" spans="3:4" x14ac:dyDescent="0.35">
      <c r="C49" t="s">
        <v>174</v>
      </c>
      <c r="D49" t="s">
        <v>253</v>
      </c>
    </row>
    <row r="50" spans="3:4" x14ac:dyDescent="0.35">
      <c r="D50" t="s">
        <v>254</v>
      </c>
    </row>
    <row r="51" spans="3:4" x14ac:dyDescent="0.35">
      <c r="D51" t="s">
        <v>255</v>
      </c>
    </row>
    <row r="52" spans="3:4" x14ac:dyDescent="0.35">
      <c r="D52" t="s">
        <v>258</v>
      </c>
    </row>
    <row r="53" spans="3:4" x14ac:dyDescent="0.35">
      <c r="D53" t="s">
        <v>256</v>
      </c>
    </row>
    <row r="54" spans="3:4" x14ac:dyDescent="0.35">
      <c r="D54" t="s">
        <v>257</v>
      </c>
    </row>
    <row r="55" spans="3:4" x14ac:dyDescent="0.35">
      <c r="D55" t="s">
        <v>259</v>
      </c>
    </row>
    <row r="56" spans="3:4" x14ac:dyDescent="0.35">
      <c r="D56" t="s">
        <v>260</v>
      </c>
    </row>
    <row r="57" spans="3:4" x14ac:dyDescent="0.35">
      <c r="D57" t="s">
        <v>261</v>
      </c>
    </row>
    <row r="58" spans="3:4" x14ac:dyDescent="0.35">
      <c r="D58" t="s">
        <v>263</v>
      </c>
    </row>
    <row r="59" spans="3:4" x14ac:dyDescent="0.35">
      <c r="D59" t="s">
        <v>272</v>
      </c>
    </row>
    <row r="60" spans="3:4" x14ac:dyDescent="0.35">
      <c r="C60" t="s">
        <v>189</v>
      </c>
      <c r="D60" t="s">
        <v>264</v>
      </c>
    </row>
    <row r="61" spans="3:4" x14ac:dyDescent="0.35">
      <c r="D61" t="s">
        <v>262</v>
      </c>
    </row>
    <row r="62" spans="3:4" x14ac:dyDescent="0.35">
      <c r="D62" t="s">
        <v>252</v>
      </c>
    </row>
    <row r="63" spans="3:4" x14ac:dyDescent="0.35">
      <c r="D63" t="s">
        <v>265</v>
      </c>
    </row>
    <row r="64" spans="3:4" x14ac:dyDescent="0.35">
      <c r="D64" t="s">
        <v>266</v>
      </c>
    </row>
    <row r="65" spans="3:4" x14ac:dyDescent="0.35">
      <c r="D65" t="s">
        <v>267</v>
      </c>
    </row>
    <row r="66" spans="3:4" x14ac:dyDescent="0.35">
      <c r="D66" t="s">
        <v>268</v>
      </c>
    </row>
    <row r="67" spans="3:4" x14ac:dyDescent="0.35">
      <c r="C67" t="s">
        <v>184</v>
      </c>
      <c r="D67" t="s">
        <v>269</v>
      </c>
    </row>
    <row r="68" spans="3:4" x14ac:dyDescent="0.35">
      <c r="D68" t="s">
        <v>270</v>
      </c>
    </row>
    <row r="69" spans="3:4" x14ac:dyDescent="0.35">
      <c r="D69" t="s">
        <v>271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topLeftCell="A28" workbookViewId="0">
      <selection activeCell="C9" sqref="C9"/>
    </sheetView>
  </sheetViews>
  <sheetFormatPr defaultRowHeight="14.5" x14ac:dyDescent="0.35"/>
  <cols>
    <col min="2" max="2" width="3" bestFit="1" customWidth="1"/>
    <col min="3" max="3" width="155.26953125" customWidth="1"/>
  </cols>
  <sheetData>
    <row r="2" spans="2:3" ht="15" customHeight="1" x14ac:dyDescent="0.35">
      <c r="B2" s="61">
        <v>1</v>
      </c>
      <c r="C2" s="64" t="s">
        <v>277</v>
      </c>
    </row>
    <row r="3" spans="2:3" x14ac:dyDescent="0.35">
      <c r="B3" s="61">
        <v>2</v>
      </c>
      <c r="C3" s="62" t="s">
        <v>278</v>
      </c>
    </row>
    <row r="4" spans="2:3" x14ac:dyDescent="0.35">
      <c r="B4" s="61">
        <v>3</v>
      </c>
      <c r="C4" s="63" t="s">
        <v>279</v>
      </c>
    </row>
    <row r="5" spans="2:3" x14ac:dyDescent="0.35">
      <c r="B5" s="61">
        <v>4</v>
      </c>
      <c r="C5" s="62" t="s">
        <v>280</v>
      </c>
    </row>
    <row r="6" spans="2:3" x14ac:dyDescent="0.35">
      <c r="B6" s="61">
        <v>5</v>
      </c>
      <c r="C6" s="63" t="s">
        <v>281</v>
      </c>
    </row>
    <row r="7" spans="2:3" ht="29" x14ac:dyDescent="0.35">
      <c r="B7" s="61">
        <v>6</v>
      </c>
      <c r="C7" s="62" t="s">
        <v>282</v>
      </c>
    </row>
    <row r="8" spans="2:3" ht="72.5" x14ac:dyDescent="0.35">
      <c r="B8" s="61">
        <v>7</v>
      </c>
      <c r="C8" s="62" t="s">
        <v>283</v>
      </c>
    </row>
    <row r="9" spans="2:3" x14ac:dyDescent="0.35">
      <c r="B9" s="61">
        <v>8</v>
      </c>
      <c r="C9" s="63" t="s">
        <v>284</v>
      </c>
    </row>
    <row r="10" spans="2:3" x14ac:dyDescent="0.35">
      <c r="B10" s="61">
        <v>9</v>
      </c>
      <c r="C10" s="63" t="s">
        <v>285</v>
      </c>
    </row>
    <row r="11" spans="2:3" x14ac:dyDescent="0.35">
      <c r="B11" s="61">
        <v>10</v>
      </c>
      <c r="C11" s="63" t="s">
        <v>286</v>
      </c>
    </row>
    <row r="12" spans="2:3" x14ac:dyDescent="0.35">
      <c r="B12" s="61">
        <v>11</v>
      </c>
      <c r="C12" s="63" t="s">
        <v>287</v>
      </c>
    </row>
    <row r="13" spans="2:3" x14ac:dyDescent="0.35">
      <c r="B13" s="61">
        <v>12</v>
      </c>
      <c r="C13" s="63" t="s">
        <v>288</v>
      </c>
    </row>
    <row r="14" spans="2:3" x14ac:dyDescent="0.35">
      <c r="B14" s="61">
        <v>13</v>
      </c>
      <c r="C14" s="63" t="s">
        <v>289</v>
      </c>
    </row>
    <row r="15" spans="2:3" x14ac:dyDescent="0.35">
      <c r="B15" s="61">
        <v>14</v>
      </c>
      <c r="C15" s="63" t="s">
        <v>279</v>
      </c>
    </row>
    <row r="16" spans="2:3" x14ac:dyDescent="0.35">
      <c r="B16" s="61">
        <v>15</v>
      </c>
      <c r="C16" s="63" t="s">
        <v>292</v>
      </c>
    </row>
    <row r="17" spans="2:3" x14ac:dyDescent="0.35">
      <c r="B17" s="89">
        <v>16</v>
      </c>
      <c r="C17" s="71" t="s">
        <v>293</v>
      </c>
    </row>
    <row r="18" spans="2:3" x14ac:dyDescent="0.35">
      <c r="B18" s="70">
        <v>17</v>
      </c>
      <c r="C18" s="71" t="s">
        <v>294</v>
      </c>
    </row>
    <row r="19" spans="2:3" x14ac:dyDescent="0.35">
      <c r="B19" s="69">
        <v>18</v>
      </c>
      <c r="C19" s="61" t="s">
        <v>295</v>
      </c>
    </row>
    <row r="20" spans="2:3" x14ac:dyDescent="0.35">
      <c r="B20" s="70">
        <v>19</v>
      </c>
      <c r="C20" s="61" t="s">
        <v>331</v>
      </c>
    </row>
    <row r="21" spans="2:3" x14ac:dyDescent="0.35">
      <c r="B21" s="72">
        <v>20</v>
      </c>
      <c r="C21" s="61" t="s">
        <v>296</v>
      </c>
    </row>
    <row r="22" spans="2:3" x14ac:dyDescent="0.35">
      <c r="B22" s="70">
        <v>21</v>
      </c>
      <c r="C22" s="61" t="s">
        <v>295</v>
      </c>
    </row>
    <row r="23" spans="2:3" s="81" customFormat="1" ht="29.25" customHeight="1" x14ac:dyDescent="0.35">
      <c r="B23" s="80">
        <v>22</v>
      </c>
      <c r="C23" s="64" t="s">
        <v>323</v>
      </c>
    </row>
    <row r="24" spans="2:3" s="81" customFormat="1" ht="30.75" customHeight="1" x14ac:dyDescent="0.35">
      <c r="B24" s="82">
        <v>23</v>
      </c>
      <c r="C24" s="64" t="s">
        <v>324</v>
      </c>
    </row>
    <row r="25" spans="2:3" x14ac:dyDescent="0.35">
      <c r="B25" s="72">
        <v>24</v>
      </c>
      <c r="C25" s="61" t="s">
        <v>327</v>
      </c>
    </row>
    <row r="26" spans="2:3" x14ac:dyDescent="0.35">
      <c r="B26" s="70">
        <v>25</v>
      </c>
      <c r="C26" s="61" t="s">
        <v>325</v>
      </c>
    </row>
    <row r="27" spans="2:3" x14ac:dyDescent="0.35">
      <c r="B27" s="82">
        <v>26</v>
      </c>
      <c r="C27" s="72" t="s">
        <v>326</v>
      </c>
    </row>
    <row r="28" spans="2:3" x14ac:dyDescent="0.35">
      <c r="B28" s="83">
        <v>27</v>
      </c>
      <c r="C28" s="61" t="s">
        <v>328</v>
      </c>
    </row>
    <row r="29" spans="2:3" ht="43.5" x14ac:dyDescent="0.35">
      <c r="B29" s="88">
        <v>28</v>
      </c>
      <c r="C29" s="62" t="s">
        <v>329</v>
      </c>
    </row>
    <row r="30" spans="2:3" x14ac:dyDescent="0.35">
      <c r="B30" s="82">
        <v>29</v>
      </c>
      <c r="C30" s="61" t="s">
        <v>330</v>
      </c>
    </row>
    <row r="31" spans="2:3" ht="29" x14ac:dyDescent="0.35">
      <c r="B31" s="90">
        <v>30</v>
      </c>
      <c r="C31" s="62" t="s">
        <v>332</v>
      </c>
    </row>
    <row r="32" spans="2:3" x14ac:dyDescent="0.35">
      <c r="B32" s="82">
        <v>31</v>
      </c>
      <c r="C32" s="61" t="s">
        <v>333</v>
      </c>
    </row>
    <row r="33" spans="2:3" x14ac:dyDescent="0.35">
      <c r="B33" s="82">
        <v>32</v>
      </c>
      <c r="C33" s="61" t="s">
        <v>334</v>
      </c>
    </row>
    <row r="34" spans="2:3" ht="36.75" customHeight="1" x14ac:dyDescent="0.35">
      <c r="B34" s="90">
        <v>33</v>
      </c>
      <c r="C34" s="71" t="s">
        <v>335</v>
      </c>
    </row>
    <row r="35" spans="2:3" x14ac:dyDescent="0.35">
      <c r="B35" s="95">
        <v>34</v>
      </c>
      <c r="C35" s="61" t="s">
        <v>343</v>
      </c>
    </row>
    <row r="36" spans="2:3" ht="58" x14ac:dyDescent="0.35">
      <c r="B36" s="80">
        <v>35</v>
      </c>
      <c r="C36" s="62" t="s">
        <v>346</v>
      </c>
    </row>
    <row r="37" spans="2:3" x14ac:dyDescent="0.35">
      <c r="B37" s="61"/>
      <c r="C37" s="61"/>
    </row>
    <row r="38" spans="2:3" x14ac:dyDescent="0.35">
      <c r="B38" s="61"/>
      <c r="C38" s="61"/>
    </row>
    <row r="39" spans="2:3" x14ac:dyDescent="0.35">
      <c r="B39" s="61"/>
      <c r="C39" s="61"/>
    </row>
    <row r="40" spans="2:3" x14ac:dyDescent="0.35">
      <c r="B40" s="61"/>
      <c r="C40" s="61"/>
    </row>
    <row r="41" spans="2:3" x14ac:dyDescent="0.35">
      <c r="B41" s="61"/>
      <c r="C41" s="61"/>
    </row>
    <row r="42" spans="2:3" x14ac:dyDescent="0.35">
      <c r="B42" s="61"/>
      <c r="C42" s="61"/>
    </row>
    <row r="43" spans="2:3" x14ac:dyDescent="0.35">
      <c r="B43" s="61"/>
      <c r="C43" s="61"/>
    </row>
    <row r="44" spans="2:3" x14ac:dyDescent="0.35">
      <c r="B44" s="61"/>
      <c r="C44" s="6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16" workbookViewId="0">
      <selection activeCell="H19" sqref="H19"/>
    </sheetView>
  </sheetViews>
  <sheetFormatPr defaultColWidth="9.1796875" defaultRowHeight="14.5" x14ac:dyDescent="0.35"/>
  <cols>
    <col min="1" max="1" width="9.1796875" style="56"/>
    <col min="2" max="2" width="12.26953125" style="56" customWidth="1"/>
    <col min="3" max="16384" width="9.1796875" style="56"/>
  </cols>
  <sheetData>
    <row r="2" spans="1:12" x14ac:dyDescent="0.35">
      <c r="B2" s="74" t="s">
        <v>297</v>
      </c>
      <c r="C2" s="261"/>
      <c r="D2" s="261"/>
    </row>
    <row r="3" spans="1:12" x14ac:dyDescent="0.35">
      <c r="D3" s="75"/>
      <c r="E3" s="75"/>
      <c r="F3" s="75"/>
      <c r="G3" s="75"/>
      <c r="H3" s="75"/>
      <c r="I3" s="75"/>
    </row>
    <row r="4" spans="1:12" x14ac:dyDescent="0.35">
      <c r="A4" s="74" t="s">
        <v>65</v>
      </c>
      <c r="B4" s="76" t="s">
        <v>298</v>
      </c>
      <c r="C4" s="262" t="s">
        <v>299</v>
      </c>
      <c r="D4" s="262"/>
      <c r="E4" s="262"/>
      <c r="F4" s="76"/>
      <c r="G4" s="263" t="s">
        <v>300</v>
      </c>
      <c r="H4" s="263"/>
      <c r="I4" s="263"/>
      <c r="J4" s="264" t="s">
        <v>301</v>
      </c>
      <c r="K4" s="264"/>
      <c r="L4" s="264"/>
    </row>
    <row r="5" spans="1:12" x14ac:dyDescent="0.35">
      <c r="A5" s="74"/>
      <c r="B5" s="76"/>
      <c r="C5" s="76" t="s">
        <v>302</v>
      </c>
      <c r="D5" s="76" t="s">
        <v>303</v>
      </c>
      <c r="E5" s="76" t="s">
        <v>304</v>
      </c>
      <c r="F5" s="76"/>
      <c r="G5" s="76" t="s">
        <v>302</v>
      </c>
      <c r="H5" s="76" t="s">
        <v>303</v>
      </c>
      <c r="I5" s="76" t="s">
        <v>304</v>
      </c>
      <c r="J5" s="76" t="s">
        <v>302</v>
      </c>
      <c r="K5" s="76" t="s">
        <v>303</v>
      </c>
      <c r="L5" s="76" t="s">
        <v>304</v>
      </c>
    </row>
    <row r="6" spans="1:12" x14ac:dyDescent="0.35">
      <c r="B6" s="57" t="s">
        <v>305</v>
      </c>
      <c r="C6" s="57"/>
      <c r="D6" s="57"/>
      <c r="E6" s="57">
        <f>C6*D6</f>
        <v>0</v>
      </c>
      <c r="F6" s="57" t="s">
        <v>322</v>
      </c>
      <c r="G6" s="57"/>
      <c r="H6" s="57"/>
      <c r="I6" s="57">
        <f>G6*H6</f>
        <v>0</v>
      </c>
      <c r="J6" s="57"/>
      <c r="K6" s="57"/>
      <c r="L6" s="57">
        <f>J6*K6</f>
        <v>0</v>
      </c>
    </row>
    <row r="7" spans="1:12" x14ac:dyDescent="0.35">
      <c r="B7" s="57"/>
      <c r="C7" s="57"/>
      <c r="D7" s="57"/>
      <c r="E7" s="57">
        <f t="shared" ref="E7:E41" si="0">C7*D7</f>
        <v>0</v>
      </c>
      <c r="F7" s="57" t="s">
        <v>322</v>
      </c>
      <c r="G7" s="57"/>
      <c r="H7" s="57"/>
      <c r="I7" s="57">
        <f t="shared" ref="I7:I35" si="1">G7*H7</f>
        <v>0</v>
      </c>
      <c r="J7" s="57"/>
      <c r="K7" s="57"/>
      <c r="L7" s="57">
        <f t="shared" ref="L7:L35" si="2">J7*K7</f>
        <v>0</v>
      </c>
    </row>
    <row r="8" spans="1:12" x14ac:dyDescent="0.35">
      <c r="B8" s="57"/>
      <c r="C8" s="57"/>
      <c r="D8" s="57"/>
      <c r="E8" s="57">
        <f t="shared" si="0"/>
        <v>0</v>
      </c>
      <c r="F8" s="57"/>
      <c r="G8" s="57"/>
      <c r="H8" s="57"/>
      <c r="I8" s="57">
        <f t="shared" si="1"/>
        <v>0</v>
      </c>
      <c r="J8" s="57"/>
      <c r="K8" s="57"/>
      <c r="L8" s="57">
        <f t="shared" si="2"/>
        <v>0</v>
      </c>
    </row>
    <row r="9" spans="1:12" x14ac:dyDescent="0.35">
      <c r="B9" s="57"/>
      <c r="C9" s="57"/>
      <c r="D9" s="57"/>
      <c r="E9" s="57">
        <f t="shared" si="0"/>
        <v>0</v>
      </c>
      <c r="F9" s="57" t="s">
        <v>306</v>
      </c>
      <c r="G9" s="57"/>
      <c r="H9" s="57"/>
      <c r="I9" s="57">
        <f t="shared" si="1"/>
        <v>0</v>
      </c>
      <c r="J9" s="57"/>
      <c r="K9" s="57"/>
      <c r="L9" s="57">
        <f t="shared" si="2"/>
        <v>0</v>
      </c>
    </row>
    <row r="10" spans="1:12" x14ac:dyDescent="0.35">
      <c r="B10" s="57" t="s">
        <v>307</v>
      </c>
      <c r="C10" s="57"/>
      <c r="D10" s="57"/>
      <c r="E10" s="57">
        <f t="shared" si="0"/>
        <v>0</v>
      </c>
      <c r="F10" s="57" t="s">
        <v>306</v>
      </c>
      <c r="G10" s="57"/>
      <c r="H10" s="57"/>
      <c r="I10" s="57">
        <f t="shared" si="1"/>
        <v>0</v>
      </c>
      <c r="J10" s="57"/>
      <c r="K10" s="57"/>
      <c r="L10" s="57">
        <f t="shared" si="2"/>
        <v>0</v>
      </c>
    </row>
    <row r="11" spans="1:12" x14ac:dyDescent="0.35">
      <c r="B11" s="57"/>
      <c r="C11" s="57"/>
      <c r="D11" s="57"/>
      <c r="E11" s="57">
        <f t="shared" si="0"/>
        <v>0</v>
      </c>
      <c r="F11" s="57" t="s">
        <v>308</v>
      </c>
      <c r="G11" s="57"/>
      <c r="H11" s="57"/>
      <c r="I11" s="57">
        <f t="shared" si="1"/>
        <v>0</v>
      </c>
      <c r="J11" s="57"/>
      <c r="K11" s="57"/>
      <c r="L11" s="57">
        <f t="shared" si="2"/>
        <v>0</v>
      </c>
    </row>
    <row r="12" spans="1:12" x14ac:dyDescent="0.35">
      <c r="B12" s="57"/>
      <c r="C12" s="57"/>
      <c r="D12" s="57"/>
      <c r="E12" s="57">
        <f t="shared" si="0"/>
        <v>0</v>
      </c>
      <c r="F12" s="57"/>
      <c r="G12" s="57"/>
      <c r="H12" s="57"/>
      <c r="I12" s="57">
        <f t="shared" si="1"/>
        <v>0</v>
      </c>
      <c r="J12" s="57"/>
      <c r="K12" s="57"/>
      <c r="L12" s="57">
        <f t="shared" si="2"/>
        <v>0</v>
      </c>
    </row>
    <row r="13" spans="1:12" x14ac:dyDescent="0.35">
      <c r="B13" s="57"/>
      <c r="C13" s="57"/>
      <c r="D13" s="57"/>
      <c r="E13" s="57">
        <f t="shared" si="0"/>
        <v>0</v>
      </c>
      <c r="F13" s="57"/>
      <c r="G13" s="57"/>
      <c r="H13" s="57"/>
      <c r="I13" s="57">
        <f t="shared" si="1"/>
        <v>0</v>
      </c>
      <c r="J13" s="57"/>
      <c r="K13" s="57"/>
      <c r="L13" s="57">
        <f t="shared" si="2"/>
        <v>0</v>
      </c>
    </row>
    <row r="14" spans="1:12" x14ac:dyDescent="0.35">
      <c r="B14" s="57" t="s">
        <v>309</v>
      </c>
      <c r="C14" s="57"/>
      <c r="D14" s="57"/>
      <c r="E14" s="57">
        <f t="shared" si="0"/>
        <v>0</v>
      </c>
      <c r="F14" s="57" t="s">
        <v>306</v>
      </c>
      <c r="G14" s="57"/>
      <c r="H14" s="57"/>
      <c r="I14" s="57">
        <f t="shared" si="1"/>
        <v>0</v>
      </c>
      <c r="J14" s="57"/>
      <c r="K14" s="57"/>
      <c r="L14" s="57">
        <f t="shared" si="2"/>
        <v>0</v>
      </c>
    </row>
    <row r="15" spans="1:12" x14ac:dyDescent="0.35">
      <c r="B15" s="57"/>
      <c r="C15" s="57"/>
      <c r="D15" s="57"/>
      <c r="E15" s="57">
        <f t="shared" si="0"/>
        <v>0</v>
      </c>
      <c r="F15" s="57" t="s">
        <v>308</v>
      </c>
      <c r="G15" s="57"/>
      <c r="H15" s="57"/>
      <c r="I15" s="57">
        <f t="shared" si="1"/>
        <v>0</v>
      </c>
      <c r="J15" s="57"/>
      <c r="K15" s="57"/>
      <c r="L15" s="57">
        <f t="shared" si="2"/>
        <v>0</v>
      </c>
    </row>
    <row r="16" spans="1:12" x14ac:dyDescent="0.35">
      <c r="B16" s="57"/>
      <c r="C16" s="57"/>
      <c r="D16" s="57"/>
      <c r="E16" s="57">
        <f t="shared" si="0"/>
        <v>0</v>
      </c>
      <c r="F16" s="57"/>
      <c r="G16" s="57"/>
      <c r="H16" s="57"/>
      <c r="I16" s="57">
        <f t="shared" si="1"/>
        <v>0</v>
      </c>
      <c r="J16" s="57"/>
      <c r="K16" s="57"/>
      <c r="L16" s="57">
        <f t="shared" si="2"/>
        <v>0</v>
      </c>
    </row>
    <row r="17" spans="2:12" x14ac:dyDescent="0.35">
      <c r="B17" s="57"/>
      <c r="C17" s="57"/>
      <c r="D17" s="57"/>
      <c r="E17" s="57">
        <f t="shared" si="0"/>
        <v>0</v>
      </c>
      <c r="F17" s="57"/>
      <c r="G17" s="57"/>
      <c r="H17" s="57"/>
      <c r="I17" s="57">
        <f t="shared" si="1"/>
        <v>0</v>
      </c>
      <c r="J17" s="57"/>
      <c r="K17" s="57"/>
      <c r="L17" s="57">
        <f t="shared" si="2"/>
        <v>0</v>
      </c>
    </row>
    <row r="18" spans="2:12" x14ac:dyDescent="0.35">
      <c r="B18" s="57" t="s">
        <v>310</v>
      </c>
      <c r="C18" s="57"/>
      <c r="D18" s="57"/>
      <c r="E18" s="57">
        <f t="shared" si="0"/>
        <v>0</v>
      </c>
      <c r="F18" s="57" t="s">
        <v>306</v>
      </c>
      <c r="G18" s="57"/>
      <c r="H18" s="57"/>
      <c r="I18" s="57">
        <f t="shared" si="1"/>
        <v>0</v>
      </c>
      <c r="J18" s="57"/>
      <c r="K18" s="57"/>
      <c r="L18" s="57">
        <f t="shared" si="2"/>
        <v>0</v>
      </c>
    </row>
    <row r="19" spans="2:12" x14ac:dyDescent="0.35">
      <c r="B19" s="57"/>
      <c r="C19" s="57"/>
      <c r="D19" s="57"/>
      <c r="E19" s="57">
        <f t="shared" si="0"/>
        <v>0</v>
      </c>
      <c r="F19" s="57" t="s">
        <v>308</v>
      </c>
      <c r="G19" s="57"/>
      <c r="H19" s="57"/>
      <c r="I19" s="57">
        <f t="shared" si="1"/>
        <v>0</v>
      </c>
      <c r="J19" s="57"/>
      <c r="K19" s="57"/>
      <c r="L19" s="57">
        <f t="shared" si="2"/>
        <v>0</v>
      </c>
    </row>
    <row r="20" spans="2:12" x14ac:dyDescent="0.35">
      <c r="B20" s="57"/>
      <c r="C20" s="57"/>
      <c r="D20" s="57"/>
      <c r="E20" s="57">
        <f t="shared" si="0"/>
        <v>0</v>
      </c>
      <c r="F20" s="57"/>
      <c r="G20" s="57"/>
      <c r="H20" s="57"/>
      <c r="I20" s="57">
        <f t="shared" si="1"/>
        <v>0</v>
      </c>
      <c r="J20" s="57"/>
      <c r="K20" s="57"/>
      <c r="L20" s="57">
        <f t="shared" si="2"/>
        <v>0</v>
      </c>
    </row>
    <row r="21" spans="2:12" x14ac:dyDescent="0.35">
      <c r="B21" s="57" t="s">
        <v>311</v>
      </c>
      <c r="C21" s="57"/>
      <c r="D21" s="57"/>
      <c r="E21" s="57">
        <f t="shared" si="0"/>
        <v>0</v>
      </c>
      <c r="F21" s="57" t="s">
        <v>306</v>
      </c>
      <c r="G21" s="57"/>
      <c r="H21" s="57"/>
      <c r="I21" s="57">
        <f t="shared" si="1"/>
        <v>0</v>
      </c>
      <c r="J21" s="57"/>
      <c r="K21" s="57"/>
      <c r="L21" s="57">
        <f t="shared" si="2"/>
        <v>0</v>
      </c>
    </row>
    <row r="22" spans="2:12" x14ac:dyDescent="0.35">
      <c r="B22" s="57"/>
      <c r="C22" s="57"/>
      <c r="D22" s="57"/>
      <c r="E22" s="57">
        <f t="shared" si="0"/>
        <v>0</v>
      </c>
      <c r="F22" s="57" t="s">
        <v>308</v>
      </c>
      <c r="G22" s="57"/>
      <c r="H22" s="57"/>
      <c r="I22" s="57">
        <f t="shared" si="1"/>
        <v>0</v>
      </c>
      <c r="J22" s="57"/>
      <c r="K22" s="57"/>
      <c r="L22" s="57">
        <f t="shared" si="2"/>
        <v>0</v>
      </c>
    </row>
    <row r="23" spans="2:12" x14ac:dyDescent="0.35">
      <c r="B23" s="57"/>
      <c r="C23" s="57"/>
      <c r="D23" s="57"/>
      <c r="E23" s="57">
        <f t="shared" si="0"/>
        <v>0</v>
      </c>
      <c r="F23" s="57"/>
      <c r="G23" s="57"/>
      <c r="H23" s="57"/>
      <c r="I23" s="57">
        <f t="shared" si="1"/>
        <v>0</v>
      </c>
      <c r="J23" s="57"/>
      <c r="K23" s="57"/>
      <c r="L23" s="57">
        <f t="shared" si="2"/>
        <v>0</v>
      </c>
    </row>
    <row r="24" spans="2:12" x14ac:dyDescent="0.35">
      <c r="B24" s="57" t="s">
        <v>312</v>
      </c>
      <c r="C24" s="57"/>
      <c r="D24" s="57"/>
      <c r="E24" s="57">
        <f t="shared" si="0"/>
        <v>0</v>
      </c>
      <c r="F24" s="57" t="s">
        <v>313</v>
      </c>
      <c r="G24" s="57"/>
      <c r="H24" s="57"/>
      <c r="I24" s="57">
        <f t="shared" si="1"/>
        <v>0</v>
      </c>
      <c r="J24" s="57"/>
      <c r="K24" s="57"/>
      <c r="L24" s="57">
        <f t="shared" si="2"/>
        <v>0</v>
      </c>
    </row>
    <row r="25" spans="2:12" x14ac:dyDescent="0.35">
      <c r="B25" s="57"/>
      <c r="C25" s="57"/>
      <c r="D25" s="57"/>
      <c r="E25" s="57">
        <f>C25*D25</f>
        <v>0</v>
      </c>
      <c r="F25" s="57" t="s">
        <v>313</v>
      </c>
      <c r="G25" s="57"/>
      <c r="H25" s="57"/>
      <c r="I25" s="57">
        <f>G25*H25</f>
        <v>0</v>
      </c>
      <c r="J25" s="57"/>
      <c r="K25" s="57"/>
      <c r="L25" s="57">
        <f>J25*K25</f>
        <v>0</v>
      </c>
    </row>
    <row r="26" spans="2:12" x14ac:dyDescent="0.35">
      <c r="B26" s="57"/>
      <c r="C26" s="57"/>
      <c r="D26" s="57"/>
      <c r="E26" s="57">
        <f>C26*D26</f>
        <v>0</v>
      </c>
      <c r="F26" s="57" t="s">
        <v>313</v>
      </c>
      <c r="G26" s="57"/>
      <c r="H26" s="57"/>
      <c r="I26" s="57">
        <f>G26*H26</f>
        <v>0</v>
      </c>
      <c r="J26" s="57"/>
      <c r="K26" s="57"/>
      <c r="L26" s="57">
        <f>J26*K26</f>
        <v>0</v>
      </c>
    </row>
    <row r="27" spans="2:12" x14ac:dyDescent="0.35">
      <c r="B27" s="57"/>
      <c r="C27" s="57"/>
      <c r="D27" s="57"/>
      <c r="E27" s="57">
        <f>C27*D27</f>
        <v>0</v>
      </c>
      <c r="F27" s="57" t="s">
        <v>313</v>
      </c>
      <c r="G27" s="57"/>
      <c r="H27" s="57"/>
      <c r="I27" s="57">
        <f>G27*H27</f>
        <v>0</v>
      </c>
      <c r="J27" s="57"/>
      <c r="K27" s="57"/>
      <c r="L27" s="57">
        <f>J27*K27</f>
        <v>0</v>
      </c>
    </row>
    <row r="28" spans="2:12" x14ac:dyDescent="0.35">
      <c r="B28" s="57" t="s">
        <v>314</v>
      </c>
      <c r="C28" s="57"/>
      <c r="D28" s="57"/>
      <c r="E28" s="57">
        <f t="shared" si="0"/>
        <v>0</v>
      </c>
      <c r="F28" s="57" t="s">
        <v>313</v>
      </c>
      <c r="G28" s="57"/>
      <c r="H28" s="57"/>
      <c r="I28" s="57">
        <f t="shared" si="1"/>
        <v>0</v>
      </c>
      <c r="J28" s="57"/>
      <c r="K28" s="57"/>
      <c r="L28" s="57">
        <f t="shared" si="2"/>
        <v>0</v>
      </c>
    </row>
    <row r="29" spans="2:12" x14ac:dyDescent="0.35">
      <c r="B29" s="57" t="s">
        <v>315</v>
      </c>
      <c r="C29" s="57"/>
      <c r="D29" s="57"/>
      <c r="E29" s="57">
        <f t="shared" si="0"/>
        <v>0</v>
      </c>
      <c r="F29" s="57" t="s">
        <v>313</v>
      </c>
      <c r="G29" s="57"/>
      <c r="H29" s="57"/>
      <c r="I29" s="57">
        <f t="shared" si="1"/>
        <v>0</v>
      </c>
      <c r="J29" s="57"/>
      <c r="K29" s="57"/>
      <c r="L29" s="57">
        <f t="shared" si="2"/>
        <v>0</v>
      </c>
    </row>
    <row r="30" spans="2:12" x14ac:dyDescent="0.35">
      <c r="B30" s="57" t="s">
        <v>319</v>
      </c>
      <c r="C30" s="57"/>
      <c r="D30" s="57"/>
      <c r="E30" s="57">
        <f t="shared" si="0"/>
        <v>0</v>
      </c>
      <c r="F30" s="57"/>
      <c r="G30" s="57"/>
      <c r="H30" s="57"/>
      <c r="I30" s="57">
        <f t="shared" si="1"/>
        <v>0</v>
      </c>
      <c r="J30" s="57"/>
      <c r="K30" s="57"/>
      <c r="L30" s="57">
        <f t="shared" si="2"/>
        <v>0</v>
      </c>
    </row>
    <row r="31" spans="2:12" x14ac:dyDescent="0.35">
      <c r="B31" s="57"/>
      <c r="C31" s="57"/>
      <c r="D31" s="57"/>
      <c r="E31" s="57">
        <f>C31*D31</f>
        <v>0</v>
      </c>
      <c r="F31" s="57"/>
      <c r="G31" s="57"/>
      <c r="H31" s="57"/>
      <c r="I31" s="57">
        <f>G31*H31</f>
        <v>0</v>
      </c>
      <c r="J31" s="57"/>
      <c r="K31" s="57"/>
      <c r="L31" s="57">
        <f>J31*K31</f>
        <v>0</v>
      </c>
    </row>
    <row r="32" spans="2:12" x14ac:dyDescent="0.35">
      <c r="B32" s="57"/>
      <c r="C32" s="57"/>
      <c r="D32" s="57"/>
      <c r="E32" s="57">
        <f>C32*D32</f>
        <v>0</v>
      </c>
      <c r="F32" s="57"/>
      <c r="G32" s="57"/>
      <c r="H32" s="57"/>
      <c r="I32" s="57">
        <f>G32*H32</f>
        <v>0</v>
      </c>
      <c r="J32" s="57"/>
      <c r="K32" s="57"/>
      <c r="L32" s="57">
        <f>J32*K32</f>
        <v>0</v>
      </c>
    </row>
    <row r="33" spans="2:12" x14ac:dyDescent="0.35">
      <c r="B33" s="57" t="s">
        <v>316</v>
      </c>
      <c r="C33" s="57"/>
      <c r="D33" s="57"/>
      <c r="E33" s="57">
        <f t="shared" si="0"/>
        <v>0</v>
      </c>
      <c r="F33" s="57"/>
      <c r="G33" s="57"/>
      <c r="H33" s="57"/>
      <c r="I33" s="57">
        <f t="shared" si="1"/>
        <v>0</v>
      </c>
      <c r="J33" s="57"/>
      <c r="K33" s="57"/>
      <c r="L33" s="57">
        <f t="shared" si="2"/>
        <v>0</v>
      </c>
    </row>
    <row r="34" spans="2:12" x14ac:dyDescent="0.35">
      <c r="B34" s="57" t="s">
        <v>320</v>
      </c>
      <c r="C34" s="57"/>
      <c r="D34" s="57"/>
      <c r="E34" s="57">
        <f t="shared" si="0"/>
        <v>0</v>
      </c>
      <c r="F34" s="57"/>
      <c r="G34" s="57"/>
      <c r="H34" s="57"/>
      <c r="I34" s="57">
        <f t="shared" si="1"/>
        <v>0</v>
      </c>
      <c r="J34" s="57"/>
      <c r="K34" s="57"/>
      <c r="L34" s="57">
        <f t="shared" si="2"/>
        <v>0</v>
      </c>
    </row>
    <row r="35" spans="2:12" x14ac:dyDescent="0.35">
      <c r="B35" s="57" t="s">
        <v>317</v>
      </c>
      <c r="C35" s="57"/>
      <c r="D35" s="57"/>
      <c r="E35" s="57">
        <f t="shared" si="0"/>
        <v>0</v>
      </c>
      <c r="F35" s="57"/>
      <c r="G35" s="57"/>
      <c r="H35" s="57"/>
      <c r="I35" s="57">
        <f t="shared" si="1"/>
        <v>0</v>
      </c>
      <c r="J35" s="57"/>
      <c r="K35" s="57"/>
      <c r="L35" s="57">
        <f t="shared" si="2"/>
        <v>0</v>
      </c>
    </row>
    <row r="36" spans="2:12" x14ac:dyDescent="0.35">
      <c r="B36" s="57" t="s">
        <v>318</v>
      </c>
      <c r="C36" s="57"/>
      <c r="D36" s="57"/>
      <c r="E36" s="57">
        <f t="shared" si="0"/>
        <v>0</v>
      </c>
      <c r="F36" s="57"/>
      <c r="G36" s="57"/>
      <c r="H36" s="57"/>
      <c r="I36" s="57">
        <f t="shared" ref="I36:I41" si="3">G36*H36</f>
        <v>0</v>
      </c>
      <c r="J36" s="57"/>
      <c r="K36" s="57"/>
      <c r="L36" s="57">
        <f t="shared" ref="L36:L41" si="4">J36*K36</f>
        <v>0</v>
      </c>
    </row>
    <row r="37" spans="2:12" x14ac:dyDescent="0.35">
      <c r="B37" s="57"/>
      <c r="C37" s="57"/>
      <c r="D37" s="57"/>
      <c r="E37" s="57">
        <f>C37*D37</f>
        <v>0</v>
      </c>
      <c r="F37" s="57"/>
      <c r="G37" s="57"/>
      <c r="H37" s="57"/>
      <c r="I37" s="57">
        <f t="shared" si="3"/>
        <v>0</v>
      </c>
      <c r="J37" s="57"/>
      <c r="K37" s="57"/>
      <c r="L37" s="57">
        <f t="shared" si="4"/>
        <v>0</v>
      </c>
    </row>
    <row r="38" spans="2:12" x14ac:dyDescent="0.35">
      <c r="B38" s="57" t="s">
        <v>321</v>
      </c>
      <c r="C38" s="57"/>
      <c r="D38" s="57"/>
      <c r="E38" s="57">
        <f>C38*D38</f>
        <v>0</v>
      </c>
      <c r="F38" s="57"/>
      <c r="G38" s="57"/>
      <c r="H38" s="57"/>
      <c r="I38" s="57">
        <f t="shared" si="3"/>
        <v>0</v>
      </c>
      <c r="J38" s="57"/>
      <c r="K38" s="57"/>
      <c r="L38" s="57">
        <f t="shared" si="4"/>
        <v>0</v>
      </c>
    </row>
    <row r="39" spans="2:12" x14ac:dyDescent="0.35">
      <c r="B39" s="57"/>
      <c r="C39" s="57"/>
      <c r="D39" s="57"/>
      <c r="E39" s="57">
        <f t="shared" si="0"/>
        <v>0</v>
      </c>
      <c r="F39" s="57"/>
      <c r="G39" s="57"/>
      <c r="H39" s="57"/>
      <c r="I39" s="57">
        <f t="shared" si="3"/>
        <v>0</v>
      </c>
      <c r="J39" s="57"/>
      <c r="K39" s="57"/>
      <c r="L39" s="57">
        <f t="shared" si="4"/>
        <v>0</v>
      </c>
    </row>
    <row r="40" spans="2:12" x14ac:dyDescent="0.35">
      <c r="B40" s="57"/>
      <c r="C40" s="57"/>
      <c r="D40" s="57"/>
      <c r="E40" s="57">
        <f t="shared" si="0"/>
        <v>0</v>
      </c>
      <c r="F40" s="57"/>
      <c r="G40" s="57"/>
      <c r="H40" s="57"/>
      <c r="I40" s="57">
        <f t="shared" si="3"/>
        <v>0</v>
      </c>
      <c r="J40" s="57"/>
      <c r="K40" s="57"/>
      <c r="L40" s="57">
        <f t="shared" si="4"/>
        <v>0</v>
      </c>
    </row>
    <row r="41" spans="2:12" x14ac:dyDescent="0.35">
      <c r="B41" s="57"/>
      <c r="C41" s="57"/>
      <c r="D41" s="57"/>
      <c r="E41" s="57">
        <f t="shared" si="0"/>
        <v>0</v>
      </c>
      <c r="F41" s="57"/>
      <c r="G41" s="57"/>
      <c r="H41" s="57"/>
      <c r="I41" s="57">
        <f t="shared" si="3"/>
        <v>0</v>
      </c>
      <c r="J41" s="57"/>
      <c r="K41" s="57"/>
      <c r="L41" s="57">
        <f t="shared" si="4"/>
        <v>0</v>
      </c>
    </row>
    <row r="42" spans="2:12" x14ac:dyDescent="0.35">
      <c r="B42" s="57" t="s">
        <v>144</v>
      </c>
      <c r="C42" s="57"/>
      <c r="D42" s="57">
        <f>E42*10.764</f>
        <v>0</v>
      </c>
      <c r="E42" s="79">
        <f>SUM(E6:E41)</f>
        <v>0</v>
      </c>
      <c r="F42" s="57"/>
      <c r="G42" s="57"/>
      <c r="H42" s="57">
        <f>I42*10.764</f>
        <v>0</v>
      </c>
      <c r="I42" s="78">
        <f>SUM(I6:I41)</f>
        <v>0</v>
      </c>
      <c r="J42" s="57"/>
      <c r="K42" s="57">
        <f>L42*10.764</f>
        <v>0</v>
      </c>
      <c r="L42" s="77">
        <f>SUM(L6:L41)</f>
        <v>0</v>
      </c>
    </row>
    <row r="44" spans="2:12" x14ac:dyDescent="0.35">
      <c r="D44" s="56">
        <f>D42+H42</f>
        <v>0</v>
      </c>
      <c r="E44" s="5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2025-07-09T12:33:18Z</cp:lastPrinted>
  <dcterms:created xsi:type="dcterms:W3CDTF">2019-07-16T09:29:46Z</dcterms:created>
  <dcterms:modified xsi:type="dcterms:W3CDTF">2025-07-17T06:56:23Z</dcterms:modified>
</cp:coreProperties>
</file>