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14029- Shree Puram Township\"/>
    </mc:Choice>
  </mc:AlternateContent>
  <bookViews>
    <workbookView xWindow="0" yWindow="0" windowWidth="20490" windowHeight="65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5" i="1" l="1"/>
  <c r="A126" i="1"/>
  <c r="A127" i="1"/>
  <c r="A128" i="1" s="1"/>
  <c r="A120" i="1"/>
  <c r="A121" i="1" s="1"/>
  <c r="A122" i="1" s="1"/>
  <c r="A123" i="1" s="1"/>
  <c r="A124" i="1" s="1"/>
  <c r="A119" i="1"/>
  <c r="E116" i="1" l="1"/>
  <c r="E115" i="1"/>
  <c r="E114" i="1"/>
  <c r="E113" i="1"/>
  <c r="E112" i="1"/>
  <c r="I112" i="1"/>
  <c r="E111" i="1"/>
  <c r="I111" i="1"/>
  <c r="D63" i="1"/>
  <c r="D116" i="1" l="1"/>
  <c r="D115" i="1"/>
  <c r="F115" i="1" s="1"/>
  <c r="H115" i="1" s="1"/>
  <c r="D114" i="1"/>
  <c r="D113" i="1"/>
  <c r="D112" i="1"/>
  <c r="D111" i="1"/>
  <c r="E44" i="1"/>
  <c r="E45" i="1" s="1"/>
  <c r="C103" i="1" l="1"/>
  <c r="C104" i="1" s="1"/>
  <c r="F111" i="1"/>
  <c r="H111" i="1" s="1"/>
  <c r="F116" i="1"/>
  <c r="H116" i="1" s="1"/>
  <c r="C74" i="1" l="1"/>
  <c r="B38" i="6" l="1"/>
  <c r="B39" i="6" s="1"/>
  <c r="B40" i="6" s="1"/>
  <c r="B41" i="6" s="1"/>
  <c r="B42" i="6" s="1"/>
  <c r="B43" i="6" s="1"/>
  <c r="B44" i="6" s="1"/>
  <c r="B45" i="6" s="1"/>
  <c r="B46" i="6" s="1"/>
  <c r="B47" i="6" s="1"/>
  <c r="B48" i="6" s="1"/>
  <c r="B49" i="6" s="1"/>
  <c r="B50" i="6" s="1"/>
  <c r="B51" i="6" s="1"/>
  <c r="B52" i="6" s="1"/>
  <c r="B53" i="6" s="1"/>
  <c r="B54"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48" i="1"/>
  <c r="B119" i="1"/>
  <c r="F114" i="1"/>
  <c r="H114" i="1" s="1"/>
  <c r="F113" i="1"/>
  <c r="H113" i="1" s="1"/>
  <c r="F112" i="1"/>
  <c r="H112" i="1" s="1"/>
  <c r="A112" i="1"/>
  <c r="A113" i="1" s="1"/>
  <c r="A114" i="1" s="1"/>
  <c r="A115" i="1" s="1"/>
  <c r="A116" i="1" s="1"/>
  <c r="F100" i="1"/>
  <c r="B75" i="1"/>
  <c r="D68" i="1"/>
  <c r="C56" i="1"/>
  <c r="K54" i="1"/>
  <c r="G51" i="1"/>
  <c r="C51" i="1"/>
  <c r="S33" i="1"/>
  <c r="E31" i="1"/>
  <c r="E28" i="1"/>
  <c r="E26" i="1"/>
  <c r="C16" i="1"/>
  <c r="I15" i="1"/>
  <c r="Z13" i="1"/>
  <c r="E8" i="1"/>
  <c r="E3" i="1"/>
  <c r="B134" i="1" s="1"/>
  <c r="G103" i="1" l="1"/>
  <c r="G104" i="1" s="1"/>
  <c r="E103" i="1"/>
  <c r="E104" i="1" s="1"/>
  <c r="E42" i="7"/>
  <c r="D42" i="7" s="1"/>
  <c r="J82" i="1"/>
  <c r="J83" i="1"/>
  <c r="I42" i="7"/>
  <c r="H42" i="7" s="1"/>
  <c r="L42" i="7"/>
  <c r="K42" i="7" s="1"/>
  <c r="L54" i="1"/>
  <c r="J84" i="1"/>
  <c r="J85" i="1"/>
  <c r="I52" i="1"/>
  <c r="H75" i="1"/>
  <c r="D86" i="1" l="1"/>
  <c r="D80" i="1"/>
  <c r="J80" i="1"/>
  <c r="J81" i="1" s="1"/>
  <c r="J79" i="1"/>
  <c r="C78" i="1" s="1"/>
  <c r="D78" i="1" s="1"/>
  <c r="D85" i="1"/>
  <c r="D84" i="1"/>
  <c r="J74" i="1"/>
  <c r="J76" i="1" s="1"/>
  <c r="D83" i="1"/>
  <c r="D87" i="1"/>
  <c r="D81" i="1"/>
  <c r="J78" i="1"/>
  <c r="J77" i="1"/>
  <c r="D82" i="1"/>
  <c r="D44" i="7"/>
  <c r="E44" i="7"/>
  <c r="J86" i="1" l="1"/>
  <c r="J87" i="1" s="1"/>
  <c r="C79" i="1"/>
  <c r="D79" i="1" s="1"/>
  <c r="I75" i="1" s="1"/>
  <c r="I76" i="1" s="1"/>
  <c r="G78" i="1" l="1"/>
  <c r="D72" i="1" s="1"/>
  <c r="D73" i="1" s="1"/>
  <c r="J75" i="1"/>
  <c r="I74" i="1" s="1"/>
  <c r="C76" i="1" s="1"/>
  <c r="E78" i="1"/>
  <c r="F73"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<sst xmlns="http://schemas.openxmlformats.org/spreadsheetml/2006/main" count="608" uniqueCount="431">
  <si>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</si>
  <si>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</si>
  <si>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</si>
  <si>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</si>
  <si>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</si>
  <si>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</si>
  <si>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</si>
  <si>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</si>
  <si>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</si>
  <si>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</si>
  <si>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</si>
  <si>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</si>
  <si>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</si>
  <si>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</si>
  <si>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</si>
  <si>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</si>
  <si>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</si>
  <si>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</si>
  <si>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</si>
  <si>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</si>
  <si>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</si>
  <si>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</si>
  <si>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</si>
  <si>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</si>
  <si>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</si>
  <si>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</si>
  <si>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</si>
  <si>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</si>
  <si>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</si>
  <si>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</si>
  <si>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</si>
  <si>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</si>
  <si>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</si>
  <si>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</si>
  <si>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</si>
  <si>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</si>
  <si>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</si>
  <si>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</si>
  <si>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</si>
  <si>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</si>
  <si>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</si>
  <si>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</si>
  <si>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</si>
  <si>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</si>
  <si>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</si>
  <si>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</si>
  <si>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</si>
  <si>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</si>
  <si>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</si>
  <si>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</si>
  <si>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</si>
  <si>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</si>
  <si>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</si>
  <si>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</si>
  <si>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</si>
  <si>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</si>
  <si>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</si>
  <si>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</si>
  <si>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</si>
  <si>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</si>
  <si>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</si>
  <si>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</si>
  <si>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</si>
  <si>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</si>
  <si>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</si>
  <si>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</si>
  <si>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</si>
  <si>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</si>
  <si>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</si>
  <si>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</si>
  <si>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</si>
  <si>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</si>
  <si>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</si>
  <si>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</si>
  <si>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</si>
  <si>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</si>
  <si>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</si>
  <si>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</si>
  <si>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</si>
  <si>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</si>
  <si>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</si>
  <si>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</si>
  <si>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</si>
  <si>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</si>
  <si>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</si>
  <si>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</si>
  <si>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</si>
  <si>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</si>
  <si>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</si>
  <si>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</si>
  <si>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</si>
  <si>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</si>
  <si>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</si>
  <si>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</si>
  <si>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</si>
  <si>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</si>
  <si>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</si>
  <si>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</si>
  <si>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</si>
  <si>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</si>
  <si>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</si>
  <si>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</si>
  <si>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</si>
  <si>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</si>
  <si>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</si>
  <si>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</si>
  <si>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</si>
  <si>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</si>
  <si>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</si>
  <si>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</si>
  <si>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</si>
  <si>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</si>
  <si>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</si>
  <si>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</si>
  <si>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</si>
  <si>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</si>
  <si>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</si>
  <si>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</si>
  <si>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</si>
  <si>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</si>
  <si>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</si>
  <si>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</si>
  <si>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</si>
  <si>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</si>
  <si>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</si>
  <si>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</si>
  <si>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</si>
  <si>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</si>
  <si>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</si>
  <si>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</si>
  <si>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</si>
  <si>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</si>
  <si>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</si>
  <si>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</si>
  <si>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</si>
  <si>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</si>
  <si>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</si>
  <si>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</si>
  <si>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</si>
  <si>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</si>
  <si>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</si>
  <si>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</si>
  <si>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</si>
  <si>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</si>
  <si>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</si>
  <si>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</si>
  <si>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</si>
  <si>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</si>
  <si>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</si>
  <si>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</si>
  <si>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</si>
  <si>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</si>
  <si>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</si>
  <si>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</si>
  <si>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</si>
  <si>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</si>
  <si>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</si>
  <si>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</si>
  <si>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</si>
  <si>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</si>
  <si>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</si>
  <si>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</si>
  <si>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</si>
  <si>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</si>
  <si>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</si>
  <si>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</si>
  <si>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</si>
  <si>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</si>
  <si>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</si>
  <si>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</si>
  <si>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</si>
  <si>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</si>
  <si>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</si>
  <si>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</si>
  <si>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</si>
  <si>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</si>
  <si>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</si>
  <si>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</si>
  <si>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</si>
  <si>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</si>
  <si>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</si>
  <si>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</si>
  <si>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</si>
  <si>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</si>
  <si>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</si>
  <si>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</si>
  <si>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</si>
  <si>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</si>
  <si>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</si>
  <si>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</si>
  <si>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</si>
  <si>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</si>
  <si>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</si>
  <si>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</si>
  <si>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</si>
  <si>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</si>
  <si>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</si>
  <si>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</si>
  <si>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</si>
  <si>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</si>
  <si>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</si>
  <si>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</si>
  <si>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</si>
  <si>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</si>
  <si>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</si>
  <si>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</si>
  <si>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</si>
  <si>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</si>
  <si>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</si>
  <si>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</si>
  <si>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</si>
  <si>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</si>
  <si>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</si>
  <si>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</si>
  <si>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</si>
  <si>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</si>
  <si>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</si>
  <si>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</si>
  <si>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</si>
  <si>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</si>
  <si>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</si>
  <si>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</si>
  <si>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</si>
  <si>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</si>
  <si>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</si>
  <si>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</si>
  <si>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</si>
  <si>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</si>
  <si>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</si>
  <si>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</si>
  <si>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</si>
  <si>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</si>
  <si>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</si>
  <si>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</si>
  <si>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</si>
  <si>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</si>
  <si>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</si>
  <si>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</si>
  <si>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</si>
  <si>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</si>
  <si>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</si>
  <si>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</si>
  <si>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</si>
  <si>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</si>
  <si>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</si>
  <si>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</si>
  <si>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</si>
  <si>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</si>
  <si>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</si>
  <si>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</si>
  <si>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</si>
  <si>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</si>
  <si>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</si>
  <si>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</si>
  <si>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</si>
  <si>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</si>
  <si>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</si>
  <si>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</si>
  <si>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</si>
  <si>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</si>
  <si>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</si>
  <si>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</si>
  <si>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</si>
  <si>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</si>
  <si>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</si>
  <si>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</si>
  <si>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</si>
  <si>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</si>
  <si>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</si>
  <si>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</si>
  <si>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</si>
  <si>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</si>
  <si>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</si>
  <si>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</si>
  <si>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</si>
  <si>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</si>
  <si>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</si>
  <si>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</si>
  <si>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</si>
  <si>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</si>
  <si>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</si>
  <si>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</si>
  <si>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</si>
  <si>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</si>
  <si>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</si>
  <si>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</si>
  <si>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</si>
  <si>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</si>
  <si>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</si>
  <si>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</si>
  <si>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</si>
  <si>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</si>
  <si>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</si>
  <si>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</si>
  <si>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</si>
  <si>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</si>
  <si>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</si>
  <si>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</si>
  <si>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</si>
  <si>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</si>
  <si>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</si>
  <si>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</si>
  <si>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</si>
  <si>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</si>
  <si>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</si>
  <si>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</si>
  <si>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</si>
  <si>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</si>
  <si>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</si>
  <si>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</si>
  <si>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</si>
  <si>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</si>
  <si>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</si>
  <si>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</si>
  <si>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</si>
  <si>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</si>
  <si>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</si>
  <si>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</si>
  <si>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</si>
  <si>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</si>
  <si>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</si>
  <si>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</si>
  <si>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</si>
  <si>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</si>
  <si>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</si>
  <si>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</si>
  <si>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</si>
  <si>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</si>
  <si>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</si>
  <si>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</si>
  <si>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</si>
  <si>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</si>
  <si>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</si>
  <si>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</si>
  <si>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</si>
  <si>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</si>
  <si>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</si>
  <si>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</si>
  <si>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</si>
  <si>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</si>
  <si>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</si>
  <si>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</si>
  <si>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</si>
  <si>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</si>
  <si>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</si>
  <si>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</si>
  <si>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</si>
  <si>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</si>
  <si>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</si>
  <si>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</si>
  <si>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</si>
  <si>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</si>
  <si>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</si>
  <si>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</si>
  <si>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</si>
  <si>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</si>
  <si>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</si>
  <si>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</si>
  <si>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</si>
  <si>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</si>
  <si>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</si>
  <si>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</si>
  <si>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</si>
  <si>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</si>
  <si>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</si>
  <si>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</si>
  <si>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</si>
  <si>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</si>
  <si>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</si>
  <si>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</si>
  <si>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</si>
  <si>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</si>
  <si>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</si>
  <si>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Uttam Landmark Private Limited</t>
  </si>
  <si>
    <t>Shree Puram Township</t>
  </si>
  <si>
    <t>Building No. 6</t>
  </si>
  <si>
    <t>P99000080558</t>
  </si>
  <si>
    <t>Survey No</t>
  </si>
  <si>
    <t>Kambalgaon</t>
  </si>
  <si>
    <t>Boisar</t>
  </si>
  <si>
    <t>Internal Road</t>
  </si>
  <si>
    <t>Palghar East</t>
  </si>
  <si>
    <t>3.9Km from Umroli Railway Station</t>
  </si>
  <si>
    <t>Other Plot</t>
  </si>
  <si>
    <t>Open Plot</t>
  </si>
  <si>
    <t>12M Wide Internal Road</t>
  </si>
  <si>
    <t>Mahsul/Kaksh.1/MJ.1/NAP/SR/247/18</t>
  </si>
  <si>
    <t xml:space="preserve">Building No. 6 = G + 1st to 6th Floor </t>
  </si>
  <si>
    <t>Building No.6 = Gr + 1st to 6th Floor</t>
  </si>
  <si>
    <t>As per RERA - 31/03/2032</t>
  </si>
  <si>
    <t xml:space="preserve">Vitrified tiles flooring, Granite Kitchen Platform, Decorative
Enternace etc.
</t>
  </si>
  <si>
    <r>
      <t xml:space="preserve">Proposed Amenities :                                                                                                                                                                                                                         </t>
    </r>
    <r>
      <rPr>
        <b/>
        <sz val="12"/>
        <rFont val="Times New Roman"/>
        <family val="1"/>
      </rPr>
      <t xml:space="preserve">                                               </t>
    </r>
  </si>
  <si>
    <t xml:space="preserve">Details of Residential in Building   </t>
  </si>
  <si>
    <t>Ground Floor For Parking</t>
  </si>
  <si>
    <t>1st to 6th Floor For Residential</t>
  </si>
  <si>
    <t>1BHK</t>
  </si>
  <si>
    <t>2BHK</t>
  </si>
  <si>
    <t>We considered Gross carpet area = Net carpet + Enclosed balcony + Elevation Projection Area.</t>
  </si>
  <si>
    <t>Saurav Panse</t>
  </si>
  <si>
    <t xml:space="preserve">Mr. Yadnyesh Patil </t>
  </si>
  <si>
    <t>Flats - 36</t>
  </si>
  <si>
    <t>Mr. Ashish Singh (Builder) 7977374908</t>
  </si>
  <si>
    <t>Shree Puram 2</t>
  </si>
  <si>
    <t>Mahsul/Kaksh.1/T.1/NAP/SR/247/2018</t>
  </si>
  <si>
    <t>Approved area of building (Sq.Mt)
Building No. 06</t>
  </si>
  <si>
    <t>Elevation Projection</t>
  </si>
  <si>
    <t>https://maps.app.goo.gl/y4dSzfzyb1CNsrU86</t>
  </si>
  <si>
    <t>As per the approved plan, it consists of Survey No. 6 &amp; 8 (Part) and, as per the RERA Certificate, Legal Title Certificate &amp; CC, it consists of Survey No. 6 &amp; 8B. Please check from yourend.</t>
  </si>
  <si>
    <t>ss</t>
  </si>
  <si>
    <t>6 &amp; 8(Part)</t>
  </si>
  <si>
    <t>Construction work was not active at the time of visit.</t>
  </si>
  <si>
    <t>Shree Puram Phase 1</t>
  </si>
  <si>
    <t>Panchali ( ramainagar) ground</t>
  </si>
  <si>
    <t>Internal Road/Building</t>
  </si>
  <si>
    <t>Nalla</t>
  </si>
  <si>
    <t>Building No. 5</t>
  </si>
  <si>
    <t>19.773497,72.763451</t>
  </si>
  <si>
    <t xml:space="preserve">Project Name with RERA No.
</t>
  </si>
  <si>
    <t>Promoter Name</t>
  </si>
  <si>
    <t>Building Names.</t>
  </si>
  <si>
    <t>Shree Puram Township
(P99000080558)</t>
  </si>
  <si>
    <t xml:space="preserve">Layout consist of multiple buildings inclusive of separate wings in it.
We have done separate APF reports for those projects.
</t>
  </si>
  <si>
    <t>Shree Township Phase 2
(P99000035083)
(P99000051250)</t>
  </si>
  <si>
    <t xml:space="preserve">M/s. Shree Shivbali Builders Private Limited </t>
  </si>
  <si>
    <t>Building No.3 (Wing A &amp; B)
Building No.4 (Wing A, B &amp; C)
Building No.5 (Wing A &amp; B)</t>
  </si>
  <si>
    <t>Shree Township Phase 2
(P99000053270)</t>
  </si>
  <si>
    <t xml:space="preserve"> Building No.1 Wing A</t>
  </si>
  <si>
    <t>Shree Puram Township Phase 1
(P99000028083)</t>
  </si>
  <si>
    <t>Building No.1
Building No.2A</t>
  </si>
  <si>
    <t>M/s. Shakuntala Realty Pvt. Ltd.</t>
  </si>
  <si>
    <t>Sale Plan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</si>
</sst>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2" fontId="7" fillId="0" borderId="0" xfId="1" applyNumberFormat="1" applyFont="1" applyAlignment="1">
      <alignment horizontal="center" vertical="center"/>
    </xf>
    <xf numFmtId="9" fontId="10"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1" fontId="13" fillId="0" borderId="1"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6" fillId="0" borderId="35"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13" fillId="5" borderId="1" xfId="0" applyNumberFormat="1" applyFont="1" applyFill="1" applyBorder="1" applyAlignment="1" applyProtection="1">
      <alignment horizontal="center"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0" fontId="10" fillId="0" borderId="16"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6" xfId="1" applyFont="1" applyBorder="1" applyAlignment="1" applyProtection="1">
      <alignment horizontal="left" vertical="top" wrapText="1"/>
      <protection locked="0"/>
    </xf>
    <xf numFmtId="164"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8</xdr:col>
      <xdr:colOff>742950</xdr:colOff>
      <xdr:row>45</xdr:row>
      <xdr:rowOff>133350</xdr:rowOff>
    </xdr:from>
    <xdr:to>
      <xdr:col>13</xdr:col>
      <xdr:colOff>75734</xdr:colOff>
      <xdr:row>67</xdr:row>
      <xdr:rowOff>123396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058025" y="9925050"/>
          <a:ext cx="3723809" cy="3428571"/>
        </a:xfrm>
        <a:prstGeom prst="rect">
          <a:avLst/>
        </a:prstGeom>
      </xdr:spPr>
    </xdr:pic>
    <xdr:clientData/>
  </xdr:twoCellAnchor>
  <xdr:twoCellAnchor>
    <xdr:from>
      <xdr:col>0</xdr:col>
      <xdr:colOff>104775</xdr:colOff>
      <xdr:row>148</xdr:row>
      <xdr:rowOff>180975</xdr:rowOff>
    </xdr:from>
    <xdr:to>
      <xdr:col>7</xdr:col>
      <xdr:colOff>643125</xdr:colOff>
      <xdr:row>174</xdr:row>
      <xdr:rowOff>177304</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104775" y="31175325"/>
          <a:ext cx="6120000" cy="5187454"/>
          <a:chOff x="-193674" y="3956546"/>
          <a:chExt cx="7245349" cy="5187454"/>
        </a:xfrm>
      </xdr:grpSpPr>
      <xdr:grpSp>
        <xdr:nvGrpSpPr>
          <xdr:cNvPr id="4" name="Group 3">
            <a:extLst>
              <a:ext uri="{FF2B5EF4-FFF2-40B4-BE49-F238E27FC236}">
                <a16:creationId xmlns:a16="http://schemas.microsoft.com/office/drawing/2014/main" xmlns="" id="{00000000-0008-0000-0000-000004000000}"/>
              </a:ext>
            </a:extLst>
          </xdr:cNvPr>
          <xdr:cNvGrpSpPr/>
        </xdr:nvGrpSpPr>
        <xdr:grpSpPr>
          <a:xfrm>
            <a:off x="0" y="3956546"/>
            <a:ext cx="6858000" cy="2520000"/>
            <a:chOff x="0" y="0"/>
            <a:chExt cx="6858000" cy="2520000"/>
          </a:xfrm>
        </xdr:grpSpPr>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0709" y="0"/>
              <a:ext cx="3357291" cy="2520000"/>
            </a:xfrm>
            <a:prstGeom prst="rect">
              <a:avLst/>
            </a:prstGeom>
            <a:ln>
              <a:solidFill>
                <a:schemeClr val="tx1"/>
              </a:solidFill>
            </a:ln>
          </xdr:spPr>
        </xdr:pic>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35729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xmlns="" id="{00000000-0008-0000-0000-000005000000}"/>
              </a:ext>
            </a:extLst>
          </xdr:cNvPr>
          <xdr:cNvGrpSpPr/>
        </xdr:nvGrpSpPr>
        <xdr:grpSpPr>
          <a:xfrm>
            <a:off x="-193674" y="6624000"/>
            <a:ext cx="7245349" cy="2520000"/>
            <a:chOff x="0" y="6624000"/>
            <a:chExt cx="7245349" cy="2520000"/>
          </a:xfrm>
        </xdr:grpSpPr>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624000"/>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57318" y="6624000"/>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44029" y="6624000"/>
              <a:ext cx="3357291" cy="2520000"/>
            </a:xfrm>
            <a:prstGeom prst="rect">
              <a:avLst/>
            </a:prstGeom>
            <a:ln>
              <a:solidFill>
                <a:schemeClr val="tx1"/>
              </a:solidFill>
            </a:ln>
          </xdr:spPr>
        </xdr:pic>
      </xdr:grpSp>
    </xdr:grpSp>
    <xdr:clientData/>
  </xdr:twoCellAnchor>
  <xdr:twoCellAnchor>
    <xdr:from>
      <xdr:col>0</xdr:col>
      <xdr:colOff>95250</xdr:colOff>
      <xdr:row>184</xdr:row>
      <xdr:rowOff>9525</xdr:rowOff>
    </xdr:from>
    <xdr:to>
      <xdr:col>7</xdr:col>
      <xdr:colOff>633600</xdr:colOff>
      <xdr:row>215</xdr:row>
      <xdr:rowOff>123412</xdr:rowOff>
    </xdr:to>
    <xdr:grpSp>
      <xdr:nvGrpSpPr>
        <xdr:cNvPr id="11" name="Group 10">
          <a:extLst>
            <a:ext uri="{FF2B5EF4-FFF2-40B4-BE49-F238E27FC236}">
              <a16:creationId xmlns:a16="http://schemas.microsoft.com/office/drawing/2014/main" xmlns="" id="{00000000-0008-0000-0000-00000B000000}"/>
            </a:ext>
          </a:extLst>
        </xdr:cNvPr>
        <xdr:cNvGrpSpPr/>
      </xdr:nvGrpSpPr>
      <xdr:grpSpPr>
        <a:xfrm>
          <a:off x="95250" y="38204775"/>
          <a:ext cx="6120000" cy="6314662"/>
          <a:chOff x="464457" y="214710"/>
          <a:chExt cx="6120000" cy="6314662"/>
        </a:xfrm>
      </xdr:grpSpPr>
      <xdr:grpSp>
        <xdr:nvGrpSpPr>
          <xdr:cNvPr id="12" name="Group 11">
            <a:extLst>
              <a:ext uri="{FF2B5EF4-FFF2-40B4-BE49-F238E27FC236}">
                <a16:creationId xmlns:a16="http://schemas.microsoft.com/office/drawing/2014/main" xmlns="" id="{00000000-0008-0000-0000-00000C000000}"/>
              </a:ext>
            </a:extLst>
          </xdr:cNvPr>
          <xdr:cNvGrpSpPr/>
        </xdr:nvGrpSpPr>
        <xdr:grpSpPr>
          <a:xfrm>
            <a:off x="464457" y="214710"/>
            <a:ext cx="6120000" cy="3628437"/>
            <a:chOff x="0" y="2365895"/>
            <a:chExt cx="6858000" cy="3628437"/>
          </a:xfrm>
        </xdr:grpSpPr>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2365895"/>
              <a:ext cx="6858000" cy="3628437"/>
            </a:xfrm>
            <a:prstGeom prst="rect">
              <a:avLst/>
            </a:prstGeom>
            <a:ln>
              <a:solidFill>
                <a:schemeClr val="tx1"/>
              </a:solidFill>
            </a:ln>
          </xdr:spPr>
        </xdr:pic>
        <xdr:sp macro="" textlink="">
          <xdr:nvSpPr>
            <xdr:cNvPr id="15" name="L-Shape 14">
              <a:extLst>
                <a:ext uri="{FF2B5EF4-FFF2-40B4-BE49-F238E27FC236}">
                  <a16:creationId xmlns:a16="http://schemas.microsoft.com/office/drawing/2014/main" xmlns="" id="{00000000-0008-0000-0000-00000F000000}"/>
                </a:ext>
              </a:extLst>
            </xdr:cNvPr>
            <xdr:cNvSpPr/>
          </xdr:nvSpPr>
          <xdr:spPr>
            <a:xfrm rot="19947829" flipH="1">
              <a:off x="361668" y="4955382"/>
              <a:ext cx="474371" cy="553913"/>
            </a:xfrm>
            <a:prstGeom prst="corner">
              <a:avLst>
                <a:gd name="adj1" fmla="val 56294"/>
                <a:gd name="adj2" fmla="val 5924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58">
              <a:extLst>
                <a:ext uri="{FF2B5EF4-FFF2-40B4-BE49-F238E27FC236}">
                  <a16:creationId xmlns:a16="http://schemas.microsoft.com/office/drawing/2014/main" xmlns="" id="{00000000-0008-0000-0000-000010000000}"/>
                </a:ext>
              </a:extLst>
            </xdr:cNvPr>
            <xdr:cNvSpPr txBox="1"/>
          </xdr:nvSpPr>
          <xdr:spPr>
            <a:xfrm>
              <a:off x="0" y="4470345"/>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 6</a:t>
              </a:r>
            </a:p>
          </xdr:txBody>
        </xdr:sp>
        <xdr:grpSp>
          <xdr:nvGrpSpPr>
            <xdr:cNvPr id="17" name="Group 16">
              <a:extLst>
                <a:ext uri="{FF2B5EF4-FFF2-40B4-BE49-F238E27FC236}">
                  <a16:creationId xmlns:a16="http://schemas.microsoft.com/office/drawing/2014/main" xmlns="" id="{00000000-0008-0000-0000-000011000000}"/>
                </a:ext>
              </a:extLst>
            </xdr:cNvPr>
            <xdr:cNvGrpSpPr/>
          </xdr:nvGrpSpPr>
          <xdr:grpSpPr>
            <a:xfrm rot="5400000">
              <a:off x="964294" y="2623615"/>
              <a:ext cx="584775" cy="916640"/>
              <a:chOff x="753900" y="1457285"/>
              <a:chExt cx="584775" cy="916640"/>
            </a:xfrm>
          </xdr:grpSpPr>
          <xdr:sp macro="" textlink="">
            <xdr:nvSpPr>
              <xdr:cNvPr id="18" name="Right Arrow 17">
                <a:extLst>
                  <a:ext uri="{FF2B5EF4-FFF2-40B4-BE49-F238E27FC236}">
                    <a16:creationId xmlns:a16="http://schemas.microsoft.com/office/drawing/2014/main" xmlns="" id="{00000000-0008-0000-0000-000012000000}"/>
                  </a:ext>
                </a:extLst>
              </xdr:cNvPr>
              <xdr:cNvSpPr/>
            </xdr:nvSpPr>
            <xdr:spPr>
              <a:xfrm rot="16200000">
                <a:off x="852857" y="2031024"/>
                <a:ext cx="386861" cy="29894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19" name="TextBox 61">
                <a:extLst>
                  <a:ext uri="{FF2B5EF4-FFF2-40B4-BE49-F238E27FC236}">
                    <a16:creationId xmlns:a16="http://schemas.microsoft.com/office/drawing/2014/main" xmlns="" id="{00000000-0008-0000-0000-000013000000}"/>
                  </a:ext>
                </a:extLst>
              </xdr:cNvPr>
              <xdr:cNvSpPr txBox="1"/>
            </xdr:nvSpPr>
            <xdr:spPr>
              <a:xfrm rot="16200000">
                <a:off x="808896" y="140228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8"/>
          <a:stretch>
            <a:fillRect/>
          </a:stretch>
        </xdr:blipFill>
        <xdr:spPr>
          <a:xfrm>
            <a:off x="2429187" y="4009372"/>
            <a:ext cx="2190540" cy="2520000"/>
          </a:xfrm>
          <a:prstGeom prst="rect">
            <a:avLst/>
          </a:prstGeom>
          <a:ln>
            <a:solidFill>
              <a:schemeClr val="tx1"/>
            </a:solidFill>
          </a:ln>
        </xdr:spPr>
      </xdr:pic>
    </xdr:grpSp>
    <xdr:clientData/>
  </xdr:twoCellAnchor>
  <xdr:twoCellAnchor>
    <xdr:from>
      <xdr:col>8</xdr:col>
      <xdr:colOff>523875</xdr:colOff>
      <xdr:row>289</xdr:row>
      <xdr:rowOff>10440</xdr:rowOff>
    </xdr:from>
    <xdr:to>
      <xdr:col>15</xdr:col>
      <xdr:colOff>304800</xdr:colOff>
      <xdr:row>306</xdr:row>
      <xdr:rowOff>9525</xdr:rowOff>
    </xdr:to>
    <xdr:grpSp>
      <xdr:nvGrpSpPr>
        <xdr:cNvPr id="22" name="Group 21">
          <a:extLst>
            <a:ext uri="{FF2B5EF4-FFF2-40B4-BE49-F238E27FC236}">
              <a16:creationId xmlns:a16="http://schemas.microsoft.com/office/drawing/2014/main" xmlns="" id="{00000000-0008-0000-0000-000016000000}"/>
            </a:ext>
          </a:extLst>
        </xdr:cNvPr>
        <xdr:cNvGrpSpPr/>
      </xdr:nvGrpSpPr>
      <xdr:grpSpPr>
        <a:xfrm>
          <a:off x="6838950" y="59208315"/>
          <a:ext cx="5819775" cy="3399510"/>
          <a:chOff x="1081087" y="4626302"/>
          <a:chExt cx="4695825" cy="2717474"/>
        </a:xfrm>
      </xdr:grpSpPr>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rotWithShape="1">
          <a:blip xmlns:r="http://schemas.openxmlformats.org/officeDocument/2006/relationships" r:embed="rId9"/>
          <a:srcRect l="16483" t="17789" r="20943" b="12260"/>
          <a:stretch/>
        </xdr:blipFill>
        <xdr:spPr>
          <a:xfrm>
            <a:off x="1081087" y="4626302"/>
            <a:ext cx="4695825" cy="2717474"/>
          </a:xfrm>
          <a:prstGeom prst="rect">
            <a:avLst/>
          </a:prstGeom>
          <a:ln>
            <a:solidFill>
              <a:schemeClr val="tx1"/>
            </a:solidFill>
          </a:ln>
        </xdr:spPr>
      </xdr:pic>
      <xdr:sp macro="" textlink="">
        <xdr:nvSpPr>
          <xdr:cNvPr id="24" name="Rectangle 23">
            <a:extLst>
              <a:ext uri="{FF2B5EF4-FFF2-40B4-BE49-F238E27FC236}">
                <a16:creationId xmlns:a16="http://schemas.microsoft.com/office/drawing/2014/main" xmlns="" id="{00000000-0008-0000-0000-000018000000}"/>
              </a:ext>
            </a:extLst>
          </xdr:cNvPr>
          <xdr:cNvSpPr/>
        </xdr:nvSpPr>
        <xdr:spPr>
          <a:xfrm rot="17893055">
            <a:off x="3140395" y="6087132"/>
            <a:ext cx="747228" cy="66575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5" name="TextBox 8">
            <a:extLst>
              <a:ext uri="{FF2B5EF4-FFF2-40B4-BE49-F238E27FC236}">
                <a16:creationId xmlns:a16="http://schemas.microsoft.com/office/drawing/2014/main" xmlns="" id="{00000000-0008-0000-0000-000019000000}"/>
              </a:ext>
            </a:extLst>
          </xdr:cNvPr>
          <xdr:cNvSpPr txBox="1"/>
        </xdr:nvSpPr>
        <xdr:spPr>
          <a:xfrm>
            <a:off x="1176405" y="6893412"/>
            <a:ext cx="188518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Shree Puram Township </a:t>
            </a:r>
            <a:endParaRPr lang="en-IN" sz="1400" b="1">
              <a:solidFill>
                <a:srgbClr val="FFFF00"/>
              </a:solidFill>
            </a:endParaRPr>
          </a:p>
        </xdr:txBody>
      </xdr:sp>
    </xdr:grpSp>
    <xdr:clientData/>
  </xdr:twoCellAnchor>
  <xdr:twoCellAnchor>
    <xdr:from>
      <xdr:col>0</xdr:col>
      <xdr:colOff>314325</xdr:colOff>
      <xdr:row>272</xdr:row>
      <xdr:rowOff>66675</xdr:rowOff>
    </xdr:from>
    <xdr:to>
      <xdr:col>7</xdr:col>
      <xdr:colOff>552450</xdr:colOff>
      <xdr:row>311</xdr:row>
      <xdr:rowOff>90899</xdr:rowOff>
    </xdr:to>
    <xdr:grpSp>
      <xdr:nvGrpSpPr>
        <xdr:cNvPr id="30" name="Group 29">
          <a:extLst>
            <a:ext uri="{FF2B5EF4-FFF2-40B4-BE49-F238E27FC236}">
              <a16:creationId xmlns:a16="http://schemas.microsoft.com/office/drawing/2014/main" xmlns="" id="{00000000-0008-0000-0000-00001E000000}"/>
            </a:ext>
          </a:extLst>
        </xdr:cNvPr>
        <xdr:cNvGrpSpPr/>
      </xdr:nvGrpSpPr>
      <xdr:grpSpPr>
        <a:xfrm>
          <a:off x="314325" y="55864125"/>
          <a:ext cx="5819775" cy="7825199"/>
          <a:chOff x="314325" y="46815375"/>
          <a:chExt cx="5819775" cy="7825199"/>
        </a:xfrm>
      </xdr:grpSpPr>
      <xdr:pic>
        <xdr:nvPicPr>
          <xdr:cNvPr id="21" name="Picture 20">
            <a:extLst>
              <a:ext uri="{FF2B5EF4-FFF2-40B4-BE49-F238E27FC236}">
                <a16:creationId xmlns:a16="http://schemas.microsoft.com/office/drawing/2014/main" xmlns="" id="{00000000-0008-0000-0000-00000D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14325" y="46815375"/>
            <a:ext cx="5819775" cy="3399510"/>
          </a:xfrm>
          <a:prstGeom prst="rect">
            <a:avLst/>
          </a:prstGeom>
          <a:ln>
            <a:solidFill>
              <a:schemeClr val="tx1"/>
            </a:solidFill>
          </a:ln>
        </xdr:spPr>
      </xdr:pic>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rotWithShape="1">
          <a:blip xmlns:r="http://schemas.openxmlformats.org/officeDocument/2006/relationships" r:embed="rId11"/>
          <a:srcRect l="40870" t="21078" r="30605" b="20588"/>
          <a:stretch/>
        </xdr:blipFill>
        <xdr:spPr>
          <a:xfrm>
            <a:off x="1123950" y="50320574"/>
            <a:ext cx="3757311" cy="4320000"/>
          </a:xfrm>
          <a:prstGeom prst="rect">
            <a:avLst/>
          </a:prstGeom>
          <a:ln>
            <a:solidFill>
              <a:schemeClr val="tx1"/>
            </a:solidFill>
          </a:ln>
        </xdr:spPr>
      </xdr:pic>
      <xdr:sp macro="" textlink="">
        <xdr:nvSpPr>
          <xdr:cNvPr id="27" name="L-Shape 26">
            <a:extLst>
              <a:ext uri="{FF2B5EF4-FFF2-40B4-BE49-F238E27FC236}">
                <a16:creationId xmlns:a16="http://schemas.microsoft.com/office/drawing/2014/main" xmlns="" id="{00000000-0008-0000-0000-00001B000000}"/>
              </a:ext>
            </a:extLst>
          </xdr:cNvPr>
          <xdr:cNvSpPr/>
        </xdr:nvSpPr>
        <xdr:spPr>
          <a:xfrm rot="21121246" flipH="1" flipV="1">
            <a:off x="1890333" y="53725422"/>
            <a:ext cx="469527" cy="478155"/>
          </a:xfrm>
          <a:prstGeom prst="corner">
            <a:avLst>
              <a:gd name="adj1" fmla="val 57061"/>
              <a:gd name="adj2" fmla="val 56286"/>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TextBox 8">
            <a:extLst>
              <a:ext uri="{FF2B5EF4-FFF2-40B4-BE49-F238E27FC236}">
                <a16:creationId xmlns:a16="http://schemas.microsoft.com/office/drawing/2014/main" xmlns="" id="{00000000-0008-0000-0000-00001C000000}"/>
              </a:ext>
            </a:extLst>
          </xdr:cNvPr>
          <xdr:cNvSpPr txBox="1"/>
        </xdr:nvSpPr>
        <xdr:spPr>
          <a:xfrm>
            <a:off x="1143000" y="50369115"/>
            <a:ext cx="2336407" cy="38502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Shree Puram Township </a:t>
            </a:r>
            <a:endParaRPr lang="en-IN" sz="1400" b="1">
              <a:solidFill>
                <a:srgbClr val="FFFF00"/>
              </a:solidFill>
            </a:endParaRPr>
          </a:p>
        </xdr:txBody>
      </xdr:sp>
      <xdr:sp macro="" textlink="">
        <xdr:nvSpPr>
          <xdr:cNvPr id="29" name="TextBox 8">
            <a:extLst>
              <a:ext uri="{FF2B5EF4-FFF2-40B4-BE49-F238E27FC236}">
                <a16:creationId xmlns:a16="http://schemas.microsoft.com/office/drawing/2014/main" xmlns="" id="{00000000-0008-0000-0000-00001D000000}"/>
              </a:ext>
            </a:extLst>
          </xdr:cNvPr>
          <xdr:cNvSpPr txBox="1"/>
        </xdr:nvSpPr>
        <xdr:spPr>
          <a:xfrm rot="21043077">
            <a:off x="1485900" y="53321865"/>
            <a:ext cx="2336407" cy="38502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Bldg No. 06</a:t>
            </a:r>
            <a:endParaRPr lang="en-IN" sz="1400" b="1">
              <a:solidFill>
                <a:srgbClr val="FFFF00"/>
              </a:solidFill>
            </a:endParaRPr>
          </a:p>
        </xdr:txBody>
      </xdr:sp>
    </xdr:grpSp>
    <xdr:clientData/>
  </xdr:twoCellAnchor>
  <xdr:twoCellAnchor>
    <xdr:from>
      <xdr:col>0</xdr:col>
      <xdr:colOff>38100</xdr:colOff>
      <xdr:row>228</xdr:row>
      <xdr:rowOff>19050</xdr:rowOff>
    </xdr:from>
    <xdr:to>
      <xdr:col>7</xdr:col>
      <xdr:colOff>668773</xdr:colOff>
      <xdr:row>246</xdr:row>
      <xdr:rowOff>142595</xdr:rowOff>
    </xdr:to>
    <xdr:grpSp>
      <xdr:nvGrpSpPr>
        <xdr:cNvPr id="41" name="Group 40">
          <a:extLst>
            <a:ext uri="{FF2B5EF4-FFF2-40B4-BE49-F238E27FC236}">
              <a16:creationId xmlns:a16="http://schemas.microsoft.com/office/drawing/2014/main" xmlns="" id="{00000000-0008-0000-0000-000029000000}"/>
            </a:ext>
          </a:extLst>
        </xdr:cNvPr>
        <xdr:cNvGrpSpPr/>
      </xdr:nvGrpSpPr>
      <xdr:grpSpPr>
        <a:xfrm>
          <a:off x="38100" y="47015400"/>
          <a:ext cx="6212323" cy="3723995"/>
          <a:chOff x="158750" y="102434781"/>
          <a:chExt cx="6212323" cy="3723995"/>
        </a:xfrm>
      </xdr:grpSpPr>
      <xdr:pic>
        <xdr:nvPicPr>
          <xdr:cNvPr id="42" name="Picture 41">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58750" y="102434781"/>
            <a:ext cx="6212323" cy="3723995"/>
          </a:xfrm>
          <a:prstGeom prst="rect">
            <a:avLst/>
          </a:prstGeom>
          <a:ln>
            <a:solidFill>
              <a:schemeClr val="tx1"/>
            </a:solidFill>
          </a:ln>
        </xdr:spPr>
      </xdr:pic>
      <xdr:sp macro="" textlink="">
        <xdr:nvSpPr>
          <xdr:cNvPr id="43" name="Rectangle 42">
            <a:extLst>
              <a:ext uri="{FF2B5EF4-FFF2-40B4-BE49-F238E27FC236}">
                <a16:creationId xmlns:a16="http://schemas.microsoft.com/office/drawing/2014/main" xmlns="" id="{00000000-0008-0000-0000-000076000000}"/>
              </a:ext>
            </a:extLst>
          </xdr:cNvPr>
          <xdr:cNvSpPr/>
        </xdr:nvSpPr>
        <xdr:spPr>
          <a:xfrm rot="452452">
            <a:off x="3293209" y="103315966"/>
            <a:ext cx="621323" cy="471854"/>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4" name="Rectangle 43">
            <a:extLst>
              <a:ext uri="{FF2B5EF4-FFF2-40B4-BE49-F238E27FC236}">
                <a16:creationId xmlns:a16="http://schemas.microsoft.com/office/drawing/2014/main" xmlns="" id="{00000000-0008-0000-0000-000078000000}"/>
              </a:ext>
            </a:extLst>
          </xdr:cNvPr>
          <xdr:cNvSpPr/>
        </xdr:nvSpPr>
        <xdr:spPr>
          <a:xfrm rot="452452">
            <a:off x="3931473" y="103520005"/>
            <a:ext cx="633699" cy="471854"/>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5" name="Rectangle 44">
            <a:extLst>
              <a:ext uri="{FF2B5EF4-FFF2-40B4-BE49-F238E27FC236}">
                <a16:creationId xmlns:a16="http://schemas.microsoft.com/office/drawing/2014/main" xmlns="" id="{00000000-0008-0000-0000-000079000000}"/>
              </a:ext>
            </a:extLst>
          </xdr:cNvPr>
          <xdr:cNvSpPr/>
        </xdr:nvSpPr>
        <xdr:spPr>
          <a:xfrm rot="452452">
            <a:off x="3992596" y="103178787"/>
            <a:ext cx="538889" cy="322501"/>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Rectangle 45">
            <a:extLst>
              <a:ext uri="{FF2B5EF4-FFF2-40B4-BE49-F238E27FC236}">
                <a16:creationId xmlns:a16="http://schemas.microsoft.com/office/drawing/2014/main" xmlns="" id="{00000000-0008-0000-0000-00007A000000}"/>
              </a:ext>
            </a:extLst>
          </xdr:cNvPr>
          <xdr:cNvSpPr/>
        </xdr:nvSpPr>
        <xdr:spPr>
          <a:xfrm rot="20522508">
            <a:off x="1932447" y="102984950"/>
            <a:ext cx="589443" cy="592909"/>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Rectangle 46">
            <a:extLst>
              <a:ext uri="{FF2B5EF4-FFF2-40B4-BE49-F238E27FC236}">
                <a16:creationId xmlns:a16="http://schemas.microsoft.com/office/drawing/2014/main" xmlns="" id="{00000000-0008-0000-0000-00007C000000}"/>
              </a:ext>
            </a:extLst>
          </xdr:cNvPr>
          <xdr:cNvSpPr/>
        </xdr:nvSpPr>
        <xdr:spPr>
          <a:xfrm rot="434988">
            <a:off x="3959506" y="102805581"/>
            <a:ext cx="697363" cy="24824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ysClr val="windowText" lastClr="000000"/>
                </a:solidFill>
                <a:effectLst>
                  <a:outerShdw blurRad="38100" dist="25400" dir="5400000" algn="ctr" rotWithShape="0">
                    <a:srgbClr val="6E747A">
                      <a:alpha val="43000"/>
                    </a:srgbClr>
                  </a:outerShdw>
                </a:effectLst>
              </a:rPr>
              <a:t>Bldg No.2</a:t>
            </a:r>
          </a:p>
        </xdr:txBody>
      </xdr:sp>
      <xdr:sp macro="" textlink="">
        <xdr:nvSpPr>
          <xdr:cNvPr id="48" name="Rectangle 47">
            <a:extLst>
              <a:ext uri="{FF2B5EF4-FFF2-40B4-BE49-F238E27FC236}">
                <a16:creationId xmlns:a16="http://schemas.microsoft.com/office/drawing/2014/main" xmlns="" id="{00000000-0008-0000-0000-00007E000000}"/>
              </a:ext>
            </a:extLst>
          </xdr:cNvPr>
          <xdr:cNvSpPr/>
        </xdr:nvSpPr>
        <xdr:spPr>
          <a:xfrm rot="19323584">
            <a:off x="2725951" y="102532376"/>
            <a:ext cx="750431" cy="24982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ysClr val="windowText" lastClr="000000"/>
                </a:solidFill>
                <a:effectLst>
                  <a:outerShdw blurRad="38100" dist="25400" dir="5400000" algn="ctr" rotWithShape="0">
                    <a:srgbClr val="6E747A">
                      <a:alpha val="43000"/>
                    </a:srgbClr>
                  </a:outerShdw>
                </a:effectLst>
              </a:rPr>
              <a:t>Bldg No.4</a:t>
            </a:r>
          </a:p>
        </xdr:txBody>
      </xdr:sp>
      <xdr:sp macro="" textlink="">
        <xdr:nvSpPr>
          <xdr:cNvPr id="49" name="Rectangle 48">
            <a:extLst>
              <a:ext uri="{FF2B5EF4-FFF2-40B4-BE49-F238E27FC236}">
                <a16:creationId xmlns:a16="http://schemas.microsoft.com/office/drawing/2014/main" xmlns="" id="{00000000-0008-0000-0000-00007F000000}"/>
              </a:ext>
            </a:extLst>
          </xdr:cNvPr>
          <xdr:cNvSpPr/>
        </xdr:nvSpPr>
        <xdr:spPr>
          <a:xfrm rot="20467792">
            <a:off x="1508462" y="102640095"/>
            <a:ext cx="756293" cy="24982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ysClr val="windowText" lastClr="000000"/>
                </a:solidFill>
                <a:effectLst>
                  <a:outerShdw blurRad="38100" dist="25400" dir="5400000" algn="ctr" rotWithShape="0">
                    <a:srgbClr val="6E747A">
                      <a:alpha val="43000"/>
                    </a:srgbClr>
                  </a:outerShdw>
                </a:effectLst>
              </a:rPr>
              <a:t>Bldg No.5</a:t>
            </a:r>
          </a:p>
        </xdr:txBody>
      </xdr:sp>
      <xdr:cxnSp macro="">
        <xdr:nvCxnSpPr>
          <xdr:cNvPr id="50" name="Straight Arrow Connector 49">
            <a:extLst>
              <a:ext uri="{FF2B5EF4-FFF2-40B4-BE49-F238E27FC236}">
                <a16:creationId xmlns:a16="http://schemas.microsoft.com/office/drawing/2014/main" xmlns="" id="{00000000-0008-0000-0000-000007000000}"/>
              </a:ext>
            </a:extLst>
          </xdr:cNvPr>
          <xdr:cNvCxnSpPr/>
        </xdr:nvCxnSpPr>
        <xdr:spPr>
          <a:xfrm>
            <a:off x="1947985" y="102855835"/>
            <a:ext cx="152400" cy="191477"/>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51" name="Straight Arrow Connector 50">
            <a:extLst>
              <a:ext uri="{FF2B5EF4-FFF2-40B4-BE49-F238E27FC236}">
                <a16:creationId xmlns:a16="http://schemas.microsoft.com/office/drawing/2014/main" xmlns="" id="{00000000-0008-0000-0000-000080000000}"/>
              </a:ext>
            </a:extLst>
          </xdr:cNvPr>
          <xdr:cNvCxnSpPr/>
        </xdr:nvCxnSpPr>
        <xdr:spPr>
          <a:xfrm>
            <a:off x="3159858" y="102741535"/>
            <a:ext cx="156400" cy="250762"/>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52" name="Straight Arrow Connector 51">
            <a:extLst>
              <a:ext uri="{FF2B5EF4-FFF2-40B4-BE49-F238E27FC236}">
                <a16:creationId xmlns:a16="http://schemas.microsoft.com/office/drawing/2014/main" xmlns="" id="{00000000-0008-0000-0000-000081000000}"/>
              </a:ext>
            </a:extLst>
          </xdr:cNvPr>
          <xdr:cNvCxnSpPr/>
        </xdr:nvCxnSpPr>
        <xdr:spPr>
          <a:xfrm flipH="1">
            <a:off x="4250837" y="103013181"/>
            <a:ext cx="15875" cy="193857"/>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53" name="Rectangle 52">
            <a:extLst>
              <a:ext uri="{FF2B5EF4-FFF2-40B4-BE49-F238E27FC236}">
                <a16:creationId xmlns:a16="http://schemas.microsoft.com/office/drawing/2014/main" xmlns="" id="{00000000-0008-0000-0000-000082000000}"/>
              </a:ext>
            </a:extLst>
          </xdr:cNvPr>
          <xdr:cNvSpPr/>
        </xdr:nvSpPr>
        <xdr:spPr>
          <a:xfrm rot="4092521">
            <a:off x="4676743" y="103500955"/>
            <a:ext cx="791829" cy="26773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cap="none" spc="0">
                <a:ln w="0"/>
                <a:solidFill>
                  <a:sysClr val="windowText" lastClr="000000"/>
                </a:solidFill>
                <a:effectLst>
                  <a:outerShdw blurRad="38100" dist="25400" dir="5400000" algn="ctr" rotWithShape="0">
                    <a:srgbClr val="6E747A">
                      <a:alpha val="43000"/>
                    </a:srgbClr>
                  </a:outerShdw>
                </a:effectLst>
              </a:rPr>
              <a:t>Bldg No.1</a:t>
            </a:r>
          </a:p>
        </xdr:txBody>
      </xdr:sp>
      <xdr:cxnSp macro="">
        <xdr:nvCxnSpPr>
          <xdr:cNvPr id="54" name="Straight Arrow Connector 53">
            <a:extLst>
              <a:ext uri="{FF2B5EF4-FFF2-40B4-BE49-F238E27FC236}">
                <a16:creationId xmlns:a16="http://schemas.microsoft.com/office/drawing/2014/main" xmlns="" id="{00000000-0008-0000-0000-000083000000}"/>
              </a:ext>
            </a:extLst>
          </xdr:cNvPr>
          <xdr:cNvCxnSpPr>
            <a:endCxn id="44" idx="3"/>
          </xdr:cNvCxnSpPr>
        </xdr:nvCxnSpPr>
        <xdr:spPr>
          <a:xfrm flipH="1">
            <a:off x="4562286" y="103748926"/>
            <a:ext cx="420938" cy="50791"/>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55" name="Rectangle 54">
            <a:extLst>
              <a:ext uri="{FF2B5EF4-FFF2-40B4-BE49-F238E27FC236}">
                <a16:creationId xmlns:a16="http://schemas.microsoft.com/office/drawing/2014/main" xmlns="" id="{00000000-0008-0000-0000-000084000000}"/>
              </a:ext>
            </a:extLst>
          </xdr:cNvPr>
          <xdr:cNvSpPr/>
        </xdr:nvSpPr>
        <xdr:spPr>
          <a:xfrm rot="434988">
            <a:off x="3946770" y="103233923"/>
            <a:ext cx="309690" cy="24824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2A</a:t>
            </a:r>
          </a:p>
        </xdr:txBody>
      </xdr:sp>
      <xdr:sp macro="" textlink="">
        <xdr:nvSpPr>
          <xdr:cNvPr id="56" name="Rectangle 55">
            <a:extLst>
              <a:ext uri="{FF2B5EF4-FFF2-40B4-BE49-F238E27FC236}">
                <a16:creationId xmlns:a16="http://schemas.microsoft.com/office/drawing/2014/main" xmlns="" id="{00000000-0008-0000-0000-000085000000}"/>
              </a:ext>
            </a:extLst>
          </xdr:cNvPr>
          <xdr:cNvSpPr/>
        </xdr:nvSpPr>
        <xdr:spPr>
          <a:xfrm rot="434988">
            <a:off x="4192588" y="103251385"/>
            <a:ext cx="343272" cy="24824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2B</a:t>
            </a:r>
          </a:p>
        </xdr:txBody>
      </xdr:sp>
      <xdr:sp macro="" textlink="">
        <xdr:nvSpPr>
          <xdr:cNvPr id="57" name="Rectangle 56">
            <a:extLst>
              <a:ext uri="{FF2B5EF4-FFF2-40B4-BE49-F238E27FC236}">
                <a16:creationId xmlns:a16="http://schemas.microsoft.com/office/drawing/2014/main" xmlns="" id="{00000000-0008-0000-0000-000086000000}"/>
              </a:ext>
            </a:extLst>
          </xdr:cNvPr>
          <xdr:cNvSpPr/>
        </xdr:nvSpPr>
        <xdr:spPr>
          <a:xfrm rot="434988">
            <a:off x="3396214" y="103469161"/>
            <a:ext cx="343272" cy="24763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3A</a:t>
            </a:r>
          </a:p>
        </xdr:txBody>
      </xdr:sp>
      <xdr:sp macro="" textlink="">
        <xdr:nvSpPr>
          <xdr:cNvPr id="58" name="Rectangle 57">
            <a:extLst>
              <a:ext uri="{FF2B5EF4-FFF2-40B4-BE49-F238E27FC236}">
                <a16:creationId xmlns:a16="http://schemas.microsoft.com/office/drawing/2014/main" xmlns="" id="{00000000-0008-0000-0000-000087000000}"/>
              </a:ext>
            </a:extLst>
          </xdr:cNvPr>
          <xdr:cNvSpPr/>
        </xdr:nvSpPr>
        <xdr:spPr>
          <a:xfrm rot="434988">
            <a:off x="3612114" y="103343749"/>
            <a:ext cx="343272" cy="2482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3B</a:t>
            </a:r>
          </a:p>
        </xdr:txBody>
      </xdr:sp>
      <xdr:sp macro="" textlink="">
        <xdr:nvSpPr>
          <xdr:cNvPr id="59" name="Rectangle 58">
            <a:extLst>
              <a:ext uri="{FF2B5EF4-FFF2-40B4-BE49-F238E27FC236}">
                <a16:creationId xmlns:a16="http://schemas.microsoft.com/office/drawing/2014/main" xmlns="" id="{00000000-0008-0000-0000-000088000000}"/>
              </a:ext>
            </a:extLst>
          </xdr:cNvPr>
          <xdr:cNvSpPr/>
        </xdr:nvSpPr>
        <xdr:spPr>
          <a:xfrm rot="434988">
            <a:off x="3353064" y="102826918"/>
            <a:ext cx="315308" cy="24824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4A</a:t>
            </a:r>
          </a:p>
        </xdr:txBody>
      </xdr:sp>
      <xdr:sp macro="" textlink="">
        <xdr:nvSpPr>
          <xdr:cNvPr id="60" name="Rectangle 59">
            <a:extLst>
              <a:ext uri="{FF2B5EF4-FFF2-40B4-BE49-F238E27FC236}">
                <a16:creationId xmlns:a16="http://schemas.microsoft.com/office/drawing/2014/main" xmlns="" id="{00000000-0008-0000-0000-000089000000}"/>
              </a:ext>
            </a:extLst>
          </xdr:cNvPr>
          <xdr:cNvSpPr/>
        </xdr:nvSpPr>
        <xdr:spPr>
          <a:xfrm rot="434988">
            <a:off x="3604500" y="102895976"/>
            <a:ext cx="343272" cy="24762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4B</a:t>
            </a:r>
          </a:p>
        </xdr:txBody>
      </xdr:sp>
      <xdr:sp macro="" textlink="">
        <xdr:nvSpPr>
          <xdr:cNvPr id="61" name="Rectangle 60">
            <a:extLst>
              <a:ext uri="{FF2B5EF4-FFF2-40B4-BE49-F238E27FC236}">
                <a16:creationId xmlns:a16="http://schemas.microsoft.com/office/drawing/2014/main" xmlns="" id="{00000000-0008-0000-0000-00008A000000}"/>
              </a:ext>
            </a:extLst>
          </xdr:cNvPr>
          <xdr:cNvSpPr/>
        </xdr:nvSpPr>
        <xdr:spPr>
          <a:xfrm rot="434988">
            <a:off x="3510837" y="103087452"/>
            <a:ext cx="343272" cy="24762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4C</a:t>
            </a:r>
          </a:p>
        </xdr:txBody>
      </xdr:sp>
      <xdr:sp macro="" textlink="">
        <xdr:nvSpPr>
          <xdr:cNvPr id="62" name="Rectangle 61">
            <a:extLst>
              <a:ext uri="{FF2B5EF4-FFF2-40B4-BE49-F238E27FC236}">
                <a16:creationId xmlns:a16="http://schemas.microsoft.com/office/drawing/2014/main" xmlns="" id="{00000000-0008-0000-0000-00008C000000}"/>
              </a:ext>
            </a:extLst>
          </xdr:cNvPr>
          <xdr:cNvSpPr/>
        </xdr:nvSpPr>
        <xdr:spPr>
          <a:xfrm rot="20472173">
            <a:off x="2213799" y="103102609"/>
            <a:ext cx="303585" cy="25373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FF00"/>
                </a:solidFill>
                <a:effectLst>
                  <a:outerShdw blurRad="38100" dist="25400" dir="5400000" algn="ctr" rotWithShape="0">
                    <a:srgbClr val="6E747A">
                      <a:alpha val="43000"/>
                    </a:srgbClr>
                  </a:outerShdw>
                </a:effectLst>
              </a:rPr>
              <a:t>5B</a:t>
            </a:r>
          </a:p>
        </xdr:txBody>
      </xdr:sp>
    </xdr:grpSp>
    <xdr:clientData/>
  </xdr:twoCellAnchor>
  <xdr:twoCellAnchor>
    <xdr:from>
      <xdr:col>5</xdr:col>
      <xdr:colOff>478708</xdr:colOff>
      <xdr:row>235</xdr:row>
      <xdr:rowOff>98841</xdr:rowOff>
    </xdr:from>
    <xdr:to>
      <xdr:col>6</xdr:col>
      <xdr:colOff>14654</xdr:colOff>
      <xdr:row>237</xdr:row>
      <xdr:rowOff>134077</xdr:rowOff>
    </xdr:to>
    <xdr:sp macro="" textlink="">
      <xdr:nvSpPr>
        <xdr:cNvPr id="63" name="Rectangle 62">
          <a:extLst>
            <a:ext uri="{FF2B5EF4-FFF2-40B4-BE49-F238E27FC236}">
              <a16:creationId xmlns:a16="http://schemas.microsoft.com/office/drawing/2014/main" xmlns="" id="{00000000-0008-0000-0000-00007A000000}"/>
            </a:ext>
          </a:extLst>
        </xdr:cNvPr>
        <xdr:cNvSpPr/>
      </xdr:nvSpPr>
      <xdr:spPr>
        <a:xfrm rot="20522508">
          <a:off x="4583983" y="48495366"/>
          <a:ext cx="278896" cy="435286"/>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735290</xdr:colOff>
      <xdr:row>232</xdr:row>
      <xdr:rowOff>164612</xdr:rowOff>
    </xdr:from>
    <xdr:to>
      <xdr:col>2</xdr:col>
      <xdr:colOff>297588</xdr:colOff>
      <xdr:row>234</xdr:row>
      <xdr:rowOff>157261</xdr:rowOff>
    </xdr:to>
    <xdr:sp macro="" textlink="">
      <xdr:nvSpPr>
        <xdr:cNvPr id="64" name="L-Shape 63">
          <a:extLst>
            <a:ext uri="{FF2B5EF4-FFF2-40B4-BE49-F238E27FC236}">
              <a16:creationId xmlns:a16="http://schemas.microsoft.com/office/drawing/2014/main" xmlns="" id="{00000000-0008-0000-0000-00000F000000}"/>
            </a:ext>
          </a:extLst>
        </xdr:cNvPr>
        <xdr:cNvSpPr/>
      </xdr:nvSpPr>
      <xdr:spPr>
        <a:xfrm rot="20393996" flipH="1">
          <a:off x="1497290" y="47961062"/>
          <a:ext cx="362398" cy="392699"/>
        </a:xfrm>
        <a:prstGeom prst="corner">
          <a:avLst>
            <a:gd name="adj1" fmla="val 54181"/>
            <a:gd name="adj2" fmla="val 45016"/>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133350</xdr:colOff>
      <xdr:row>231</xdr:row>
      <xdr:rowOff>104776</xdr:rowOff>
    </xdr:from>
    <xdr:to>
      <xdr:col>2</xdr:col>
      <xdr:colOff>89543</xdr:colOff>
      <xdr:row>232</xdr:row>
      <xdr:rowOff>154579</xdr:rowOff>
    </xdr:to>
    <xdr:sp macro="" textlink="">
      <xdr:nvSpPr>
        <xdr:cNvPr id="65" name="Rectangle 64">
          <a:extLst>
            <a:ext uri="{FF2B5EF4-FFF2-40B4-BE49-F238E27FC236}">
              <a16:creationId xmlns:a16="http://schemas.microsoft.com/office/drawing/2014/main" xmlns="" id="{00000000-0008-0000-0000-00007F000000}"/>
            </a:ext>
          </a:extLst>
        </xdr:cNvPr>
        <xdr:cNvSpPr/>
      </xdr:nvSpPr>
      <xdr:spPr>
        <a:xfrm rot="20467792">
          <a:off x="895350" y="47701201"/>
          <a:ext cx="756293" cy="249828"/>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00" b="1" cap="none" spc="0">
              <a:ln w="0"/>
              <a:solidFill>
                <a:srgbClr val="FF0000"/>
              </a:solidFill>
              <a:effectLst>
                <a:outerShdw blurRad="38100" dist="25400" dir="5400000" algn="ctr" rotWithShape="0">
                  <a:srgbClr val="6E747A">
                    <a:alpha val="43000"/>
                  </a:srgbClr>
                </a:outerShdw>
              </a:effectLst>
            </a:rPr>
            <a:t>Bldg No.6</a:t>
          </a:r>
        </a:p>
      </xdr:txBody>
    </xdr:sp>
    <xdr:clientData/>
  </xdr:twoCellAnchor>
  <xdr:twoCellAnchor>
    <xdr:from>
      <xdr:col>1</xdr:col>
      <xdr:colOff>572873</xdr:colOff>
      <xdr:row>232</xdr:row>
      <xdr:rowOff>120491</xdr:rowOff>
    </xdr:from>
    <xdr:to>
      <xdr:col>1</xdr:col>
      <xdr:colOff>725273</xdr:colOff>
      <xdr:row>233</xdr:row>
      <xdr:rowOff>111943</xdr:rowOff>
    </xdr:to>
    <xdr:cxnSp macro="">
      <xdr:nvCxnSpPr>
        <xdr:cNvPr id="66" name="Straight Arrow Connector 65">
          <a:extLst>
            <a:ext uri="{FF2B5EF4-FFF2-40B4-BE49-F238E27FC236}">
              <a16:creationId xmlns:a16="http://schemas.microsoft.com/office/drawing/2014/main" xmlns="" id="{00000000-0008-0000-0000-000007000000}"/>
            </a:ext>
          </a:extLst>
        </xdr:cNvPr>
        <xdr:cNvCxnSpPr/>
      </xdr:nvCxnSpPr>
      <xdr:spPr>
        <a:xfrm>
          <a:off x="1334873" y="47916941"/>
          <a:ext cx="152400" cy="191477"/>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434677</xdr:colOff>
      <xdr:row>234</xdr:row>
      <xdr:rowOff>79658</xdr:rowOff>
    </xdr:from>
    <xdr:to>
      <xdr:col>7</xdr:col>
      <xdr:colOff>206932</xdr:colOff>
      <xdr:row>238</xdr:row>
      <xdr:rowOff>71387</xdr:rowOff>
    </xdr:to>
    <xdr:sp macro="" textlink="">
      <xdr:nvSpPr>
        <xdr:cNvPr id="67" name="Rectangle 66">
          <a:extLst>
            <a:ext uri="{FF2B5EF4-FFF2-40B4-BE49-F238E27FC236}">
              <a16:creationId xmlns:a16="http://schemas.microsoft.com/office/drawing/2014/main" xmlns="" id="{00000000-0008-0000-0000-000082000000}"/>
            </a:ext>
          </a:extLst>
        </xdr:cNvPr>
        <xdr:cNvSpPr/>
      </xdr:nvSpPr>
      <xdr:spPr>
        <a:xfrm rot="4092521">
          <a:off x="5139827" y="48419233"/>
          <a:ext cx="791829" cy="505680"/>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cap="none" spc="0">
              <a:ln w="0"/>
              <a:solidFill>
                <a:sysClr val="windowText" lastClr="000000"/>
              </a:solidFill>
              <a:effectLst>
                <a:outerShdw blurRad="38100" dist="25400" dir="5400000" algn="ctr" rotWithShape="0">
                  <a:srgbClr val="6E747A">
                    <a:alpha val="43000"/>
                  </a:srgbClr>
                </a:outerShdw>
              </a:effectLst>
            </a:rPr>
            <a:t>Bldg No.1 (Wing A)</a:t>
          </a:r>
        </a:p>
      </xdr:txBody>
    </xdr:sp>
    <xdr:clientData/>
  </xdr:twoCellAnchor>
  <xdr:twoCellAnchor>
    <xdr:from>
      <xdr:col>6</xdr:col>
      <xdr:colOff>95251</xdr:colOff>
      <xdr:row>236</xdr:row>
      <xdr:rowOff>148067</xdr:rowOff>
    </xdr:from>
    <xdr:to>
      <xdr:col>6</xdr:col>
      <xdr:colOff>516189</xdr:colOff>
      <xdr:row>236</xdr:row>
      <xdr:rowOff>198858</xdr:rowOff>
    </xdr:to>
    <xdr:cxnSp macro="">
      <xdr:nvCxnSpPr>
        <xdr:cNvPr id="68" name="Straight Arrow Connector 67">
          <a:extLst>
            <a:ext uri="{FF2B5EF4-FFF2-40B4-BE49-F238E27FC236}">
              <a16:creationId xmlns:a16="http://schemas.microsoft.com/office/drawing/2014/main" xmlns="" id="{00000000-0008-0000-0000-000083000000}"/>
            </a:ext>
          </a:extLst>
        </xdr:cNvPr>
        <xdr:cNvCxnSpPr/>
      </xdr:nvCxnSpPr>
      <xdr:spPr>
        <a:xfrm flipH="1">
          <a:off x="4943476" y="48744617"/>
          <a:ext cx="420938" cy="50791"/>
        </a:xfrm>
        <a:prstGeom prst="straightConnector1">
          <a:avLst/>
        </a:prstGeom>
        <a:ln w="2857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4dSzfzyb1CNsrU8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1"/>
  <sheetViews>
    <sheetView tabSelected="1" view="pageBreakPreview" topLeftCell="A120" zoomScaleNormal="100" zoomScaleSheetLayoutView="100" zoomScalePageLayoutView="85" workbookViewId="0">
      <selection activeCell="L78" sqref="L78:M78"/>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73" t="s">
        <v>366</v>
      </c>
      <c r="B1" s="173"/>
      <c r="C1" s="173"/>
      <c r="D1" s="173"/>
      <c r="E1" s="173"/>
      <c r="F1" s="173"/>
      <c r="G1" s="173"/>
      <c r="H1" s="173"/>
    </row>
    <row r="2" spans="1:26" ht="16.5" customHeight="1" x14ac:dyDescent="0.25">
      <c r="A2" s="174" t="s">
        <v>0</v>
      </c>
      <c r="B2" s="174"/>
      <c r="C2" s="174"/>
      <c r="D2" s="174"/>
      <c r="E2" s="174"/>
      <c r="F2" s="174"/>
      <c r="G2" s="174"/>
      <c r="H2" s="174"/>
    </row>
    <row r="3" spans="1:26" x14ac:dyDescent="0.25">
      <c r="A3" s="145" t="s">
        <v>1</v>
      </c>
      <c r="B3" s="145"/>
      <c r="C3" s="145"/>
      <c r="D3" s="145"/>
      <c r="E3" s="145" t="str">
        <f ca="1">TEXT(TODAY(),"DD/MM/YYYY")</f>
        <v>14/07/2025</v>
      </c>
      <c r="F3" s="145"/>
      <c r="G3" s="145"/>
      <c r="H3" s="145"/>
      <c r="K3" s="53" t="s">
        <v>224</v>
      </c>
      <c r="L3" s="52" t="s">
        <v>222</v>
      </c>
      <c r="M3" s="52" t="s">
        <v>227</v>
      </c>
      <c r="N3" s="52" t="s">
        <v>225</v>
      </c>
      <c r="O3" s="52" t="s">
        <v>343</v>
      </c>
      <c r="P3" s="52" t="s">
        <v>369</v>
      </c>
    </row>
    <row r="4" spans="1:26" ht="15" customHeight="1" x14ac:dyDescent="0.25">
      <c r="A4" s="145" t="s">
        <v>221</v>
      </c>
      <c r="B4" s="145"/>
      <c r="C4" s="145"/>
      <c r="D4" s="145"/>
      <c r="E4" s="145" t="s">
        <v>222</v>
      </c>
      <c r="F4" s="145"/>
      <c r="G4" s="145"/>
      <c r="H4" s="145"/>
      <c r="K4" s="51" t="s">
        <v>223</v>
      </c>
      <c r="L4" s="52" t="s">
        <v>162</v>
      </c>
      <c r="M4" s="52" t="s">
        <v>232</v>
      </c>
      <c r="N4" s="52" t="s">
        <v>234</v>
      </c>
      <c r="O4" s="52" t="s">
        <v>329</v>
      </c>
      <c r="P4" s="52" t="s">
        <v>370</v>
      </c>
    </row>
    <row r="5" spans="1:26" ht="15" customHeight="1" x14ac:dyDescent="0.25">
      <c r="A5" s="145" t="s">
        <v>2</v>
      </c>
      <c r="B5" s="145"/>
      <c r="C5" s="145"/>
      <c r="D5" s="145"/>
      <c r="E5" s="145" t="s">
        <v>162</v>
      </c>
      <c r="F5" s="145"/>
      <c r="G5" s="145"/>
      <c r="H5" s="145"/>
      <c r="K5" s="51"/>
      <c r="L5" s="52" t="s">
        <v>229</v>
      </c>
      <c r="M5" s="52" t="s">
        <v>233</v>
      </c>
      <c r="N5" s="52" t="s">
        <v>235</v>
      </c>
      <c r="O5" s="52" t="s">
        <v>330</v>
      </c>
      <c r="P5" s="52"/>
    </row>
    <row r="6" spans="1:26" x14ac:dyDescent="0.25">
      <c r="A6" s="145" t="s">
        <v>3</v>
      </c>
      <c r="B6" s="145"/>
      <c r="C6" s="145"/>
      <c r="D6" s="145"/>
      <c r="E6" s="176">
        <v>45848</v>
      </c>
      <c r="F6" s="145"/>
      <c r="G6" s="145"/>
      <c r="H6" s="145"/>
      <c r="K6" s="51"/>
      <c r="L6" s="52" t="s">
        <v>230</v>
      </c>
      <c r="M6" s="52" t="s">
        <v>341</v>
      </c>
      <c r="N6" s="52"/>
      <c r="O6" s="52" t="s">
        <v>331</v>
      </c>
      <c r="P6" s="52"/>
    </row>
    <row r="7" spans="1:26" ht="16.5" customHeight="1" x14ac:dyDescent="0.25">
      <c r="A7" s="145" t="s">
        <v>4</v>
      </c>
      <c r="B7" s="145"/>
      <c r="C7" s="145"/>
      <c r="D7" s="145"/>
      <c r="E7" s="145" t="s">
        <v>373</v>
      </c>
      <c r="F7" s="145"/>
      <c r="G7" s="145"/>
      <c r="H7" s="145"/>
      <c r="K7" s="51"/>
      <c r="L7" s="52" t="s">
        <v>231</v>
      </c>
      <c r="M7" s="52"/>
      <c r="N7" s="52"/>
      <c r="O7" s="52" t="s">
        <v>331</v>
      </c>
      <c r="P7" s="52"/>
    </row>
    <row r="8" spans="1:26" ht="15" customHeight="1" x14ac:dyDescent="0.25">
      <c r="A8" s="145" t="s">
        <v>5</v>
      </c>
      <c r="B8" s="145"/>
      <c r="C8" s="145"/>
      <c r="D8" s="145"/>
      <c r="E8" s="145" t="str">
        <f>E7</f>
        <v>M/s. Uttam Landmark Private Limited</v>
      </c>
      <c r="F8" s="145"/>
      <c r="G8" s="145"/>
      <c r="H8" s="145"/>
      <c r="K8" s="51"/>
      <c r="L8" s="52"/>
      <c r="M8" s="52"/>
      <c r="N8" s="52"/>
      <c r="O8" s="52" t="s">
        <v>332</v>
      </c>
      <c r="P8" s="52"/>
    </row>
    <row r="9" spans="1:26" x14ac:dyDescent="0.25">
      <c r="A9" s="145" t="s">
        <v>6</v>
      </c>
      <c r="B9" s="145"/>
      <c r="C9" s="145"/>
      <c r="D9" s="145"/>
      <c r="E9" s="175" t="s">
        <v>374</v>
      </c>
      <c r="F9" s="175"/>
      <c r="G9" s="175"/>
      <c r="H9" s="175"/>
      <c r="K9" s="51"/>
      <c r="L9" s="52"/>
      <c r="M9" s="52"/>
      <c r="N9" s="52"/>
      <c r="O9" s="52" t="s">
        <v>333</v>
      </c>
      <c r="P9" s="52"/>
    </row>
    <row r="10" spans="1:26" x14ac:dyDescent="0.25">
      <c r="A10" s="145" t="s">
        <v>159</v>
      </c>
      <c r="B10" s="145"/>
      <c r="C10" s="145"/>
      <c r="D10" s="145"/>
      <c r="E10" s="145">
        <v>7757001250</v>
      </c>
      <c r="F10" s="145"/>
      <c r="G10" s="145"/>
      <c r="H10" s="145"/>
      <c r="K10" s="51"/>
      <c r="L10" s="52"/>
      <c r="M10" s="52"/>
      <c r="N10" s="52"/>
      <c r="O10" s="52" t="s">
        <v>334</v>
      </c>
      <c r="P10" s="52"/>
    </row>
    <row r="11" spans="1:26" x14ac:dyDescent="0.25">
      <c r="A11" s="145" t="s">
        <v>160</v>
      </c>
      <c r="B11" s="145"/>
      <c r="C11" s="145"/>
      <c r="D11" s="145"/>
      <c r="E11" s="145" t="s">
        <v>401</v>
      </c>
      <c r="F11" s="145"/>
      <c r="G11" s="145"/>
      <c r="H11" s="145"/>
      <c r="O11" s="52" t="s">
        <v>335</v>
      </c>
    </row>
    <row r="12" spans="1:26" x14ac:dyDescent="0.25">
      <c r="A12" s="145" t="s">
        <v>7</v>
      </c>
      <c r="B12" s="145"/>
      <c r="C12" s="145"/>
      <c r="D12" s="145"/>
      <c r="E12" s="145" t="s">
        <v>375</v>
      </c>
      <c r="F12" s="145"/>
      <c r="G12" s="145"/>
      <c r="H12" s="145"/>
    </row>
    <row r="13" spans="1:26" x14ac:dyDescent="0.25">
      <c r="A13" s="145" t="s">
        <v>163</v>
      </c>
      <c r="B13" s="145"/>
      <c r="C13" s="145"/>
      <c r="D13" s="145"/>
      <c r="E13" s="145" t="s">
        <v>28</v>
      </c>
      <c r="F13" s="145"/>
      <c r="G13" s="145"/>
      <c r="H13" s="145"/>
      <c r="S13" s="52" t="s">
        <v>169</v>
      </c>
      <c r="T13" s="52" t="s">
        <v>178</v>
      </c>
      <c r="U13" s="52" t="s">
        <v>164</v>
      </c>
      <c r="V13" s="52" t="s">
        <v>183</v>
      </c>
      <c r="W13" s="52" t="s">
        <v>201</v>
      </c>
      <c r="X13"/>
      <c r="Y13" t="s">
        <v>183</v>
      </c>
      <c r="Z13" t="e">
        <f ca="1">OFFSET($S$13,1,MATCH($G20,$S$13:$W$13,0)-1,15,1)</f>
        <v>#VALUE!</v>
      </c>
    </row>
    <row r="14" spans="1:26" x14ac:dyDescent="0.25">
      <c r="A14" s="136" t="s">
        <v>267</v>
      </c>
      <c r="B14" s="136"/>
      <c r="C14" s="136"/>
      <c r="D14" s="136"/>
      <c r="E14" s="150" t="s">
        <v>216</v>
      </c>
      <c r="F14" s="150"/>
      <c r="G14" s="150"/>
      <c r="H14" s="150"/>
      <c r="S14" s="52" t="s">
        <v>169</v>
      </c>
      <c r="T14" s="52" t="s">
        <v>176</v>
      </c>
      <c r="U14" s="52" t="s">
        <v>198</v>
      </c>
      <c r="V14" s="52" t="s">
        <v>184</v>
      </c>
      <c r="W14" s="52" t="s">
        <v>202</v>
      </c>
      <c r="X14"/>
      <c r="Y14"/>
      <c r="Z14"/>
    </row>
    <row r="15" spans="1:26" x14ac:dyDescent="0.25">
      <c r="A15" s="136" t="s">
        <v>8</v>
      </c>
      <c r="B15" s="136"/>
      <c r="C15" s="136"/>
      <c r="D15" s="136"/>
      <c r="E15" s="150" t="s">
        <v>376</v>
      </c>
      <c r="F15" s="145"/>
      <c r="G15" s="145"/>
      <c r="H15" s="145"/>
      <c r="I15" s="137" t="e">
        <f ca="1">OFFSET($D$5,1,MATCH($J13,$D$5:$H$5,0)-1,15,1)</f>
        <v>#N/A</v>
      </c>
      <c r="J15" s="138"/>
      <c r="K15" s="138"/>
      <c r="L15" s="138"/>
      <c r="M15" s="138"/>
      <c r="N15" s="138"/>
      <c r="O15" s="138"/>
      <c r="P15" s="138"/>
      <c r="S15" s="52" t="s">
        <v>170</v>
      </c>
      <c r="T15" s="52" t="s">
        <v>177</v>
      </c>
      <c r="U15" s="52" t="s">
        <v>199</v>
      </c>
      <c r="V15" s="52" t="s">
        <v>185</v>
      </c>
      <c r="W15" s="52" t="s">
        <v>215</v>
      </c>
      <c r="X15"/>
      <c r="Y15"/>
      <c r="Z15"/>
    </row>
    <row r="16" spans="1:26" ht="31.5" customHeight="1" x14ac:dyDescent="0.25">
      <c r="A16" s="112" t="s">
        <v>9</v>
      </c>
      <c r="B16" s="112"/>
      <c r="C16" s="112" t="str">
        <f>CONCATENATE((IF(OR(E9="",E9="NA"),"",E9)),", ",(IF(OR(A17="",A17="NA"),"",A17)),".",(IF(OR(C17="",C17="NA"),"",C17)),", near ",(IF(OR(C22="",C22="NA"),"",C22)),", ",(IF(OR(C19="",C19="NA"),"",C19)),", ",(IF(OR(C18="",C18="NA"),"",C18)),", ",(IF(OR(G19="",G19="NA"),"",G19)),", ",(IF(OR(C20="",C20="NA"),"",C20)),", ",(IF(OR(C21="",C21="NA"),"",C21)),", ",(IF(OR(G20="",G20="NA"),"",G20))," - ",(IF(OR(G21="",G21="NA"),"",G21)),".")</f>
        <v>Shree Puram Township, Survey No.6 &amp; 8(Part), near Shree Puram 2, Internal Road, Boisar, Kambalgaon, Palghar East, Palghar, Palghar - 401404.</v>
      </c>
      <c r="D16" s="112"/>
      <c r="E16" s="112"/>
      <c r="F16" s="112"/>
      <c r="G16" s="112"/>
      <c r="H16" s="112"/>
      <c r="S16" s="52" t="s">
        <v>171</v>
      </c>
      <c r="T16" s="52" t="s">
        <v>179</v>
      </c>
      <c r="U16" s="52" t="s">
        <v>200</v>
      </c>
      <c r="V16" s="52" t="s">
        <v>186</v>
      </c>
      <c r="W16" s="52" t="s">
        <v>203</v>
      </c>
      <c r="X16"/>
      <c r="Y16"/>
      <c r="Z16"/>
    </row>
    <row r="17" spans="1:26" ht="15.75" customHeight="1" x14ac:dyDescent="0.25">
      <c r="A17" s="150" t="s">
        <v>377</v>
      </c>
      <c r="B17" s="150"/>
      <c r="C17" s="150" t="s">
        <v>409</v>
      </c>
      <c r="D17" s="150"/>
      <c r="E17" s="150"/>
      <c r="F17" s="150"/>
      <c r="G17" s="150"/>
      <c r="H17" s="150"/>
      <c r="L17" s="20" t="s">
        <v>408</v>
      </c>
      <c r="S17" s="52" t="s">
        <v>172</v>
      </c>
      <c r="T17" s="52" t="s">
        <v>180</v>
      </c>
      <c r="U17" s="52" t="s">
        <v>164</v>
      </c>
      <c r="V17" s="52" t="s">
        <v>187</v>
      </c>
      <c r="W17" s="52" t="s">
        <v>204</v>
      </c>
      <c r="X17"/>
      <c r="Y17"/>
      <c r="Z17"/>
    </row>
    <row r="18" spans="1:26" ht="15.75" customHeight="1" x14ac:dyDescent="0.25">
      <c r="A18" s="150" t="s">
        <v>156</v>
      </c>
      <c r="B18" s="150"/>
      <c r="C18" s="150" t="s">
        <v>379</v>
      </c>
      <c r="D18" s="150"/>
      <c r="E18" s="150"/>
      <c r="F18" s="150"/>
      <c r="G18" s="150"/>
      <c r="H18" s="150"/>
      <c r="S18" s="52" t="s">
        <v>173</v>
      </c>
      <c r="T18" s="52" t="s">
        <v>178</v>
      </c>
      <c r="U18" s="52"/>
      <c r="V18" s="52" t="s">
        <v>188</v>
      </c>
      <c r="W18" s="52" t="s">
        <v>205</v>
      </c>
      <c r="X18"/>
      <c r="Y18"/>
      <c r="Z18"/>
    </row>
    <row r="19" spans="1:26" ht="15.75" customHeight="1" x14ac:dyDescent="0.25">
      <c r="A19" s="112" t="s">
        <v>10</v>
      </c>
      <c r="B19" s="112"/>
      <c r="C19" s="145" t="s">
        <v>380</v>
      </c>
      <c r="D19" s="145"/>
      <c r="E19" s="112" t="s">
        <v>69</v>
      </c>
      <c r="F19" s="112"/>
      <c r="G19" s="150" t="s">
        <v>378</v>
      </c>
      <c r="H19" s="150"/>
      <c r="S19" s="52" t="s">
        <v>174</v>
      </c>
      <c r="T19" s="52" t="s">
        <v>181</v>
      </c>
      <c r="U19" s="52"/>
      <c r="V19" s="52" t="s">
        <v>189</v>
      </c>
      <c r="W19" s="52" t="s">
        <v>206</v>
      </c>
      <c r="X19"/>
      <c r="Y19"/>
      <c r="Z19"/>
    </row>
    <row r="20" spans="1:26" x14ac:dyDescent="0.25">
      <c r="A20" s="136" t="s">
        <v>12</v>
      </c>
      <c r="B20" s="136"/>
      <c r="C20" s="150" t="s">
        <v>381</v>
      </c>
      <c r="D20" s="150"/>
      <c r="E20" s="112" t="s">
        <v>11</v>
      </c>
      <c r="F20" s="112"/>
      <c r="G20" s="179" t="s">
        <v>178</v>
      </c>
      <c r="H20" s="179"/>
      <c r="S20" s="52" t="s">
        <v>175</v>
      </c>
      <c r="T20" s="52" t="s">
        <v>182</v>
      </c>
      <c r="U20" s="52"/>
      <c r="V20" s="52" t="s">
        <v>190</v>
      </c>
      <c r="W20" s="52" t="s">
        <v>207</v>
      </c>
      <c r="X20"/>
      <c r="Y20"/>
      <c r="Z20"/>
    </row>
    <row r="21" spans="1:26" x14ac:dyDescent="0.25">
      <c r="A21" s="136" t="s">
        <v>70</v>
      </c>
      <c r="B21" s="136"/>
      <c r="C21" s="150" t="s">
        <v>178</v>
      </c>
      <c r="D21" s="150"/>
      <c r="E21" s="112" t="s">
        <v>13</v>
      </c>
      <c r="F21" s="112"/>
      <c r="G21" s="150">
        <v>401404</v>
      </c>
      <c r="H21" s="150"/>
      <c r="S21" s="52"/>
      <c r="T21" s="52"/>
      <c r="U21" s="52"/>
      <c r="V21" s="52" t="s">
        <v>191</v>
      </c>
      <c r="W21" s="52" t="s">
        <v>208</v>
      </c>
      <c r="X21"/>
      <c r="Y21"/>
      <c r="Z21"/>
    </row>
    <row r="22" spans="1:26" ht="32.25" customHeight="1" x14ac:dyDescent="0.25">
      <c r="A22" s="136" t="s">
        <v>116</v>
      </c>
      <c r="B22" s="136"/>
      <c r="C22" s="112" t="s">
        <v>402</v>
      </c>
      <c r="D22" s="112"/>
      <c r="E22" s="112" t="s">
        <v>14</v>
      </c>
      <c r="F22" s="112"/>
      <c r="G22" s="150" t="s">
        <v>382</v>
      </c>
      <c r="H22" s="150"/>
      <c r="S22" s="52"/>
      <c r="T22" s="52"/>
      <c r="U22" s="52"/>
      <c r="V22" s="52" t="s">
        <v>192</v>
      </c>
      <c r="W22" s="52" t="s">
        <v>209</v>
      </c>
      <c r="X22"/>
      <c r="Y22"/>
      <c r="Z22"/>
    </row>
    <row r="23" spans="1:26" ht="15" customHeight="1" x14ac:dyDescent="0.25">
      <c r="A23" s="112" t="s">
        <v>71</v>
      </c>
      <c r="B23" s="112"/>
      <c r="C23" s="112"/>
      <c r="D23" s="112"/>
      <c r="E23" s="145" t="s">
        <v>15</v>
      </c>
      <c r="F23" s="145"/>
      <c r="G23" s="145"/>
      <c r="H23" s="145"/>
      <c r="S23" s="52"/>
      <c r="T23" s="52"/>
      <c r="U23" s="52"/>
      <c r="V23" s="52" t="s">
        <v>193</v>
      </c>
      <c r="W23" s="52" t="s">
        <v>210</v>
      </c>
      <c r="X23"/>
      <c r="Y23"/>
      <c r="Z23"/>
    </row>
    <row r="24" spans="1:26" ht="18.75" customHeight="1" x14ac:dyDescent="0.25">
      <c r="A24" s="112"/>
      <c r="B24" s="112"/>
      <c r="C24" s="112"/>
      <c r="D24" s="112"/>
      <c r="E24" s="145"/>
      <c r="F24" s="145"/>
      <c r="G24" s="145"/>
      <c r="H24" s="145"/>
      <c r="S24" s="52"/>
      <c r="T24" s="52"/>
      <c r="U24" s="52"/>
      <c r="V24" s="52" t="s">
        <v>194</v>
      </c>
      <c r="W24" s="52" t="s">
        <v>211</v>
      </c>
      <c r="X24"/>
      <c r="Y24"/>
      <c r="Z24"/>
    </row>
    <row r="25" spans="1:26" ht="15" customHeight="1" x14ac:dyDescent="0.25">
      <c r="A25" s="112" t="s">
        <v>16</v>
      </c>
      <c r="B25" s="112"/>
      <c r="C25" s="112"/>
      <c r="D25" s="112"/>
      <c r="E25" s="150" t="s">
        <v>17</v>
      </c>
      <c r="F25" s="150"/>
      <c r="G25" s="150"/>
      <c r="H25" s="150"/>
      <c r="S25" s="52"/>
      <c r="T25" s="52"/>
      <c r="U25" s="52"/>
      <c r="V25" s="52" t="s">
        <v>195</v>
      </c>
      <c r="W25" s="52" t="s">
        <v>212</v>
      </c>
      <c r="X25"/>
      <c r="Y25"/>
      <c r="Z25"/>
    </row>
    <row r="26" spans="1:26" ht="15" customHeight="1" x14ac:dyDescent="0.25">
      <c r="A26" s="136" t="s">
        <v>18</v>
      </c>
      <c r="B26" s="136"/>
      <c r="C26" s="136"/>
      <c r="D26" s="136"/>
      <c r="E26" s="150" t="str">
        <f>IF(AND(G20="Mumbai"),"Upper Class","Middle Class")</f>
        <v>Middle Class</v>
      </c>
      <c r="F26" s="150"/>
      <c r="G26" s="150"/>
      <c r="H26" s="150"/>
      <c r="S26" s="52"/>
      <c r="T26" s="52"/>
      <c r="U26" s="52"/>
      <c r="V26" s="52" t="s">
        <v>196</v>
      </c>
      <c r="W26" s="52" t="s">
        <v>213</v>
      </c>
      <c r="X26"/>
      <c r="Y26"/>
      <c r="Z26"/>
    </row>
    <row r="27" spans="1:26" x14ac:dyDescent="0.25">
      <c r="A27" s="136" t="s">
        <v>19</v>
      </c>
      <c r="B27" s="136"/>
      <c r="C27" s="136"/>
      <c r="D27" s="136"/>
      <c r="E27" s="150" t="s">
        <v>20</v>
      </c>
      <c r="F27" s="150"/>
      <c r="G27" s="150"/>
      <c r="H27" s="150"/>
      <c r="S27" s="52"/>
      <c r="T27" s="52"/>
      <c r="U27" s="52"/>
      <c r="V27" s="52" t="s">
        <v>197</v>
      </c>
      <c r="W27" s="52" t="s">
        <v>214</v>
      </c>
      <c r="X27"/>
      <c r="Y27"/>
      <c r="Z27"/>
    </row>
    <row r="28" spans="1:26" ht="15.75" customHeight="1" x14ac:dyDescent="0.25">
      <c r="A28" s="136" t="s">
        <v>21</v>
      </c>
      <c r="B28" s="136"/>
      <c r="C28" s="136"/>
      <c r="D28" s="136"/>
      <c r="E28" s="150" t="str">
        <f>IF(AND(G20="Mumbai"),"Developed","Developing")</f>
        <v>Developing</v>
      </c>
      <c r="F28" s="150"/>
      <c r="G28" s="150"/>
      <c r="H28" s="150"/>
    </row>
    <row r="29" spans="1:26" x14ac:dyDescent="0.25">
      <c r="A29" s="136" t="s">
        <v>22</v>
      </c>
      <c r="B29" s="136"/>
      <c r="C29" s="136"/>
      <c r="D29" s="136"/>
      <c r="E29" s="150" t="s">
        <v>23</v>
      </c>
      <c r="F29" s="150"/>
      <c r="G29" s="150"/>
      <c r="H29" s="150"/>
    </row>
    <row r="30" spans="1:26" ht="15.75" customHeight="1" x14ac:dyDescent="0.25">
      <c r="A30" s="136" t="s">
        <v>76</v>
      </c>
      <c r="B30" s="136"/>
      <c r="C30" s="136"/>
      <c r="D30" s="136"/>
      <c r="E30" s="150" t="s">
        <v>77</v>
      </c>
      <c r="F30" s="150"/>
      <c r="G30" s="150"/>
      <c r="H30" s="150"/>
    </row>
    <row r="31" spans="1:26" ht="15" customHeight="1" x14ac:dyDescent="0.25">
      <c r="A31" s="136" t="s">
        <v>30</v>
      </c>
      <c r="B31" s="136"/>
      <c r="C31" s="136"/>
      <c r="D31" s="136"/>
      <c r="E31" s="150"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50"/>
      <c r="G31" s="150"/>
      <c r="H31" s="150"/>
    </row>
    <row r="32" spans="1:26" ht="15.75" customHeight="1" x14ac:dyDescent="0.25">
      <c r="A32" s="136" t="s">
        <v>87</v>
      </c>
      <c r="B32" s="136"/>
      <c r="C32" s="136"/>
      <c r="D32" s="136"/>
      <c r="E32" s="150" t="s">
        <v>31</v>
      </c>
      <c r="F32" s="150"/>
      <c r="G32" s="150"/>
      <c r="H32" s="150"/>
    </row>
    <row r="33" spans="1:19" s="21" customFormat="1" x14ac:dyDescent="0.25">
      <c r="A33" s="186" t="s">
        <v>88</v>
      </c>
      <c r="B33" s="186"/>
      <c r="C33" s="183" t="s">
        <v>165</v>
      </c>
      <c r="D33" s="184"/>
      <c r="E33" s="185"/>
      <c r="F33" s="183" t="s">
        <v>29</v>
      </c>
      <c r="G33" s="184"/>
      <c r="H33" s="185"/>
      <c r="S33" s="21" t="e">
        <f ca="1">OFFSET($S$13,1,MATCH($G20,$S$13:$W$13,0)-1,15,1)</f>
        <v>#VALUE!</v>
      </c>
    </row>
    <row r="34" spans="1:19" s="21" customFormat="1" x14ac:dyDescent="0.25">
      <c r="A34" s="182" t="s">
        <v>24</v>
      </c>
      <c r="B34" s="182" t="s">
        <v>28</v>
      </c>
      <c r="C34" s="178" t="s">
        <v>385</v>
      </c>
      <c r="D34" s="178"/>
      <c r="E34" s="178"/>
      <c r="F34" s="178" t="s">
        <v>413</v>
      </c>
      <c r="G34" s="178"/>
      <c r="H34" s="178"/>
    </row>
    <row r="35" spans="1:19" x14ac:dyDescent="0.25">
      <c r="A35" s="182" t="s">
        <v>25</v>
      </c>
      <c r="B35" s="182" t="s">
        <v>28</v>
      </c>
      <c r="C35" s="178" t="s">
        <v>383</v>
      </c>
      <c r="D35" s="178"/>
      <c r="E35" s="178"/>
      <c r="F35" s="178" t="s">
        <v>384</v>
      </c>
      <c r="G35" s="178"/>
      <c r="H35" s="178"/>
    </row>
    <row r="36" spans="1:19" s="21" customFormat="1" x14ac:dyDescent="0.25">
      <c r="A36" s="182" t="s">
        <v>27</v>
      </c>
      <c r="B36" s="182" t="s">
        <v>28</v>
      </c>
      <c r="C36" s="178" t="s">
        <v>415</v>
      </c>
      <c r="D36" s="178"/>
      <c r="E36" s="178"/>
      <c r="F36" s="178" t="s">
        <v>411</v>
      </c>
      <c r="G36" s="178"/>
      <c r="H36" s="178"/>
    </row>
    <row r="37" spans="1:19" x14ac:dyDescent="0.25">
      <c r="A37" s="182" t="s">
        <v>26</v>
      </c>
      <c r="B37" s="182" t="s">
        <v>28</v>
      </c>
      <c r="C37" s="178" t="s">
        <v>414</v>
      </c>
      <c r="D37" s="178"/>
      <c r="E37" s="178"/>
      <c r="F37" s="178" t="s">
        <v>412</v>
      </c>
      <c r="G37" s="178"/>
      <c r="H37" s="178"/>
    </row>
    <row r="38" spans="1:19" x14ac:dyDescent="0.25">
      <c r="A38" s="136" t="s">
        <v>268</v>
      </c>
      <c r="B38" s="136"/>
      <c r="C38" s="136"/>
      <c r="D38" s="136"/>
      <c r="E38" s="136"/>
      <c r="F38" s="136"/>
      <c r="G38" s="136"/>
      <c r="H38" s="136"/>
    </row>
    <row r="39" spans="1:19" ht="15.75" customHeight="1" x14ac:dyDescent="0.25">
      <c r="A39" s="136" t="s">
        <v>158</v>
      </c>
      <c r="B39" s="136"/>
      <c r="C39" s="167" t="s">
        <v>416</v>
      </c>
      <c r="D39" s="167"/>
      <c r="E39" s="167"/>
      <c r="F39" s="167"/>
      <c r="G39" s="167"/>
      <c r="H39" s="167"/>
    </row>
    <row r="40" spans="1:19" x14ac:dyDescent="0.25">
      <c r="A40" s="136" t="s">
        <v>155</v>
      </c>
      <c r="B40" s="136"/>
      <c r="C40" s="211" t="s">
        <v>406</v>
      </c>
      <c r="D40" s="150"/>
      <c r="E40" s="150"/>
      <c r="F40" s="150"/>
      <c r="G40" s="150"/>
      <c r="H40" s="150"/>
    </row>
    <row r="41" spans="1:19" x14ac:dyDescent="0.25">
      <c r="A41" s="167" t="s">
        <v>32</v>
      </c>
      <c r="B41" s="167"/>
      <c r="C41" s="167"/>
      <c r="D41" s="167"/>
      <c r="E41" s="167"/>
      <c r="F41" s="167"/>
      <c r="G41" s="167"/>
      <c r="H41" s="167"/>
    </row>
    <row r="42" spans="1:19" x14ac:dyDescent="0.25">
      <c r="A42" s="177" t="s">
        <v>33</v>
      </c>
      <c r="B42" s="177"/>
      <c r="C42" s="177"/>
      <c r="D42" s="177"/>
      <c r="E42" s="206">
        <v>16392.849999999999</v>
      </c>
      <c r="F42" s="206"/>
      <c r="G42" s="206"/>
      <c r="H42" s="206"/>
    </row>
    <row r="43" spans="1:19" x14ac:dyDescent="0.25">
      <c r="A43" s="177" t="s">
        <v>34</v>
      </c>
      <c r="B43" s="177"/>
      <c r="C43" s="177"/>
      <c r="D43" s="177"/>
      <c r="E43" s="181">
        <v>1</v>
      </c>
      <c r="F43" s="181"/>
      <c r="G43" s="181"/>
      <c r="H43" s="181"/>
    </row>
    <row r="44" spans="1:19" x14ac:dyDescent="0.25">
      <c r="A44" s="177" t="s">
        <v>35</v>
      </c>
      <c r="B44" s="177"/>
      <c r="C44" s="177"/>
      <c r="D44" s="177"/>
      <c r="E44" s="181">
        <f>E46/E42-E43</f>
        <v>-5.8745123636216867E-4</v>
      </c>
      <c r="F44" s="181"/>
      <c r="G44" s="181"/>
      <c r="H44" s="181"/>
    </row>
    <row r="45" spans="1:19" x14ac:dyDescent="0.25">
      <c r="A45" s="177" t="s">
        <v>36</v>
      </c>
      <c r="B45" s="177"/>
      <c r="C45" s="177"/>
      <c r="D45" s="177"/>
      <c r="E45" s="181">
        <f>E43+E44</f>
        <v>0.99941254876363783</v>
      </c>
      <c r="F45" s="181"/>
      <c r="G45" s="181"/>
      <c r="H45" s="181"/>
    </row>
    <row r="46" spans="1:19" x14ac:dyDescent="0.25">
      <c r="A46" s="177" t="s">
        <v>86</v>
      </c>
      <c r="B46" s="177"/>
      <c r="C46" s="177"/>
      <c r="D46" s="177"/>
      <c r="E46" s="207">
        <v>16383.22</v>
      </c>
      <c r="F46" s="207"/>
      <c r="G46" s="207"/>
      <c r="H46" s="207"/>
    </row>
    <row r="47" spans="1:19" x14ac:dyDescent="0.25">
      <c r="A47" s="145" t="s">
        <v>37</v>
      </c>
      <c r="B47" s="145"/>
      <c r="C47" s="145"/>
      <c r="D47" s="145"/>
      <c r="E47" s="145" t="s">
        <v>115</v>
      </c>
      <c r="F47" s="145"/>
      <c r="G47" s="145"/>
      <c r="H47" s="145"/>
    </row>
    <row r="48" spans="1:19" x14ac:dyDescent="0.25">
      <c r="A48" s="167" t="s">
        <v>38</v>
      </c>
      <c r="B48" s="167"/>
      <c r="C48" s="167"/>
      <c r="D48" s="167"/>
      <c r="E48" s="167"/>
      <c r="F48" s="167"/>
      <c r="G48" s="167"/>
      <c r="H48" s="167"/>
    </row>
    <row r="49" spans="1:24" ht="33.75" customHeight="1" x14ac:dyDescent="0.25">
      <c r="A49" s="109" t="s">
        <v>145</v>
      </c>
      <c r="B49" s="110"/>
      <c r="C49" s="208" t="s">
        <v>264</v>
      </c>
      <c r="D49" s="209"/>
      <c r="E49" s="209"/>
      <c r="F49" s="209"/>
      <c r="G49" s="209"/>
      <c r="H49" s="210"/>
      <c r="R49" t="s">
        <v>241</v>
      </c>
      <c r="S49" s="54" t="s">
        <v>164</v>
      </c>
      <c r="T49" s="54" t="s">
        <v>169</v>
      </c>
      <c r="U49" s="54" t="s">
        <v>183</v>
      </c>
      <c r="V49" s="54" t="s">
        <v>178</v>
      </c>
    </row>
    <row r="50" spans="1:24" ht="15.75" customHeight="1" x14ac:dyDescent="0.25">
      <c r="A50" s="109" t="s">
        <v>39</v>
      </c>
      <c r="B50" s="110"/>
      <c r="C50" s="150" t="s">
        <v>386</v>
      </c>
      <c r="D50" s="150"/>
      <c r="E50" s="150"/>
      <c r="F50" s="17" t="s">
        <v>40</v>
      </c>
      <c r="G50" s="204">
        <v>43847</v>
      </c>
      <c r="H50" s="205"/>
      <c r="R50"/>
      <c r="S50" s="54" t="s">
        <v>242</v>
      </c>
      <c r="T50" s="54" t="s">
        <v>247</v>
      </c>
      <c r="U50" s="54" t="s">
        <v>258</v>
      </c>
      <c r="V50" s="54" t="s">
        <v>263</v>
      </c>
    </row>
    <row r="51" spans="1:24" x14ac:dyDescent="0.25">
      <c r="A51" s="109" t="s">
        <v>41</v>
      </c>
      <c r="B51" s="110"/>
      <c r="C51" s="109" t="str">
        <f>C50</f>
        <v>Mahsul/Kaksh.1/MJ.1/NAP/SR/247/18</v>
      </c>
      <c r="D51" s="129"/>
      <c r="E51" s="110"/>
      <c r="F51" s="17" t="s">
        <v>40</v>
      </c>
      <c r="G51" s="204">
        <f>G50</f>
        <v>43847</v>
      </c>
      <c r="H51" s="205"/>
      <c r="R51"/>
      <c r="S51" s="54" t="s">
        <v>243</v>
      </c>
      <c r="T51" s="54" t="s">
        <v>344</v>
      </c>
      <c r="U51" s="54" t="s">
        <v>256</v>
      </c>
      <c r="V51" s="54" t="s">
        <v>264</v>
      </c>
    </row>
    <row r="52" spans="1:24" s="22" customFormat="1" ht="15.75" customHeight="1" x14ac:dyDescent="0.25">
      <c r="A52" s="199" t="s">
        <v>149</v>
      </c>
      <c r="B52" s="200"/>
      <c r="C52" s="199" t="s">
        <v>403</v>
      </c>
      <c r="D52" s="203"/>
      <c r="E52" s="200"/>
      <c r="F52" s="17" t="s">
        <v>40</v>
      </c>
      <c r="G52" s="204">
        <v>43847</v>
      </c>
      <c r="H52" s="205"/>
      <c r="I52" s="21" t="str">
        <f ca="1">IF(G52&gt;EDATE(E3,-48),"NO REMARK","CC REMARK FOR CC")</f>
        <v>CC REMARK FOR CC</v>
      </c>
      <c r="J52" s="74"/>
      <c r="R52"/>
      <c r="S52" s="54" t="s">
        <v>244</v>
      </c>
      <c r="T52" s="54" t="s">
        <v>249</v>
      </c>
      <c r="U52" s="54" t="s">
        <v>246</v>
      </c>
      <c r="V52" s="54" t="s">
        <v>265</v>
      </c>
    </row>
    <row r="53" spans="1:24" s="22" customFormat="1" x14ac:dyDescent="0.25">
      <c r="A53" s="201"/>
      <c r="B53" s="202"/>
      <c r="C53" s="109" t="s">
        <v>387</v>
      </c>
      <c r="D53" s="129"/>
      <c r="E53" s="129"/>
      <c r="F53" s="129"/>
      <c r="G53" s="129"/>
      <c r="H53" s="110"/>
      <c r="R53"/>
      <c r="S53" s="54"/>
      <c r="T53" s="54"/>
      <c r="U53" s="54"/>
      <c r="V53" s="70"/>
    </row>
    <row r="54" spans="1:24" s="22" customFormat="1" hidden="1" x14ac:dyDescent="0.25">
      <c r="A54" s="123" t="s">
        <v>269</v>
      </c>
      <c r="B54" s="124"/>
      <c r="C54" s="109"/>
      <c r="D54" s="129"/>
      <c r="E54" s="110"/>
      <c r="F54" s="17" t="s">
        <v>40</v>
      </c>
      <c r="G54" s="204"/>
      <c r="H54" s="205"/>
      <c r="K54" s="75">
        <f>EDATE(G52,-48)</f>
        <v>42386</v>
      </c>
      <c r="L54" s="22" t="str">
        <f ca="1">IF(G52&gt;EDATE(E3,-48),"NO REMARK","CC REMARK FOR CC")</f>
        <v>CC REMARK FOR CC</v>
      </c>
      <c r="R54"/>
      <c r="S54" s="54" t="s">
        <v>244</v>
      </c>
      <c r="T54" s="54" t="s">
        <v>249</v>
      </c>
      <c r="U54" s="54" t="s">
        <v>246</v>
      </c>
      <c r="V54" s="54" t="s">
        <v>265</v>
      </c>
    </row>
    <row r="55" spans="1:24" s="22" customFormat="1" ht="32.25" hidden="1" customHeight="1" x14ac:dyDescent="0.25">
      <c r="A55" s="127"/>
      <c r="B55" s="128"/>
      <c r="C55" s="196"/>
      <c r="D55" s="197"/>
      <c r="E55" s="197"/>
      <c r="F55" s="197"/>
      <c r="G55" s="197"/>
      <c r="H55" s="198"/>
      <c r="R55"/>
      <c r="S55" s="54" t="s">
        <v>246</v>
      </c>
      <c r="T55" s="54" t="s">
        <v>250</v>
      </c>
      <c r="U55" s="54" t="s">
        <v>260</v>
      </c>
      <c r="V55" s="71"/>
      <c r="W55" s="20"/>
      <c r="X55" s="20"/>
    </row>
    <row r="56" spans="1:24" s="22" customFormat="1" ht="34.5" hidden="1" customHeight="1" x14ac:dyDescent="0.25">
      <c r="A56" s="123" t="s">
        <v>270</v>
      </c>
      <c r="B56" s="124"/>
      <c r="C56" s="109">
        <f>C55</f>
        <v>0</v>
      </c>
      <c r="D56" s="129"/>
      <c r="E56" s="110"/>
      <c r="F56" s="17" t="s">
        <v>40</v>
      </c>
      <c r="G56" s="204"/>
      <c r="H56" s="205"/>
      <c r="R56"/>
      <c r="S56" s="71"/>
      <c r="T56" s="54" t="s">
        <v>251</v>
      </c>
      <c r="U56" s="54" t="s">
        <v>261</v>
      </c>
      <c r="V56" s="71"/>
      <c r="W56" s="20"/>
      <c r="X56" s="20"/>
    </row>
    <row r="57" spans="1:24" s="22" customFormat="1" ht="41.25" hidden="1" customHeight="1" x14ac:dyDescent="0.25">
      <c r="A57" s="127"/>
      <c r="B57" s="128"/>
      <c r="C57" s="109"/>
      <c r="D57" s="129"/>
      <c r="E57" s="129"/>
      <c r="F57" s="129"/>
      <c r="G57" s="129"/>
      <c r="H57" s="110"/>
      <c r="R57"/>
      <c r="S57" s="71"/>
      <c r="T57" s="54" t="s">
        <v>253</v>
      </c>
      <c r="U57" s="54" t="s">
        <v>262</v>
      </c>
      <c r="V57" s="71"/>
      <c r="W57" s="20"/>
      <c r="X57" s="20"/>
    </row>
    <row r="58" spans="1:24" s="22" customFormat="1" ht="15.75" hidden="1" customHeight="1" x14ac:dyDescent="0.25">
      <c r="A58" s="123" t="s">
        <v>339</v>
      </c>
      <c r="B58" s="124"/>
      <c r="C58" s="130"/>
      <c r="D58" s="131"/>
      <c r="E58" s="132"/>
      <c r="F58" s="17" t="s">
        <v>40</v>
      </c>
      <c r="G58" s="204"/>
      <c r="H58" s="205"/>
      <c r="R58"/>
      <c r="S58" s="71"/>
      <c r="T58" s="54" t="s">
        <v>254</v>
      </c>
      <c r="U58" s="71" t="s">
        <v>284</v>
      </c>
      <c r="V58" s="71"/>
      <c r="W58" s="20"/>
      <c r="X58" s="20"/>
    </row>
    <row r="59" spans="1:24" s="22" customFormat="1" ht="33.75" hidden="1" customHeight="1" x14ac:dyDescent="0.25">
      <c r="A59" s="125"/>
      <c r="B59" s="126"/>
      <c r="C59" s="133"/>
      <c r="D59" s="134"/>
      <c r="E59" s="135"/>
      <c r="F59" s="17" t="s">
        <v>340</v>
      </c>
      <c r="G59" s="204"/>
      <c r="H59" s="205"/>
      <c r="R59"/>
      <c r="S59" s="71"/>
      <c r="T59" s="54" t="s">
        <v>255</v>
      </c>
      <c r="U59" s="71"/>
      <c r="V59" s="71"/>
      <c r="W59" s="20"/>
      <c r="X59" s="20"/>
    </row>
    <row r="60" spans="1:24" s="22" customFormat="1" ht="33.75" hidden="1" customHeight="1" x14ac:dyDescent="0.25">
      <c r="A60" s="127"/>
      <c r="B60" s="128"/>
      <c r="C60" s="109" t="s">
        <v>362</v>
      </c>
      <c r="D60" s="129"/>
      <c r="E60" s="129"/>
      <c r="F60" s="129"/>
      <c r="G60" s="129"/>
      <c r="H60" s="110"/>
      <c r="R60"/>
      <c r="S60" s="71"/>
      <c r="T60" s="54"/>
      <c r="U60" s="71"/>
      <c r="V60" s="71"/>
      <c r="W60" s="20"/>
      <c r="X60" s="20"/>
    </row>
    <row r="61" spans="1:24" x14ac:dyDescent="0.25">
      <c r="A61" s="141" t="s">
        <v>42</v>
      </c>
      <c r="B61" s="142"/>
      <c r="C61" s="141" t="s">
        <v>100</v>
      </c>
      <c r="D61" s="143"/>
      <c r="E61" s="142"/>
      <c r="F61" s="43" t="s">
        <v>40</v>
      </c>
      <c r="G61" s="146" t="s">
        <v>28</v>
      </c>
      <c r="H61" s="147"/>
      <c r="R61"/>
      <c r="S61" s="71"/>
      <c r="T61" s="54" t="s">
        <v>257</v>
      </c>
      <c r="U61" s="71"/>
      <c r="V61" s="71"/>
    </row>
    <row r="62" spans="1:24" x14ac:dyDescent="0.25">
      <c r="A62" s="170" t="s">
        <v>44</v>
      </c>
      <c r="B62" s="170"/>
      <c r="C62" s="170"/>
      <c r="D62" s="170"/>
      <c r="E62" s="170"/>
      <c r="F62" s="170"/>
      <c r="G62" s="170"/>
      <c r="H62" s="170"/>
      <c r="S62" s="71"/>
      <c r="T62" s="54" t="s">
        <v>266</v>
      </c>
      <c r="U62" s="71"/>
      <c r="V62" s="71"/>
    </row>
    <row r="63" spans="1:24" ht="32.25" customHeight="1" x14ac:dyDescent="0.25">
      <c r="A63" s="112" t="s">
        <v>404</v>
      </c>
      <c r="B63" s="112"/>
      <c r="C63" s="112"/>
      <c r="D63" s="136">
        <f>1544.61</f>
        <v>1544.61</v>
      </c>
      <c r="E63" s="136"/>
      <c r="F63" s="136"/>
      <c r="G63" s="136"/>
      <c r="H63" s="136"/>
      <c r="R63"/>
    </row>
    <row r="64" spans="1:24" x14ac:dyDescent="0.25">
      <c r="A64" s="150" t="s">
        <v>45</v>
      </c>
      <c r="B64" s="145"/>
      <c r="C64" s="145"/>
      <c r="D64" s="145" t="s">
        <v>400</v>
      </c>
      <c r="E64" s="145"/>
      <c r="F64" s="145"/>
      <c r="G64" s="145"/>
      <c r="H64" s="145"/>
      <c r="I64" s="23"/>
      <c r="R64"/>
    </row>
    <row r="65" spans="1:19" x14ac:dyDescent="0.25">
      <c r="A65" s="216" t="s">
        <v>46</v>
      </c>
      <c r="B65" s="217"/>
      <c r="C65" s="218"/>
      <c r="D65" s="113" t="s">
        <v>388</v>
      </c>
      <c r="E65" s="215"/>
      <c r="F65" s="215"/>
      <c r="G65" s="215"/>
      <c r="H65" s="215"/>
      <c r="R65"/>
    </row>
    <row r="66" spans="1:19" ht="15.75" customHeight="1" x14ac:dyDescent="0.25">
      <c r="A66" s="216" t="s">
        <v>84</v>
      </c>
      <c r="B66" s="217"/>
      <c r="C66" s="217"/>
      <c r="D66" s="219" t="s">
        <v>388</v>
      </c>
      <c r="E66" s="220"/>
      <c r="F66" s="220"/>
      <c r="G66" s="220"/>
      <c r="H66" s="221"/>
      <c r="R66"/>
    </row>
    <row r="67" spans="1:19" ht="15.75" customHeight="1" x14ac:dyDescent="0.25">
      <c r="A67" s="136" t="s">
        <v>43</v>
      </c>
      <c r="B67" s="136"/>
      <c r="C67" s="136"/>
      <c r="D67" s="180" t="s">
        <v>389</v>
      </c>
      <c r="E67" s="180"/>
      <c r="F67" s="180"/>
      <c r="G67" s="180"/>
      <c r="H67" s="180"/>
      <c r="J67" s="24"/>
      <c r="K67" s="23"/>
      <c r="N67" s="23"/>
      <c r="S67"/>
    </row>
    <row r="68" spans="1:19" ht="15.75" customHeight="1" x14ac:dyDescent="0.25">
      <c r="A68" s="136" t="s">
        <v>82</v>
      </c>
      <c r="B68" s="136"/>
      <c r="C68" s="136"/>
      <c r="D68" s="214" t="str">
        <f>(IF(G61="NA","60 Years After Completion",IF(G61&lt;&gt;"NA",""&amp;60-ROUNDDOWN((E3-G61)/360,0)&amp;" Years"," ")))</f>
        <v>60 Years After Completion</v>
      </c>
      <c r="E68" s="214"/>
      <c r="F68" s="214"/>
      <c r="G68" s="214"/>
      <c r="H68" s="214"/>
      <c r="N68" s="23"/>
      <c r="S68"/>
    </row>
    <row r="69" spans="1:19" ht="15.75" customHeight="1" x14ac:dyDescent="0.25">
      <c r="A69" s="136" t="s">
        <v>83</v>
      </c>
      <c r="B69" s="136"/>
      <c r="C69" s="136"/>
      <c r="D69" s="112" t="s">
        <v>23</v>
      </c>
      <c r="E69" s="112"/>
      <c r="F69" s="112"/>
      <c r="G69" s="112"/>
      <c r="H69" s="112"/>
      <c r="J69" s="25"/>
      <c r="K69" s="25"/>
      <c r="S69"/>
    </row>
    <row r="70" spans="1:19" ht="31.5" customHeight="1" x14ac:dyDescent="0.25">
      <c r="A70" s="145" t="s">
        <v>391</v>
      </c>
      <c r="B70" s="145"/>
      <c r="C70" s="145"/>
      <c r="D70" s="150" t="s">
        <v>390</v>
      </c>
      <c r="E70" s="112"/>
      <c r="F70" s="112"/>
      <c r="G70" s="112"/>
      <c r="H70" s="112"/>
      <c r="S70"/>
    </row>
    <row r="71" spans="1:19" x14ac:dyDescent="0.25">
      <c r="A71" s="112" t="s">
        <v>142</v>
      </c>
      <c r="B71" s="112"/>
      <c r="C71" s="112"/>
      <c r="D71" s="112" t="s">
        <v>28</v>
      </c>
      <c r="E71" s="112"/>
      <c r="F71" s="112"/>
      <c r="G71" s="112"/>
      <c r="H71" s="112"/>
      <c r="I71" s="26"/>
      <c r="J71" s="26"/>
      <c r="K71" s="26"/>
      <c r="L71" s="26"/>
      <c r="M71" s="26"/>
      <c r="N71" s="26"/>
    </row>
    <row r="72" spans="1:19" ht="15.75" customHeight="1" x14ac:dyDescent="0.25">
      <c r="A72" s="195" t="s">
        <v>81</v>
      </c>
      <c r="B72" s="195"/>
      <c r="C72" s="195"/>
      <c r="D72" s="113" t="str">
        <f ca="1">(IF(G78&gt;95%,"Nothing",IF(G78&gt;0%,"Cement, Aggregate, Steel, etc",IF(G78=0%,"Work not yet Started"))))</f>
        <v>Cement, Aggregate, Steel, etc</v>
      </c>
      <c r="E72" s="113"/>
      <c r="F72" s="113"/>
      <c r="G72" s="113"/>
      <c r="H72" s="113"/>
      <c r="J72" s="25"/>
      <c r="S72"/>
    </row>
    <row r="73" spans="1:19" ht="33.75" customHeight="1" thickBot="1" x14ac:dyDescent="0.3">
      <c r="A73" s="194" t="s">
        <v>113</v>
      </c>
      <c r="B73" s="194"/>
      <c r="C73" s="194"/>
      <c r="D73" s="113" t="str">
        <f ca="1">(IF(D72="Nothing","Yes",IF(D72="Cement, Aggregate, Steel, etc","Under Construction",IF(D72="Work not yet Started","Work not yet Started"))))</f>
        <v>Under Construction</v>
      </c>
      <c r="E73" s="113"/>
      <c r="F73" s="113" t="str">
        <f ca="1">(IF(D72="Nothing","Yes",IF(D72="Cement, Aggregate, Steel, etc","Under Construction",IF(D72="Work not yet Started","Work not yet Started"))))</f>
        <v>Under Construction</v>
      </c>
      <c r="G73" s="113"/>
      <c r="H73" s="113"/>
      <c r="S73"/>
    </row>
    <row r="74" spans="1:19" ht="15.75" customHeight="1" x14ac:dyDescent="0.25">
      <c r="A74" s="187" t="s">
        <v>134</v>
      </c>
      <c r="B74" s="188"/>
      <c r="C74" s="189" t="str">
        <f>D66</f>
        <v>Building No.6 = Gr + 1st to 6th Floor</v>
      </c>
      <c r="D74" s="190"/>
      <c r="E74" s="190"/>
      <c r="F74" s="190"/>
      <c r="G74" s="190"/>
      <c r="H74" s="191"/>
      <c r="I74" s="47" t="str">
        <f ca="1">IF(D87=100%,"All work Completed. Possession granted to the Building.",IF(D86=100%,"All work Completed, Waiting for OC",I75&amp;""&amp;I76&amp;""&amp;J75&amp;""&amp;J74&amp;" "&amp;J76))</f>
        <v xml:space="preserve">Excavation Completed, Footing work Completed </v>
      </c>
      <c r="J74" s="48"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15" t="s">
        <v>136</v>
      </c>
      <c r="B75" s="45">
        <f>IF(AND(ISNUMBER(SEARCH("1B",C74))),1,IF(AND(ISNUMBER(SEARCH("2B",C74))),2,IF(AND(ISNUMBER(SEARCH("3B",C74))),3,IF(AND(ISNUMBER(SEARCH("4B",C74))),4,IF(ISNUMBER(SEARCH("5B",C74)),5,0)))))</f>
        <v>0</v>
      </c>
      <c r="C75" s="45" t="s">
        <v>68</v>
      </c>
      <c r="D75" s="45">
        <v>1</v>
      </c>
      <c r="E75" s="45" t="s">
        <v>67</v>
      </c>
      <c r="F75" s="45">
        <v>0</v>
      </c>
      <c r="G75" s="46" t="s">
        <v>75</v>
      </c>
      <c r="H75" s="16">
        <f ca="1">--TRIM(RIGHT(SUBSTITUTE(LEFT(C74,_xlfn.AGGREGATE(16,6,FIND({0,1,2,3,4,5,6,7,8,9},C74,ROW(INDIRECT("1:"&amp;LEN(C74)))),1))," ",REPT(" ",LEN(C74))),LEN(C74)))</f>
        <v>6</v>
      </c>
      <c r="I75" s="49" t="str">
        <f ca="1">IF(D78=100%,"Excavation","")&amp;IF(D79=100%,", Plinth","")&amp;IF(D80=100%,", RCC Slab","")&amp;IF(D81=100%,", Brickwork","")&amp;IF(D82=100%,", Internal Plaster","")&amp;IF(D83=100%,", External Plaster","")&amp;IF(D84=100%,", Flooring","")&amp;IF(D85=100%,", Painting","")&amp;IF(D86=100%,", Building common Amenities","")</f>
        <v>Excavation</v>
      </c>
      <c r="J75" s="50"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Footing work Completed</v>
      </c>
      <c r="S75"/>
    </row>
    <row r="76" spans="1:19" x14ac:dyDescent="0.25">
      <c r="A76" s="222" t="s">
        <v>85</v>
      </c>
      <c r="B76" s="175"/>
      <c r="C76" s="192" t="str">
        <f ca="1">I74</f>
        <v xml:space="preserve">Excavation Completed, Footing work Completed </v>
      </c>
      <c r="D76" s="192"/>
      <c r="E76" s="192"/>
      <c r="F76" s="192"/>
      <c r="G76" s="192"/>
      <c r="H76" s="193"/>
      <c r="I76" s="49" t="str">
        <f ca="1">IF(I75&lt;&gt;""," Completed","")</f>
        <v xml:space="preserve"> Completed</v>
      </c>
      <c r="J76" s="50" t="str">
        <f ca="1">IF(J74&lt;&gt;"","Completed","")</f>
        <v/>
      </c>
      <c r="S76"/>
    </row>
    <row r="77" spans="1:19" ht="15.75" customHeight="1" x14ac:dyDescent="0.25">
      <c r="A77" s="107" t="s">
        <v>47</v>
      </c>
      <c r="B77" s="108"/>
      <c r="C77" s="42" t="s">
        <v>133</v>
      </c>
      <c r="D77" s="42" t="s">
        <v>78</v>
      </c>
      <c r="E77" s="108" t="s">
        <v>80</v>
      </c>
      <c r="F77" s="108"/>
      <c r="G77" s="108" t="s">
        <v>79</v>
      </c>
      <c r="H77" s="114"/>
      <c r="I77" s="13" t="s">
        <v>135</v>
      </c>
      <c r="J77" s="27">
        <f ca="1">H75*25%</f>
        <v>1.5</v>
      </c>
      <c r="S77"/>
    </row>
    <row r="78" spans="1:19" x14ac:dyDescent="0.25">
      <c r="A78" s="107" t="s">
        <v>122</v>
      </c>
      <c r="B78" s="108"/>
      <c r="C78" s="92">
        <f ca="1">J79</f>
        <v>6</v>
      </c>
      <c r="D78" s="18">
        <f ca="1">((100/H75)*C78)/100</f>
        <v>1</v>
      </c>
      <c r="E78" s="223">
        <f ca="1">(((C79/H75*10)+(40/(D75+F75+H75)*C80)+(7.5/(H75)*C81)+(7.5/(H75)*C82)+(10/H75*C83)+(10/H75*C84)+(5/H75*C85)+(5/H75*C86)+(5/H75*C87))/100)</f>
        <v>0.05</v>
      </c>
      <c r="F78" s="224"/>
      <c r="G78" s="223">
        <f ca="1">((((C78/H75)*20)+((C79/H75)*25)+(30/(H75+F75+D75)*C80)+(5/H75*C81)+(5/H75*C82)+(5/H75*C83)+(5/H75*C84)+(0/H75*C85)+(0/H75*C86)+(5/H75*C87))/100)</f>
        <v>0.32500000000000001</v>
      </c>
      <c r="H78" s="229"/>
      <c r="I78" s="13" t="s">
        <v>95</v>
      </c>
      <c r="J78" s="28">
        <f ca="1">H75*50%</f>
        <v>3</v>
      </c>
    </row>
    <row r="79" spans="1:19" x14ac:dyDescent="0.25">
      <c r="A79" s="107" t="s">
        <v>48</v>
      </c>
      <c r="B79" s="108"/>
      <c r="C79" s="96">
        <f ca="1">J81</f>
        <v>3</v>
      </c>
      <c r="D79" s="18">
        <f ca="1">((100/H75)*C79)/100</f>
        <v>0.5</v>
      </c>
      <c r="E79" s="225"/>
      <c r="F79" s="226"/>
      <c r="G79" s="225"/>
      <c r="H79" s="230"/>
      <c r="I79" s="13" t="s">
        <v>96</v>
      </c>
      <c r="J79" s="28">
        <f ca="1">H75</f>
        <v>6</v>
      </c>
      <c r="L79" s="91"/>
      <c r="S79"/>
    </row>
    <row r="80" spans="1:19" ht="15.75" customHeight="1" x14ac:dyDescent="0.25">
      <c r="A80" s="107" t="s">
        <v>123</v>
      </c>
      <c r="B80" s="108"/>
      <c r="C80" s="92">
        <v>0</v>
      </c>
      <c r="D80" s="18">
        <f ca="1">((100/(D75+F75+H75))*C80)/100</f>
        <v>0</v>
      </c>
      <c r="E80" s="225"/>
      <c r="F80" s="226"/>
      <c r="G80" s="225"/>
      <c r="H80" s="230"/>
      <c r="I80" s="13" t="s">
        <v>97</v>
      </c>
      <c r="J80" s="29">
        <f ca="1">(IF(B75&gt;1,(H75/(B75+2)),H75/4))</f>
        <v>1.5</v>
      </c>
      <c r="S80"/>
    </row>
    <row r="81" spans="1:22" ht="15.75" customHeight="1" x14ac:dyDescent="0.25">
      <c r="A81" s="107" t="s">
        <v>130</v>
      </c>
      <c r="B81" s="108" t="s">
        <v>124</v>
      </c>
      <c r="C81" s="92">
        <v>0</v>
      </c>
      <c r="D81" s="18">
        <f ca="1">((100/H75)*C81)/100</f>
        <v>0</v>
      </c>
      <c r="E81" s="225"/>
      <c r="F81" s="226"/>
      <c r="G81" s="225"/>
      <c r="H81" s="230"/>
      <c r="I81" s="13" t="s">
        <v>98</v>
      </c>
      <c r="J81" s="29">
        <f ca="1">(IF(B75&gt;1,(H75/(B75+2)+J80),H75/4+J80))</f>
        <v>3</v>
      </c>
    </row>
    <row r="82" spans="1:22" ht="15.75" customHeight="1" x14ac:dyDescent="0.25">
      <c r="A82" s="107" t="s">
        <v>131</v>
      </c>
      <c r="B82" s="108" t="s">
        <v>124</v>
      </c>
      <c r="C82" s="92">
        <v>0</v>
      </c>
      <c r="D82" s="18">
        <f ca="1">((100/H75)*C82)/100</f>
        <v>0</v>
      </c>
      <c r="E82" s="225"/>
      <c r="F82" s="226"/>
      <c r="G82" s="225"/>
      <c r="H82" s="230"/>
      <c r="I82" s="13" t="s">
        <v>140</v>
      </c>
      <c r="J82" s="29">
        <f>(IF(B75&gt;1,(H75/(B75+2)+J81),0))</f>
        <v>0</v>
      </c>
    </row>
    <row r="83" spans="1:22" ht="15" customHeight="1" x14ac:dyDescent="0.25">
      <c r="A83" s="107" t="s">
        <v>129</v>
      </c>
      <c r="B83" s="108" t="s">
        <v>126</v>
      </c>
      <c r="C83" s="92">
        <v>0</v>
      </c>
      <c r="D83" s="18">
        <f ca="1">((100/(H75))*C83)/100</f>
        <v>0</v>
      </c>
      <c r="E83" s="225"/>
      <c r="F83" s="226"/>
      <c r="G83" s="225"/>
      <c r="H83" s="230"/>
      <c r="I83" s="13" t="s">
        <v>137</v>
      </c>
      <c r="J83" s="29">
        <f>(IF(B75&gt;2,(H75/(B75+2)+J82),0))</f>
        <v>0</v>
      </c>
    </row>
    <row r="84" spans="1:22" ht="15.75" customHeight="1" x14ac:dyDescent="0.25">
      <c r="A84" s="107" t="s">
        <v>125</v>
      </c>
      <c r="B84" s="108" t="s">
        <v>125</v>
      </c>
      <c r="C84" s="92">
        <v>0</v>
      </c>
      <c r="D84" s="18">
        <f ca="1">((100/H75)*C84)/100</f>
        <v>0</v>
      </c>
      <c r="E84" s="225"/>
      <c r="F84" s="226"/>
      <c r="G84" s="225"/>
      <c r="H84" s="230"/>
      <c r="I84" s="13" t="s">
        <v>138</v>
      </c>
      <c r="J84" s="30">
        <f>(IF(B75&gt;3,(H75/(B75+2)+J83),0))</f>
        <v>0</v>
      </c>
    </row>
    <row r="85" spans="1:22" ht="15.75" customHeight="1" x14ac:dyDescent="0.25">
      <c r="A85" s="107" t="s">
        <v>132</v>
      </c>
      <c r="B85" s="108"/>
      <c r="C85" s="92">
        <v>0</v>
      </c>
      <c r="D85" s="18">
        <f ca="1">((100/H75)*C85)/100</f>
        <v>0</v>
      </c>
      <c r="E85" s="225"/>
      <c r="F85" s="226"/>
      <c r="G85" s="225"/>
      <c r="H85" s="230"/>
      <c r="I85" s="13" t="s">
        <v>139</v>
      </c>
      <c r="J85" s="29">
        <f>(IF(B75&gt;4,(H75/(B75+2)+J84),0))</f>
        <v>0</v>
      </c>
    </row>
    <row r="86" spans="1:22" ht="15.75" customHeight="1" x14ac:dyDescent="0.25">
      <c r="A86" s="107" t="s">
        <v>127</v>
      </c>
      <c r="B86" s="108" t="s">
        <v>127</v>
      </c>
      <c r="C86" s="92">
        <v>0</v>
      </c>
      <c r="D86" s="18">
        <f ca="1">((100/(H75))*C86)/100</f>
        <v>0</v>
      </c>
      <c r="E86" s="225"/>
      <c r="F86" s="226"/>
      <c r="G86" s="225"/>
      <c r="H86" s="230"/>
      <c r="I86" s="13" t="s">
        <v>141</v>
      </c>
      <c r="J86" s="29">
        <f ca="1">(IF(B75=1,(H75/(B75+3)+J81),IF(B75=0,(H75/4+J81),IF(B75&gt;1,0))))</f>
        <v>4.5</v>
      </c>
    </row>
    <row r="87" spans="1:22" ht="16.5" thickBot="1" x14ac:dyDescent="0.3">
      <c r="A87" s="115" t="s">
        <v>128</v>
      </c>
      <c r="B87" s="116"/>
      <c r="C87" s="93">
        <v>0</v>
      </c>
      <c r="D87" s="19">
        <f ca="1">((100/(H75))*C87)/100</f>
        <v>0</v>
      </c>
      <c r="E87" s="227"/>
      <c r="F87" s="228"/>
      <c r="G87" s="227"/>
      <c r="H87" s="231"/>
      <c r="I87" s="14" t="s">
        <v>99</v>
      </c>
      <c r="J87" s="31">
        <f ca="1">(IF(B75&gt;1.5,(H75/(B75+2)+J81+MAX(0,J82-J81)+MAX(0,J83-J82)+MAX(0,J84-J83)+MAX(0,J85-J84)+MAX(0,J86-J85)),IF(B75=1,(H75/(B75+3)+J86),IF(B75=0,H75/4+J86))))</f>
        <v>6</v>
      </c>
    </row>
    <row r="88" spans="1:22" x14ac:dyDescent="0.25">
      <c r="A88" s="148" t="s">
        <v>150</v>
      </c>
      <c r="B88" s="148"/>
      <c r="C88" s="148"/>
      <c r="D88" s="148"/>
      <c r="E88" s="148"/>
      <c r="F88" s="149" t="s">
        <v>154</v>
      </c>
      <c r="G88" s="149"/>
      <c r="H88" s="149"/>
      <c r="R88" t="s">
        <v>241</v>
      </c>
      <c r="S88" t="s">
        <v>164</v>
      </c>
      <c r="T88" t="s">
        <v>169</v>
      </c>
      <c r="U88" t="s">
        <v>183</v>
      </c>
      <c r="V88" t="s">
        <v>178</v>
      </c>
    </row>
    <row r="89" spans="1:22" x14ac:dyDescent="0.25">
      <c r="A89" s="136" t="s">
        <v>152</v>
      </c>
      <c r="B89" s="136"/>
      <c r="C89" s="136"/>
      <c r="D89" s="136"/>
      <c r="E89" s="136"/>
      <c r="F89" s="139">
        <v>3400</v>
      </c>
      <c r="G89" s="139"/>
      <c r="H89" s="139"/>
      <c r="R89"/>
      <c r="S89">
        <v>800000</v>
      </c>
      <c r="T89">
        <v>150000</v>
      </c>
      <c r="U89">
        <v>100000</v>
      </c>
      <c r="V89">
        <v>100000</v>
      </c>
    </row>
    <row r="90" spans="1:22" hidden="1" x14ac:dyDescent="0.25">
      <c r="A90" s="136" t="s">
        <v>151</v>
      </c>
      <c r="B90" s="136"/>
      <c r="C90" s="136"/>
      <c r="D90" s="136"/>
      <c r="E90" s="136"/>
      <c r="F90" s="139"/>
      <c r="G90" s="139"/>
      <c r="H90" s="139"/>
      <c r="R90"/>
      <c r="S90">
        <v>900000</v>
      </c>
      <c r="T90">
        <v>200000</v>
      </c>
      <c r="U90">
        <v>150000</v>
      </c>
      <c r="V90">
        <v>150000</v>
      </c>
    </row>
    <row r="91" spans="1:22" hidden="1" x14ac:dyDescent="0.25">
      <c r="A91" s="136" t="s">
        <v>153</v>
      </c>
      <c r="B91" s="136"/>
      <c r="C91" s="136"/>
      <c r="D91" s="136"/>
      <c r="E91" s="136"/>
      <c r="F91" s="139"/>
      <c r="G91" s="139"/>
      <c r="H91" s="139"/>
      <c r="R91"/>
      <c r="S91">
        <v>1000000</v>
      </c>
      <c r="T91">
        <v>250000</v>
      </c>
      <c r="U91">
        <v>200000</v>
      </c>
      <c r="V91">
        <v>200000</v>
      </c>
    </row>
    <row r="92" spans="1:22" s="32" customFormat="1" hidden="1" x14ac:dyDescent="0.25">
      <c r="A92" s="136" t="s">
        <v>166</v>
      </c>
      <c r="B92" s="136"/>
      <c r="C92" s="136"/>
      <c r="D92" s="136"/>
      <c r="E92" s="136"/>
      <c r="F92" s="139"/>
      <c r="G92" s="139"/>
      <c r="H92" s="139"/>
      <c r="R92"/>
      <c r="S92">
        <v>1100000</v>
      </c>
      <c r="T92">
        <v>300000</v>
      </c>
      <c r="U92">
        <v>250000</v>
      </c>
      <c r="V92" s="22">
        <v>250000</v>
      </c>
    </row>
    <row r="93" spans="1:22" s="32" customFormat="1" hidden="1" x14ac:dyDescent="0.25">
      <c r="A93" s="136" t="s">
        <v>89</v>
      </c>
      <c r="B93" s="136"/>
      <c r="C93" s="136"/>
      <c r="D93" s="136"/>
      <c r="E93" s="136"/>
      <c r="F93" s="139"/>
      <c r="G93" s="139"/>
      <c r="H93" s="139"/>
      <c r="R93"/>
      <c r="S93">
        <v>1200000</v>
      </c>
      <c r="T93">
        <v>350000</v>
      </c>
      <c r="U93">
        <v>300000</v>
      </c>
      <c r="V93">
        <v>300000</v>
      </c>
    </row>
    <row r="94" spans="1:22" s="32" customFormat="1" hidden="1" x14ac:dyDescent="0.25">
      <c r="A94" s="136" t="s">
        <v>90</v>
      </c>
      <c r="B94" s="136"/>
      <c r="C94" s="136"/>
      <c r="D94" s="136"/>
      <c r="E94" s="136"/>
      <c r="F94" s="139"/>
      <c r="G94" s="139"/>
      <c r="H94" s="139"/>
      <c r="R94"/>
      <c r="S94">
        <v>1300000</v>
      </c>
      <c r="T94">
        <v>400000</v>
      </c>
      <c r="U94">
        <v>350000</v>
      </c>
      <c r="V94" s="22">
        <v>400000</v>
      </c>
    </row>
    <row r="95" spans="1:22" s="32" customFormat="1" hidden="1" x14ac:dyDescent="0.25">
      <c r="A95" s="136" t="s">
        <v>91</v>
      </c>
      <c r="B95" s="136"/>
      <c r="C95" s="136"/>
      <c r="D95" s="136"/>
      <c r="E95" s="136"/>
      <c r="F95" s="139"/>
      <c r="G95" s="139"/>
      <c r="H95" s="139"/>
      <c r="R95"/>
      <c r="S95">
        <v>1400000</v>
      </c>
      <c r="T95">
        <v>500000</v>
      </c>
      <c r="U95">
        <v>400000</v>
      </c>
      <c r="V95"/>
    </row>
    <row r="96" spans="1:22" s="32" customFormat="1" hidden="1" x14ac:dyDescent="0.25">
      <c r="A96" s="136" t="s">
        <v>92</v>
      </c>
      <c r="B96" s="136"/>
      <c r="C96" s="136"/>
      <c r="D96" s="136"/>
      <c r="E96" s="136"/>
      <c r="F96" s="139"/>
      <c r="G96" s="139"/>
      <c r="H96" s="139"/>
      <c r="R96"/>
      <c r="S96">
        <v>1500000</v>
      </c>
      <c r="T96">
        <v>600000</v>
      </c>
      <c r="U96">
        <v>500000</v>
      </c>
      <c r="V96" s="22"/>
    </row>
    <row r="97" spans="1:22" s="32" customFormat="1" hidden="1" x14ac:dyDescent="0.25">
      <c r="A97" s="136" t="s">
        <v>93</v>
      </c>
      <c r="B97" s="136"/>
      <c r="C97" s="136"/>
      <c r="D97" s="136"/>
      <c r="E97" s="136"/>
      <c r="F97" s="139"/>
      <c r="G97" s="139"/>
      <c r="H97" s="139"/>
      <c r="R97"/>
      <c r="S97">
        <v>1600000</v>
      </c>
      <c r="T97">
        <v>700000</v>
      </c>
      <c r="U97">
        <v>600000</v>
      </c>
      <c r="V97"/>
    </row>
    <row r="98" spans="1:22" s="32" customFormat="1" hidden="1" x14ac:dyDescent="0.25">
      <c r="A98" s="136" t="s">
        <v>94</v>
      </c>
      <c r="B98" s="136"/>
      <c r="C98" s="136"/>
      <c r="D98" s="136"/>
      <c r="E98" s="136"/>
      <c r="F98" s="139"/>
      <c r="G98" s="139"/>
      <c r="H98" s="139"/>
      <c r="R98"/>
      <c r="S98">
        <v>1700000</v>
      </c>
      <c r="T98">
        <v>800000</v>
      </c>
      <c r="U98"/>
      <c r="V98" s="22"/>
    </row>
    <row r="99" spans="1:22" x14ac:dyDescent="0.25">
      <c r="A99" s="136" t="s">
        <v>49</v>
      </c>
      <c r="B99" s="136"/>
      <c r="C99" s="136"/>
      <c r="D99" s="136"/>
      <c r="E99" s="136"/>
      <c r="F99" s="166">
        <v>100000</v>
      </c>
      <c r="G99" s="166"/>
      <c r="H99" s="166"/>
      <c r="R99"/>
      <c r="S99">
        <v>1800000</v>
      </c>
      <c r="T99">
        <v>900000</v>
      </c>
      <c r="U99"/>
    </row>
    <row r="100" spans="1:22" s="33" customFormat="1" x14ac:dyDescent="0.25">
      <c r="A100" s="167" t="s">
        <v>50</v>
      </c>
      <c r="B100" s="167"/>
      <c r="C100" s="167"/>
      <c r="D100" s="167"/>
      <c r="E100" s="167"/>
      <c r="F100" s="139">
        <f>F89*0.8</f>
        <v>2720</v>
      </c>
      <c r="G100" s="139"/>
      <c r="H100" s="139"/>
      <c r="R100" s="20"/>
      <c r="S100" s="20"/>
      <c r="T100">
        <v>1000000</v>
      </c>
      <c r="U100"/>
      <c r="V100" s="20"/>
    </row>
    <row r="101" spans="1:22" s="34" customFormat="1" x14ac:dyDescent="0.25">
      <c r="A101" s="169" t="s">
        <v>66</v>
      </c>
      <c r="B101" s="169"/>
      <c r="C101" s="169"/>
      <c r="D101" s="169"/>
      <c r="E101" s="169"/>
      <c r="F101" s="169"/>
      <c r="G101" s="169"/>
      <c r="H101" s="169"/>
      <c r="T101"/>
    </row>
    <row r="102" spans="1:22" s="34" customFormat="1" ht="15.75" customHeight="1" x14ac:dyDescent="0.25">
      <c r="A102" s="171" t="s">
        <v>51</v>
      </c>
      <c r="B102" s="171"/>
      <c r="C102" s="144" t="s">
        <v>73</v>
      </c>
      <c r="D102" s="144"/>
      <c r="E102" s="117" t="s">
        <v>52</v>
      </c>
      <c r="F102" s="117"/>
      <c r="G102" s="171" t="s">
        <v>53</v>
      </c>
      <c r="H102" s="171"/>
      <c r="T102"/>
    </row>
    <row r="103" spans="1:22" s="34" customFormat="1" x14ac:dyDescent="0.25">
      <c r="A103" s="168" t="s">
        <v>375</v>
      </c>
      <c r="B103" s="168"/>
      <c r="C103" s="235">
        <f>COUNT(D111:D116)*6</f>
        <v>36</v>
      </c>
      <c r="D103" s="235"/>
      <c r="E103" s="235">
        <f t="shared" ref="E103" si="0">SUM(F111:F116)*6</f>
        <v>18092.884679999999</v>
      </c>
      <c r="F103" s="235"/>
      <c r="G103" s="235">
        <f>SUM(H111:H116)*6</f>
        <v>26234.682785999994</v>
      </c>
      <c r="H103" s="235"/>
      <c r="T103"/>
    </row>
    <row r="104" spans="1:22" s="34" customFormat="1" x14ac:dyDescent="0.25">
      <c r="A104" s="169" t="s">
        <v>144</v>
      </c>
      <c r="B104" s="169"/>
      <c r="C104" s="151">
        <f>SUM(C103)</f>
        <v>36</v>
      </c>
      <c r="D104" s="144"/>
      <c r="E104" s="232">
        <f>SUM(E103)</f>
        <v>18092.884679999999</v>
      </c>
      <c r="F104" s="117"/>
      <c r="G104" s="171">
        <f>SUM(G103)</f>
        <v>26234.682785999994</v>
      </c>
      <c r="H104" s="171"/>
      <c r="T104"/>
    </row>
    <row r="105" spans="1:22" s="33" customFormat="1" x14ac:dyDescent="0.25">
      <c r="A105" s="118" t="s">
        <v>342</v>
      </c>
      <c r="B105" s="118"/>
      <c r="C105" s="118"/>
      <c r="D105" s="118"/>
      <c r="E105" s="118"/>
      <c r="F105" s="118"/>
      <c r="G105" s="118"/>
      <c r="H105" s="118"/>
      <c r="T105" s="34"/>
    </row>
    <row r="106" spans="1:22" x14ac:dyDescent="0.25">
      <c r="A106" s="140" t="s">
        <v>392</v>
      </c>
      <c r="B106" s="140"/>
      <c r="C106" s="140"/>
      <c r="D106" s="140"/>
      <c r="E106" s="140"/>
      <c r="F106" s="140"/>
      <c r="G106" s="140"/>
      <c r="H106" s="140"/>
      <c r="T106" s="34"/>
    </row>
    <row r="107" spans="1:22" ht="47.25" customHeight="1" x14ac:dyDescent="0.25">
      <c r="A107" s="119" t="s">
        <v>114</v>
      </c>
      <c r="B107" s="233" t="s">
        <v>167</v>
      </c>
      <c r="C107" s="121" t="s">
        <v>54</v>
      </c>
      <c r="D107" s="233" t="s">
        <v>363</v>
      </c>
      <c r="E107" s="233" t="s">
        <v>405</v>
      </c>
      <c r="F107" s="121" t="s">
        <v>55</v>
      </c>
      <c r="G107" s="212" t="s">
        <v>56</v>
      </c>
      <c r="H107" s="60" t="s">
        <v>143</v>
      </c>
      <c r="I107" s="35"/>
      <c r="T107" s="36"/>
    </row>
    <row r="108" spans="1:22" s="36" customFormat="1" x14ac:dyDescent="0.25">
      <c r="A108" s="120"/>
      <c r="B108" s="234"/>
      <c r="C108" s="122"/>
      <c r="D108" s="234"/>
      <c r="E108" s="234"/>
      <c r="F108" s="122"/>
      <c r="G108" s="213"/>
      <c r="H108" s="95">
        <v>0.45</v>
      </c>
      <c r="I108" s="35"/>
    </row>
    <row r="109" spans="1:22" s="36" customFormat="1" x14ac:dyDescent="0.25">
      <c r="A109" s="152" t="s">
        <v>393</v>
      </c>
      <c r="B109" s="153"/>
      <c r="C109" s="153"/>
      <c r="D109" s="153"/>
      <c r="E109" s="153"/>
      <c r="F109" s="153"/>
      <c r="G109" s="153"/>
      <c r="H109" s="154"/>
      <c r="J109" s="35"/>
    </row>
    <row r="110" spans="1:22" s="36" customFormat="1" x14ac:dyDescent="0.25">
      <c r="A110" s="152" t="s">
        <v>394</v>
      </c>
      <c r="B110" s="153"/>
      <c r="C110" s="153"/>
      <c r="D110" s="153"/>
      <c r="E110" s="153"/>
      <c r="F110" s="153"/>
      <c r="G110" s="153"/>
      <c r="H110" s="154"/>
      <c r="J110" s="35"/>
    </row>
    <row r="111" spans="1:22" s="36" customFormat="1" ht="15.75" customHeight="1" x14ac:dyDescent="0.25">
      <c r="A111" s="105">
        <v>1</v>
      </c>
      <c r="B111" s="106"/>
      <c r="C111" s="41" t="s">
        <v>395</v>
      </c>
      <c r="D111" s="41">
        <f>(31.58)*10.764</f>
        <v>339.92711999999995</v>
      </c>
      <c r="E111" s="41">
        <f>(0.75*(2.75+2.2+2.9)+0.45*2.4)*10.764</f>
        <v>74.998169999999988</v>
      </c>
      <c r="F111" s="41">
        <f>D111+E111</f>
        <v>414.9252899999999</v>
      </c>
      <c r="G111" s="41">
        <v>0</v>
      </c>
      <c r="H111" s="41">
        <f>F111*(($H$108)+1)+(IF(G111&lt;101,G111,IF(G111&lt;201,G111/2,IF(G111&lt;=301,G111/3,G111/4))))</f>
        <v>601.6416704999998</v>
      </c>
      <c r="I111" s="94">
        <f>3.3*2.75+2.2*2.1+1.25*0.3+1.75*2.9+0.45*2.25+0.9*1.2+1.65*1.2+(2.75+2.4+2.9)</f>
        <v>31.267499999999998</v>
      </c>
      <c r="L111" s="104"/>
      <c r="M111" s="104"/>
      <c r="N111" s="35"/>
    </row>
    <row r="112" spans="1:22" s="36" customFormat="1" ht="15.75" customHeight="1" x14ac:dyDescent="0.25">
      <c r="A112" s="105">
        <f>A111+1</f>
        <v>2</v>
      </c>
      <c r="B112" s="106"/>
      <c r="C112" s="41" t="s">
        <v>396</v>
      </c>
      <c r="D112" s="41">
        <f>(44.18)*10.764</f>
        <v>475.55351999999999</v>
      </c>
      <c r="E112" s="41">
        <f>(0.75*(2.75+2.45+2.9+3.2))*10.764</f>
        <v>91.224900000000005</v>
      </c>
      <c r="F112" s="41">
        <f t="shared" ref="F112:F116" si="1">D112+E112</f>
        <v>566.77841999999998</v>
      </c>
      <c r="G112" s="41">
        <v>0</v>
      </c>
      <c r="H112" s="41">
        <f t="shared" ref="H112:H116" si="2">F112*(($H$108)+1)+(IF(G112&lt;101,G112,IF(G112&lt;201,G112/2,IF(G112&lt;=301,G112/3,G112/4))))</f>
        <v>821.828709</v>
      </c>
      <c r="I112" s="35">
        <f>3.3*2.75+1.25*0.3+2*2.45+0.9*1.5+2.9*2.75+3.2*2.9+2.15*1.2+1.85*1.25+(2.75+(1.2*2.6))</f>
        <v>43.717499999999994</v>
      </c>
      <c r="L112" s="104"/>
      <c r="M112" s="104"/>
      <c r="N112" s="35"/>
    </row>
    <row r="113" spans="1:20" s="36" customFormat="1" ht="15.75" customHeight="1" x14ac:dyDescent="0.25">
      <c r="A113" s="105">
        <f>A112+1</f>
        <v>3</v>
      </c>
      <c r="B113" s="106"/>
      <c r="C113" s="41" t="s">
        <v>395</v>
      </c>
      <c r="D113" s="41">
        <f>(34.26)*10.764</f>
        <v>368.77463999999998</v>
      </c>
      <c r="E113" s="41">
        <f>(0.75*(2.75+2.3+2.75))*10.764</f>
        <v>62.969399999999993</v>
      </c>
      <c r="F113" s="41">
        <f t="shared" si="1"/>
        <v>431.74403999999998</v>
      </c>
      <c r="G113" s="41">
        <v>0</v>
      </c>
      <c r="H113" s="41">
        <f t="shared" si="2"/>
        <v>626.02885800000001</v>
      </c>
      <c r="I113" s="35"/>
      <c r="L113" s="104"/>
      <c r="M113" s="104"/>
      <c r="N113" s="35"/>
    </row>
    <row r="114" spans="1:20" s="36" customFormat="1" ht="15.75" customHeight="1" x14ac:dyDescent="0.25">
      <c r="A114" s="105">
        <f>A113+1</f>
        <v>4</v>
      </c>
      <c r="B114" s="106"/>
      <c r="C114" s="41" t="s">
        <v>396</v>
      </c>
      <c r="D114" s="41">
        <f>(45.6)*10.764</f>
        <v>490.83839999999998</v>
      </c>
      <c r="E114" s="41">
        <f>(0.75*(2.75+2.15+2.75+2.75)+0.45*2.4)*10.764</f>
        <v>95.584320000000005</v>
      </c>
      <c r="F114" s="41">
        <f t="shared" si="1"/>
        <v>586.42272000000003</v>
      </c>
      <c r="G114" s="41">
        <v>0</v>
      </c>
      <c r="H114" s="41">
        <f t="shared" si="2"/>
        <v>850.31294400000002</v>
      </c>
      <c r="I114" s="35"/>
      <c r="L114" s="104"/>
      <c r="M114" s="104"/>
      <c r="N114" s="35"/>
      <c r="T114" s="20"/>
    </row>
    <row r="115" spans="1:20" s="36" customFormat="1" ht="15.75" customHeight="1" x14ac:dyDescent="0.25">
      <c r="A115" s="105">
        <f>A114+1</f>
        <v>5</v>
      </c>
      <c r="B115" s="106"/>
      <c r="C115" s="41" t="s">
        <v>396</v>
      </c>
      <c r="D115" s="41">
        <f>(44.78)*10.764</f>
        <v>482.01191999999998</v>
      </c>
      <c r="E115" s="41">
        <f>(0.75*(2.75+2.45+2.75+2.9+3.2)+0.45*1.5)*10.764</f>
        <v>120.69135000000001</v>
      </c>
      <c r="F115" s="41">
        <f t="shared" si="1"/>
        <v>602.70326999999997</v>
      </c>
      <c r="G115" s="41">
        <v>0</v>
      </c>
      <c r="H115" s="41">
        <f t="shared" si="2"/>
        <v>873.91974149999999</v>
      </c>
      <c r="I115" s="35"/>
      <c r="L115" s="104"/>
      <c r="M115" s="104"/>
      <c r="N115" s="35"/>
    </row>
    <row r="116" spans="1:20" s="36" customFormat="1" ht="15.75" customHeight="1" x14ac:dyDescent="0.25">
      <c r="A116" s="105">
        <f>A115+1</f>
        <v>6</v>
      </c>
      <c r="B116" s="106"/>
      <c r="C116" s="41" t="s">
        <v>395</v>
      </c>
      <c r="D116" s="41">
        <f>(31.58)*10.764</f>
        <v>339.92711999999995</v>
      </c>
      <c r="E116" s="41">
        <f>(0.75*(2.75+2.1+2.75)+0.45*2.4)*10.764</f>
        <v>72.979919999999993</v>
      </c>
      <c r="F116" s="41">
        <f t="shared" si="1"/>
        <v>412.90703999999994</v>
      </c>
      <c r="G116" s="41">
        <v>0</v>
      </c>
      <c r="H116" s="41">
        <f t="shared" si="2"/>
        <v>598.71520799999985</v>
      </c>
      <c r="I116" s="35"/>
      <c r="L116" s="104"/>
      <c r="M116" s="104"/>
      <c r="N116" s="35"/>
      <c r="T116" s="20"/>
    </row>
    <row r="117" spans="1:20" s="34" customFormat="1" x14ac:dyDescent="0.25">
      <c r="A117" s="111" t="s">
        <v>64</v>
      </c>
      <c r="B117" s="111"/>
      <c r="C117" s="111"/>
      <c r="D117" s="111"/>
      <c r="E117" s="111"/>
      <c r="F117" s="111"/>
      <c r="G117" s="111"/>
      <c r="H117" s="111"/>
      <c r="T117" s="36"/>
    </row>
    <row r="118" spans="1:20" s="34" customFormat="1" x14ac:dyDescent="0.25">
      <c r="A118" s="44">
        <v>1</v>
      </c>
      <c r="B118" s="155" t="s">
        <v>410</v>
      </c>
      <c r="C118" s="156"/>
      <c r="D118" s="156"/>
      <c r="E118" s="156"/>
      <c r="F118" s="156"/>
      <c r="G118" s="156"/>
      <c r="H118" s="157"/>
      <c r="T118" s="36"/>
    </row>
    <row r="119" spans="1:20" s="34" customFormat="1" x14ac:dyDescent="0.25">
      <c r="A119" s="44">
        <f>A118+1</f>
        <v>2</v>
      </c>
      <c r="B119" s="155" t="str">
        <f>(IF(H107="Saleable area Loading :","We have considered Saleable area of Flats as per our Calculation.","We considered Saleable area of Flat as per Builder area Sheet."))</f>
        <v>We have considered Saleable area of Flats as per our Calculation.</v>
      </c>
      <c r="C119" s="156"/>
      <c r="D119" s="156"/>
      <c r="E119" s="156"/>
      <c r="F119" s="156"/>
      <c r="G119" s="156"/>
      <c r="H119" s="157"/>
      <c r="T119" s="36"/>
    </row>
    <row r="120" spans="1:20" s="34" customFormat="1" x14ac:dyDescent="0.25">
      <c r="A120" s="97">
        <f t="shared" ref="A120:A128" si="3">A119+1</f>
        <v>3</v>
      </c>
      <c r="B120" s="161" t="s">
        <v>117</v>
      </c>
      <c r="C120" s="162"/>
      <c r="D120" s="162"/>
      <c r="E120" s="162"/>
      <c r="F120" s="162"/>
      <c r="G120" s="162"/>
      <c r="H120" s="163"/>
      <c r="T120" s="36"/>
    </row>
    <row r="121" spans="1:20" s="34" customFormat="1" ht="33.75" customHeight="1" x14ac:dyDescent="0.25">
      <c r="A121" s="97">
        <f t="shared" si="3"/>
        <v>4</v>
      </c>
      <c r="B121" s="155" t="s">
        <v>397</v>
      </c>
      <c r="C121" s="156"/>
      <c r="D121" s="156"/>
      <c r="E121" s="156"/>
      <c r="F121" s="156"/>
      <c r="G121" s="156"/>
      <c r="H121" s="157"/>
      <c r="T121" s="36"/>
    </row>
    <row r="122" spans="1:20" s="34" customFormat="1" x14ac:dyDescent="0.25">
      <c r="A122" s="97">
        <f t="shared" si="3"/>
        <v>5</v>
      </c>
      <c r="B122" s="161" t="s">
        <v>146</v>
      </c>
      <c r="C122" s="162"/>
      <c r="D122" s="162"/>
      <c r="E122" s="162"/>
      <c r="F122" s="162"/>
      <c r="G122" s="162"/>
      <c r="H122" s="163"/>
    </row>
    <row r="123" spans="1:20" s="34" customFormat="1" x14ac:dyDescent="0.25">
      <c r="A123" s="97">
        <f t="shared" si="3"/>
        <v>6</v>
      </c>
      <c r="B123" s="161" t="s">
        <v>118</v>
      </c>
      <c r="C123" s="162"/>
      <c r="D123" s="162"/>
      <c r="E123" s="162"/>
      <c r="F123" s="162"/>
      <c r="G123" s="162"/>
      <c r="H123" s="163"/>
    </row>
    <row r="124" spans="1:20" s="34" customFormat="1" ht="34.5" customHeight="1" x14ac:dyDescent="0.25">
      <c r="A124" s="97">
        <f t="shared" si="3"/>
        <v>7</v>
      </c>
      <c r="B124" s="155" t="s">
        <v>148</v>
      </c>
      <c r="C124" s="156"/>
      <c r="D124" s="156"/>
      <c r="E124" s="156"/>
      <c r="F124" s="156"/>
      <c r="G124" s="156"/>
      <c r="H124" s="157"/>
    </row>
    <row r="125" spans="1:20" s="34" customFormat="1" x14ac:dyDescent="0.25">
      <c r="A125" s="97">
        <f>A124+1</f>
        <v>8</v>
      </c>
      <c r="B125" s="161" t="s">
        <v>119</v>
      </c>
      <c r="C125" s="162"/>
      <c r="D125" s="162"/>
      <c r="E125" s="162"/>
      <c r="F125" s="162"/>
      <c r="G125" s="162"/>
      <c r="H125" s="163"/>
    </row>
    <row r="126" spans="1:20" s="34" customFormat="1" ht="47.25" customHeight="1" x14ac:dyDescent="0.25">
      <c r="A126" s="97">
        <f t="shared" si="3"/>
        <v>9</v>
      </c>
      <c r="B126" s="161" t="s">
        <v>407</v>
      </c>
      <c r="C126" s="162"/>
      <c r="D126" s="162"/>
      <c r="E126" s="162"/>
      <c r="F126" s="162"/>
      <c r="G126" s="162"/>
      <c r="H126" s="163"/>
    </row>
    <row r="127" spans="1:20" s="34" customFormat="1" ht="37.5" customHeight="1" x14ac:dyDescent="0.25">
      <c r="A127" s="97">
        <f t="shared" si="3"/>
        <v>10</v>
      </c>
      <c r="B127" s="155" t="s">
        <v>421</v>
      </c>
      <c r="C127" s="156"/>
      <c r="D127" s="156"/>
      <c r="E127" s="156"/>
      <c r="F127" s="156"/>
      <c r="G127" s="156"/>
      <c r="H127" s="157"/>
    </row>
    <row r="128" spans="1:20" s="34" customFormat="1" ht="37.5" customHeight="1" x14ac:dyDescent="0.25">
      <c r="A128" s="100">
        <f t="shared" si="3"/>
        <v>11</v>
      </c>
      <c r="B128" s="103" t="s">
        <v>417</v>
      </c>
      <c r="C128" s="103"/>
      <c r="D128" s="103" t="s">
        <v>418</v>
      </c>
      <c r="E128" s="103"/>
      <c r="F128" s="103" t="s">
        <v>419</v>
      </c>
      <c r="G128" s="103"/>
      <c r="H128" s="103"/>
    </row>
    <row r="129" spans="1:20" s="34" customFormat="1" ht="38.25" customHeight="1" x14ac:dyDescent="0.25">
      <c r="A129" s="101"/>
      <c r="B129" s="99" t="s">
        <v>420</v>
      </c>
      <c r="C129" s="99"/>
      <c r="D129" s="99" t="s">
        <v>373</v>
      </c>
      <c r="E129" s="99"/>
      <c r="F129" s="99" t="s">
        <v>375</v>
      </c>
      <c r="G129" s="99"/>
      <c r="H129" s="99"/>
    </row>
    <row r="130" spans="1:20" s="98" customFormat="1" ht="55.5" customHeight="1" x14ac:dyDescent="0.25">
      <c r="A130" s="101"/>
      <c r="B130" s="99" t="s">
        <v>422</v>
      </c>
      <c r="C130" s="99"/>
      <c r="D130" s="99" t="s">
        <v>423</v>
      </c>
      <c r="E130" s="99"/>
      <c r="F130" s="99" t="s">
        <v>424</v>
      </c>
      <c r="G130" s="99"/>
      <c r="H130" s="99"/>
    </row>
    <row r="131" spans="1:20" s="98" customFormat="1" ht="38.25" customHeight="1" x14ac:dyDescent="0.25">
      <c r="A131" s="101"/>
      <c r="B131" s="99" t="s">
        <v>425</v>
      </c>
      <c r="C131" s="99"/>
      <c r="D131" s="99" t="s">
        <v>423</v>
      </c>
      <c r="E131" s="99"/>
      <c r="F131" s="99" t="s">
        <v>426</v>
      </c>
      <c r="G131" s="99"/>
      <c r="H131" s="99"/>
    </row>
    <row r="132" spans="1:20" s="98" customFormat="1" ht="48" customHeight="1" x14ac:dyDescent="0.25">
      <c r="A132" s="102"/>
      <c r="B132" s="99" t="s">
        <v>427</v>
      </c>
      <c r="C132" s="99"/>
      <c r="D132" s="99" t="s">
        <v>429</v>
      </c>
      <c r="E132" s="99"/>
      <c r="F132" s="99" t="s">
        <v>428</v>
      </c>
      <c r="G132" s="99"/>
      <c r="H132" s="99"/>
    </row>
    <row r="133" spans="1:20" s="34" customFormat="1" hidden="1" x14ac:dyDescent="0.25">
      <c r="A133" s="44" t="s">
        <v>147</v>
      </c>
      <c r="B133" s="158" t="s">
        <v>337</v>
      </c>
      <c r="C133" s="159"/>
      <c r="D133" s="159"/>
      <c r="E133" s="159"/>
      <c r="F133" s="159"/>
      <c r="G133" s="159"/>
      <c r="H133" s="160"/>
    </row>
    <row r="134" spans="1:20" s="34" customFormat="1" hidden="1" x14ac:dyDescent="0.25">
      <c r="A134" s="44" t="s">
        <v>147</v>
      </c>
      <c r="B134" s="158" t="str">
        <f ca="1">IF(G52&gt;EDATE(E3,-48),"NO REMARK FOR CC","REMARK FOR CC")</f>
        <v>REMARK FOR CC</v>
      </c>
      <c r="C134" s="159"/>
      <c r="D134" s="159"/>
      <c r="E134" s="159"/>
      <c r="F134" s="159"/>
      <c r="G134" s="159"/>
      <c r="H134" s="160"/>
    </row>
    <row r="135" spans="1:20" s="34" customFormat="1" ht="81.75" hidden="1" customHeight="1" x14ac:dyDescent="0.25">
      <c r="A135" s="44" t="s">
        <v>147</v>
      </c>
      <c r="B135" s="158" t="s">
        <v>338</v>
      </c>
      <c r="C135" s="159"/>
      <c r="D135" s="159"/>
      <c r="E135" s="159"/>
      <c r="F135" s="159"/>
      <c r="G135" s="159"/>
      <c r="H135" s="160"/>
    </row>
    <row r="136" spans="1:20" x14ac:dyDescent="0.25">
      <c r="A136" s="170" t="s">
        <v>57</v>
      </c>
      <c r="B136" s="170"/>
      <c r="C136" s="170"/>
      <c r="D136" s="170"/>
      <c r="E136" s="170"/>
      <c r="F136" s="170"/>
      <c r="G136" s="170"/>
      <c r="H136" s="170"/>
      <c r="T136" s="34"/>
    </row>
    <row r="137" spans="1:20" x14ac:dyDescent="0.25">
      <c r="A137" s="136" t="s">
        <v>58</v>
      </c>
      <c r="B137" s="136"/>
      <c r="C137" s="136"/>
      <c r="D137" s="136"/>
      <c r="E137" s="136"/>
      <c r="F137" s="136"/>
      <c r="G137" s="136"/>
      <c r="H137" s="136"/>
      <c r="T137" s="34"/>
    </row>
    <row r="138" spans="1:20" ht="15.75" customHeight="1" x14ac:dyDescent="0.25">
      <c r="A138" s="172" t="s">
        <v>59</v>
      </c>
      <c r="B138" s="172"/>
      <c r="C138" s="172"/>
      <c r="D138" s="172"/>
      <c r="E138" s="172"/>
      <c r="F138" s="172"/>
      <c r="G138" s="172"/>
      <c r="H138" s="172"/>
      <c r="T138" s="34"/>
    </row>
    <row r="139" spans="1:20" x14ac:dyDescent="0.25">
      <c r="A139" s="136" t="s">
        <v>60</v>
      </c>
      <c r="B139" s="136"/>
      <c r="C139" s="136"/>
      <c r="D139" s="136"/>
      <c r="E139" s="136"/>
      <c r="F139" s="136"/>
      <c r="G139" s="136"/>
      <c r="H139" s="136"/>
      <c r="T139" s="34"/>
    </row>
    <row r="140" spans="1:20" x14ac:dyDescent="0.25">
      <c r="A140" s="136" t="s">
        <v>61</v>
      </c>
      <c r="B140" s="136"/>
      <c r="C140" s="136"/>
      <c r="D140" s="136"/>
      <c r="E140" s="136"/>
      <c r="F140" s="136"/>
      <c r="G140" s="136"/>
      <c r="H140" s="136"/>
      <c r="T140" s="34"/>
    </row>
    <row r="141" spans="1:20" x14ac:dyDescent="0.25">
      <c r="A141" s="136" t="s">
        <v>120</v>
      </c>
      <c r="B141" s="136"/>
      <c r="C141" s="136"/>
      <c r="D141" s="136"/>
      <c r="E141" s="136"/>
      <c r="F141" s="136"/>
      <c r="G141" s="136"/>
      <c r="H141" s="136"/>
      <c r="T141" s="34"/>
    </row>
    <row r="142" spans="1:20" ht="33.950000000000003" customHeight="1" x14ac:dyDescent="0.25">
      <c r="A142" s="112" t="s">
        <v>121</v>
      </c>
      <c r="B142" s="112"/>
      <c r="C142" s="112"/>
      <c r="D142" s="112"/>
      <c r="E142" s="112"/>
      <c r="F142" s="112"/>
      <c r="G142" s="112"/>
      <c r="H142" s="112"/>
    </row>
    <row r="143" spans="1:20" x14ac:dyDescent="0.25">
      <c r="A143" s="165" t="s">
        <v>72</v>
      </c>
      <c r="B143" s="165"/>
      <c r="C143" s="165" t="s">
        <v>399</v>
      </c>
      <c r="D143" s="165"/>
      <c r="E143" s="165" t="s">
        <v>101</v>
      </c>
      <c r="F143" s="165"/>
      <c r="G143" s="165" t="s">
        <v>398</v>
      </c>
      <c r="H143" s="165"/>
    </row>
    <row r="144" spans="1:20" x14ac:dyDescent="0.25">
      <c r="A144" s="164" t="s">
        <v>74</v>
      </c>
      <c r="B144" s="164"/>
      <c r="C144" s="164"/>
      <c r="D144" s="164"/>
      <c r="E144" s="164"/>
      <c r="F144" s="164"/>
      <c r="G144" s="164"/>
      <c r="H144" s="164"/>
    </row>
    <row r="145" spans="1:8" x14ac:dyDescent="0.25">
      <c r="A145" s="164"/>
      <c r="B145" s="164"/>
      <c r="C145" s="164"/>
      <c r="D145" s="164"/>
      <c r="E145" s="164"/>
      <c r="F145" s="164"/>
      <c r="G145" s="164"/>
      <c r="H145" s="164"/>
    </row>
    <row r="146" spans="1:8" x14ac:dyDescent="0.25">
      <c r="A146" s="164"/>
      <c r="B146" s="164"/>
      <c r="C146" s="164"/>
      <c r="D146" s="164"/>
      <c r="E146" s="164"/>
      <c r="F146" s="164"/>
      <c r="G146" s="164"/>
      <c r="H146" s="164"/>
    </row>
    <row r="147" spans="1:8" x14ac:dyDescent="0.25">
      <c r="A147" s="164"/>
      <c r="B147" s="164"/>
      <c r="C147" s="164"/>
      <c r="D147" s="164"/>
      <c r="E147" s="164"/>
      <c r="F147" s="164"/>
      <c r="G147" s="164"/>
      <c r="H147" s="164"/>
    </row>
    <row r="148" spans="1:8" x14ac:dyDescent="0.25">
      <c r="A148" s="37" t="s">
        <v>62</v>
      </c>
      <c r="B148" s="38"/>
      <c r="C148" s="38"/>
      <c r="D148" s="37" t="str">
        <f>E9</f>
        <v>Shree Puram Township</v>
      </c>
      <c r="F148" s="38"/>
      <c r="G148" s="38"/>
      <c r="H148" s="38"/>
    </row>
    <row r="149" spans="1:8" x14ac:dyDescent="0.25">
      <c r="A149" s="38"/>
      <c r="B149" s="38"/>
      <c r="C149" s="38"/>
      <c r="D149" s="38"/>
      <c r="E149" s="38"/>
      <c r="F149" s="38"/>
      <c r="G149" s="38"/>
      <c r="H149" s="38"/>
    </row>
    <row r="150" spans="1:8" x14ac:dyDescent="0.25">
      <c r="A150" s="38"/>
      <c r="B150" s="38"/>
      <c r="C150" s="38"/>
      <c r="D150" s="38"/>
      <c r="E150" s="38"/>
      <c r="F150" s="38"/>
      <c r="G150" s="38"/>
      <c r="H150" s="38"/>
    </row>
    <row r="151" spans="1:8" ht="15" customHeight="1" x14ac:dyDescent="0.25"/>
    <row r="182" spans="1:1" ht="16.5" customHeight="1" x14ac:dyDescent="0.25"/>
    <row r="183" spans="1:1" x14ac:dyDescent="0.25">
      <c r="A183" s="40" t="s">
        <v>157</v>
      </c>
    </row>
    <row r="227" spans="1:1" x14ac:dyDescent="0.25">
      <c r="A227" s="40" t="s">
        <v>430</v>
      </c>
    </row>
    <row r="271" spans="1:1" x14ac:dyDescent="0.25">
      <c r="A271" s="40" t="s">
        <v>63</v>
      </c>
    </row>
  </sheetData>
  <mergeCells count="277">
    <mergeCell ref="L114:M114"/>
    <mergeCell ref="L111:M111"/>
    <mergeCell ref="A112:B112"/>
    <mergeCell ref="L112:M112"/>
    <mergeCell ref="A113:B113"/>
    <mergeCell ref="L113:M113"/>
    <mergeCell ref="A80:B80"/>
    <mergeCell ref="E78:F87"/>
    <mergeCell ref="G78:H87"/>
    <mergeCell ref="A93:E93"/>
    <mergeCell ref="A104:B104"/>
    <mergeCell ref="E104:F104"/>
    <mergeCell ref="A98:E98"/>
    <mergeCell ref="G104:H104"/>
    <mergeCell ref="B107:B108"/>
    <mergeCell ref="A85:B85"/>
    <mergeCell ref="C103:D103"/>
    <mergeCell ref="E103:F103"/>
    <mergeCell ref="G103:H103"/>
    <mergeCell ref="A89:E89"/>
    <mergeCell ref="F90:H90"/>
    <mergeCell ref="A90:E90"/>
    <mergeCell ref="D107:D108"/>
    <mergeCell ref="E107:E108"/>
    <mergeCell ref="A40:B40"/>
    <mergeCell ref="C40:H40"/>
    <mergeCell ref="C107:C108"/>
    <mergeCell ref="G107:G108"/>
    <mergeCell ref="A115:B115"/>
    <mergeCell ref="C51:E51"/>
    <mergeCell ref="C50:E50"/>
    <mergeCell ref="G50:H50"/>
    <mergeCell ref="A51:B51"/>
    <mergeCell ref="G56:H56"/>
    <mergeCell ref="G58:H58"/>
    <mergeCell ref="G51:H51"/>
    <mergeCell ref="G59:H59"/>
    <mergeCell ref="A77:B77"/>
    <mergeCell ref="D68:H68"/>
    <mergeCell ref="D65:H65"/>
    <mergeCell ref="A65:C65"/>
    <mergeCell ref="A66:C66"/>
    <mergeCell ref="D66:H66"/>
    <mergeCell ref="C53:H53"/>
    <mergeCell ref="A63:C63"/>
    <mergeCell ref="A62:H62"/>
    <mergeCell ref="A76:B76"/>
    <mergeCell ref="A39:B39"/>
    <mergeCell ref="C39:H39"/>
    <mergeCell ref="C55:H55"/>
    <mergeCell ref="A52:B53"/>
    <mergeCell ref="C54:E54"/>
    <mergeCell ref="C52:E52"/>
    <mergeCell ref="C56:E56"/>
    <mergeCell ref="G54:H54"/>
    <mergeCell ref="A56:B57"/>
    <mergeCell ref="E42:H42"/>
    <mergeCell ref="A41:H41"/>
    <mergeCell ref="A46:D46"/>
    <mergeCell ref="A47:D47"/>
    <mergeCell ref="A44:D44"/>
    <mergeCell ref="E44:H44"/>
    <mergeCell ref="E45:H45"/>
    <mergeCell ref="E46:H46"/>
    <mergeCell ref="E47:H47"/>
    <mergeCell ref="C57:H57"/>
    <mergeCell ref="A48:H48"/>
    <mergeCell ref="A45:D45"/>
    <mergeCell ref="A49:B49"/>
    <mergeCell ref="C49:H49"/>
    <mergeCell ref="G52:H52"/>
    <mergeCell ref="A74:B74"/>
    <mergeCell ref="C74:H74"/>
    <mergeCell ref="A69:C69"/>
    <mergeCell ref="D69:H69"/>
    <mergeCell ref="C76:H76"/>
    <mergeCell ref="A70:C70"/>
    <mergeCell ref="D70:H70"/>
    <mergeCell ref="A73:C73"/>
    <mergeCell ref="D73:H73"/>
    <mergeCell ref="A72:C72"/>
    <mergeCell ref="A67:C67"/>
    <mergeCell ref="A68:C68"/>
    <mergeCell ref="D67:H67"/>
    <mergeCell ref="A64:C64"/>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F37:H37"/>
    <mergeCell ref="A38:H38"/>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44:H147"/>
    <mergeCell ref="A143:B143"/>
    <mergeCell ref="E143:F143"/>
    <mergeCell ref="C143:D143"/>
    <mergeCell ref="G143:H143"/>
    <mergeCell ref="A99:E99"/>
    <mergeCell ref="F99:H99"/>
    <mergeCell ref="A100:E100"/>
    <mergeCell ref="F100:H100"/>
    <mergeCell ref="A103:B103"/>
    <mergeCell ref="A139:H139"/>
    <mergeCell ref="A101:H101"/>
    <mergeCell ref="A142:H142"/>
    <mergeCell ref="A140:H140"/>
    <mergeCell ref="A136:H136"/>
    <mergeCell ref="G102:H102"/>
    <mergeCell ref="B122:H122"/>
    <mergeCell ref="B126:H126"/>
    <mergeCell ref="B135:H135"/>
    <mergeCell ref="B125:H125"/>
    <mergeCell ref="A141:H141"/>
    <mergeCell ref="A138:H138"/>
    <mergeCell ref="A102:B102"/>
    <mergeCell ref="B123:H123"/>
    <mergeCell ref="F95:H95"/>
    <mergeCell ref="C104:D104"/>
    <mergeCell ref="A109:H109"/>
    <mergeCell ref="B121:H121"/>
    <mergeCell ref="B134:H134"/>
    <mergeCell ref="B133:H133"/>
    <mergeCell ref="F91:H91"/>
    <mergeCell ref="A95:E95"/>
    <mergeCell ref="B127:H127"/>
    <mergeCell ref="A91:E91"/>
    <mergeCell ref="F92:H92"/>
    <mergeCell ref="A92:E92"/>
    <mergeCell ref="A114:B114"/>
    <mergeCell ref="B124:H124"/>
    <mergeCell ref="B118:H118"/>
    <mergeCell ref="B119:H119"/>
    <mergeCell ref="B120:H120"/>
    <mergeCell ref="F93:H93"/>
    <mergeCell ref="A110:H110"/>
    <mergeCell ref="F128:H128"/>
    <mergeCell ref="A128:A132"/>
    <mergeCell ref="A137:H137"/>
    <mergeCell ref="A94:E94"/>
    <mergeCell ref="A84:B84"/>
    <mergeCell ref="I15:P15"/>
    <mergeCell ref="F98:H98"/>
    <mergeCell ref="F96:H96"/>
    <mergeCell ref="A106:H106"/>
    <mergeCell ref="A97:E97"/>
    <mergeCell ref="A61:B61"/>
    <mergeCell ref="C61:E61"/>
    <mergeCell ref="D63:H63"/>
    <mergeCell ref="F97:H97"/>
    <mergeCell ref="C102:D102"/>
    <mergeCell ref="D71:H71"/>
    <mergeCell ref="D64:H64"/>
    <mergeCell ref="G61:H61"/>
    <mergeCell ref="A54:B55"/>
    <mergeCell ref="A88:E88"/>
    <mergeCell ref="F88:H88"/>
    <mergeCell ref="A111:B111"/>
    <mergeCell ref="F94:H94"/>
    <mergeCell ref="A96:E96"/>
    <mergeCell ref="A25:D25"/>
    <mergeCell ref="E25:H25"/>
    <mergeCell ref="L115:M115"/>
    <mergeCell ref="A116:B116"/>
    <mergeCell ref="L116:M116"/>
    <mergeCell ref="A83:B83"/>
    <mergeCell ref="A50:B50"/>
    <mergeCell ref="A117:H117"/>
    <mergeCell ref="A71:C71"/>
    <mergeCell ref="D72:H72"/>
    <mergeCell ref="A78:B78"/>
    <mergeCell ref="G77:H77"/>
    <mergeCell ref="A86:B86"/>
    <mergeCell ref="A87:B87"/>
    <mergeCell ref="A82:B82"/>
    <mergeCell ref="A81:B81"/>
    <mergeCell ref="E77:F77"/>
    <mergeCell ref="A79:B79"/>
    <mergeCell ref="E102:F102"/>
    <mergeCell ref="A105:H105"/>
    <mergeCell ref="A107:A108"/>
    <mergeCell ref="F107:F108"/>
    <mergeCell ref="A58:B60"/>
    <mergeCell ref="C60:H60"/>
    <mergeCell ref="C58:E59"/>
    <mergeCell ref="F89:H89"/>
    <mergeCell ref="B132:C132"/>
    <mergeCell ref="D132:E132"/>
    <mergeCell ref="F132:H132"/>
    <mergeCell ref="B128:C128"/>
    <mergeCell ref="D128:E128"/>
    <mergeCell ref="B129:C129"/>
    <mergeCell ref="D129:E129"/>
    <mergeCell ref="F129:H129"/>
    <mergeCell ref="B130:C130"/>
    <mergeCell ref="D130:E130"/>
    <mergeCell ref="F130:H130"/>
    <mergeCell ref="B131:C131"/>
    <mergeCell ref="D131:E131"/>
    <mergeCell ref="F131:H131"/>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43:H143">
      <formula1>"Kunal Kadam,Pranita Mhatre,Shruti Fule,Pooja Kawale,Gaurav Panchal,Shruti Tathare, Dipti Gothawade,Saurav Panse, Sachin Sawant"</formula1>
    </dataValidation>
    <dataValidation type="list" allowBlank="1" showInputMessage="1" showErrorMessage="1" sqref="F88:H88">
      <formula1>"On Saleable Area,On Builtup Area,On Carpet Area,On Plot Area"</formula1>
    </dataValidation>
    <dataValidation type="list" allowBlank="1" showInputMessage="1" showErrorMessage="1" sqref="F99:H99">
      <formula1>OFFSET($S$88,1,MATCH($G20,$S$88:$W$88,0)-1,15,1)</formula1>
    </dataValidation>
    <dataValidation type="list" allowBlank="1" showInputMessage="1" showErrorMessage="1" sqref="B107:B10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07:E108">
      <formula1>"Elevation Projection, Fungible area,Balcony Area,Chajja Area,Cornice Area,AP Area,WS Area"</formula1>
    </dataValidation>
    <dataValidation type="list" allowBlank="1" showInputMessage="1" showErrorMessage="1" sqref="H10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07">
      <formula1>"Saleable area Loading :,Builder Saleable Area"</formula1>
    </dataValidation>
    <dataValidation type="list" allowBlank="1" showInputMessage="1" showErrorMessage="1" sqref="D107:D108">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47" max="16383" man="1"/>
    <brk id="182" max="16383" man="1"/>
    <brk id="226" max="7" man="1"/>
    <brk id="27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6" t="s">
        <v>102</v>
      </c>
      <c r="C3" s="236"/>
      <c r="D3" s="236"/>
      <c r="E3" s="236"/>
      <c r="F3" s="236"/>
      <c r="G3" s="236"/>
      <c r="H3" s="236"/>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168</v>
      </c>
      <c r="E4" s="52" t="s">
        <v>178</v>
      </c>
      <c r="F4" s="52" t="s">
        <v>164</v>
      </c>
      <c r="G4" s="52" t="s">
        <v>183</v>
      </c>
      <c r="H4" s="52" t="s">
        <v>201</v>
      </c>
      <c r="J4" t="s">
        <v>183</v>
      </c>
      <c r="K4" t="s">
        <v>199</v>
      </c>
    </row>
    <row r="5" spans="2:11" x14ac:dyDescent="0.25">
      <c r="B5" s="51"/>
      <c r="C5" s="51"/>
      <c r="D5" s="52" t="s">
        <v>169</v>
      </c>
      <c r="E5" s="52" t="s">
        <v>176</v>
      </c>
      <c r="F5" s="52" t="s">
        <v>198</v>
      </c>
      <c r="G5" s="52" t="s">
        <v>184</v>
      </c>
      <c r="H5" s="52" t="s">
        <v>202</v>
      </c>
    </row>
    <row r="6" spans="2:11" x14ac:dyDescent="0.25">
      <c r="B6" s="51"/>
      <c r="C6" s="51"/>
      <c r="D6" s="52" t="s">
        <v>170</v>
      </c>
      <c r="E6" s="52" t="s">
        <v>177</v>
      </c>
      <c r="F6" s="52" t="s">
        <v>199</v>
      </c>
      <c r="G6" s="52" t="s">
        <v>185</v>
      </c>
      <c r="H6" s="52" t="s">
        <v>215</v>
      </c>
    </row>
    <row r="7" spans="2:11" x14ac:dyDescent="0.25">
      <c r="B7" s="51"/>
      <c r="C7" s="51"/>
      <c r="D7" s="52" t="s">
        <v>171</v>
      </c>
      <c r="E7" s="52" t="s">
        <v>179</v>
      </c>
      <c r="F7" s="52" t="s">
        <v>200</v>
      </c>
      <c r="G7" s="52" t="s">
        <v>186</v>
      </c>
      <c r="H7" s="52" t="s">
        <v>203</v>
      </c>
    </row>
    <row r="8" spans="2:11" x14ac:dyDescent="0.25">
      <c r="B8" s="51"/>
      <c r="C8" s="51"/>
      <c r="D8" s="52" t="s">
        <v>172</v>
      </c>
      <c r="E8" s="52" t="s">
        <v>180</v>
      </c>
      <c r="F8" s="52"/>
      <c r="G8" s="52" t="s">
        <v>187</v>
      </c>
      <c r="H8" s="52" t="s">
        <v>204</v>
      </c>
    </row>
    <row r="9" spans="2:11" x14ac:dyDescent="0.25">
      <c r="B9" s="51"/>
      <c r="C9" s="51"/>
      <c r="D9" s="52" t="s">
        <v>173</v>
      </c>
      <c r="E9" s="52" t="s">
        <v>178</v>
      </c>
      <c r="F9" s="52"/>
      <c r="G9" s="52" t="s">
        <v>188</v>
      </c>
      <c r="H9" s="52" t="s">
        <v>205</v>
      </c>
    </row>
    <row r="10" spans="2:11" x14ac:dyDescent="0.25">
      <c r="B10" s="51"/>
      <c r="C10" s="51"/>
      <c r="D10" s="52" t="s">
        <v>174</v>
      </c>
      <c r="E10" s="52" t="s">
        <v>181</v>
      </c>
      <c r="F10" s="52"/>
      <c r="G10" s="52" t="s">
        <v>189</v>
      </c>
      <c r="H10" s="52" t="s">
        <v>206</v>
      </c>
    </row>
    <row r="11" spans="2:11" x14ac:dyDescent="0.25">
      <c r="B11" s="51"/>
      <c r="C11" s="51"/>
      <c r="D11" s="52" t="s">
        <v>175</v>
      </c>
      <c r="E11" s="52" t="s">
        <v>182</v>
      </c>
      <c r="F11" s="52"/>
      <c r="G11" s="52" t="s">
        <v>190</v>
      </c>
      <c r="H11" s="52" t="s">
        <v>207</v>
      </c>
    </row>
    <row r="12" spans="2:11" x14ac:dyDescent="0.25">
      <c r="B12" s="51"/>
      <c r="C12" s="51"/>
      <c r="D12" s="52"/>
      <c r="E12" s="52"/>
      <c r="F12" s="52"/>
      <c r="G12" s="52" t="s">
        <v>191</v>
      </c>
      <c r="H12" s="52" t="s">
        <v>208</v>
      </c>
    </row>
    <row r="13" spans="2:11" x14ac:dyDescent="0.25">
      <c r="B13" s="51"/>
      <c r="C13" s="51"/>
      <c r="D13" s="52"/>
      <c r="E13" s="52"/>
      <c r="F13" s="52"/>
      <c r="G13" s="52" t="s">
        <v>192</v>
      </c>
      <c r="H13" s="52" t="s">
        <v>209</v>
      </c>
    </row>
    <row r="14" spans="2:11" x14ac:dyDescent="0.25">
      <c r="B14" s="51"/>
      <c r="C14" s="51"/>
      <c r="D14" s="52"/>
      <c r="E14" s="52"/>
      <c r="F14" s="52"/>
      <c r="G14" s="52" t="s">
        <v>193</v>
      </c>
      <c r="H14" s="52" t="s">
        <v>210</v>
      </c>
    </row>
    <row r="15" spans="2:11" x14ac:dyDescent="0.25">
      <c r="B15" s="51"/>
      <c r="C15" s="51"/>
      <c r="D15" s="52"/>
      <c r="E15" s="52"/>
      <c r="F15" s="52"/>
      <c r="G15" s="52" t="s">
        <v>194</v>
      </c>
      <c r="H15" s="52" t="s">
        <v>211</v>
      </c>
    </row>
    <row r="16" spans="2:11" x14ac:dyDescent="0.25">
      <c r="B16" s="51"/>
      <c r="C16" s="51"/>
      <c r="D16" s="52"/>
      <c r="E16" s="52"/>
      <c r="F16" s="52"/>
      <c r="G16" s="52" t="s">
        <v>195</v>
      </c>
      <c r="H16" s="52" t="s">
        <v>212</v>
      </c>
    </row>
    <row r="17" spans="2:8" x14ac:dyDescent="0.25">
      <c r="B17" s="51"/>
      <c r="C17" s="51"/>
      <c r="D17" s="52"/>
      <c r="E17" s="52"/>
      <c r="F17" s="52"/>
      <c r="G17" s="52" t="s">
        <v>196</v>
      </c>
      <c r="H17" s="52" t="s">
        <v>213</v>
      </c>
    </row>
    <row r="18" spans="2:8" x14ac:dyDescent="0.25">
      <c r="B18" s="51"/>
      <c r="C18" s="51"/>
      <c r="D18" s="52"/>
      <c r="E18" s="52"/>
      <c r="F18" s="52"/>
      <c r="G18" s="52" t="s">
        <v>197</v>
      </c>
      <c r="H18" s="52" t="s">
        <v>214</v>
      </c>
    </row>
    <row r="24" spans="2:8" x14ac:dyDescent="0.25">
      <c r="C24" t="s">
        <v>161</v>
      </c>
    </row>
    <row r="25" spans="2:8" x14ac:dyDescent="0.25">
      <c r="C25" t="s">
        <v>216</v>
      </c>
    </row>
    <row r="26" spans="2:8" x14ac:dyDescent="0.25">
      <c r="C26" t="s">
        <v>217</v>
      </c>
    </row>
    <row r="27" spans="2:8" x14ac:dyDescent="0.25">
      <c r="C27" t="s">
        <v>218</v>
      </c>
    </row>
    <row r="28" spans="2:8" x14ac:dyDescent="0.25">
      <c r="C28" t="s">
        <v>219</v>
      </c>
    </row>
    <row r="29" spans="2:8" x14ac:dyDescent="0.25">
      <c r="C29" t="s">
        <v>220</v>
      </c>
    </row>
    <row r="30" spans="2:8" x14ac:dyDescent="0.25">
      <c r="C30" t="s">
        <v>161</v>
      </c>
    </row>
    <row r="33" spans="3:11" x14ac:dyDescent="0.25">
      <c r="J33">
        <v>1</v>
      </c>
      <c r="K33">
        <v>2</v>
      </c>
    </row>
    <row r="34" spans="3:11" x14ac:dyDescent="0.25">
      <c r="C34" s="53" t="s">
        <v>224</v>
      </c>
      <c r="D34" s="52" t="s">
        <v>222</v>
      </c>
      <c r="E34" s="52" t="s">
        <v>227</v>
      </c>
      <c r="F34" s="52" t="s">
        <v>225</v>
      </c>
      <c r="G34" s="52" t="s">
        <v>226</v>
      </c>
      <c r="H34" s="52" t="s">
        <v>228</v>
      </c>
      <c r="J34" t="s">
        <v>183</v>
      </c>
      <c r="K34" t="s">
        <v>199</v>
      </c>
    </row>
    <row r="35" spans="3:11" x14ac:dyDescent="0.25">
      <c r="C35" s="51" t="s">
        <v>223</v>
      </c>
      <c r="D35" s="52" t="s">
        <v>162</v>
      </c>
      <c r="E35" s="52" t="s">
        <v>232</v>
      </c>
      <c r="F35" s="52" t="s">
        <v>234</v>
      </c>
      <c r="G35" s="52" t="s">
        <v>236</v>
      </c>
      <c r="H35" s="52"/>
    </row>
    <row r="36" spans="3:11" x14ac:dyDescent="0.25">
      <c r="C36" s="51"/>
      <c r="D36" s="52" t="s">
        <v>229</v>
      </c>
      <c r="E36" s="52" t="s">
        <v>233</v>
      </c>
      <c r="F36" s="52" t="s">
        <v>235</v>
      </c>
      <c r="G36" s="52" t="s">
        <v>237</v>
      </c>
      <c r="H36" s="52"/>
    </row>
    <row r="37" spans="3:11" x14ac:dyDescent="0.25">
      <c r="C37" s="51"/>
      <c r="D37" s="52" t="s">
        <v>230</v>
      </c>
      <c r="E37" s="52"/>
      <c r="F37" s="52"/>
      <c r="G37" s="52" t="s">
        <v>238</v>
      </c>
      <c r="H37" s="52"/>
    </row>
    <row r="38" spans="3:11" x14ac:dyDescent="0.25">
      <c r="C38" s="51"/>
      <c r="D38" s="52" t="s">
        <v>231</v>
      </c>
      <c r="E38" s="52"/>
      <c r="F38" s="52"/>
      <c r="G38" s="52" t="s">
        <v>238</v>
      </c>
      <c r="H38" s="52"/>
    </row>
    <row r="39" spans="3:11" x14ac:dyDescent="0.25">
      <c r="C39" s="51"/>
      <c r="D39" s="52"/>
      <c r="E39" s="52"/>
      <c r="F39" s="52"/>
      <c r="G39" s="52" t="s">
        <v>239</v>
      </c>
      <c r="H39" s="52"/>
    </row>
    <row r="40" spans="3:11" x14ac:dyDescent="0.25">
      <c r="C40" s="51"/>
      <c r="D40" s="52"/>
      <c r="E40" s="52"/>
      <c r="F40" s="52"/>
      <c r="G40" s="52" t="s">
        <v>240</v>
      </c>
      <c r="H40" s="52"/>
    </row>
    <row r="41" spans="3:11" x14ac:dyDescent="0.25">
      <c r="C41" s="51"/>
      <c r="D41" s="52"/>
      <c r="E41" s="52"/>
      <c r="F41" s="52"/>
      <c r="G41" s="52"/>
      <c r="H41" s="52"/>
    </row>
    <row r="43" spans="3:11" x14ac:dyDescent="0.25">
      <c r="C43" t="s">
        <v>241</v>
      </c>
    </row>
    <row r="44" spans="3:11" x14ac:dyDescent="0.25">
      <c r="C44" t="s">
        <v>164</v>
      </c>
      <c r="D44" t="s">
        <v>242</v>
      </c>
    </row>
    <row r="45" spans="3:11" x14ac:dyDescent="0.25">
      <c r="D45" t="s">
        <v>243</v>
      </c>
    </row>
    <row r="46" spans="3:11" x14ac:dyDescent="0.25">
      <c r="D46" t="s">
        <v>244</v>
      </c>
    </row>
    <row r="47" spans="3:11" x14ac:dyDescent="0.25">
      <c r="D47" t="s">
        <v>245</v>
      </c>
    </row>
    <row r="48" spans="3:11" x14ac:dyDescent="0.25">
      <c r="D48" t="s">
        <v>246</v>
      </c>
    </row>
    <row r="49" spans="3:4" x14ac:dyDescent="0.25">
      <c r="C49" t="s">
        <v>168</v>
      </c>
      <c r="D49" t="s">
        <v>247</v>
      </c>
    </row>
    <row r="50" spans="3:4" x14ac:dyDescent="0.25">
      <c r="D50" t="s">
        <v>248</v>
      </c>
    </row>
    <row r="51" spans="3:4" x14ac:dyDescent="0.25">
      <c r="D51" t="s">
        <v>249</v>
      </c>
    </row>
    <row r="52" spans="3:4" x14ac:dyDescent="0.25">
      <c r="D52" t="s">
        <v>252</v>
      </c>
    </row>
    <row r="53" spans="3:4" x14ac:dyDescent="0.25">
      <c r="D53" t="s">
        <v>250</v>
      </c>
    </row>
    <row r="54" spans="3:4" x14ac:dyDescent="0.25">
      <c r="D54" t="s">
        <v>251</v>
      </c>
    </row>
    <row r="55" spans="3:4" x14ac:dyDescent="0.25">
      <c r="D55" t="s">
        <v>253</v>
      </c>
    </row>
    <row r="56" spans="3:4" x14ac:dyDescent="0.25">
      <c r="D56" t="s">
        <v>254</v>
      </c>
    </row>
    <row r="57" spans="3:4" x14ac:dyDescent="0.25">
      <c r="D57" t="s">
        <v>255</v>
      </c>
    </row>
    <row r="58" spans="3:4" x14ac:dyDescent="0.25">
      <c r="D58" t="s">
        <v>257</v>
      </c>
    </row>
    <row r="59" spans="3:4" x14ac:dyDescent="0.25">
      <c r="D59" t="s">
        <v>266</v>
      </c>
    </row>
    <row r="60" spans="3:4" x14ac:dyDescent="0.25">
      <c r="C60" t="s">
        <v>183</v>
      </c>
      <c r="D60" t="s">
        <v>258</v>
      </c>
    </row>
    <row r="61" spans="3:4" x14ac:dyDescent="0.25">
      <c r="D61" t="s">
        <v>256</v>
      </c>
    </row>
    <row r="62" spans="3:4" x14ac:dyDescent="0.25">
      <c r="D62" t="s">
        <v>246</v>
      </c>
    </row>
    <row r="63" spans="3:4" x14ac:dyDescent="0.25">
      <c r="D63" t="s">
        <v>259</v>
      </c>
    </row>
    <row r="64" spans="3:4" x14ac:dyDescent="0.25">
      <c r="D64" t="s">
        <v>260</v>
      </c>
    </row>
    <row r="65" spans="3:4" x14ac:dyDescent="0.25">
      <c r="D65" t="s">
        <v>261</v>
      </c>
    </row>
    <row r="66" spans="3:4" x14ac:dyDescent="0.25">
      <c r="D66" t="s">
        <v>262</v>
      </c>
    </row>
    <row r="67" spans="3:4" x14ac:dyDescent="0.25">
      <c r="C67" t="s">
        <v>178</v>
      </c>
      <c r="D67" t="s">
        <v>263</v>
      </c>
    </row>
    <row r="68" spans="3:4" x14ac:dyDescent="0.25">
      <c r="D68" t="s">
        <v>264</v>
      </c>
    </row>
    <row r="69" spans="3:4" x14ac:dyDescent="0.25">
      <c r="D69" t="s">
        <v>265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16" zoomScaleNormal="100" workbookViewId="0">
      <selection activeCell="C24" sqref="C24"/>
    </sheetView>
  </sheetViews>
  <sheetFormatPr defaultRowHeight="15" x14ac:dyDescent="0.25"/>
  <cols>
    <col min="2" max="2" width="3" bestFit="1" customWidth="1"/>
    <col min="3" max="3" width="155.28515625" customWidth="1"/>
  </cols>
  <sheetData>
    <row r="2" spans="2:3" ht="15" customHeight="1" x14ac:dyDescent="0.25">
      <c r="B2" s="54">
        <v>1</v>
      </c>
      <c r="C2" s="56" t="s">
        <v>271</v>
      </c>
    </row>
    <row r="3" spans="2:3" x14ac:dyDescent="0.25">
      <c r="B3" s="54">
        <v>2</v>
      </c>
      <c r="C3" s="55" t="s">
        <v>272</v>
      </c>
    </row>
    <row r="4" spans="2:3" x14ac:dyDescent="0.25">
      <c r="B4" s="54">
        <v>3</v>
      </c>
      <c r="C4" s="54" t="s">
        <v>273</v>
      </c>
    </row>
    <row r="5" spans="2:3" x14ac:dyDescent="0.25">
      <c r="B5" s="54">
        <v>4</v>
      </c>
      <c r="C5" s="55" t="s">
        <v>274</v>
      </c>
    </row>
    <row r="6" spans="2:3" x14ac:dyDescent="0.25">
      <c r="B6" s="54">
        <v>5</v>
      </c>
      <c r="C6" s="54" t="s">
        <v>275</v>
      </c>
    </row>
    <row r="7" spans="2:3" ht="30" x14ac:dyDescent="0.25">
      <c r="B7" s="54">
        <v>6</v>
      </c>
      <c r="C7" s="55" t="s">
        <v>276</v>
      </c>
    </row>
    <row r="8" spans="2:3" ht="75" x14ac:dyDescent="0.25">
      <c r="B8" s="54">
        <v>7</v>
      </c>
      <c r="C8" s="55" t="s">
        <v>277</v>
      </c>
    </row>
    <row r="9" spans="2:3" x14ac:dyDescent="0.25">
      <c r="B9" s="54">
        <v>8</v>
      </c>
      <c r="C9" s="54" t="s">
        <v>278</v>
      </c>
    </row>
    <row r="10" spans="2:3" x14ac:dyDescent="0.25">
      <c r="B10" s="54">
        <v>9</v>
      </c>
      <c r="C10" s="54" t="s">
        <v>279</v>
      </c>
    </row>
    <row r="11" spans="2:3" x14ac:dyDescent="0.25">
      <c r="B11" s="54">
        <v>10</v>
      </c>
      <c r="C11" s="54" t="s">
        <v>280</v>
      </c>
    </row>
    <row r="12" spans="2:3" x14ac:dyDescent="0.25">
      <c r="B12" s="54">
        <v>11</v>
      </c>
      <c r="C12" s="54" t="s">
        <v>281</v>
      </c>
    </row>
    <row r="13" spans="2:3" x14ac:dyDescent="0.25">
      <c r="B13" s="54">
        <v>12</v>
      </c>
      <c r="C13" s="54" t="s">
        <v>282</v>
      </c>
    </row>
    <row r="14" spans="2:3" x14ac:dyDescent="0.25">
      <c r="B14" s="54">
        <v>13</v>
      </c>
      <c r="C14" s="54" t="s">
        <v>283</v>
      </c>
    </row>
    <row r="15" spans="2:3" x14ac:dyDescent="0.25">
      <c r="B15" s="54">
        <v>14</v>
      </c>
      <c r="C15" s="54" t="s">
        <v>273</v>
      </c>
    </row>
    <row r="16" spans="2:3" x14ac:dyDescent="0.25">
      <c r="B16" s="54">
        <v>15</v>
      </c>
      <c r="C16" s="54" t="s">
        <v>285</v>
      </c>
    </row>
    <row r="17" spans="2:3" x14ac:dyDescent="0.25">
      <c r="B17" s="73">
        <v>16</v>
      </c>
      <c r="C17" s="59" t="s">
        <v>286</v>
      </c>
    </row>
    <row r="18" spans="2:3" x14ac:dyDescent="0.25">
      <c r="B18" s="58">
        <v>17</v>
      </c>
      <c r="C18" s="59" t="s">
        <v>287</v>
      </c>
    </row>
    <row r="19" spans="2:3" x14ac:dyDescent="0.25">
      <c r="B19" s="57">
        <v>18</v>
      </c>
      <c r="C19" s="54" t="s">
        <v>288</v>
      </c>
    </row>
    <row r="20" spans="2:3" x14ac:dyDescent="0.25">
      <c r="B20" s="58">
        <v>19</v>
      </c>
      <c r="C20" s="54" t="s">
        <v>324</v>
      </c>
    </row>
    <row r="21" spans="2:3" x14ac:dyDescent="0.25">
      <c r="B21" s="54">
        <v>20</v>
      </c>
      <c r="C21" s="54" t="s">
        <v>289</v>
      </c>
    </row>
    <row r="22" spans="2:3" x14ac:dyDescent="0.25">
      <c r="B22" s="58">
        <v>21</v>
      </c>
      <c r="C22" s="54" t="s">
        <v>288</v>
      </c>
    </row>
    <row r="23" spans="2:3" s="68" customFormat="1" ht="29.25" customHeight="1" x14ac:dyDescent="0.25">
      <c r="B23" s="67">
        <v>22</v>
      </c>
      <c r="C23" s="56" t="s">
        <v>316</v>
      </c>
    </row>
    <row r="24" spans="2:3" s="68" customFormat="1" ht="30.75" customHeight="1" x14ac:dyDescent="0.25">
      <c r="B24" s="69">
        <v>23</v>
      </c>
      <c r="C24" s="56" t="s">
        <v>317</v>
      </c>
    </row>
    <row r="25" spans="2:3" x14ac:dyDescent="0.25">
      <c r="B25" s="54">
        <v>24</v>
      </c>
      <c r="C25" s="54" t="s">
        <v>320</v>
      </c>
    </row>
    <row r="26" spans="2:3" x14ac:dyDescent="0.25">
      <c r="B26" s="58">
        <v>25</v>
      </c>
      <c r="C26" s="54" t="s">
        <v>318</v>
      </c>
    </row>
    <row r="27" spans="2:3" x14ac:dyDescent="0.25">
      <c r="B27" s="69">
        <v>26</v>
      </c>
      <c r="C27" s="54" t="s">
        <v>319</v>
      </c>
    </row>
    <row r="28" spans="2:3" x14ac:dyDescent="0.25">
      <c r="B28" s="58">
        <v>27</v>
      </c>
      <c r="C28" s="54" t="s">
        <v>321</v>
      </c>
    </row>
    <row r="29" spans="2:3" ht="60" x14ac:dyDescent="0.25">
      <c r="B29" s="72">
        <v>28</v>
      </c>
      <c r="C29" s="55" t="s">
        <v>322</v>
      </c>
    </row>
    <row r="30" spans="2:3" x14ac:dyDescent="0.25">
      <c r="B30" s="69">
        <v>29</v>
      </c>
      <c r="C30" s="54" t="s">
        <v>323</v>
      </c>
    </row>
    <row r="31" spans="2:3" ht="30" x14ac:dyDescent="0.25">
      <c r="B31" s="69">
        <v>30</v>
      </c>
      <c r="C31" s="55" t="s">
        <v>325</v>
      </c>
    </row>
    <row r="32" spans="2:3" x14ac:dyDescent="0.25">
      <c r="B32" s="69">
        <v>31</v>
      </c>
      <c r="C32" s="54" t="s">
        <v>326</v>
      </c>
    </row>
    <row r="33" spans="2:4" x14ac:dyDescent="0.25">
      <c r="B33" s="69">
        <v>32</v>
      </c>
      <c r="C33" s="54" t="s">
        <v>327</v>
      </c>
    </row>
    <row r="34" spans="2:4" ht="36.75" customHeight="1" x14ac:dyDescent="0.25">
      <c r="B34" s="69">
        <v>33</v>
      </c>
      <c r="C34" s="59" t="s">
        <v>328</v>
      </c>
    </row>
    <row r="35" spans="2:4" x14ac:dyDescent="0.25">
      <c r="B35" s="67">
        <v>34</v>
      </c>
      <c r="C35" s="54" t="s">
        <v>336</v>
      </c>
    </row>
    <row r="36" spans="2:4" ht="60" x14ac:dyDescent="0.25">
      <c r="B36" s="67">
        <v>35</v>
      </c>
      <c r="C36" s="55" t="s">
        <v>338</v>
      </c>
    </row>
    <row r="37" spans="2:4" x14ac:dyDescent="0.25">
      <c r="B37" s="54">
        <v>36</v>
      </c>
      <c r="C37" s="55" t="s">
        <v>349</v>
      </c>
    </row>
    <row r="38" spans="2:4" x14ac:dyDescent="0.25">
      <c r="B38" s="54">
        <f t="shared" ref="B38:B44" si="0">B37+1</f>
        <v>37</v>
      </c>
      <c r="C38" s="54" t="s">
        <v>345</v>
      </c>
    </row>
    <row r="39" spans="2:4" x14ac:dyDescent="0.25">
      <c r="B39" s="54">
        <f t="shared" si="0"/>
        <v>38</v>
      </c>
      <c r="C39" s="54" t="s">
        <v>346</v>
      </c>
    </row>
    <row r="40" spans="2:4" x14ac:dyDescent="0.25">
      <c r="B40" s="54">
        <f t="shared" si="0"/>
        <v>39</v>
      </c>
      <c r="C40" s="54" t="s">
        <v>347</v>
      </c>
    </row>
    <row r="41" spans="2:4" x14ac:dyDescent="0.25">
      <c r="B41" s="54">
        <f t="shared" si="0"/>
        <v>40</v>
      </c>
      <c r="C41" s="54" t="s">
        <v>348</v>
      </c>
    </row>
    <row r="42" spans="2:4" ht="30.75" thickBot="1" x14ac:dyDescent="0.3">
      <c r="B42" s="76">
        <f t="shared" si="0"/>
        <v>41</v>
      </c>
      <c r="C42" s="77" t="s">
        <v>350</v>
      </c>
    </row>
    <row r="43" spans="2:4" ht="30" x14ac:dyDescent="0.25">
      <c r="B43" s="80">
        <f t="shared" si="0"/>
        <v>42</v>
      </c>
      <c r="C43" s="85" t="s">
        <v>355</v>
      </c>
      <c r="D43" t="s">
        <v>356</v>
      </c>
    </row>
    <row r="44" spans="2:4" ht="15.75" thickBot="1" x14ac:dyDescent="0.3">
      <c r="B44" s="82">
        <f t="shared" si="0"/>
        <v>43</v>
      </c>
      <c r="C44" s="84" t="s">
        <v>351</v>
      </c>
    </row>
    <row r="45" spans="2:4" ht="15.75" thickBot="1" x14ac:dyDescent="0.3">
      <c r="B45" s="78">
        <f t="shared" ref="B45:B54" si="1">B44+1</f>
        <v>44</v>
      </c>
      <c r="C45" s="79" t="s">
        <v>352</v>
      </c>
    </row>
    <row r="46" spans="2:4" ht="30" x14ac:dyDescent="0.25">
      <c r="B46" s="80">
        <f t="shared" si="1"/>
        <v>45</v>
      </c>
      <c r="C46" s="81" t="s">
        <v>353</v>
      </c>
    </row>
    <row r="47" spans="2:4" ht="15.75" thickBot="1" x14ac:dyDescent="0.3">
      <c r="B47" s="82">
        <f t="shared" si="1"/>
        <v>46</v>
      </c>
      <c r="C47" s="83" t="s">
        <v>354</v>
      </c>
    </row>
    <row r="48" spans="2:4" x14ac:dyDescent="0.25">
      <c r="B48" s="86">
        <f t="shared" si="1"/>
        <v>47</v>
      </c>
      <c r="C48" s="87" t="s">
        <v>357</v>
      </c>
    </row>
    <row r="49" spans="2:4" x14ac:dyDescent="0.25">
      <c r="B49" s="86">
        <f t="shared" si="1"/>
        <v>48</v>
      </c>
      <c r="C49" s="87" t="s">
        <v>358</v>
      </c>
    </row>
    <row r="50" spans="2:4" x14ac:dyDescent="0.25">
      <c r="B50" s="86">
        <f t="shared" si="1"/>
        <v>49</v>
      </c>
      <c r="C50" s="87" t="s">
        <v>360</v>
      </c>
      <c r="D50" t="s">
        <v>359</v>
      </c>
    </row>
    <row r="51" spans="2:4" ht="30" x14ac:dyDescent="0.25">
      <c r="B51" s="88">
        <f t="shared" si="1"/>
        <v>50</v>
      </c>
      <c r="C51" s="89" t="s">
        <v>361</v>
      </c>
    </row>
    <row r="52" spans="2:4" x14ac:dyDescent="0.25">
      <c r="B52" s="88">
        <f t="shared" si="1"/>
        <v>51</v>
      </c>
      <c r="C52" s="90" t="s">
        <v>364</v>
      </c>
      <c r="D52" t="s">
        <v>365</v>
      </c>
    </row>
    <row r="53" spans="2:4" x14ac:dyDescent="0.25">
      <c r="B53" s="88">
        <f t="shared" si="1"/>
        <v>52</v>
      </c>
      <c r="C53" s="90" t="s">
        <v>367</v>
      </c>
      <c r="D53" t="s">
        <v>368</v>
      </c>
    </row>
    <row r="54" spans="2:4" ht="45" x14ac:dyDescent="0.25">
      <c r="B54" s="88">
        <f t="shared" si="1"/>
        <v>53</v>
      </c>
      <c r="C54" s="59" t="s">
        <v>372</v>
      </c>
      <c r="D54" t="s">
        <v>371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1"/>
    <col min="2" max="2" width="12.28515625" style="51" customWidth="1"/>
    <col min="3" max="16384" width="9.140625" style="51"/>
  </cols>
  <sheetData>
    <row r="2" spans="1:12" x14ac:dyDescent="0.25">
      <c r="B2" s="61" t="s">
        <v>290</v>
      </c>
      <c r="C2" s="237"/>
      <c r="D2" s="237"/>
    </row>
    <row r="3" spans="1:12" x14ac:dyDescent="0.25">
      <c r="D3" s="62"/>
      <c r="E3" s="62"/>
      <c r="F3" s="62"/>
      <c r="G3" s="62"/>
      <c r="H3" s="62"/>
      <c r="I3" s="62"/>
    </row>
    <row r="4" spans="1:12" x14ac:dyDescent="0.25">
      <c r="A4" s="61" t="s">
        <v>65</v>
      </c>
      <c r="B4" s="63" t="s">
        <v>291</v>
      </c>
      <c r="C4" s="238" t="s">
        <v>292</v>
      </c>
      <c r="D4" s="238"/>
      <c r="E4" s="238"/>
      <c r="F4" s="63"/>
      <c r="G4" s="239" t="s">
        <v>293</v>
      </c>
      <c r="H4" s="239"/>
      <c r="I4" s="239"/>
      <c r="J4" s="240" t="s">
        <v>294</v>
      </c>
      <c r="K4" s="240"/>
      <c r="L4" s="240"/>
    </row>
    <row r="5" spans="1:12" x14ac:dyDescent="0.25">
      <c r="A5" s="61"/>
      <c r="B5" s="63"/>
      <c r="C5" s="63" t="s">
        <v>295</v>
      </c>
      <c r="D5" s="63" t="s">
        <v>296</v>
      </c>
      <c r="E5" s="63" t="s">
        <v>297</v>
      </c>
      <c r="F5" s="63"/>
      <c r="G5" s="63" t="s">
        <v>295</v>
      </c>
      <c r="H5" s="63" t="s">
        <v>296</v>
      </c>
      <c r="I5" s="63" t="s">
        <v>297</v>
      </c>
      <c r="J5" s="63" t="s">
        <v>295</v>
      </c>
      <c r="K5" s="63" t="s">
        <v>296</v>
      </c>
      <c r="L5" s="63" t="s">
        <v>297</v>
      </c>
    </row>
    <row r="6" spans="1:12" x14ac:dyDescent="0.25">
      <c r="B6" s="52" t="s">
        <v>298</v>
      </c>
      <c r="C6" s="52"/>
      <c r="D6" s="52"/>
      <c r="E6" s="52">
        <f>C6*D6</f>
        <v>0</v>
      </c>
      <c r="F6" s="52" t="s">
        <v>315</v>
      </c>
      <c r="G6" s="52"/>
      <c r="H6" s="52"/>
      <c r="I6" s="52">
        <f>G6*H6</f>
        <v>0</v>
      </c>
      <c r="J6" s="52"/>
      <c r="K6" s="52"/>
      <c r="L6" s="52">
        <f>J6*K6</f>
        <v>0</v>
      </c>
    </row>
    <row r="7" spans="1:12" x14ac:dyDescent="0.25">
      <c r="B7" s="52"/>
      <c r="C7" s="52"/>
      <c r="D7" s="52"/>
      <c r="E7" s="52">
        <f t="shared" ref="E7:E41" si="0">C7*D7</f>
        <v>0</v>
      </c>
      <c r="F7" s="52" t="s">
        <v>315</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299</v>
      </c>
      <c r="G9" s="52"/>
      <c r="H9" s="52"/>
      <c r="I9" s="52">
        <f t="shared" si="1"/>
        <v>0</v>
      </c>
      <c r="J9" s="52"/>
      <c r="K9" s="52"/>
      <c r="L9" s="52">
        <f t="shared" si="2"/>
        <v>0</v>
      </c>
    </row>
    <row r="10" spans="1:12" x14ac:dyDescent="0.25">
      <c r="B10" s="52" t="s">
        <v>300</v>
      </c>
      <c r="C10" s="52"/>
      <c r="D10" s="52"/>
      <c r="E10" s="52">
        <f t="shared" si="0"/>
        <v>0</v>
      </c>
      <c r="F10" s="52" t="s">
        <v>299</v>
      </c>
      <c r="G10" s="52"/>
      <c r="H10" s="52"/>
      <c r="I10" s="52">
        <f t="shared" si="1"/>
        <v>0</v>
      </c>
      <c r="J10" s="52"/>
      <c r="K10" s="52"/>
      <c r="L10" s="52">
        <f t="shared" si="2"/>
        <v>0</v>
      </c>
    </row>
    <row r="11" spans="1:12" x14ac:dyDescent="0.25">
      <c r="B11" s="52"/>
      <c r="C11" s="52"/>
      <c r="D11" s="52"/>
      <c r="E11" s="52">
        <f t="shared" si="0"/>
        <v>0</v>
      </c>
      <c r="F11" s="52" t="s">
        <v>301</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302</v>
      </c>
      <c r="C14" s="52"/>
      <c r="D14" s="52"/>
      <c r="E14" s="52">
        <f t="shared" si="0"/>
        <v>0</v>
      </c>
      <c r="F14" s="52" t="s">
        <v>299</v>
      </c>
      <c r="G14" s="52"/>
      <c r="H14" s="52"/>
      <c r="I14" s="52">
        <f t="shared" si="1"/>
        <v>0</v>
      </c>
      <c r="J14" s="52"/>
      <c r="K14" s="52"/>
      <c r="L14" s="52">
        <f t="shared" si="2"/>
        <v>0</v>
      </c>
    </row>
    <row r="15" spans="1:12" x14ac:dyDescent="0.25">
      <c r="B15" s="52"/>
      <c r="C15" s="52"/>
      <c r="D15" s="52"/>
      <c r="E15" s="52">
        <f t="shared" si="0"/>
        <v>0</v>
      </c>
      <c r="F15" s="52" t="s">
        <v>301</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303</v>
      </c>
      <c r="C18" s="52"/>
      <c r="D18" s="52"/>
      <c r="E18" s="52">
        <f t="shared" si="0"/>
        <v>0</v>
      </c>
      <c r="F18" s="52" t="s">
        <v>299</v>
      </c>
      <c r="G18" s="52"/>
      <c r="H18" s="52"/>
      <c r="I18" s="52">
        <f t="shared" si="1"/>
        <v>0</v>
      </c>
      <c r="J18" s="52"/>
      <c r="K18" s="52"/>
      <c r="L18" s="52">
        <f t="shared" si="2"/>
        <v>0</v>
      </c>
    </row>
    <row r="19" spans="2:12" x14ac:dyDescent="0.25">
      <c r="B19" s="52"/>
      <c r="C19" s="52"/>
      <c r="D19" s="52"/>
      <c r="E19" s="52">
        <f t="shared" si="0"/>
        <v>0</v>
      </c>
      <c r="F19" s="52" t="s">
        <v>301</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304</v>
      </c>
      <c r="C21" s="52"/>
      <c r="D21" s="52"/>
      <c r="E21" s="52">
        <f t="shared" si="0"/>
        <v>0</v>
      </c>
      <c r="F21" s="52" t="s">
        <v>299</v>
      </c>
      <c r="G21" s="52"/>
      <c r="H21" s="52"/>
      <c r="I21" s="52">
        <f t="shared" si="1"/>
        <v>0</v>
      </c>
      <c r="J21" s="52"/>
      <c r="K21" s="52"/>
      <c r="L21" s="52">
        <f t="shared" si="2"/>
        <v>0</v>
      </c>
    </row>
    <row r="22" spans="2:12" x14ac:dyDescent="0.25">
      <c r="B22" s="52"/>
      <c r="C22" s="52"/>
      <c r="D22" s="52"/>
      <c r="E22" s="52">
        <f t="shared" si="0"/>
        <v>0</v>
      </c>
      <c r="F22" s="52" t="s">
        <v>301</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305</v>
      </c>
      <c r="C24" s="52"/>
      <c r="D24" s="52"/>
      <c r="E24" s="52">
        <f t="shared" si="0"/>
        <v>0</v>
      </c>
      <c r="F24" s="52" t="s">
        <v>306</v>
      </c>
      <c r="G24" s="52"/>
      <c r="H24" s="52"/>
      <c r="I24" s="52">
        <f t="shared" si="1"/>
        <v>0</v>
      </c>
      <c r="J24" s="52"/>
      <c r="K24" s="52"/>
      <c r="L24" s="52">
        <f t="shared" si="2"/>
        <v>0</v>
      </c>
    </row>
    <row r="25" spans="2:12" x14ac:dyDescent="0.25">
      <c r="B25" s="52"/>
      <c r="C25" s="52"/>
      <c r="D25" s="52"/>
      <c r="E25" s="52">
        <f>C25*D25</f>
        <v>0</v>
      </c>
      <c r="F25" s="52" t="s">
        <v>306</v>
      </c>
      <c r="G25" s="52"/>
      <c r="H25" s="52"/>
      <c r="I25" s="52">
        <f>G25*H25</f>
        <v>0</v>
      </c>
      <c r="J25" s="52"/>
      <c r="K25" s="52"/>
      <c r="L25" s="52">
        <f>J25*K25</f>
        <v>0</v>
      </c>
    </row>
    <row r="26" spans="2:12" x14ac:dyDescent="0.25">
      <c r="B26" s="52"/>
      <c r="C26" s="52"/>
      <c r="D26" s="52"/>
      <c r="E26" s="52">
        <f>C26*D26</f>
        <v>0</v>
      </c>
      <c r="F26" s="52" t="s">
        <v>306</v>
      </c>
      <c r="G26" s="52"/>
      <c r="H26" s="52"/>
      <c r="I26" s="52">
        <f>G26*H26</f>
        <v>0</v>
      </c>
      <c r="J26" s="52"/>
      <c r="K26" s="52"/>
      <c r="L26" s="52">
        <f>J26*K26</f>
        <v>0</v>
      </c>
    </row>
    <row r="27" spans="2:12" x14ac:dyDescent="0.25">
      <c r="B27" s="52"/>
      <c r="C27" s="52"/>
      <c r="D27" s="52"/>
      <c r="E27" s="52">
        <f>C27*D27</f>
        <v>0</v>
      </c>
      <c r="F27" s="52" t="s">
        <v>306</v>
      </c>
      <c r="G27" s="52"/>
      <c r="H27" s="52"/>
      <c r="I27" s="52">
        <f>G27*H27</f>
        <v>0</v>
      </c>
      <c r="J27" s="52"/>
      <c r="K27" s="52"/>
      <c r="L27" s="52">
        <f>J27*K27</f>
        <v>0</v>
      </c>
    </row>
    <row r="28" spans="2:12" x14ac:dyDescent="0.25">
      <c r="B28" s="52" t="s">
        <v>307</v>
      </c>
      <c r="C28" s="52"/>
      <c r="D28" s="52"/>
      <c r="E28" s="52">
        <f t="shared" si="0"/>
        <v>0</v>
      </c>
      <c r="F28" s="52" t="s">
        <v>306</v>
      </c>
      <c r="G28" s="52"/>
      <c r="H28" s="52"/>
      <c r="I28" s="52">
        <f t="shared" si="1"/>
        <v>0</v>
      </c>
      <c r="J28" s="52"/>
      <c r="K28" s="52"/>
      <c r="L28" s="52">
        <f t="shared" si="2"/>
        <v>0</v>
      </c>
    </row>
    <row r="29" spans="2:12" x14ac:dyDescent="0.25">
      <c r="B29" s="52" t="s">
        <v>308</v>
      </c>
      <c r="C29" s="52"/>
      <c r="D29" s="52"/>
      <c r="E29" s="52">
        <f t="shared" si="0"/>
        <v>0</v>
      </c>
      <c r="F29" s="52" t="s">
        <v>306</v>
      </c>
      <c r="G29" s="52"/>
      <c r="H29" s="52"/>
      <c r="I29" s="52">
        <f t="shared" si="1"/>
        <v>0</v>
      </c>
      <c r="J29" s="52"/>
      <c r="K29" s="52"/>
      <c r="L29" s="52">
        <f t="shared" si="2"/>
        <v>0</v>
      </c>
    </row>
    <row r="30" spans="2:12" x14ac:dyDescent="0.25">
      <c r="B30" s="52" t="s">
        <v>312</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309</v>
      </c>
      <c r="C33" s="52"/>
      <c r="D33" s="52"/>
      <c r="E33" s="52">
        <f t="shared" si="0"/>
        <v>0</v>
      </c>
      <c r="F33" s="52"/>
      <c r="G33" s="52"/>
      <c r="H33" s="52"/>
      <c r="I33" s="52">
        <f t="shared" si="1"/>
        <v>0</v>
      </c>
      <c r="J33" s="52"/>
      <c r="K33" s="52"/>
      <c r="L33" s="52">
        <f t="shared" si="2"/>
        <v>0</v>
      </c>
    </row>
    <row r="34" spans="2:12" x14ac:dyDescent="0.25">
      <c r="B34" s="52" t="s">
        <v>313</v>
      </c>
      <c r="C34" s="52"/>
      <c r="D34" s="52"/>
      <c r="E34" s="52">
        <f t="shared" si="0"/>
        <v>0</v>
      </c>
      <c r="F34" s="52"/>
      <c r="G34" s="52"/>
      <c r="H34" s="52"/>
      <c r="I34" s="52">
        <f t="shared" si="1"/>
        <v>0</v>
      </c>
      <c r="J34" s="52"/>
      <c r="K34" s="52"/>
      <c r="L34" s="52">
        <f t="shared" si="2"/>
        <v>0</v>
      </c>
    </row>
    <row r="35" spans="2:12" x14ac:dyDescent="0.25">
      <c r="B35" s="52" t="s">
        <v>310</v>
      </c>
      <c r="C35" s="52"/>
      <c r="D35" s="52"/>
      <c r="E35" s="52">
        <f t="shared" si="0"/>
        <v>0</v>
      </c>
      <c r="F35" s="52"/>
      <c r="G35" s="52"/>
      <c r="H35" s="52"/>
      <c r="I35" s="52">
        <f t="shared" si="1"/>
        <v>0</v>
      </c>
      <c r="J35" s="52"/>
      <c r="K35" s="52"/>
      <c r="L35" s="52">
        <f t="shared" si="2"/>
        <v>0</v>
      </c>
    </row>
    <row r="36" spans="2:12" x14ac:dyDescent="0.25">
      <c r="B36" s="52" t="s">
        <v>311</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314</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144</v>
      </c>
      <c r="C42" s="52"/>
      <c r="D42" s="52">
        <f>E42*10.764</f>
        <v>0</v>
      </c>
      <c r="E42" s="66">
        <f>SUM(E6:E41)</f>
        <v>0</v>
      </c>
      <c r="F42" s="52"/>
      <c r="G42" s="52"/>
      <c r="H42" s="52">
        <f>I42*10.764</f>
        <v>0</v>
      </c>
      <c r="I42" s="65">
        <f>SUM(I6:I41)</f>
        <v>0</v>
      </c>
      <c r="J42" s="52"/>
      <c r="K42" s="52">
        <f>L42*10.764</f>
        <v>0</v>
      </c>
      <c r="L42" s="64">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2025-07-14T12:58:02Z</cp:lastPrinted>
  <dcterms:created xsi:type="dcterms:W3CDTF">2019-07-16T09:29:46Z</dcterms:created>
  <dcterms:modified xsi:type="dcterms:W3CDTF">2025-07-14T12:59:33Z</dcterms:modified>
</cp:coreProperties>
</file>