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C-51\Downloads\14064 - Vrundavan Park\"/>
    </mc:Choice>
  </mc:AlternateContent>
  <bookViews>
    <workbookView xWindow="0" yWindow="0" windowWidth="20490" windowHeight="65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8" i="1" l="1"/>
  <c r="H158" i="1"/>
  <c r="G143" i="1" l="1"/>
  <c r="G145" i="1"/>
  <c r="G146" i="1"/>
  <c r="E146" i="1"/>
  <c r="E145" i="1"/>
  <c r="E144" i="1"/>
  <c r="E143" i="1"/>
  <c r="C146" i="1"/>
  <c r="C145" i="1"/>
  <c r="C144" i="1"/>
  <c r="C143" i="1"/>
  <c r="E139" i="1"/>
  <c r="C139" i="1"/>
  <c r="B203" i="1"/>
  <c r="E200" i="1"/>
  <c r="D200" i="1"/>
  <c r="E199" i="1"/>
  <c r="D199" i="1"/>
  <c r="A199" i="1"/>
  <c r="A200" i="1" s="1"/>
  <c r="E198" i="1"/>
  <c r="D198" i="1"/>
  <c r="E194" i="1"/>
  <c r="D194" i="1"/>
  <c r="E193" i="1"/>
  <c r="D193" i="1"/>
  <c r="E192" i="1"/>
  <c r="D192" i="1"/>
  <c r="E191" i="1"/>
  <c r="D191" i="1"/>
  <c r="F191" i="1" s="1"/>
  <c r="F193" i="1"/>
  <c r="H193" i="1" s="1"/>
  <c r="A193" i="1"/>
  <c r="A194" i="1" s="1"/>
  <c r="A192" i="1"/>
  <c r="E187" i="1"/>
  <c r="E186" i="1"/>
  <c r="E185" i="1"/>
  <c r="D187" i="1"/>
  <c r="D186" i="1"/>
  <c r="F186" i="1" s="1"/>
  <c r="D185" i="1"/>
  <c r="E184" i="1"/>
  <c r="D184" i="1"/>
  <c r="A185" i="1"/>
  <c r="A186" i="1" s="1"/>
  <c r="A187" i="1" s="1"/>
  <c r="E180" i="1"/>
  <c r="D180" i="1"/>
  <c r="F180" i="1" s="1"/>
  <c r="E179" i="1"/>
  <c r="D179" i="1"/>
  <c r="E178" i="1"/>
  <c r="D178" i="1"/>
  <c r="E177" i="1"/>
  <c r="D177" i="1"/>
  <c r="E176" i="1"/>
  <c r="D176" i="1"/>
  <c r="F176" i="1" s="1"/>
  <c r="A177" i="1"/>
  <c r="A178" i="1" s="1"/>
  <c r="A179" i="1" s="1"/>
  <c r="A180" i="1" s="1"/>
  <c r="F200" i="1" l="1"/>
  <c r="F199" i="1"/>
  <c r="E147" i="1"/>
  <c r="E148" i="1" s="1"/>
  <c r="C147" i="1"/>
  <c r="C148" i="1" s="1"/>
  <c r="F192" i="1"/>
  <c r="I192" i="1" s="1"/>
  <c r="F179" i="1"/>
  <c r="F178" i="1"/>
  <c r="H178" i="1" s="1"/>
  <c r="F198" i="1"/>
  <c r="F184" i="1"/>
  <c r="I184" i="1" s="1"/>
  <c r="F177" i="1"/>
  <c r="I177" i="1" s="1"/>
  <c r="F194" i="1"/>
  <c r="H194" i="1" s="1"/>
  <c r="I198" i="1"/>
  <c r="H199" i="1"/>
  <c r="I199" i="1"/>
  <c r="I200" i="1"/>
  <c r="H200" i="1"/>
  <c r="H191" i="1"/>
  <c r="I191" i="1"/>
  <c r="I194" i="1"/>
  <c r="I193" i="1"/>
  <c r="F187" i="1"/>
  <c r="F185" i="1"/>
  <c r="I187" i="1"/>
  <c r="H187" i="1"/>
  <c r="I185" i="1"/>
  <c r="H185" i="1"/>
  <c r="I186" i="1"/>
  <c r="H186" i="1"/>
  <c r="I178" i="1"/>
  <c r="H177" i="1"/>
  <c r="I179" i="1"/>
  <c r="H179" i="1"/>
  <c r="I176" i="1"/>
  <c r="H176" i="1"/>
  <c r="I180" i="1"/>
  <c r="H180" i="1"/>
  <c r="E172" i="1"/>
  <c r="D172" i="1"/>
  <c r="E171" i="1"/>
  <c r="D171" i="1"/>
  <c r="E170" i="1"/>
  <c r="D170" i="1"/>
  <c r="E169" i="1"/>
  <c r="D169" i="1"/>
  <c r="E168" i="1"/>
  <c r="D168" i="1"/>
  <c r="A169" i="1"/>
  <c r="A170" i="1" s="1"/>
  <c r="A171" i="1" s="1"/>
  <c r="A172" i="1" s="1"/>
  <c r="D160" i="1"/>
  <c r="F160" i="1" s="1"/>
  <c r="I160" i="1" s="1"/>
  <c r="D159" i="1"/>
  <c r="F159" i="1" s="1"/>
  <c r="D158" i="1"/>
  <c r="F158" i="1" s="1"/>
  <c r="I158" i="1" s="1"/>
  <c r="D157" i="1"/>
  <c r="F157" i="1" s="1"/>
  <c r="H157" i="1" s="1"/>
  <c r="A158" i="1"/>
  <c r="A159" i="1" s="1"/>
  <c r="A160" i="1" s="1"/>
  <c r="G144" i="1" l="1"/>
  <c r="G147" i="1"/>
  <c r="H184" i="1"/>
  <c r="H192" i="1"/>
  <c r="F169" i="1"/>
  <c r="I169" i="1"/>
  <c r="H169" i="1"/>
  <c r="F170" i="1"/>
  <c r="F172" i="1"/>
  <c r="F171" i="1"/>
  <c r="F168" i="1"/>
  <c r="I159" i="1"/>
  <c r="H159" i="1"/>
  <c r="I157" i="1"/>
  <c r="H160" i="1"/>
  <c r="G148" i="1" l="1"/>
  <c r="G139" i="1"/>
  <c r="H171" i="1"/>
  <c r="I171" i="1"/>
  <c r="I172" i="1"/>
  <c r="H172" i="1"/>
  <c r="I168" i="1"/>
  <c r="H168" i="1"/>
  <c r="I170" i="1"/>
  <c r="H170" i="1"/>
  <c r="E41" i="1" l="1"/>
  <c r="C140" i="1" l="1"/>
  <c r="I42" i="1"/>
  <c r="I43" i="1" s="1"/>
  <c r="E140" i="1" l="1"/>
  <c r="E149" i="1" l="1"/>
  <c r="E42" i="1"/>
  <c r="E43" i="1" s="1"/>
  <c r="C149" i="1" l="1"/>
  <c r="C14" i="1"/>
  <c r="E29" i="1" l="1"/>
  <c r="F136" i="1" l="1"/>
  <c r="G140" i="1" l="1"/>
  <c r="B204" i="1" l="1"/>
  <c r="G149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6" i="1"/>
  <c r="C81" i="1"/>
  <c r="B82" i="1" s="1"/>
  <c r="C67" i="1"/>
  <c r="B68" i="1" s="1"/>
  <c r="D54" i="1"/>
  <c r="C49" i="1"/>
  <c r="E26" i="1"/>
  <c r="E24" i="1"/>
  <c r="E7" i="1"/>
  <c r="E3" i="1"/>
  <c r="H82" i="1"/>
  <c r="J87" i="1" l="1"/>
  <c r="J88" i="1" s="1"/>
  <c r="J81" i="1"/>
  <c r="J83" i="1" s="1"/>
  <c r="D61" i="1"/>
  <c r="D92" i="1"/>
  <c r="D93" i="1"/>
  <c r="D94" i="1"/>
  <c r="D88" i="1"/>
  <c r="D89" i="1"/>
  <c r="D90" i="1"/>
  <c r="D91" i="1"/>
  <c r="J85" i="1"/>
  <c r="J86" i="1"/>
  <c r="C85" i="1" s="1"/>
  <c r="J84" i="1"/>
  <c r="H68" i="1"/>
  <c r="D78" i="1" l="1"/>
  <c r="J67" i="1"/>
  <c r="J69" i="1" s="1"/>
  <c r="J72" i="1"/>
  <c r="C71" i="1" s="1"/>
  <c r="D71" i="1" s="1"/>
  <c r="D76" i="1"/>
  <c r="J73" i="1"/>
  <c r="J74" i="1" s="1"/>
  <c r="J79" i="1" s="1"/>
  <c r="D77" i="1"/>
  <c r="D79" i="1"/>
  <c r="J70" i="1"/>
  <c r="D75" i="1"/>
  <c r="D80" i="1"/>
  <c r="D74" i="1"/>
  <c r="J71" i="1"/>
  <c r="J93" i="1"/>
  <c r="J89" i="1"/>
  <c r="J90" i="1" s="1"/>
  <c r="J91" i="1" s="1"/>
  <c r="J92" i="1" s="1"/>
  <c r="J75" i="1"/>
  <c r="J76" i="1" s="1"/>
  <c r="J77" i="1" s="1"/>
  <c r="J78" i="1" s="1"/>
  <c r="D87" i="1"/>
  <c r="D73" i="1"/>
  <c r="D85" i="1"/>
  <c r="B110" i="1" l="1"/>
  <c r="J80" i="1"/>
  <c r="C72" i="1" s="1"/>
  <c r="G71" i="1" s="1"/>
  <c r="D65" i="1" s="1"/>
  <c r="D66" i="1" s="1"/>
  <c r="J94" i="1"/>
  <c r="H110" i="1"/>
  <c r="D122" i="1" l="1"/>
  <c r="D118" i="1"/>
  <c r="D121" i="1"/>
  <c r="D117" i="1"/>
  <c r="J113" i="1"/>
  <c r="D120" i="1"/>
  <c r="D116" i="1"/>
  <c r="D119" i="1"/>
  <c r="D115" i="1"/>
  <c r="J114" i="1"/>
  <c r="C113" i="1" s="1"/>
  <c r="J112" i="1"/>
  <c r="J109" i="1"/>
  <c r="J111" i="1" s="1"/>
  <c r="J117" i="1"/>
  <c r="J119" i="1"/>
  <c r="J115" i="1"/>
  <c r="J116" i="1" s="1"/>
  <c r="J121" i="1" s="1"/>
  <c r="C114" i="1" s="1"/>
  <c r="E113" i="1" s="1"/>
  <c r="J118" i="1"/>
  <c r="J120" i="1"/>
  <c r="C86" i="1"/>
  <c r="J82" i="1" s="1"/>
  <c r="J68" i="1"/>
  <c r="D72" i="1"/>
  <c r="E71" i="1"/>
  <c r="F66" i="1"/>
  <c r="G113" i="1" l="1"/>
  <c r="J122" i="1"/>
  <c r="D114" i="1"/>
  <c r="D113" i="1"/>
  <c r="I110" i="1" s="1"/>
  <c r="I111" i="1" s="1"/>
  <c r="I68" i="1"/>
  <c r="I69" i="1" s="1"/>
  <c r="G85" i="1"/>
  <c r="D86" i="1"/>
  <c r="I82" i="1" s="1"/>
  <c r="I83" i="1" s="1"/>
  <c r="E85" i="1"/>
  <c r="J110" i="1" l="1"/>
  <c r="I109" i="1" s="1"/>
  <c r="C111" i="1" s="1"/>
  <c r="I67" i="1"/>
  <c r="C69" i="1" s="1"/>
  <c r="B96" i="1"/>
  <c r="I81" i="1"/>
  <c r="C83" i="1" s="1"/>
  <c r="H96" i="1"/>
  <c r="J100" i="1" l="1"/>
  <c r="C99" i="1" s="1"/>
  <c r="J98" i="1"/>
  <c r="J95" i="1"/>
  <c r="J97" i="1" s="1"/>
  <c r="D108" i="1"/>
  <c r="D104" i="1"/>
  <c r="D102" i="1"/>
  <c r="J99" i="1"/>
  <c r="D106" i="1"/>
  <c r="D107" i="1"/>
  <c r="D105" i="1"/>
  <c r="D103" i="1"/>
  <c r="D101" i="1"/>
  <c r="J106" i="1"/>
  <c r="J104" i="1"/>
  <c r="J105" i="1"/>
  <c r="J101" i="1"/>
  <c r="J102" i="1" s="1"/>
  <c r="J103" i="1"/>
  <c r="J107" i="1" l="1"/>
  <c r="J108" i="1" s="1"/>
  <c r="C100" i="1"/>
  <c r="G99" i="1" s="1"/>
  <c r="D99" i="1"/>
  <c r="J96" i="1" l="1"/>
  <c r="D100" i="1"/>
  <c r="I96" i="1" s="1"/>
  <c r="I97" i="1" s="1"/>
  <c r="E99" i="1"/>
  <c r="I95" i="1" l="1"/>
  <c r="C97" i="1" s="1"/>
</calcChain>
</file>

<file path=xl/comments1.xml><?xml version="1.0" encoding="utf-8"?>
<comments xmlns="http://schemas.openxmlformats.org/spreadsheetml/2006/main">
  <authors>
    <author>SACHIN</author>
  </authors>
  <commentList>
    <comment ref="H163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<sst xmlns="http://schemas.openxmlformats.org/spreadsheetml/2006/main" count="446" uniqueCount="250">
  <si>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</si>
  <si>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</si>
  <si>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</si>
  <si>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</si>
  <si>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</si>
  <si>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</si>
  <si>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</si>
  <si>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</si>
  <si>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</si>
  <si>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</si>
  <si>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</si>
  <si>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</si>
  <si>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</si>
  <si>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</si>
  <si>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</si>
  <si>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</si>
  <si>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</si>
  <si>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</si>
  <si>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</si>
  <si>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</si>
  <si>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</si>
  <si>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</si>
  <si>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</si>
  <si>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</si>
  <si>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</si>
  <si>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</si>
  <si>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</si>
  <si>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</si>
  <si>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</si>
  <si>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</si>
  <si>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</si>
  <si>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</si>
  <si>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</si>
  <si>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</si>
  <si>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</si>
  <si>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</si>
  <si>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</si>
  <si>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</si>
  <si>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</si>
  <si>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</si>
  <si>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</si>
  <si>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</si>
  <si>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</si>
  <si>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</si>
  <si>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</si>
  <si>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</si>
  <si>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</si>
  <si>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</si>
  <si>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</si>
  <si>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</si>
  <si>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</si>
  <si>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</si>
  <si>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</si>
  <si>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</si>
  <si>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</si>
  <si>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</si>
  <si>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</si>
  <si>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</si>
  <si>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</si>
  <si>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</si>
  <si>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</si>
  <si>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</si>
  <si>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</si>
  <si>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</si>
  <si>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</si>
  <si>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</si>
  <si>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</si>
  <si>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</si>
  <si>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</si>
  <si>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</si>
  <si>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</si>
  <si>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</si>
  <si>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</si>
  <si>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</si>
  <si>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</si>
  <si>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</si>
  <si>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</si>
  <si>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</si>
  <si>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</si>
  <si>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</si>
  <si>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</si>
  <si>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</si>
  <si>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</si>
  <si>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</si>
  <si>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</si>
  <si>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</si>
  <si>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</si>
  <si>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</si>
  <si>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</si>
  <si>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</si>
  <si>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</si>
  <si>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</si>
  <si>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</si>
  <si>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</si>
  <si>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</si>
  <si>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</si>
  <si>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</si>
  <si>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</si>
  <si>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</si>
  <si>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</si>
  <si>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</si>
  <si>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</si>
  <si>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</si>
  <si>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</si>
  <si>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</si>
  <si>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</si>
  <si>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</si>
  <si>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</si>
  <si>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</si>
  <si>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</si>
  <si>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</si>
  <si>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</si>
  <si>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</si>
  <si>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</si>
  <si>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</si>
  <si>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</si>
  <si>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</si>
  <si>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</si>
  <si>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</si>
  <si>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</si>
  <si>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</si>
  <si>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</si>
  <si>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</si>
  <si>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</si>
  <si>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</si>
  <si>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</si>
  <si>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</si>
  <si>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</si>
  <si>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</si>
  <si>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</si>
  <si>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</si>
  <si>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</si>
  <si>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</si>
  <si>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</si>
  <si>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</si>
  <si>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</si>
  <si>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</si>
  <si>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</si>
  <si>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</si>
  <si>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</si>
  <si>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</si>
  <si>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</si>
  <si>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</si>
  <si>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</si>
  <si>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</si>
  <si>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</si>
  <si>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</si>
  <si>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</si>
  <si>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</si>
  <si>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</si>
  <si>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</si>
  <si>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</si>
  <si>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</si>
  <si>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</si>
  <si>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</si>
  <si>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</si>
  <si>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</si>
  <si>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</si>
  <si>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</si>
  <si>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</si>
  <si>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</si>
  <si>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</si>
  <si>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</si>
  <si>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</si>
  <si>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</si>
  <si>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</si>
  <si>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</si>
  <si>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Badlapur</t>
  </si>
  <si>
    <t>Vrundavan Park Jai</t>
  </si>
  <si>
    <t>Shree Vastunirman Developers</t>
  </si>
  <si>
    <t>Mr.Mahendra Dhangar - 9220929282</t>
  </si>
  <si>
    <t>Building No. 1 (A &amp; B Wing)</t>
  </si>
  <si>
    <t>Approved Plans, CC, Sale Plans</t>
  </si>
  <si>
    <t>P51700049309</t>
  </si>
  <si>
    <t>94/19, 94/23, 94/25</t>
  </si>
  <si>
    <t>Devrung</t>
  </si>
  <si>
    <t>Thane</t>
  </si>
  <si>
    <t>Bhiwandi</t>
  </si>
  <si>
    <t>02 Building</t>
  </si>
  <si>
    <t>Nagar Rachna Aani Mulya Nirdharan Vibhag</t>
  </si>
  <si>
    <t>BS/RKKN/BP/Mauje.Devrung/Tal.
Bhiwandi/SSTN/2516</t>
  </si>
  <si>
    <t>MHSL/K-1/T-8/BP/Devrung-Bhiwandi/SR-40/2022</t>
  </si>
  <si>
    <t>Wing A</t>
  </si>
  <si>
    <t>Ground Floor For Drivers Room, Entrance Lobby &amp; Parking</t>
  </si>
  <si>
    <t>Wing B</t>
  </si>
  <si>
    <t>1st to 7th Floor For Residential</t>
  </si>
  <si>
    <t>1BHK</t>
  </si>
  <si>
    <t>2BHK</t>
  </si>
  <si>
    <t>We considered Gross carpet area = Net carpet + Enclose balcony + Open Balcony.</t>
  </si>
  <si>
    <t>Building No.1 (A Wing) = G + 1st to 7th Floor
Building No.1 (B Wing) = G + 1st to 7th Floor</t>
  </si>
  <si>
    <t>Building No.1 (B Wing) = G + 1st to 7th Floor</t>
  </si>
  <si>
    <t>https://goo.gl/maps/ewcKr7Zs7dMSi9K57</t>
  </si>
  <si>
    <t>8.8 KM from Kalyan Junction Railway Station</t>
  </si>
  <si>
    <t>Kalyan</t>
  </si>
  <si>
    <t>Internal Road</t>
  </si>
  <si>
    <t>Vrundavan society</t>
  </si>
  <si>
    <t>Open Plot</t>
  </si>
  <si>
    <t>19.283465, 73.151664</t>
  </si>
  <si>
    <t>Survey No</t>
  </si>
  <si>
    <t xml:space="preserve">4300 to 4700 &amp; OC </t>
  </si>
  <si>
    <t>Rushikesh</t>
  </si>
  <si>
    <t>Cost Sheet</t>
  </si>
  <si>
    <t xml:space="preserve">Society Formation Charges &amp; Other Charges </t>
  </si>
  <si>
    <t>Mangesh Laxman Bapardekar</t>
  </si>
  <si>
    <t>Building No.1 (A Wing) = G + 1st to 7th Floor</t>
  </si>
  <si>
    <t>Rate 4850 bhargav verbal    23/01/2025</t>
  </si>
  <si>
    <t>Recommended Rates / Other charges of the Property have been revised on 23/01/2025.</t>
  </si>
  <si>
    <t>Mr.Akshay Jagtap 991506871</t>
  </si>
  <si>
    <t>As per RERA - 31/12/2027</t>
  </si>
  <si>
    <t xml:space="preserve">Vrundavan Park </t>
  </si>
  <si>
    <t>Other Plot</t>
  </si>
  <si>
    <t>As per layout</t>
  </si>
  <si>
    <t>Village Road</t>
  </si>
  <si>
    <t>19.283054,73.151974</t>
  </si>
  <si>
    <t>https://maps.app.goo.gl/GoTJMgWvmtFUUGGX6</t>
  </si>
  <si>
    <t>Jai - Building No. 1 (Wing A &amp; B)
Jui - Building No. 2 (Wing A, B &amp; C)</t>
  </si>
  <si>
    <t>Building No.1 (Wing A) = G + 1st to 7th Floor
Building No.1 (Wing B) = G + 1st to 7th Floor
Building No.2 (Wing A, B &amp; C) = G + 1st to 7th Floor</t>
  </si>
  <si>
    <t>Building No.2 (Wing A, B &amp; C) = G + 1st to 7th Floor</t>
  </si>
  <si>
    <t>Building No.1 (Wing A) = G + 1st to 7th Floor</t>
  </si>
  <si>
    <t>Building No.1 (Wing B) = G + 1st to 7th Floor</t>
  </si>
  <si>
    <t>Shop</t>
  </si>
  <si>
    <t>1RK</t>
  </si>
  <si>
    <t>Wing C</t>
  </si>
  <si>
    <t>OK</t>
  </si>
  <si>
    <t>Grand Total</t>
  </si>
  <si>
    <t>Saurav Panse</t>
  </si>
  <si>
    <t>7.10 KM from Kalyan Junction Railway Station</t>
  </si>
  <si>
    <t>Building No.1 (A Wing) = G + 1st to 7th Floor
Building No.1 (B Wing) = G + 1st to 7th Floor
Building No. 2 (Wing A, B &amp; C) = G + 1st to 7th Floor</t>
  </si>
  <si>
    <t>Ground Floor For Commercial, Entrance Lobby &amp; Parking</t>
  </si>
  <si>
    <t>As checked on the RERA portal on date 14/07/2025, we have observed that the project name has been changed from "Vrundavan Park Jai" to "Vrundavan Park".</t>
  </si>
  <si>
    <t>Building Details Floor Wise</t>
  </si>
  <si>
    <t xml:space="preserve">Details of Residential &amp; Commercials in Building   </t>
  </si>
  <si>
    <t>Shop No. (Sale Plan)</t>
  </si>
  <si>
    <t>Carpet area</t>
  </si>
  <si>
    <r>
      <t xml:space="preserve">Shop No.
</t>
    </r>
    <r>
      <rPr>
        <b/>
        <sz val="11"/>
        <color theme="1"/>
        <rFont val="Times New Roman"/>
        <family val="1"/>
      </rPr>
      <t>(Approved Plan)</t>
    </r>
  </si>
  <si>
    <t>Flat No. (Sale Plan)</t>
  </si>
  <si>
    <t>Carpet Area</t>
  </si>
  <si>
    <r>
      <t xml:space="preserve">Flat No.
</t>
    </r>
    <r>
      <rPr>
        <b/>
        <sz val="11"/>
        <color theme="1"/>
        <rFont val="Times New Roman"/>
        <family val="1"/>
      </rPr>
      <t>(Approved Plan)</t>
    </r>
  </si>
  <si>
    <t>Balcony Area</t>
  </si>
  <si>
    <t>Shop = 4, Flats = 147</t>
  </si>
  <si>
    <t>Ground Floor For Entrance Lobby &amp; Parking</t>
  </si>
  <si>
    <t>Ground Floor For Society Office, Entrance Lobby &amp; Parking</t>
  </si>
  <si>
    <t>1. Vitrified tiles flooring 2. Granite Kitchen Platform 3. Decorative
Enternace etc.</t>
  </si>
  <si>
    <t>02 Buildings (05 Wings)</t>
  </si>
  <si>
    <t>Building No. 2 (Jui)</t>
  </si>
  <si>
    <t>Building No. 1(Jai)</t>
  </si>
  <si>
    <t>Construction work is in process at the time of Visit.(Labour found)</t>
  </si>
  <si>
    <t>Building No.2 (Wing A) = G + 1st to 7th Floor</t>
  </si>
  <si>
    <t>Building No.2 (Wing B &amp; C) = G + 1st to 7th Floor</t>
  </si>
  <si>
    <t>We have added Approved Plans &amp; CC of Building No. 2(Wing A, B &amp; C) on 11/07/2025.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</si>
</sst>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6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11" xfId="0" applyFont="1" applyBorder="1" applyProtection="1">
      <protection hidden="1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9" fontId="6" fillId="0" borderId="7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1" fillId="0" borderId="0" xfId="1" applyFont="1"/>
    <xf numFmtId="0" fontId="6" fillId="0" borderId="10" xfId="1" applyFont="1" applyBorder="1"/>
    <xf numFmtId="0" fontId="16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22" fillId="2" borderId="30" xfId="0" applyFont="1" applyFill="1" applyBorder="1"/>
    <xf numFmtId="0" fontId="23" fillId="0" borderId="31" xfId="0" applyFont="1" applyBorder="1"/>
    <xf numFmtId="0" fontId="23" fillId="0" borderId="1" xfId="0" applyFont="1" applyBorder="1"/>
    <xf numFmtId="0" fontId="23" fillId="0" borderId="5" xfId="0" applyFont="1" applyBorder="1"/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>
      <alignment horizontal="center" vertical="center"/>
    </xf>
    <xf numFmtId="0" fontId="6" fillId="2" borderId="0" xfId="1" applyFont="1" applyFill="1"/>
    <xf numFmtId="14" fontId="6" fillId="2" borderId="0" xfId="1" applyNumberFormat="1" applyFont="1" applyFill="1"/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6" fillId="0" borderId="1" xfId="1" applyNumberFormat="1" applyFont="1" applyBorder="1" applyAlignment="1">
      <alignment horizontal="center"/>
    </xf>
    <xf numFmtId="9" fontId="6" fillId="0" borderId="36" xfId="8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9" fontId="9" fillId="0" borderId="16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top" wrapText="1"/>
      <protection locked="0"/>
    </xf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1" fontId="5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25" fillId="0" borderId="3" xfId="1" applyNumberFormat="1" applyFont="1" applyBorder="1" applyAlignment="1" applyProtection="1">
      <alignment horizontal="center" vertical="top" wrapText="1"/>
      <protection locked="0"/>
    </xf>
    <xf numFmtId="1" fontId="25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1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64" fontId="5" fillId="0" borderId="1" xfId="1" applyNumberFormat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21" xfId="1" applyFont="1" applyBorder="1" applyAlignment="1" applyProtection="1">
      <alignment horizontal="left" vertical="top" wrapText="1"/>
      <protection locked="0"/>
    </xf>
    <xf numFmtId="14" fontId="5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7" fillId="0" borderId="21" xfId="0" applyNumberFormat="1" applyFont="1" applyBorder="1" applyAlignment="1" applyProtection="1">
      <alignment vertical="top" wrapText="1"/>
      <protection locked="0"/>
    </xf>
    <xf numFmtId="1" fontId="7" fillId="0" borderId="9" xfId="0" applyNumberFormat="1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5" fillId="0" borderId="3" xfId="0" applyNumberFormat="1" applyFont="1" applyBorder="1" applyAlignment="1" applyProtection="1">
      <alignment horizontal="center" vertical="center" wrapText="1"/>
      <protection locked="0"/>
    </xf>
    <xf numFmtId="1" fontId="5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12" fillId="0" borderId="21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168" fontId="5" fillId="0" borderId="1" xfId="1" applyNumberFormat="1" applyFont="1" applyBorder="1" applyAlignment="1" applyProtection="1">
      <alignment horizontal="left" vertical="top" wrapText="1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18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5" fillId="0" borderId="18" xfId="1" applyFont="1" applyBorder="1" applyAlignment="1" applyProtection="1">
      <alignment horizontal="left" vertical="top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11" fillId="0" borderId="8" xfId="1" applyFont="1" applyBorder="1" applyAlignment="1" applyProtection="1">
      <alignment horizontal="left" vertical="top"/>
      <protection locked="0"/>
    </xf>
    <xf numFmtId="0" fontId="11" fillId="0" borderId="21" xfId="1" applyFont="1" applyBorder="1" applyAlignment="1" applyProtection="1">
      <alignment horizontal="left" vertical="top"/>
      <protection locked="0"/>
    </xf>
    <xf numFmtId="0" fontId="11" fillId="0" borderId="9" xfId="1" applyFont="1" applyBorder="1" applyAlignment="1" applyProtection="1">
      <alignment horizontal="left" vertical="top"/>
      <protection locked="0"/>
    </xf>
    <xf numFmtId="0" fontId="11" fillId="0" borderId="19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/>
      <protection locked="0"/>
    </xf>
    <xf numFmtId="0" fontId="5" fillId="0" borderId="16" xfId="1" applyFont="1" applyBorder="1" applyAlignment="1" applyProtection="1">
      <alignment horizontal="left" vertical="top" wrapText="1"/>
      <protection locked="0"/>
    </xf>
    <xf numFmtId="9" fontId="6" fillId="0" borderId="17" xfId="8" applyFont="1" applyFill="1" applyBorder="1" applyAlignment="1" applyProtection="1">
      <alignment horizontal="center" vertical="center" wrapText="1"/>
      <protection locked="0"/>
    </xf>
    <xf numFmtId="9" fontId="6" fillId="0" borderId="18" xfId="8" applyFont="1" applyFill="1" applyBorder="1" applyAlignment="1" applyProtection="1">
      <alignment horizontal="center" vertical="center" wrapText="1"/>
      <protection locked="0"/>
    </xf>
    <xf numFmtId="9" fontId="6" fillId="0" borderId="25" xfId="8" applyFont="1" applyFill="1" applyBorder="1" applyAlignment="1" applyProtection="1">
      <alignment horizontal="center" vertical="center" wrapText="1"/>
      <protection locked="0"/>
    </xf>
    <xf numFmtId="9" fontId="6" fillId="0" borderId="26" xfId="8" applyFont="1" applyFill="1" applyBorder="1" applyAlignment="1" applyProtection="1">
      <alignment horizontal="center" vertical="center" wrapText="1"/>
      <protection locked="0"/>
    </xf>
    <xf numFmtId="9" fontId="6" fillId="0" borderId="28" xfId="8" applyFont="1" applyFill="1" applyBorder="1" applyAlignment="1" applyProtection="1">
      <alignment horizontal="center" vertical="center" wrapText="1"/>
      <protection locked="0"/>
    </xf>
    <xf numFmtId="9" fontId="6" fillId="0" borderId="29" xfId="8" applyFont="1" applyFill="1" applyBorder="1" applyAlignment="1" applyProtection="1">
      <alignment horizontal="center" vertical="center" wrapText="1"/>
      <protection locked="0"/>
    </xf>
    <xf numFmtId="9" fontId="6" fillId="0" borderId="27" xfId="8" applyFont="1" applyFill="1" applyBorder="1" applyAlignment="1" applyProtection="1">
      <alignment horizontal="center" vertical="center" wrapText="1"/>
      <protection locked="0"/>
    </xf>
    <xf numFmtId="9" fontId="6" fillId="0" borderId="10" xfId="8" applyFont="1" applyFill="1" applyBorder="1" applyAlignment="1" applyProtection="1">
      <alignment horizontal="center" vertical="center" wrapText="1"/>
      <protection locked="0"/>
    </xf>
    <xf numFmtId="9" fontId="6" fillId="0" borderId="12" xfId="8" applyFont="1" applyFill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164" fontId="11" fillId="0" borderId="1" xfId="1" applyNumberFormat="1" applyFont="1" applyBorder="1" applyAlignment="1" applyProtection="1">
      <alignment horizontal="left" vertical="top"/>
      <protection locked="0"/>
    </xf>
    <xf numFmtId="168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8" xfId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6" xfId="1" applyFont="1" applyBorder="1" applyAlignment="1" applyProtection="1">
      <alignment horizontal="center" vertical="top"/>
      <protection locked="0"/>
    </xf>
    <xf numFmtId="0" fontId="7" fillId="0" borderId="16" xfId="1" applyFont="1" applyBorder="1" applyAlignment="1" applyProtection="1">
      <alignment horizontal="left" vertical="top"/>
      <protection locked="0"/>
    </xf>
    <xf numFmtId="1" fontId="5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17" xfId="0" applyNumberFormat="1" applyFont="1" applyBorder="1" applyAlignment="1" applyProtection="1">
      <alignment horizontal="center" vertical="center"/>
      <protection locked="0"/>
    </xf>
    <xf numFmtId="1" fontId="9" fillId="0" borderId="18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11" fillId="0" borderId="0" xfId="1" applyFont="1" applyBorder="1" applyAlignment="1" applyProtection="1">
      <alignment horizontal="left" vertical="top" wrapText="1"/>
      <protection locked="0"/>
    </xf>
    <xf numFmtId="0" fontId="11" fillId="0" borderId="26" xfId="1" applyFont="1" applyBorder="1" applyAlignment="1" applyProtection="1">
      <alignment horizontal="left" vertical="top" wrapText="1"/>
      <protection locked="0"/>
    </xf>
    <xf numFmtId="0" fontId="11" fillId="0" borderId="19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6" fillId="0" borderId="35" xfId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5" fillId="0" borderId="32" xfId="0" applyNumberFormat="1" applyFont="1" applyBorder="1" applyAlignment="1" applyProtection="1">
      <alignment horizontal="center" vertical="center" wrapText="1"/>
      <protection locked="0"/>
    </xf>
    <xf numFmtId="1" fontId="7" fillId="0" borderId="33" xfId="0" applyNumberFormat="1" applyFont="1" applyBorder="1" applyAlignment="1" applyProtection="1">
      <alignment horizontal="center" vertical="center" wrapText="1"/>
      <protection locked="0"/>
    </xf>
    <xf numFmtId="1" fontId="7" fillId="0" borderId="34" xfId="0" applyNumberFormat="1" applyFont="1" applyBorder="1" applyAlignment="1" applyProtection="1">
      <alignment horizontal="center" vertical="center" wrapText="1"/>
      <protection locked="0"/>
    </xf>
    <xf numFmtId="1" fontId="9" fillId="0" borderId="34" xfId="0" applyNumberFormat="1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>
      <alignment horizontal="left"/>
    </xf>
    <xf numFmtId="0" fontId="7" fillId="0" borderId="13" xfId="1" applyFont="1" applyFill="1" applyBorder="1" applyAlignment="1" applyProtection="1">
      <alignment horizontal="left" vertical="top" wrapText="1"/>
      <protection locked="0"/>
    </xf>
    <xf numFmtId="0" fontId="7" fillId="0" borderId="14" xfId="1" applyFont="1" applyFill="1" applyBorder="1" applyAlignment="1" applyProtection="1">
      <alignment horizontal="left" vertical="top" wrapText="1"/>
      <protection locked="0"/>
    </xf>
    <xf numFmtId="0" fontId="7" fillId="0" borderId="23" xfId="1" applyFont="1" applyFill="1" applyBorder="1" applyAlignment="1" applyProtection="1">
      <alignment horizontal="left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911877</xdr:colOff>
      <xdr:row>312</xdr:row>
      <xdr:rowOff>35519</xdr:rowOff>
    </xdr:from>
    <xdr:to>
      <xdr:col>14</xdr:col>
      <xdr:colOff>318496</xdr:colOff>
      <xdr:row>326</xdr:row>
      <xdr:rowOff>128158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79402" y="61881344"/>
          <a:ext cx="4369144" cy="289298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897081</xdr:colOff>
      <xdr:row>296</xdr:row>
      <xdr:rowOff>64943</xdr:rowOff>
    </xdr:from>
    <xdr:to>
      <xdr:col>14</xdr:col>
      <xdr:colOff>333292</xdr:colOff>
      <xdr:row>310</xdr:row>
      <xdr:rowOff>192443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64606" y="58710368"/>
          <a:ext cx="4398736" cy="292785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617393</xdr:colOff>
      <xdr:row>270</xdr:row>
      <xdr:rowOff>18185</xdr:rowOff>
    </xdr:from>
    <xdr:to>
      <xdr:col>14</xdr:col>
      <xdr:colOff>577743</xdr:colOff>
      <xdr:row>288</xdr:row>
      <xdr:rowOff>33321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08968" y="53262935"/>
          <a:ext cx="2998825" cy="361558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8</xdr:col>
      <xdr:colOff>971550</xdr:colOff>
      <xdr:row>221</xdr:row>
      <xdr:rowOff>66675</xdr:rowOff>
    </xdr:from>
    <xdr:to>
      <xdr:col>17</xdr:col>
      <xdr:colOff>277647</xdr:colOff>
      <xdr:row>262</xdr:row>
      <xdr:rowOff>132160</xdr:rowOff>
    </xdr:to>
    <xdr:grpSp>
      <xdr:nvGrpSpPr>
        <xdr:cNvPr id="20" name="Group 19">
          <a:extLst>
            <a:ext uri="{FF2B5EF4-FFF2-40B4-BE49-F238E27FC236}">
              <a16:creationId xmlns="" xmlns:a16="http://schemas.microsoft.com/office/drawing/2014/main" id="{47792F7E-85E1-4099-9B1B-353A9AC1B744}"/>
            </a:ext>
          </a:extLst>
        </xdr:cNvPr>
        <xdr:cNvGrpSpPr/>
      </xdr:nvGrpSpPr>
      <xdr:grpSpPr>
        <a:xfrm>
          <a:off x="7972425" y="47539275"/>
          <a:ext cx="6326022" cy="8256985"/>
          <a:chOff x="225300" y="426956"/>
          <a:chExt cx="6326022" cy="8256985"/>
        </a:xfrm>
      </xdr:grpSpPr>
      <xdr:pic>
        <xdr:nvPicPr>
          <xdr:cNvPr id="29" name="Picture 28">
            <a:extLst>
              <a:ext uri="{FF2B5EF4-FFF2-40B4-BE49-F238E27FC236}">
                <a16:creationId xmlns="" xmlns:a16="http://schemas.microsoft.com/office/drawing/2014/main" id="{B0522299-22C4-4316-B65B-CB4AEFE5BA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3315" y="426956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="" xmlns:a16="http://schemas.microsoft.com/office/drawing/2014/main" id="{6206158A-2BA1-4E8B-8E37-C8193409C7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92317" y="426956"/>
            <a:ext cx="383695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="" xmlns:a16="http://schemas.microsoft.com/office/drawing/2014/main" id="{A21D21A0-E90E-453A-BB8C-F9FEA827A1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67869" y="3383513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="" xmlns:a16="http://schemas.microsoft.com/office/drawing/2014/main" id="{1824B429-C1B8-4B7C-83FB-63A761DF9F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9160" y="3383513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="" xmlns:a16="http://schemas.microsoft.com/office/drawing/2014/main" id="{AAA2D936-D2F3-46ED-8F14-D9ED20AEA9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5105" y="3383513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="" xmlns:a16="http://schemas.microsoft.com/office/drawing/2014/main" id="{CB18DDA6-1FD1-48EC-8FC7-1B9A9652F4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300" y="3383513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="" xmlns:a16="http://schemas.microsoft.com/office/drawing/2014/main" id="{22086C08-8A46-41B6-ACE7-BCF303A279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8075" y="5493727"/>
            <a:ext cx="2158286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="" xmlns:a16="http://schemas.microsoft.com/office/drawing/2014/main" id="{AFA68163-0B54-4441-A1BE-430CAFB7C9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83402" y="5493727"/>
            <a:ext cx="2158286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="" xmlns:a16="http://schemas.microsoft.com/office/drawing/2014/main" id="{4373E195-6A1E-4D54-9B98-5249ECD665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62813" y="7243941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="" xmlns:a16="http://schemas.microsoft.com/office/drawing/2014/main" id="{9BEDC3ED-3496-4D79-AB96-230480FDE2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8343" y="7243941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9" name="TextBox 153">
            <a:extLst>
              <a:ext uri="{FF2B5EF4-FFF2-40B4-BE49-F238E27FC236}">
                <a16:creationId xmlns="" xmlns:a16="http://schemas.microsoft.com/office/drawing/2014/main" id="{D4680A6D-2BC3-4A28-B5B5-D12A32C343BC}"/>
              </a:ext>
            </a:extLst>
          </xdr:cNvPr>
          <xdr:cNvSpPr txBox="1"/>
        </xdr:nvSpPr>
        <xdr:spPr>
          <a:xfrm>
            <a:off x="1412190" y="460741"/>
            <a:ext cx="1010213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A Wing 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40" name="TextBox 154">
            <a:extLst>
              <a:ext uri="{FF2B5EF4-FFF2-40B4-BE49-F238E27FC236}">
                <a16:creationId xmlns="" xmlns:a16="http://schemas.microsoft.com/office/drawing/2014/main" id="{48C2CF46-26E8-4821-8068-21C19082A810}"/>
              </a:ext>
            </a:extLst>
          </xdr:cNvPr>
          <xdr:cNvSpPr txBox="1"/>
        </xdr:nvSpPr>
        <xdr:spPr>
          <a:xfrm>
            <a:off x="282863" y="860851"/>
            <a:ext cx="998991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B Wing 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41" name="TextBox 155">
            <a:extLst>
              <a:ext uri="{FF2B5EF4-FFF2-40B4-BE49-F238E27FC236}">
                <a16:creationId xmlns="" xmlns:a16="http://schemas.microsoft.com/office/drawing/2014/main" id="{017A70AF-8305-49B1-AA2E-EEF7AEEBC9D6}"/>
              </a:ext>
            </a:extLst>
          </xdr:cNvPr>
          <xdr:cNvSpPr txBox="1"/>
        </xdr:nvSpPr>
        <xdr:spPr>
          <a:xfrm>
            <a:off x="4731801" y="505426"/>
            <a:ext cx="1010213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A Wing 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42" name="TextBox 156">
            <a:extLst>
              <a:ext uri="{FF2B5EF4-FFF2-40B4-BE49-F238E27FC236}">
                <a16:creationId xmlns="" xmlns:a16="http://schemas.microsoft.com/office/drawing/2014/main" id="{47EAA005-68EC-4B95-85DD-0BAFF5CC4B5C}"/>
              </a:ext>
            </a:extLst>
          </xdr:cNvPr>
          <xdr:cNvSpPr txBox="1"/>
        </xdr:nvSpPr>
        <xdr:spPr>
          <a:xfrm>
            <a:off x="3048151" y="830972"/>
            <a:ext cx="998991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B Wing </a:t>
            </a:r>
            <a:endParaRPr lang="en-IN" sz="20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8</xdr:col>
      <xdr:colOff>923925</xdr:colOff>
      <xdr:row>227</xdr:row>
      <xdr:rowOff>104775</xdr:rowOff>
    </xdr:from>
    <xdr:to>
      <xdr:col>17</xdr:col>
      <xdr:colOff>250882</xdr:colOff>
      <xdr:row>264</xdr:row>
      <xdr:rowOff>118913</xdr:rowOff>
    </xdr:to>
    <xdr:grpSp>
      <xdr:nvGrpSpPr>
        <xdr:cNvPr id="21" name="Group 20">
          <a:extLst>
            <a:ext uri="{FF2B5EF4-FFF2-40B4-BE49-F238E27FC236}">
              <a16:creationId xmlns="" xmlns:a16="http://schemas.microsoft.com/office/drawing/2014/main" id="{935C7607-AA7F-40FD-8EDB-F559C1C1331A}"/>
            </a:ext>
          </a:extLst>
        </xdr:cNvPr>
        <xdr:cNvGrpSpPr/>
      </xdr:nvGrpSpPr>
      <xdr:grpSpPr>
        <a:xfrm>
          <a:off x="7924800" y="48777525"/>
          <a:ext cx="6346882" cy="7405538"/>
          <a:chOff x="366077" y="453431"/>
          <a:chExt cx="6346882" cy="7405538"/>
        </a:xfrm>
      </xdr:grpSpPr>
      <xdr:grpSp>
        <xdr:nvGrpSpPr>
          <xdr:cNvPr id="22" name="Group 21">
            <a:extLst>
              <a:ext uri="{FF2B5EF4-FFF2-40B4-BE49-F238E27FC236}">
                <a16:creationId xmlns="" xmlns:a16="http://schemas.microsoft.com/office/drawing/2014/main" id="{050A0D5F-45E3-4032-A461-73ACCB6EA626}"/>
              </a:ext>
            </a:extLst>
          </xdr:cNvPr>
          <xdr:cNvGrpSpPr/>
        </xdr:nvGrpSpPr>
        <xdr:grpSpPr>
          <a:xfrm>
            <a:off x="366077" y="529631"/>
            <a:ext cx="6346882" cy="7329338"/>
            <a:chOff x="366077" y="529631"/>
            <a:chExt cx="6346882" cy="7329338"/>
          </a:xfrm>
        </xdr:grpSpPr>
        <xdr:pic>
          <xdr:nvPicPr>
            <xdr:cNvPr id="26" name="Picture 25">
              <a:extLst>
                <a:ext uri="{FF2B5EF4-FFF2-40B4-BE49-F238E27FC236}">
                  <a16:creationId xmlns="" xmlns:a16="http://schemas.microsoft.com/office/drawing/2014/main" id="{0865D985-2F60-4A82-9669-F99E7DA9226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6077" y="529631"/>
              <a:ext cx="3104596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="" xmlns:a16="http://schemas.microsoft.com/office/drawing/2014/main" id="{E652E66A-AAAB-4B4A-AE59-3183CA47147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08363" y="529631"/>
              <a:ext cx="3104596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="" xmlns:a16="http://schemas.microsoft.com/office/drawing/2014/main" id="{B98A0C37-5651-43C0-B74D-52CFD08569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6077" y="392430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="" xmlns:a16="http://schemas.microsoft.com/office/drawing/2014/main" id="{EF700477-7BA5-4199-AF3D-21540455A4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87220" y="392430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="" xmlns:a16="http://schemas.microsoft.com/office/drawing/2014/main" id="{74D1C591-9F4D-4FC5-BFD1-F039C0B23E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08363" y="392430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>
              <a:extLst>
                <a:ext uri="{FF2B5EF4-FFF2-40B4-BE49-F238E27FC236}">
                  <a16:creationId xmlns="" xmlns:a16="http://schemas.microsoft.com/office/drawing/2014/main" id="{47195A9A-EAB3-4A5C-B764-89347D3576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229506" y="392430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="" xmlns:a16="http://schemas.microsoft.com/office/drawing/2014/main" id="{A88B6D80-A33E-400B-8439-052C7FD7CF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63308" y="605896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="" xmlns:a16="http://schemas.microsoft.com/office/drawing/2014/main" id="{B7F4FEEE-7390-4F13-AAE0-25445A15A2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48368" y="605896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="" xmlns:a16="http://schemas.microsoft.com/office/drawing/2014/main" id="{000D3A2E-15D9-4051-BC0B-A3279D69E2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78248" y="605896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3" name="TextBox 56">
            <a:extLst>
              <a:ext uri="{FF2B5EF4-FFF2-40B4-BE49-F238E27FC236}">
                <a16:creationId xmlns="" xmlns:a16="http://schemas.microsoft.com/office/drawing/2014/main" id="{FE822897-FEF6-45A8-A36B-1D7E4EE181DD}"/>
              </a:ext>
            </a:extLst>
          </xdr:cNvPr>
          <xdr:cNvSpPr txBox="1"/>
        </xdr:nvSpPr>
        <xdr:spPr>
          <a:xfrm>
            <a:off x="1867238" y="453431"/>
            <a:ext cx="370614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A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24" name="TextBox 57">
            <a:extLst>
              <a:ext uri="{FF2B5EF4-FFF2-40B4-BE49-F238E27FC236}">
                <a16:creationId xmlns="" xmlns:a16="http://schemas.microsoft.com/office/drawing/2014/main" id="{ACB13E87-8F20-4583-9F2B-DBD0E5C71A8A}"/>
              </a:ext>
            </a:extLst>
          </xdr:cNvPr>
          <xdr:cNvSpPr txBox="1"/>
        </xdr:nvSpPr>
        <xdr:spPr>
          <a:xfrm>
            <a:off x="366077" y="896767"/>
            <a:ext cx="370614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B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25" name="TextBox 58">
            <a:extLst>
              <a:ext uri="{FF2B5EF4-FFF2-40B4-BE49-F238E27FC236}">
                <a16:creationId xmlns="" xmlns:a16="http://schemas.microsoft.com/office/drawing/2014/main" id="{9C7AAB38-12B0-4D11-A50F-599545D3D009}"/>
              </a:ext>
            </a:extLst>
          </xdr:cNvPr>
          <xdr:cNvSpPr txBox="1"/>
        </xdr:nvSpPr>
        <xdr:spPr>
          <a:xfrm>
            <a:off x="5091816" y="529631"/>
            <a:ext cx="370614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B</a:t>
            </a:r>
            <a:endParaRPr lang="en-IN" sz="24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9</xdr:col>
      <xdr:colOff>361950</xdr:colOff>
      <xdr:row>0</xdr:row>
      <xdr:rowOff>0</xdr:rowOff>
    </xdr:from>
    <xdr:to>
      <xdr:col>14</xdr:col>
      <xdr:colOff>370999</xdr:colOff>
      <xdr:row>21</xdr:row>
      <xdr:rowOff>237443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391525" y="0"/>
          <a:ext cx="3809524" cy="5457143"/>
        </a:xfrm>
        <a:prstGeom prst="rect">
          <a:avLst/>
        </a:prstGeom>
      </xdr:spPr>
    </xdr:pic>
    <xdr:clientData/>
  </xdr:twoCellAnchor>
  <xdr:twoCellAnchor>
    <xdr:from>
      <xdr:col>1</xdr:col>
      <xdr:colOff>552449</xdr:colOff>
      <xdr:row>294</xdr:row>
      <xdr:rowOff>114300</xdr:rowOff>
    </xdr:from>
    <xdr:to>
      <xdr:col>7</xdr:col>
      <xdr:colOff>714374</xdr:colOff>
      <xdr:row>329</xdr:row>
      <xdr:rowOff>104775</xdr:rowOff>
    </xdr:to>
    <xdr:grpSp>
      <xdr:nvGrpSpPr>
        <xdr:cNvPr id="66" name="Group 65"/>
        <xdr:cNvGrpSpPr/>
      </xdr:nvGrpSpPr>
      <xdr:grpSpPr>
        <a:xfrm>
          <a:off x="1314449" y="62179200"/>
          <a:ext cx="5133975" cy="6991350"/>
          <a:chOff x="1089000" y="225466"/>
          <a:chExt cx="4680000" cy="8084592"/>
        </a:xfrm>
      </xdr:grpSpPr>
      <xdr:pic>
        <xdr:nvPicPr>
          <xdr:cNvPr id="67" name="Picture 66"/>
          <xdr:cNvPicPr>
            <a:picLocks noChangeAspect="1"/>
          </xdr:cNvPicPr>
        </xdr:nvPicPr>
        <xdr:blipFill rotWithShape="1">
          <a:blip xmlns:r="http://schemas.openxmlformats.org/officeDocument/2006/relationships" r:embed="rId24"/>
          <a:srcRect l="18305" t="15750" r="26316" b="18500"/>
          <a:stretch/>
        </xdr:blipFill>
        <xdr:spPr>
          <a:xfrm>
            <a:off x="1089000" y="225466"/>
            <a:ext cx="468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68" name="Group 67"/>
          <xdr:cNvGrpSpPr/>
        </xdr:nvGrpSpPr>
        <xdr:grpSpPr>
          <a:xfrm>
            <a:off x="1089000" y="4350058"/>
            <a:ext cx="4680000" cy="3960000"/>
            <a:chOff x="1089000" y="4386634"/>
            <a:chExt cx="4680000" cy="3960000"/>
          </a:xfrm>
        </xdr:grpSpPr>
        <xdr:pic>
          <xdr:nvPicPr>
            <xdr:cNvPr id="69" name="Picture 6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5"/>
            <a:srcRect l="23927" t="18250" r="22662" b="17750"/>
            <a:stretch/>
          </xdr:blipFill>
          <xdr:spPr>
            <a:xfrm>
              <a:off x="1089000" y="4386634"/>
              <a:ext cx="4680000" cy="39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70" name="Rectangle 69"/>
            <xdr:cNvSpPr/>
          </xdr:nvSpPr>
          <xdr:spPr>
            <a:xfrm rot="21436064">
              <a:off x="3091653" y="5233706"/>
              <a:ext cx="555678" cy="1365048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71" name="Rectangle 70"/>
            <xdr:cNvSpPr/>
          </xdr:nvSpPr>
          <xdr:spPr>
            <a:xfrm rot="4005259">
              <a:off x="2781593" y="6568017"/>
              <a:ext cx="555678" cy="1365048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72" name="TextBox 106"/>
            <xdr:cNvSpPr txBox="1"/>
          </xdr:nvSpPr>
          <xdr:spPr>
            <a:xfrm>
              <a:off x="2520573" y="4650737"/>
              <a:ext cx="1697837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FF00"/>
                  </a:solidFill>
                </a:rPr>
                <a:t>Vrundavan Park</a:t>
              </a:r>
            </a:p>
          </xdr:txBody>
        </xdr:sp>
      </xdr:grpSp>
    </xdr:grpSp>
    <xdr:clientData/>
  </xdr:twoCellAnchor>
  <xdr:twoCellAnchor>
    <xdr:from>
      <xdr:col>0</xdr:col>
      <xdr:colOff>209549</xdr:colOff>
      <xdr:row>270</xdr:row>
      <xdr:rowOff>28575</xdr:rowOff>
    </xdr:from>
    <xdr:to>
      <xdr:col>7</xdr:col>
      <xdr:colOff>1057274</xdr:colOff>
      <xdr:row>293</xdr:row>
      <xdr:rowOff>104776</xdr:rowOff>
    </xdr:to>
    <xdr:grpSp>
      <xdr:nvGrpSpPr>
        <xdr:cNvPr id="73" name="Group 72"/>
        <xdr:cNvGrpSpPr/>
      </xdr:nvGrpSpPr>
      <xdr:grpSpPr>
        <a:xfrm>
          <a:off x="209549" y="57292875"/>
          <a:ext cx="6581775" cy="4676776"/>
          <a:chOff x="0" y="703111"/>
          <a:chExt cx="6858000" cy="5908705"/>
        </a:xfrm>
      </xdr:grpSpPr>
      <xdr:pic>
        <xdr:nvPicPr>
          <xdr:cNvPr id="74" name="Picture 73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03111"/>
            <a:ext cx="6858000" cy="59087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5" name="Rectangle 74"/>
          <xdr:cNvSpPr/>
        </xdr:nvSpPr>
        <xdr:spPr>
          <a:xfrm rot="637120">
            <a:off x="1108793" y="4589719"/>
            <a:ext cx="1285434" cy="1027171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6" name="TextBox 111"/>
          <xdr:cNvSpPr txBox="1"/>
        </xdr:nvSpPr>
        <xdr:spPr>
          <a:xfrm>
            <a:off x="566570" y="5613249"/>
            <a:ext cx="1184940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Building 2 </a:t>
            </a:r>
          </a:p>
          <a:p>
            <a:r>
              <a:rPr lang="en-IN" b="1">
                <a:solidFill>
                  <a:srgbClr val="FF0000"/>
                </a:solidFill>
              </a:rPr>
              <a:t>(Wing A)</a:t>
            </a:r>
          </a:p>
        </xdr:txBody>
      </xdr:sp>
      <xdr:sp macro="" textlink="">
        <xdr:nvSpPr>
          <xdr:cNvPr id="77" name="Rectangle 76"/>
          <xdr:cNvSpPr/>
        </xdr:nvSpPr>
        <xdr:spPr>
          <a:xfrm rot="637120">
            <a:off x="2418377" y="4806839"/>
            <a:ext cx="1090661" cy="104404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8" name="Rectangle 77"/>
          <xdr:cNvSpPr/>
        </xdr:nvSpPr>
        <xdr:spPr>
          <a:xfrm rot="637120">
            <a:off x="3493924" y="5025286"/>
            <a:ext cx="1257607" cy="1037409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9" name="TextBox 114"/>
          <xdr:cNvSpPr txBox="1"/>
        </xdr:nvSpPr>
        <xdr:spPr>
          <a:xfrm>
            <a:off x="2037639" y="5854476"/>
            <a:ext cx="1184940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Building 2 </a:t>
            </a:r>
          </a:p>
          <a:p>
            <a:r>
              <a:rPr lang="en-IN" b="1">
                <a:solidFill>
                  <a:srgbClr val="FF0000"/>
                </a:solidFill>
              </a:rPr>
              <a:t>(Wing B)</a:t>
            </a:r>
          </a:p>
        </xdr:txBody>
      </xdr:sp>
      <xdr:sp macro="" textlink="">
        <xdr:nvSpPr>
          <xdr:cNvPr id="80" name="TextBox 115"/>
          <xdr:cNvSpPr txBox="1"/>
        </xdr:nvSpPr>
        <xdr:spPr>
          <a:xfrm>
            <a:off x="4910636" y="5613249"/>
            <a:ext cx="1184940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Building 2 </a:t>
            </a:r>
          </a:p>
          <a:p>
            <a:r>
              <a:rPr lang="en-IN" b="1">
                <a:solidFill>
                  <a:srgbClr val="FF0000"/>
                </a:solidFill>
              </a:rPr>
              <a:t>(Wing C)</a:t>
            </a:r>
          </a:p>
        </xdr:txBody>
      </xdr:sp>
      <xdr:sp macro="" textlink="">
        <xdr:nvSpPr>
          <xdr:cNvPr id="81" name="Rectangle 80"/>
          <xdr:cNvSpPr/>
        </xdr:nvSpPr>
        <xdr:spPr>
          <a:xfrm rot="1324828">
            <a:off x="4505193" y="2814875"/>
            <a:ext cx="1357574" cy="1395502"/>
          </a:xfrm>
          <a:prstGeom prst="rect">
            <a:avLst/>
          </a:prstGeom>
          <a:noFill/>
          <a:ln w="38100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82" name="Rectangle 81"/>
          <xdr:cNvSpPr/>
        </xdr:nvSpPr>
        <xdr:spPr>
          <a:xfrm rot="1324828">
            <a:off x="5039039" y="1469087"/>
            <a:ext cx="1357574" cy="1447718"/>
          </a:xfrm>
          <a:prstGeom prst="rect">
            <a:avLst/>
          </a:prstGeom>
          <a:noFill/>
          <a:ln w="38100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83" name="TextBox 118"/>
          <xdr:cNvSpPr txBox="1"/>
        </xdr:nvSpPr>
        <xdr:spPr>
          <a:xfrm>
            <a:off x="4427527" y="765672"/>
            <a:ext cx="1184940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002060"/>
                </a:solidFill>
              </a:rPr>
              <a:t>Building 1 </a:t>
            </a:r>
          </a:p>
          <a:p>
            <a:r>
              <a:rPr lang="en-IN" b="1">
                <a:solidFill>
                  <a:srgbClr val="002060"/>
                </a:solidFill>
              </a:rPr>
              <a:t>(Wing B)</a:t>
            </a:r>
          </a:p>
        </xdr:txBody>
      </xdr:sp>
      <xdr:sp macro="" textlink="">
        <xdr:nvSpPr>
          <xdr:cNvPr id="84" name="TextBox 119"/>
          <xdr:cNvSpPr txBox="1"/>
        </xdr:nvSpPr>
        <xdr:spPr>
          <a:xfrm>
            <a:off x="3242587" y="2610888"/>
            <a:ext cx="1184940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002060"/>
                </a:solidFill>
              </a:rPr>
              <a:t>Building 1 </a:t>
            </a:r>
          </a:p>
          <a:p>
            <a:r>
              <a:rPr lang="en-IN" b="1">
                <a:solidFill>
                  <a:srgbClr val="002060"/>
                </a:solidFill>
              </a:rPr>
              <a:t>(Wing A)</a:t>
            </a:r>
          </a:p>
        </xdr:txBody>
      </xdr:sp>
      <xdr:grpSp>
        <xdr:nvGrpSpPr>
          <xdr:cNvPr id="85" name="Group 84"/>
          <xdr:cNvGrpSpPr/>
        </xdr:nvGrpSpPr>
        <xdr:grpSpPr>
          <a:xfrm rot="1383486">
            <a:off x="1238232" y="1592395"/>
            <a:ext cx="474784" cy="971636"/>
            <a:chOff x="808896" y="1402289"/>
            <a:chExt cx="474784" cy="971636"/>
          </a:xfrm>
        </xdr:grpSpPr>
        <xdr:sp macro="" textlink="">
          <xdr:nvSpPr>
            <xdr:cNvPr id="86" name="Right Arrow 85"/>
            <xdr:cNvSpPr/>
          </xdr:nvSpPr>
          <xdr:spPr>
            <a:xfrm rot="16200000">
              <a:off x="852857" y="2031024"/>
              <a:ext cx="386861" cy="298941"/>
            </a:xfrm>
            <a:prstGeom prst="rightArrow">
              <a:avLst/>
            </a:prstGeom>
            <a:solidFill>
              <a:schemeClr val="tx1"/>
            </a:solidFill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 sz="1400"/>
            </a:p>
          </xdr:txBody>
        </xdr:sp>
        <xdr:sp macro="" textlink="">
          <xdr:nvSpPr>
            <xdr:cNvPr id="87" name="TextBox 122"/>
            <xdr:cNvSpPr txBox="1"/>
          </xdr:nvSpPr>
          <xdr:spPr>
            <a:xfrm>
              <a:off x="808896" y="1402289"/>
              <a:ext cx="474784" cy="58477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32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</a:t>
              </a:r>
              <a:endParaRPr lang="en-IN" sz="32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>
    <xdr:from>
      <xdr:col>0</xdr:col>
      <xdr:colOff>77243</xdr:colOff>
      <xdr:row>226</xdr:row>
      <xdr:rowOff>17220</xdr:rowOff>
    </xdr:from>
    <xdr:to>
      <xdr:col>7</xdr:col>
      <xdr:colOff>1146450</xdr:colOff>
      <xdr:row>266</xdr:row>
      <xdr:rowOff>91725</xdr:rowOff>
    </xdr:to>
    <xdr:grpSp>
      <xdr:nvGrpSpPr>
        <xdr:cNvPr id="8" name="Group 7"/>
        <xdr:cNvGrpSpPr/>
      </xdr:nvGrpSpPr>
      <xdr:grpSpPr>
        <a:xfrm>
          <a:off x="77243" y="48489945"/>
          <a:ext cx="6803257" cy="8065980"/>
          <a:chOff x="77243" y="45689595"/>
          <a:chExt cx="6803257" cy="8065980"/>
        </a:xfrm>
      </xdr:grpSpPr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82721" y="49924926"/>
            <a:ext cx="1671774" cy="202217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7571" y="49924926"/>
            <a:ext cx="1671774" cy="202217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51" name="Group 50"/>
          <xdr:cNvGrpSpPr/>
        </xdr:nvGrpSpPr>
        <xdr:grpSpPr>
          <a:xfrm>
            <a:off x="1083591" y="52070427"/>
            <a:ext cx="4586187" cy="1685148"/>
            <a:chOff x="1022615" y="6778256"/>
            <a:chExt cx="4439524" cy="1800000"/>
          </a:xfrm>
        </xdr:grpSpPr>
        <xdr:pic>
          <xdr:nvPicPr>
            <xdr:cNvPr id="60" name="Picture 59"/>
            <xdr:cNvPicPr>
              <a:picLocks noChangeAspect="1"/>
            </xdr:cNvPicPr>
          </xdr:nvPicPr>
          <xdr:blipFill>
            <a:blip xmlns:r="http://schemas.openxmlformats.org/officeDocument/2006/relationships" r:embed="rId2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113545" y="677825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/>
            <xdr:cNvPicPr>
              <a:picLocks noChangeAspect="1"/>
            </xdr:cNvPicPr>
          </xdr:nvPicPr>
          <xdr:blipFill>
            <a:blip xmlns:r="http://schemas.openxmlformats.org/officeDocument/2006/relationships" r:embed="rId3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68079" y="677825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/>
            <xdr:cNvPicPr>
              <a:picLocks noChangeAspect="1"/>
            </xdr:cNvPicPr>
          </xdr:nvPicPr>
          <xdr:blipFill>
            <a:blip xmlns:r="http://schemas.openxmlformats.org/officeDocument/2006/relationships" r:embed="rId3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22615" y="6778256"/>
              <a:ext cx="1348592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52471" y="48010104"/>
            <a:ext cx="148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3536" y="45748575"/>
            <a:ext cx="186589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7243" y="45767625"/>
            <a:ext cx="186589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6" name="Group 5"/>
          <xdr:cNvGrpSpPr/>
        </xdr:nvGrpSpPr>
        <xdr:grpSpPr>
          <a:xfrm>
            <a:off x="336884" y="45689595"/>
            <a:ext cx="3671521" cy="725729"/>
            <a:chOff x="285749" y="44356864"/>
            <a:chExt cx="5936905" cy="6316044"/>
          </a:xfrm>
        </xdr:grpSpPr>
        <xdr:sp macro="" textlink="">
          <xdr:nvSpPr>
            <xdr:cNvPr id="89" name="TextBox 57">
              <a:extLst>
                <a:ext uri="{FF2B5EF4-FFF2-40B4-BE49-F238E27FC236}">
                  <a16:creationId xmlns="" xmlns:a16="http://schemas.microsoft.com/office/drawing/2014/main" id="{ACB13E87-8F20-4583-9F2B-DBD0E5C71A8A}"/>
                </a:ext>
              </a:extLst>
            </xdr:cNvPr>
            <xdr:cNvSpPr txBox="1"/>
          </xdr:nvSpPr>
          <xdr:spPr>
            <a:xfrm>
              <a:off x="285749" y="46239536"/>
              <a:ext cx="1495425" cy="46166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100" b="1">
                  <a:solidFill>
                    <a:srgbClr val="FF0000"/>
                  </a:solidFill>
                </a:rPr>
                <a:t>Wing B</a:t>
              </a:r>
              <a:endParaRPr lang="en-IN" sz="11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90" name="TextBox 57">
              <a:extLst>
                <a:ext uri="{FF2B5EF4-FFF2-40B4-BE49-F238E27FC236}">
                  <a16:creationId xmlns="" xmlns:a16="http://schemas.microsoft.com/office/drawing/2014/main" id="{ACB13E87-8F20-4583-9F2B-DBD0E5C71A8A}"/>
                </a:ext>
              </a:extLst>
            </xdr:cNvPr>
            <xdr:cNvSpPr txBox="1"/>
          </xdr:nvSpPr>
          <xdr:spPr>
            <a:xfrm>
              <a:off x="4451004" y="44657058"/>
              <a:ext cx="1771650" cy="46166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Bldg</a:t>
              </a:r>
              <a:r>
                <a:rPr lang="en-US" sz="1400" b="1" baseline="0">
                  <a:solidFill>
                    <a:srgbClr val="FF0000"/>
                  </a:solidFill>
                </a:rPr>
                <a:t> No. 1 (Wing B)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91" name="TextBox 57">
              <a:extLst>
                <a:ext uri="{FF2B5EF4-FFF2-40B4-BE49-F238E27FC236}">
                  <a16:creationId xmlns="" xmlns:a16="http://schemas.microsoft.com/office/drawing/2014/main" id="{ACB13E87-8F20-4583-9F2B-DBD0E5C71A8A}"/>
                </a:ext>
              </a:extLst>
            </xdr:cNvPr>
            <xdr:cNvSpPr txBox="1"/>
          </xdr:nvSpPr>
          <xdr:spPr>
            <a:xfrm>
              <a:off x="648510" y="44356864"/>
              <a:ext cx="1771650" cy="548704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Bldg</a:t>
              </a:r>
              <a:r>
                <a:rPr lang="en-US" sz="1400" b="1" baseline="0">
                  <a:solidFill>
                    <a:srgbClr val="FF0000"/>
                  </a:solidFill>
                </a:rPr>
                <a:t> No. 1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92" name="TextBox 57">
              <a:extLst>
                <a:ext uri="{FF2B5EF4-FFF2-40B4-BE49-F238E27FC236}">
                  <a16:creationId xmlns="" xmlns:a16="http://schemas.microsoft.com/office/drawing/2014/main" id="{ACB13E87-8F20-4583-9F2B-DBD0E5C71A8A}"/>
                </a:ext>
              </a:extLst>
            </xdr:cNvPr>
            <xdr:cNvSpPr txBox="1"/>
          </xdr:nvSpPr>
          <xdr:spPr>
            <a:xfrm>
              <a:off x="1343025" y="46010928"/>
              <a:ext cx="1495425" cy="4661980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100" b="1">
                  <a:solidFill>
                    <a:srgbClr val="FF0000"/>
                  </a:solidFill>
                </a:rPr>
                <a:t>Wing A</a:t>
              </a:r>
              <a:endParaRPr lang="en-IN" sz="1100" b="1">
                <a:solidFill>
                  <a:srgbClr val="FF0000"/>
                </a:solidFill>
              </a:endParaRPr>
            </a:p>
          </xdr:txBody>
        </xdr:sp>
      </xdr:grpSp>
      <xdr:pic>
        <xdr:nvPicPr>
          <xdr:cNvPr id="88" name="Picture 87"/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0" y="45748575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3" name="Picture 92"/>
          <xdr:cNvPicPr>
            <a:picLocks noChangeAspect="1"/>
          </xdr:cNvPicPr>
        </xdr:nvPicPr>
        <xdr:blipFill>
          <a:blip xmlns:r="http://schemas.openxmlformats.org/officeDocument/2006/relationships" r:embed="rId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3895" y="48006000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4" name="Picture 93"/>
          <xdr:cNvPicPr>
            <a:picLocks noChangeAspect="1"/>
          </xdr:cNvPicPr>
        </xdr:nvPicPr>
        <xdr:blipFill>
          <a:blip xmlns:r="http://schemas.openxmlformats.org/officeDocument/2006/relationships" r:embed="rId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600" y="48006000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5</xdr:col>
      <xdr:colOff>534442</xdr:colOff>
      <xdr:row>226</xdr:row>
      <xdr:rowOff>179145</xdr:rowOff>
    </xdr:from>
    <xdr:to>
      <xdr:col>7</xdr:col>
      <xdr:colOff>695325</xdr:colOff>
      <xdr:row>229</xdr:row>
      <xdr:rowOff>124268</xdr:rowOff>
    </xdr:to>
    <xdr:sp macro="" textlink="">
      <xdr:nvSpPr>
        <xdr:cNvPr id="97" name="TextBox 57">
          <a:extLst>
            <a:ext uri="{FF2B5EF4-FFF2-40B4-BE49-F238E27FC236}">
              <a16:creationId xmlns="" xmlns:a16="http://schemas.microsoft.com/office/drawing/2014/main" id="{ACB13E87-8F20-4583-9F2B-DBD0E5C71A8A}"/>
            </a:ext>
          </a:extLst>
        </xdr:cNvPr>
        <xdr:cNvSpPr txBox="1"/>
      </xdr:nvSpPr>
      <xdr:spPr>
        <a:xfrm>
          <a:off x="4687342" y="45851520"/>
          <a:ext cx="1742033" cy="53567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FF0000"/>
              </a:solidFill>
            </a:rPr>
            <a:t>Bldg No. 02 (Wing A)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696367</xdr:colOff>
      <xdr:row>238</xdr:row>
      <xdr:rowOff>45795</xdr:rowOff>
    </xdr:from>
    <xdr:to>
      <xdr:col>3</xdr:col>
      <xdr:colOff>19050</xdr:colOff>
      <xdr:row>240</xdr:row>
      <xdr:rowOff>181418</xdr:rowOff>
    </xdr:to>
    <xdr:sp macro="" textlink="">
      <xdr:nvSpPr>
        <xdr:cNvPr id="98" name="TextBox 57">
          <a:extLst>
            <a:ext uri="{FF2B5EF4-FFF2-40B4-BE49-F238E27FC236}">
              <a16:creationId xmlns="" xmlns:a16="http://schemas.microsoft.com/office/drawing/2014/main" id="{ACB13E87-8F20-4583-9F2B-DBD0E5C71A8A}"/>
            </a:ext>
          </a:extLst>
        </xdr:cNvPr>
        <xdr:cNvSpPr txBox="1"/>
      </xdr:nvSpPr>
      <xdr:spPr>
        <a:xfrm>
          <a:off x="696367" y="48108945"/>
          <a:ext cx="1742033" cy="53567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FF0000"/>
              </a:solidFill>
            </a:rPr>
            <a:t>Bldg No. 02 (Wing B)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839242</xdr:colOff>
      <xdr:row>237</xdr:row>
      <xdr:rowOff>188670</xdr:rowOff>
    </xdr:from>
    <xdr:to>
      <xdr:col>6</xdr:col>
      <xdr:colOff>57150</xdr:colOff>
      <xdr:row>240</xdr:row>
      <xdr:rowOff>124268</xdr:rowOff>
    </xdr:to>
    <xdr:sp macro="" textlink="">
      <xdr:nvSpPr>
        <xdr:cNvPr id="99" name="TextBox 57">
          <a:extLst>
            <a:ext uri="{FF2B5EF4-FFF2-40B4-BE49-F238E27FC236}">
              <a16:creationId xmlns="" xmlns:a16="http://schemas.microsoft.com/office/drawing/2014/main" id="{ACB13E87-8F20-4583-9F2B-DBD0E5C71A8A}"/>
            </a:ext>
          </a:extLst>
        </xdr:cNvPr>
        <xdr:cNvSpPr txBox="1"/>
      </xdr:nvSpPr>
      <xdr:spPr>
        <a:xfrm>
          <a:off x="3258592" y="48051795"/>
          <a:ext cx="1742033" cy="53567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FF0000"/>
              </a:solidFill>
            </a:rPr>
            <a:t>Bldg No. 02 (Wing C)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maps.app.goo.gl/GoTJMgWvmtFUUGGX6" TargetMode="External"/><Relationship Id="rId1" Type="http://schemas.openxmlformats.org/officeDocument/2006/relationships/hyperlink" Target="https://goo.gl/maps/ewcKr7Zs7dMSi9K57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295"/>
  <sheetViews>
    <sheetView tabSelected="1" view="pageBreakPreview" topLeftCell="A205" zoomScaleNormal="100" zoomScaleSheetLayoutView="100" workbookViewId="0">
      <selection activeCell="I214" sqref="I214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85546875" style="39" customWidth="1"/>
    <col min="4" max="4" width="14.140625" style="39" customWidth="1"/>
    <col min="5" max="7" width="11.85546875" style="39" customWidth="1"/>
    <col min="8" max="8" width="19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85546875" style="20" customWidth="1"/>
    <col min="17" max="247" width="9.140625" style="20"/>
    <col min="248" max="248" width="8.85546875" style="20" customWidth="1"/>
    <col min="249" max="249" width="9.85546875" style="20" customWidth="1"/>
    <col min="250" max="250" width="14.42578125" style="20" customWidth="1"/>
    <col min="251" max="251" width="7.140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85546875" style="20" customWidth="1"/>
    <col min="505" max="505" width="9.85546875" style="20" customWidth="1"/>
    <col min="506" max="506" width="14.42578125" style="20" customWidth="1"/>
    <col min="507" max="507" width="7.140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85546875" style="20" customWidth="1"/>
    <col min="761" max="761" width="9.85546875" style="20" customWidth="1"/>
    <col min="762" max="762" width="14.42578125" style="20" customWidth="1"/>
    <col min="763" max="763" width="7.140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85546875" style="20" customWidth="1"/>
    <col min="1017" max="1017" width="9.85546875" style="20" customWidth="1"/>
    <col min="1018" max="1018" width="14.42578125" style="20" customWidth="1"/>
    <col min="1019" max="1019" width="7.140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85546875" style="20" customWidth="1"/>
    <col min="1273" max="1273" width="9.85546875" style="20" customWidth="1"/>
    <col min="1274" max="1274" width="14.42578125" style="20" customWidth="1"/>
    <col min="1275" max="1275" width="7.140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85546875" style="20" customWidth="1"/>
    <col min="1529" max="1529" width="9.85546875" style="20" customWidth="1"/>
    <col min="1530" max="1530" width="14.42578125" style="20" customWidth="1"/>
    <col min="1531" max="1531" width="7.140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85546875" style="20" customWidth="1"/>
    <col min="1785" max="1785" width="9.85546875" style="20" customWidth="1"/>
    <col min="1786" max="1786" width="14.42578125" style="20" customWidth="1"/>
    <col min="1787" max="1787" width="7.140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85546875" style="20" customWidth="1"/>
    <col min="2041" max="2041" width="9.85546875" style="20" customWidth="1"/>
    <col min="2042" max="2042" width="14.42578125" style="20" customWidth="1"/>
    <col min="2043" max="2043" width="7.140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85546875" style="20" customWidth="1"/>
    <col min="2297" max="2297" width="9.85546875" style="20" customWidth="1"/>
    <col min="2298" max="2298" width="14.42578125" style="20" customWidth="1"/>
    <col min="2299" max="2299" width="7.140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85546875" style="20" customWidth="1"/>
    <col min="2553" max="2553" width="9.85546875" style="20" customWidth="1"/>
    <col min="2554" max="2554" width="14.42578125" style="20" customWidth="1"/>
    <col min="2555" max="2555" width="7.140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85546875" style="20" customWidth="1"/>
    <col min="2809" max="2809" width="9.85546875" style="20" customWidth="1"/>
    <col min="2810" max="2810" width="14.42578125" style="20" customWidth="1"/>
    <col min="2811" max="2811" width="7.140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85546875" style="20" customWidth="1"/>
    <col min="3065" max="3065" width="9.85546875" style="20" customWidth="1"/>
    <col min="3066" max="3066" width="14.42578125" style="20" customWidth="1"/>
    <col min="3067" max="3067" width="7.140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85546875" style="20" customWidth="1"/>
    <col min="3321" max="3321" width="9.85546875" style="20" customWidth="1"/>
    <col min="3322" max="3322" width="14.42578125" style="20" customWidth="1"/>
    <col min="3323" max="3323" width="7.140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85546875" style="20" customWidth="1"/>
    <col min="3577" max="3577" width="9.85546875" style="20" customWidth="1"/>
    <col min="3578" max="3578" width="14.42578125" style="20" customWidth="1"/>
    <col min="3579" max="3579" width="7.140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85546875" style="20" customWidth="1"/>
    <col min="3833" max="3833" width="9.85546875" style="20" customWidth="1"/>
    <col min="3834" max="3834" width="14.42578125" style="20" customWidth="1"/>
    <col min="3835" max="3835" width="7.140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85546875" style="20" customWidth="1"/>
    <col min="4089" max="4089" width="9.85546875" style="20" customWidth="1"/>
    <col min="4090" max="4090" width="14.42578125" style="20" customWidth="1"/>
    <col min="4091" max="4091" width="7.140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85546875" style="20" customWidth="1"/>
    <col min="4345" max="4345" width="9.85546875" style="20" customWidth="1"/>
    <col min="4346" max="4346" width="14.42578125" style="20" customWidth="1"/>
    <col min="4347" max="4347" width="7.140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85546875" style="20" customWidth="1"/>
    <col min="4601" max="4601" width="9.85546875" style="20" customWidth="1"/>
    <col min="4602" max="4602" width="14.42578125" style="20" customWidth="1"/>
    <col min="4603" max="4603" width="7.140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85546875" style="20" customWidth="1"/>
    <col min="4857" max="4857" width="9.85546875" style="20" customWidth="1"/>
    <col min="4858" max="4858" width="14.42578125" style="20" customWidth="1"/>
    <col min="4859" max="4859" width="7.140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85546875" style="20" customWidth="1"/>
    <col min="5113" max="5113" width="9.85546875" style="20" customWidth="1"/>
    <col min="5114" max="5114" width="14.42578125" style="20" customWidth="1"/>
    <col min="5115" max="5115" width="7.140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85546875" style="20" customWidth="1"/>
    <col min="5369" max="5369" width="9.85546875" style="20" customWidth="1"/>
    <col min="5370" max="5370" width="14.42578125" style="20" customWidth="1"/>
    <col min="5371" max="5371" width="7.140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85546875" style="20" customWidth="1"/>
    <col min="5625" max="5625" width="9.85546875" style="20" customWidth="1"/>
    <col min="5626" max="5626" width="14.42578125" style="20" customWidth="1"/>
    <col min="5627" max="5627" width="7.140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85546875" style="20" customWidth="1"/>
    <col min="5881" max="5881" width="9.85546875" style="20" customWidth="1"/>
    <col min="5882" max="5882" width="14.42578125" style="20" customWidth="1"/>
    <col min="5883" max="5883" width="7.140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85546875" style="20" customWidth="1"/>
    <col min="6137" max="6137" width="9.85546875" style="20" customWidth="1"/>
    <col min="6138" max="6138" width="14.42578125" style="20" customWidth="1"/>
    <col min="6139" max="6139" width="7.140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85546875" style="20" customWidth="1"/>
    <col min="6393" max="6393" width="9.85546875" style="20" customWidth="1"/>
    <col min="6394" max="6394" width="14.42578125" style="20" customWidth="1"/>
    <col min="6395" max="6395" width="7.140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85546875" style="20" customWidth="1"/>
    <col min="6649" max="6649" width="9.85546875" style="20" customWidth="1"/>
    <col min="6650" max="6650" width="14.42578125" style="20" customWidth="1"/>
    <col min="6651" max="6651" width="7.140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85546875" style="20" customWidth="1"/>
    <col min="6905" max="6905" width="9.85546875" style="20" customWidth="1"/>
    <col min="6906" max="6906" width="14.42578125" style="20" customWidth="1"/>
    <col min="6907" max="6907" width="7.140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85546875" style="20" customWidth="1"/>
    <col min="7161" max="7161" width="9.85546875" style="20" customWidth="1"/>
    <col min="7162" max="7162" width="14.42578125" style="20" customWidth="1"/>
    <col min="7163" max="7163" width="7.140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85546875" style="20" customWidth="1"/>
    <col min="7417" max="7417" width="9.85546875" style="20" customWidth="1"/>
    <col min="7418" max="7418" width="14.42578125" style="20" customWidth="1"/>
    <col min="7419" max="7419" width="7.140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85546875" style="20" customWidth="1"/>
    <col min="7673" max="7673" width="9.85546875" style="20" customWidth="1"/>
    <col min="7674" max="7674" width="14.42578125" style="20" customWidth="1"/>
    <col min="7675" max="7675" width="7.140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85546875" style="20" customWidth="1"/>
    <col min="7929" max="7929" width="9.85546875" style="20" customWidth="1"/>
    <col min="7930" max="7930" width="14.42578125" style="20" customWidth="1"/>
    <col min="7931" max="7931" width="7.140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85546875" style="20" customWidth="1"/>
    <col min="8185" max="8185" width="9.85546875" style="20" customWidth="1"/>
    <col min="8186" max="8186" width="14.42578125" style="20" customWidth="1"/>
    <col min="8187" max="8187" width="7.140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85546875" style="20" customWidth="1"/>
    <col min="8441" max="8441" width="9.85546875" style="20" customWidth="1"/>
    <col min="8442" max="8442" width="14.42578125" style="20" customWidth="1"/>
    <col min="8443" max="8443" width="7.140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85546875" style="20" customWidth="1"/>
    <col min="8697" max="8697" width="9.85546875" style="20" customWidth="1"/>
    <col min="8698" max="8698" width="14.42578125" style="20" customWidth="1"/>
    <col min="8699" max="8699" width="7.140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85546875" style="20" customWidth="1"/>
    <col min="8953" max="8953" width="9.85546875" style="20" customWidth="1"/>
    <col min="8954" max="8954" width="14.42578125" style="20" customWidth="1"/>
    <col min="8955" max="8955" width="7.140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85546875" style="20" customWidth="1"/>
    <col min="9209" max="9209" width="9.85546875" style="20" customWidth="1"/>
    <col min="9210" max="9210" width="14.42578125" style="20" customWidth="1"/>
    <col min="9211" max="9211" width="7.140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85546875" style="20" customWidth="1"/>
    <col min="9465" max="9465" width="9.85546875" style="20" customWidth="1"/>
    <col min="9466" max="9466" width="14.42578125" style="20" customWidth="1"/>
    <col min="9467" max="9467" width="7.140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85546875" style="20" customWidth="1"/>
    <col min="9721" max="9721" width="9.85546875" style="20" customWidth="1"/>
    <col min="9722" max="9722" width="14.42578125" style="20" customWidth="1"/>
    <col min="9723" max="9723" width="7.140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85546875" style="20" customWidth="1"/>
    <col min="9977" max="9977" width="9.85546875" style="20" customWidth="1"/>
    <col min="9978" max="9978" width="14.42578125" style="20" customWidth="1"/>
    <col min="9979" max="9979" width="7.140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85546875" style="20" customWidth="1"/>
    <col min="10233" max="10233" width="9.85546875" style="20" customWidth="1"/>
    <col min="10234" max="10234" width="14.42578125" style="20" customWidth="1"/>
    <col min="10235" max="10235" width="7.140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85546875" style="20" customWidth="1"/>
    <col min="10489" max="10489" width="9.85546875" style="20" customWidth="1"/>
    <col min="10490" max="10490" width="14.42578125" style="20" customWidth="1"/>
    <col min="10491" max="10491" width="7.140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85546875" style="20" customWidth="1"/>
    <col min="10745" max="10745" width="9.85546875" style="20" customWidth="1"/>
    <col min="10746" max="10746" width="14.42578125" style="20" customWidth="1"/>
    <col min="10747" max="10747" width="7.140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85546875" style="20" customWidth="1"/>
    <col min="11001" max="11001" width="9.85546875" style="20" customWidth="1"/>
    <col min="11002" max="11002" width="14.42578125" style="20" customWidth="1"/>
    <col min="11003" max="11003" width="7.140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85546875" style="20" customWidth="1"/>
    <col min="11257" max="11257" width="9.85546875" style="20" customWidth="1"/>
    <col min="11258" max="11258" width="14.42578125" style="20" customWidth="1"/>
    <col min="11259" max="11259" width="7.140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85546875" style="20" customWidth="1"/>
    <col min="11513" max="11513" width="9.85546875" style="20" customWidth="1"/>
    <col min="11514" max="11514" width="14.42578125" style="20" customWidth="1"/>
    <col min="11515" max="11515" width="7.140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85546875" style="20" customWidth="1"/>
    <col min="11769" max="11769" width="9.85546875" style="20" customWidth="1"/>
    <col min="11770" max="11770" width="14.42578125" style="20" customWidth="1"/>
    <col min="11771" max="11771" width="7.140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85546875" style="20" customWidth="1"/>
    <col min="12025" max="12025" width="9.85546875" style="20" customWidth="1"/>
    <col min="12026" max="12026" width="14.42578125" style="20" customWidth="1"/>
    <col min="12027" max="12027" width="7.140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85546875" style="20" customWidth="1"/>
    <col min="12281" max="12281" width="9.85546875" style="20" customWidth="1"/>
    <col min="12282" max="12282" width="14.42578125" style="20" customWidth="1"/>
    <col min="12283" max="12283" width="7.140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85546875" style="20" customWidth="1"/>
    <col min="12537" max="12537" width="9.85546875" style="20" customWidth="1"/>
    <col min="12538" max="12538" width="14.42578125" style="20" customWidth="1"/>
    <col min="12539" max="12539" width="7.140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85546875" style="20" customWidth="1"/>
    <col min="12793" max="12793" width="9.85546875" style="20" customWidth="1"/>
    <col min="12794" max="12794" width="14.42578125" style="20" customWidth="1"/>
    <col min="12795" max="12795" width="7.140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85546875" style="20" customWidth="1"/>
    <col min="13049" max="13049" width="9.85546875" style="20" customWidth="1"/>
    <col min="13050" max="13050" width="14.42578125" style="20" customWidth="1"/>
    <col min="13051" max="13051" width="7.140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85546875" style="20" customWidth="1"/>
    <col min="13305" max="13305" width="9.85546875" style="20" customWidth="1"/>
    <col min="13306" max="13306" width="14.42578125" style="20" customWidth="1"/>
    <col min="13307" max="13307" width="7.140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85546875" style="20" customWidth="1"/>
    <col min="13561" max="13561" width="9.85546875" style="20" customWidth="1"/>
    <col min="13562" max="13562" width="14.42578125" style="20" customWidth="1"/>
    <col min="13563" max="13563" width="7.140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85546875" style="20" customWidth="1"/>
    <col min="13817" max="13817" width="9.85546875" style="20" customWidth="1"/>
    <col min="13818" max="13818" width="14.42578125" style="20" customWidth="1"/>
    <col min="13819" max="13819" width="7.140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85546875" style="20" customWidth="1"/>
    <col min="14073" max="14073" width="9.85546875" style="20" customWidth="1"/>
    <col min="14074" max="14074" width="14.42578125" style="20" customWidth="1"/>
    <col min="14075" max="14075" width="7.140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85546875" style="20" customWidth="1"/>
    <col min="14329" max="14329" width="9.85546875" style="20" customWidth="1"/>
    <col min="14330" max="14330" width="14.42578125" style="20" customWidth="1"/>
    <col min="14331" max="14331" width="7.140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85546875" style="20" customWidth="1"/>
    <col min="14585" max="14585" width="9.85546875" style="20" customWidth="1"/>
    <col min="14586" max="14586" width="14.42578125" style="20" customWidth="1"/>
    <col min="14587" max="14587" width="7.140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85546875" style="20" customWidth="1"/>
    <col min="14841" max="14841" width="9.85546875" style="20" customWidth="1"/>
    <col min="14842" max="14842" width="14.42578125" style="20" customWidth="1"/>
    <col min="14843" max="14843" width="7.140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85546875" style="20" customWidth="1"/>
    <col min="15097" max="15097" width="9.85546875" style="20" customWidth="1"/>
    <col min="15098" max="15098" width="14.42578125" style="20" customWidth="1"/>
    <col min="15099" max="15099" width="7.140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85546875" style="20" customWidth="1"/>
    <col min="15353" max="15353" width="9.85546875" style="20" customWidth="1"/>
    <col min="15354" max="15354" width="14.42578125" style="20" customWidth="1"/>
    <col min="15355" max="15355" width="7.140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85546875" style="20" customWidth="1"/>
    <col min="15609" max="15609" width="9.85546875" style="20" customWidth="1"/>
    <col min="15610" max="15610" width="14.42578125" style="20" customWidth="1"/>
    <col min="15611" max="15611" width="7.140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85546875" style="20" customWidth="1"/>
    <col min="15865" max="15865" width="9.85546875" style="20" customWidth="1"/>
    <col min="15866" max="15866" width="14.42578125" style="20" customWidth="1"/>
    <col min="15867" max="15867" width="7.140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85546875" style="20" customWidth="1"/>
    <col min="16121" max="16121" width="9.85546875" style="20" customWidth="1"/>
    <col min="16122" max="16122" width="14.42578125" style="20" customWidth="1"/>
    <col min="16123" max="16123" width="7.140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2" ht="46.5" customHeight="1" x14ac:dyDescent="0.25">
      <c r="A1" s="144" t="s">
        <v>163</v>
      </c>
      <c r="B1" s="144"/>
      <c r="C1" s="144"/>
      <c r="D1" s="144"/>
      <c r="E1" s="144"/>
      <c r="F1" s="144"/>
      <c r="G1" s="144"/>
      <c r="H1" s="144"/>
    </row>
    <row r="2" spans="1:12" ht="16.5" customHeight="1" x14ac:dyDescent="0.25">
      <c r="A2" s="145" t="s">
        <v>0</v>
      </c>
      <c r="B2" s="145"/>
      <c r="C2" s="145"/>
      <c r="D2" s="145"/>
      <c r="E2" s="145"/>
      <c r="F2" s="145"/>
      <c r="G2" s="145"/>
      <c r="H2" s="145"/>
    </row>
    <row r="3" spans="1:12" x14ac:dyDescent="0.25">
      <c r="A3" s="111" t="s">
        <v>1</v>
      </c>
      <c r="B3" s="111"/>
      <c r="C3" s="111"/>
      <c r="D3" s="111"/>
      <c r="E3" s="111" t="str">
        <f ca="1">TEXT(TODAY(),"DD/MM/YYYY")</f>
        <v>14/07/2025</v>
      </c>
      <c r="F3" s="111"/>
      <c r="G3" s="111"/>
      <c r="H3" s="111"/>
    </row>
    <row r="4" spans="1:12" x14ac:dyDescent="0.25">
      <c r="A4" s="111" t="s">
        <v>2</v>
      </c>
      <c r="B4" s="111"/>
      <c r="C4" s="111"/>
      <c r="D4" s="111"/>
      <c r="E4" s="111" t="s">
        <v>167</v>
      </c>
      <c r="F4" s="111"/>
      <c r="G4" s="111"/>
      <c r="H4" s="111"/>
    </row>
    <row r="5" spans="1:12" x14ac:dyDescent="0.25">
      <c r="A5" s="111" t="s">
        <v>3</v>
      </c>
      <c r="B5" s="111"/>
      <c r="C5" s="111"/>
      <c r="D5" s="111"/>
      <c r="E5" s="149">
        <v>45848</v>
      </c>
      <c r="F5" s="111"/>
      <c r="G5" s="111"/>
      <c r="H5" s="111"/>
      <c r="I5" s="149">
        <v>45815</v>
      </c>
      <c r="J5" s="111"/>
      <c r="K5" s="111"/>
      <c r="L5" s="111"/>
    </row>
    <row r="6" spans="1:12" ht="16.5" customHeight="1" x14ac:dyDescent="0.25">
      <c r="A6" s="111" t="s">
        <v>4</v>
      </c>
      <c r="B6" s="111"/>
      <c r="C6" s="111"/>
      <c r="D6" s="111"/>
      <c r="E6" s="111" t="s">
        <v>169</v>
      </c>
      <c r="F6" s="111"/>
      <c r="G6" s="111"/>
      <c r="H6" s="111"/>
    </row>
    <row r="7" spans="1:12" ht="15" customHeight="1" x14ac:dyDescent="0.25">
      <c r="A7" s="111" t="s">
        <v>5</v>
      </c>
      <c r="B7" s="111"/>
      <c r="C7" s="111"/>
      <c r="D7" s="111"/>
      <c r="E7" s="111" t="str">
        <f>E6</f>
        <v>Shree Vastunirman Developers</v>
      </c>
      <c r="F7" s="111"/>
      <c r="G7" s="111"/>
      <c r="H7" s="111"/>
    </row>
    <row r="8" spans="1:12" x14ac:dyDescent="0.25">
      <c r="A8" s="111" t="s">
        <v>6</v>
      </c>
      <c r="B8" s="111"/>
      <c r="C8" s="111"/>
      <c r="D8" s="111"/>
      <c r="E8" s="146" t="s">
        <v>209</v>
      </c>
      <c r="F8" s="146"/>
      <c r="G8" s="146"/>
      <c r="H8" s="146"/>
      <c r="I8" s="146" t="s">
        <v>168</v>
      </c>
      <c r="J8" s="146"/>
      <c r="K8" s="146"/>
      <c r="L8" s="146"/>
    </row>
    <row r="9" spans="1:12" x14ac:dyDescent="0.25">
      <c r="A9" s="111" t="s">
        <v>165</v>
      </c>
      <c r="B9" s="111"/>
      <c r="C9" s="111"/>
      <c r="D9" s="111"/>
      <c r="E9" s="111" t="s">
        <v>170</v>
      </c>
      <c r="F9" s="111"/>
      <c r="G9" s="111"/>
      <c r="H9" s="111"/>
    </row>
    <row r="10" spans="1:12" x14ac:dyDescent="0.25">
      <c r="A10" s="111" t="s">
        <v>166</v>
      </c>
      <c r="B10" s="111"/>
      <c r="C10" s="111"/>
      <c r="D10" s="111"/>
      <c r="E10" s="111" t="s">
        <v>207</v>
      </c>
      <c r="F10" s="111"/>
      <c r="G10" s="111"/>
      <c r="H10" s="111"/>
    </row>
    <row r="11" spans="1:12" ht="32.25" customHeight="1" x14ac:dyDescent="0.25">
      <c r="A11" s="111" t="s">
        <v>7</v>
      </c>
      <c r="B11" s="111"/>
      <c r="C11" s="111"/>
      <c r="D11" s="111"/>
      <c r="E11" s="147" t="s">
        <v>215</v>
      </c>
      <c r="F11" s="148"/>
      <c r="G11" s="148"/>
      <c r="H11" s="148"/>
      <c r="I11" s="111" t="s">
        <v>171</v>
      </c>
      <c r="J11" s="111"/>
      <c r="K11" s="111"/>
      <c r="L11" s="111"/>
    </row>
    <row r="12" spans="1:12" x14ac:dyDescent="0.25">
      <c r="A12" s="90" t="s">
        <v>8</v>
      </c>
      <c r="B12" s="90"/>
      <c r="C12" s="90"/>
      <c r="D12" s="90"/>
      <c r="E12" s="110" t="s">
        <v>172</v>
      </c>
      <c r="F12" s="110"/>
      <c r="G12" s="110"/>
      <c r="H12" s="110"/>
    </row>
    <row r="13" spans="1:12" x14ac:dyDescent="0.25">
      <c r="A13" s="90" t="s">
        <v>9</v>
      </c>
      <c r="B13" s="90"/>
      <c r="C13" s="90"/>
      <c r="D13" s="90"/>
      <c r="E13" s="110" t="s">
        <v>173</v>
      </c>
      <c r="F13" s="111"/>
      <c r="G13" s="111"/>
      <c r="H13" s="111"/>
    </row>
    <row r="14" spans="1:12" ht="32.25" customHeight="1" x14ac:dyDescent="0.25">
      <c r="A14" s="110" t="s">
        <v>10</v>
      </c>
      <c r="B14" s="110"/>
      <c r="C14" s="11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Vrundavan Park , Survey No.94/19, 94/23, 94/25, near Vrundavan society, Internal Road, Devrung, Devrung, Kalyan, Bhiwandi, Thane - 421305.</v>
      </c>
      <c r="D14" s="110"/>
      <c r="E14" s="110"/>
      <c r="F14" s="110"/>
      <c r="G14" s="110"/>
      <c r="H14" s="110"/>
    </row>
    <row r="15" spans="1:12" x14ac:dyDescent="0.25">
      <c r="A15" s="110" t="s">
        <v>198</v>
      </c>
      <c r="B15" s="110"/>
      <c r="C15" s="110" t="s">
        <v>174</v>
      </c>
      <c r="D15" s="110"/>
      <c r="E15" s="110"/>
      <c r="F15" s="110"/>
      <c r="G15" s="110"/>
      <c r="H15" s="110"/>
    </row>
    <row r="16" spans="1:12" ht="15.75" customHeight="1" x14ac:dyDescent="0.25">
      <c r="A16" s="110" t="s">
        <v>161</v>
      </c>
      <c r="B16" s="110"/>
      <c r="C16" s="110" t="s">
        <v>175</v>
      </c>
      <c r="D16" s="110"/>
      <c r="E16" s="110"/>
      <c r="F16" s="110"/>
      <c r="G16" s="110"/>
      <c r="H16" s="110"/>
    </row>
    <row r="17" spans="1:10" ht="15.75" customHeight="1" x14ac:dyDescent="0.25">
      <c r="A17" s="110" t="s">
        <v>11</v>
      </c>
      <c r="B17" s="110"/>
      <c r="C17" s="111" t="s">
        <v>194</v>
      </c>
      <c r="D17" s="111"/>
      <c r="E17" s="110" t="s">
        <v>71</v>
      </c>
      <c r="F17" s="110"/>
      <c r="G17" s="110" t="s">
        <v>175</v>
      </c>
      <c r="H17" s="110"/>
    </row>
    <row r="18" spans="1:10" x14ac:dyDescent="0.25">
      <c r="A18" s="111" t="s">
        <v>13</v>
      </c>
      <c r="B18" s="111"/>
      <c r="C18" s="110" t="s">
        <v>193</v>
      </c>
      <c r="D18" s="110"/>
      <c r="E18" s="110" t="s">
        <v>12</v>
      </c>
      <c r="F18" s="110"/>
      <c r="G18" s="150" t="s">
        <v>176</v>
      </c>
      <c r="H18" s="150"/>
    </row>
    <row r="19" spans="1:10" x14ac:dyDescent="0.25">
      <c r="A19" s="111" t="s">
        <v>72</v>
      </c>
      <c r="B19" s="111"/>
      <c r="C19" s="110" t="s">
        <v>177</v>
      </c>
      <c r="D19" s="110"/>
      <c r="E19" s="110" t="s">
        <v>14</v>
      </c>
      <c r="F19" s="110"/>
      <c r="G19" s="110">
        <v>421305</v>
      </c>
      <c r="H19" s="110"/>
    </row>
    <row r="20" spans="1:10" ht="32.25" customHeight="1" x14ac:dyDescent="0.25">
      <c r="A20" s="111" t="s">
        <v>118</v>
      </c>
      <c r="B20" s="111"/>
      <c r="C20" s="110" t="s">
        <v>195</v>
      </c>
      <c r="D20" s="110"/>
      <c r="E20" s="110" t="s">
        <v>15</v>
      </c>
      <c r="F20" s="110"/>
      <c r="G20" s="110" t="s">
        <v>226</v>
      </c>
      <c r="H20" s="110"/>
      <c r="I20" s="110" t="s">
        <v>192</v>
      </c>
      <c r="J20" s="110"/>
    </row>
    <row r="21" spans="1:10" ht="15" customHeight="1" x14ac:dyDescent="0.25">
      <c r="A21" s="109" t="s">
        <v>75</v>
      </c>
      <c r="B21" s="109"/>
      <c r="C21" s="109"/>
      <c r="D21" s="109"/>
      <c r="E21" s="111" t="s">
        <v>16</v>
      </c>
      <c r="F21" s="111"/>
      <c r="G21" s="111"/>
      <c r="H21" s="111"/>
    </row>
    <row r="22" spans="1:10" ht="18.75" customHeight="1" x14ac:dyDescent="0.25">
      <c r="A22" s="109"/>
      <c r="B22" s="109"/>
      <c r="C22" s="109"/>
      <c r="D22" s="109"/>
      <c r="E22" s="111"/>
      <c r="F22" s="111"/>
      <c r="G22" s="111"/>
      <c r="H22" s="111"/>
    </row>
    <row r="23" spans="1:10" ht="15" customHeight="1" x14ac:dyDescent="0.25">
      <c r="A23" s="109" t="s">
        <v>17</v>
      </c>
      <c r="B23" s="109"/>
      <c r="C23" s="109"/>
      <c r="D23" s="109"/>
      <c r="E23" s="110" t="s">
        <v>18</v>
      </c>
      <c r="F23" s="110"/>
      <c r="G23" s="110"/>
      <c r="H23" s="110"/>
    </row>
    <row r="24" spans="1:10" ht="15" customHeight="1" x14ac:dyDescent="0.25">
      <c r="A24" s="90" t="s">
        <v>19</v>
      </c>
      <c r="B24" s="90"/>
      <c r="C24" s="90"/>
      <c r="D24" s="90"/>
      <c r="E24" s="110" t="str">
        <f>IF(AND(G18="Mumbai"),"Upper Class","Middle Class")</f>
        <v>Middle Class</v>
      </c>
      <c r="F24" s="110"/>
      <c r="G24" s="110"/>
      <c r="H24" s="110"/>
    </row>
    <row r="25" spans="1:10" x14ac:dyDescent="0.25">
      <c r="A25" s="90" t="s">
        <v>20</v>
      </c>
      <c r="B25" s="90"/>
      <c r="C25" s="90"/>
      <c r="D25" s="90"/>
      <c r="E25" s="110" t="s">
        <v>21</v>
      </c>
      <c r="F25" s="110"/>
      <c r="G25" s="110"/>
      <c r="H25" s="110"/>
    </row>
    <row r="26" spans="1:10" ht="15.75" customHeight="1" x14ac:dyDescent="0.25">
      <c r="A26" s="90" t="s">
        <v>22</v>
      </c>
      <c r="B26" s="90"/>
      <c r="C26" s="90"/>
      <c r="D26" s="90"/>
      <c r="E26" s="110" t="str">
        <f>IF(AND(G18="Mumbai"),"Developed","Developing")</f>
        <v>Developing</v>
      </c>
      <c r="F26" s="110"/>
      <c r="G26" s="110"/>
      <c r="H26" s="110"/>
    </row>
    <row r="27" spans="1:10" x14ac:dyDescent="0.25">
      <c r="A27" s="90" t="s">
        <v>23</v>
      </c>
      <c r="B27" s="90"/>
      <c r="C27" s="90"/>
      <c r="D27" s="90"/>
      <c r="E27" s="110" t="s">
        <v>24</v>
      </c>
      <c r="F27" s="110"/>
      <c r="G27" s="110"/>
      <c r="H27" s="110"/>
    </row>
    <row r="28" spans="1:10" ht="15.75" customHeight="1" x14ac:dyDescent="0.25">
      <c r="A28" s="90" t="s">
        <v>80</v>
      </c>
      <c r="B28" s="90"/>
      <c r="C28" s="90"/>
      <c r="D28" s="90"/>
      <c r="E28" s="110" t="s">
        <v>81</v>
      </c>
      <c r="F28" s="110"/>
      <c r="G28" s="110"/>
      <c r="H28" s="110"/>
    </row>
    <row r="29" spans="1:10" ht="15" customHeight="1" x14ac:dyDescent="0.25">
      <c r="A29" s="90" t="s">
        <v>32</v>
      </c>
      <c r="B29" s="90"/>
      <c r="C29" s="90"/>
      <c r="D29" s="90"/>
      <c r="E29" s="11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10"/>
      <c r="G29" s="110"/>
      <c r="H29" s="110"/>
    </row>
    <row r="30" spans="1:10" ht="15.75" customHeight="1" x14ac:dyDescent="0.25">
      <c r="A30" s="90" t="s">
        <v>92</v>
      </c>
      <c r="B30" s="90"/>
      <c r="C30" s="90"/>
      <c r="D30" s="90"/>
      <c r="E30" s="110" t="s">
        <v>33</v>
      </c>
      <c r="F30" s="110"/>
      <c r="G30" s="110"/>
      <c r="H30" s="110"/>
    </row>
    <row r="31" spans="1:10" s="21" customFormat="1" x14ac:dyDescent="0.25">
      <c r="A31" s="154" t="s">
        <v>93</v>
      </c>
      <c r="B31" s="154"/>
      <c r="C31" s="153" t="s">
        <v>211</v>
      </c>
      <c r="D31" s="153"/>
      <c r="E31" s="153"/>
      <c r="F31" s="153" t="s">
        <v>30</v>
      </c>
      <c r="G31" s="153"/>
      <c r="H31" s="153"/>
    </row>
    <row r="32" spans="1:10" s="21" customFormat="1" x14ac:dyDescent="0.25">
      <c r="A32" s="151" t="s">
        <v>25</v>
      </c>
      <c r="B32" s="151" t="s">
        <v>29</v>
      </c>
      <c r="C32" s="152" t="s">
        <v>210</v>
      </c>
      <c r="D32" s="152"/>
      <c r="E32" s="152"/>
      <c r="F32" s="152" t="s">
        <v>196</v>
      </c>
      <c r="G32" s="152"/>
      <c r="H32" s="152"/>
    </row>
    <row r="33" spans="1:14" x14ac:dyDescent="0.25">
      <c r="A33" s="151" t="s">
        <v>26</v>
      </c>
      <c r="B33" s="151" t="s">
        <v>29</v>
      </c>
      <c r="C33" s="152" t="s">
        <v>212</v>
      </c>
      <c r="D33" s="152"/>
      <c r="E33" s="152"/>
      <c r="F33" s="152" t="s">
        <v>194</v>
      </c>
      <c r="G33" s="152"/>
      <c r="H33" s="152"/>
    </row>
    <row r="34" spans="1:14" s="21" customFormat="1" x14ac:dyDescent="0.25">
      <c r="A34" s="151" t="s">
        <v>28</v>
      </c>
      <c r="B34" s="151" t="s">
        <v>29</v>
      </c>
      <c r="C34" s="152" t="s">
        <v>210</v>
      </c>
      <c r="D34" s="152"/>
      <c r="E34" s="152"/>
      <c r="F34" s="152" t="s">
        <v>196</v>
      </c>
      <c r="G34" s="152"/>
      <c r="H34" s="152"/>
    </row>
    <row r="35" spans="1:14" x14ac:dyDescent="0.25">
      <c r="A35" s="151" t="s">
        <v>27</v>
      </c>
      <c r="B35" s="151" t="s">
        <v>29</v>
      </c>
      <c r="C35" s="152" t="s">
        <v>210</v>
      </c>
      <c r="D35" s="152"/>
      <c r="E35" s="152"/>
      <c r="F35" s="152" t="s">
        <v>196</v>
      </c>
      <c r="G35" s="152"/>
      <c r="H35" s="152"/>
    </row>
    <row r="36" spans="1:14" x14ac:dyDescent="0.25">
      <c r="A36" s="90" t="s">
        <v>31</v>
      </c>
      <c r="B36" s="90"/>
      <c r="C36" s="90"/>
      <c r="D36" s="90"/>
      <c r="E36" s="90"/>
      <c r="F36" s="90"/>
      <c r="G36" s="90"/>
      <c r="H36" s="90"/>
    </row>
    <row r="37" spans="1:14" ht="15.75" customHeight="1" x14ac:dyDescent="0.25">
      <c r="A37" s="90" t="s">
        <v>164</v>
      </c>
      <c r="B37" s="90"/>
      <c r="C37" s="136" t="s">
        <v>213</v>
      </c>
      <c r="D37" s="136"/>
      <c r="E37" s="136"/>
      <c r="F37" s="136"/>
      <c r="G37" s="136"/>
      <c r="H37" s="136"/>
      <c r="I37" s="136" t="s">
        <v>197</v>
      </c>
      <c r="J37" s="136"/>
      <c r="K37" s="136"/>
      <c r="L37" s="136"/>
      <c r="M37" s="136"/>
      <c r="N37" s="136"/>
    </row>
    <row r="38" spans="1:14" x14ac:dyDescent="0.25">
      <c r="A38" s="90" t="s">
        <v>160</v>
      </c>
      <c r="B38" s="90"/>
      <c r="C38" s="156" t="s">
        <v>214</v>
      </c>
      <c r="D38" s="110"/>
      <c r="E38" s="110"/>
      <c r="F38" s="110"/>
      <c r="G38" s="110"/>
      <c r="H38" s="110"/>
      <c r="I38" s="156" t="s">
        <v>191</v>
      </c>
      <c r="J38" s="110"/>
      <c r="K38" s="110"/>
      <c r="L38" s="110"/>
      <c r="M38" s="110"/>
      <c r="N38" s="110"/>
    </row>
    <row r="39" spans="1:14" x14ac:dyDescent="0.25">
      <c r="A39" s="136" t="s">
        <v>34</v>
      </c>
      <c r="B39" s="136"/>
      <c r="C39" s="136"/>
      <c r="D39" s="136"/>
      <c r="E39" s="136"/>
      <c r="F39" s="136"/>
      <c r="G39" s="136"/>
      <c r="H39" s="136"/>
    </row>
    <row r="40" spans="1:14" x14ac:dyDescent="0.25">
      <c r="A40" s="90" t="s">
        <v>35</v>
      </c>
      <c r="B40" s="90"/>
      <c r="C40" s="90"/>
      <c r="D40" s="90"/>
      <c r="E40" s="155">
        <v>2865.0619999999999</v>
      </c>
      <c r="F40" s="155"/>
      <c r="G40" s="155"/>
      <c r="H40" s="155"/>
      <c r="I40" s="205">
        <v>2865.0619999999999</v>
      </c>
      <c r="J40" s="205"/>
      <c r="K40" s="205"/>
      <c r="L40" s="205"/>
    </row>
    <row r="41" spans="1:14" x14ac:dyDescent="0.25">
      <c r="A41" s="90" t="s">
        <v>36</v>
      </c>
      <c r="B41" s="90"/>
      <c r="C41" s="90"/>
      <c r="D41" s="90"/>
      <c r="E41" s="89">
        <f>3151.568/E40</f>
        <v>1.0999999301934829</v>
      </c>
      <c r="F41" s="89"/>
      <c r="G41" s="89"/>
      <c r="H41" s="89"/>
      <c r="I41" s="89">
        <v>1.1000000000000001</v>
      </c>
      <c r="J41" s="89"/>
      <c r="K41" s="89"/>
      <c r="L41" s="89"/>
    </row>
    <row r="42" spans="1:14" x14ac:dyDescent="0.25">
      <c r="A42" s="90" t="s">
        <v>37</v>
      </c>
      <c r="B42" s="90"/>
      <c r="C42" s="90"/>
      <c r="D42" s="90"/>
      <c r="E42" s="89">
        <f>E44/E40-E41</f>
        <v>1.1484547280303186</v>
      </c>
      <c r="F42" s="89"/>
      <c r="G42" s="89"/>
      <c r="H42" s="89"/>
      <c r="I42" s="89">
        <f>I44/I40-I41</f>
        <v>1.1484546582238013</v>
      </c>
      <c r="J42" s="89"/>
      <c r="K42" s="89"/>
      <c r="L42" s="89"/>
    </row>
    <row r="43" spans="1:14" x14ac:dyDescent="0.25">
      <c r="A43" s="111" t="s">
        <v>38</v>
      </c>
      <c r="B43" s="111"/>
      <c r="C43" s="111"/>
      <c r="D43" s="111"/>
      <c r="E43" s="184">
        <f>E41+E42</f>
        <v>2.2484546582238014</v>
      </c>
      <c r="F43" s="184"/>
      <c r="G43" s="184"/>
      <c r="H43" s="184"/>
      <c r="I43" s="184">
        <f>I41+I42</f>
        <v>2.2484546582238014</v>
      </c>
      <c r="J43" s="184"/>
      <c r="K43" s="184"/>
      <c r="L43" s="184"/>
    </row>
    <row r="44" spans="1:14" x14ac:dyDescent="0.25">
      <c r="A44" s="111" t="s">
        <v>91</v>
      </c>
      <c r="B44" s="111"/>
      <c r="C44" s="111"/>
      <c r="D44" s="111"/>
      <c r="E44" s="185">
        <v>6441.9620000000004</v>
      </c>
      <c r="F44" s="185"/>
      <c r="G44" s="185"/>
      <c r="H44" s="185"/>
      <c r="I44" s="206">
        <v>6441.9620000000004</v>
      </c>
      <c r="J44" s="206"/>
      <c r="K44" s="206"/>
      <c r="L44" s="206"/>
    </row>
    <row r="45" spans="1:14" x14ac:dyDescent="0.25">
      <c r="A45" s="111" t="s">
        <v>39</v>
      </c>
      <c r="B45" s="111"/>
      <c r="C45" s="111"/>
      <c r="D45" s="111"/>
      <c r="E45" s="111" t="s">
        <v>243</v>
      </c>
      <c r="F45" s="111"/>
      <c r="G45" s="111"/>
      <c r="H45" s="111"/>
      <c r="I45" s="111" t="s">
        <v>178</v>
      </c>
      <c r="J45" s="111"/>
      <c r="K45" s="111"/>
      <c r="L45" s="111"/>
    </row>
    <row r="46" spans="1:14" x14ac:dyDescent="0.25">
      <c r="A46" s="146" t="s">
        <v>40</v>
      </c>
      <c r="B46" s="146"/>
      <c r="C46" s="146"/>
      <c r="D46" s="146"/>
      <c r="E46" s="146"/>
      <c r="F46" s="146"/>
      <c r="G46" s="146"/>
      <c r="H46" s="146"/>
    </row>
    <row r="47" spans="1:14" ht="33.75" customHeight="1" x14ac:dyDescent="0.25">
      <c r="A47" s="186" t="s">
        <v>147</v>
      </c>
      <c r="B47" s="187"/>
      <c r="C47" s="188" t="s">
        <v>179</v>
      </c>
      <c r="D47" s="189"/>
      <c r="E47" s="189"/>
      <c r="F47" s="189"/>
      <c r="G47" s="189"/>
      <c r="H47" s="190"/>
    </row>
    <row r="48" spans="1:14" ht="33" customHeight="1" x14ac:dyDescent="0.25">
      <c r="A48" s="101" t="s">
        <v>41</v>
      </c>
      <c r="B48" s="102"/>
      <c r="C48" s="101" t="s">
        <v>180</v>
      </c>
      <c r="D48" s="103"/>
      <c r="E48" s="102"/>
      <c r="F48" s="17" t="s">
        <v>42</v>
      </c>
      <c r="G48" s="104">
        <v>44847</v>
      </c>
      <c r="H48" s="102"/>
    </row>
    <row r="49" spans="1:14" ht="31.5" customHeight="1" x14ac:dyDescent="0.25">
      <c r="A49" s="101" t="s">
        <v>43</v>
      </c>
      <c r="B49" s="102"/>
      <c r="C49" s="101" t="str">
        <f>C48</f>
        <v>BS/RKKN/BP/Mauje.Devrung/Tal.
Bhiwandi/SSTN/2516</v>
      </c>
      <c r="D49" s="103"/>
      <c r="E49" s="102"/>
      <c r="F49" s="17" t="s">
        <v>42</v>
      </c>
      <c r="G49" s="104">
        <v>44847</v>
      </c>
      <c r="H49" s="102"/>
    </row>
    <row r="50" spans="1:14" s="22" customFormat="1" ht="32.25" customHeight="1" x14ac:dyDescent="0.25">
      <c r="A50" s="161" t="s">
        <v>151</v>
      </c>
      <c r="B50" s="162"/>
      <c r="C50" s="101" t="s">
        <v>181</v>
      </c>
      <c r="D50" s="103"/>
      <c r="E50" s="102"/>
      <c r="F50" s="17" t="s">
        <v>42</v>
      </c>
      <c r="G50" s="104">
        <v>44929</v>
      </c>
      <c r="H50" s="102"/>
    </row>
    <row r="51" spans="1:14" s="22" customFormat="1" ht="48" customHeight="1" x14ac:dyDescent="0.25">
      <c r="A51" s="163"/>
      <c r="B51" s="164"/>
      <c r="C51" s="115" t="s">
        <v>227</v>
      </c>
      <c r="D51" s="116"/>
      <c r="E51" s="116"/>
      <c r="F51" s="116"/>
      <c r="G51" s="116"/>
      <c r="H51" s="117"/>
      <c r="I51" s="101" t="s">
        <v>189</v>
      </c>
      <c r="J51" s="103"/>
      <c r="K51" s="103"/>
      <c r="L51" s="103"/>
      <c r="M51" s="103"/>
      <c r="N51" s="102"/>
    </row>
    <row r="52" spans="1:14" x14ac:dyDescent="0.25">
      <c r="A52" s="105" t="s">
        <v>44</v>
      </c>
      <c r="B52" s="106"/>
      <c r="C52" s="105" t="s">
        <v>104</v>
      </c>
      <c r="D52" s="107"/>
      <c r="E52" s="106"/>
      <c r="F52" s="43" t="s">
        <v>42</v>
      </c>
      <c r="G52" s="113" t="s">
        <v>29</v>
      </c>
      <c r="H52" s="114"/>
    </row>
    <row r="53" spans="1:14" x14ac:dyDescent="0.25">
      <c r="A53" s="108" t="s">
        <v>46</v>
      </c>
      <c r="B53" s="108"/>
      <c r="C53" s="108"/>
      <c r="D53" s="108"/>
      <c r="E53" s="108"/>
      <c r="F53" s="108"/>
      <c r="G53" s="108"/>
      <c r="H53" s="108"/>
    </row>
    <row r="54" spans="1:14" x14ac:dyDescent="0.25">
      <c r="A54" s="109" t="s">
        <v>90</v>
      </c>
      <c r="B54" s="109"/>
      <c r="C54" s="109"/>
      <c r="D54" s="90">
        <f>E44</f>
        <v>6441.9620000000004</v>
      </c>
      <c r="E54" s="90"/>
      <c r="F54" s="90"/>
      <c r="G54" s="90"/>
      <c r="H54" s="90"/>
    </row>
    <row r="55" spans="1:14" x14ac:dyDescent="0.25">
      <c r="A55" s="110" t="s">
        <v>47</v>
      </c>
      <c r="B55" s="111"/>
      <c r="C55" s="111"/>
      <c r="D55" s="112" t="s">
        <v>239</v>
      </c>
      <c r="E55" s="112"/>
      <c r="F55" s="112"/>
      <c r="G55" s="112"/>
      <c r="H55" s="112"/>
      <c r="I55" s="23"/>
    </row>
    <row r="56" spans="1:14" ht="49.5" customHeight="1" x14ac:dyDescent="0.25">
      <c r="A56" s="158" t="s">
        <v>48</v>
      </c>
      <c r="B56" s="159"/>
      <c r="C56" s="160"/>
      <c r="D56" s="141" t="s">
        <v>216</v>
      </c>
      <c r="E56" s="157"/>
      <c r="F56" s="157"/>
      <c r="G56" s="157"/>
      <c r="H56" s="157"/>
      <c r="I56" s="110" t="s">
        <v>189</v>
      </c>
      <c r="J56" s="111"/>
      <c r="K56" s="111"/>
      <c r="L56" s="111"/>
      <c r="M56" s="111"/>
    </row>
    <row r="57" spans="1:14" ht="15.75" customHeight="1" x14ac:dyDescent="0.25">
      <c r="A57" s="158" t="s">
        <v>88</v>
      </c>
      <c r="B57" s="159"/>
      <c r="C57" s="160"/>
      <c r="D57" s="165" t="s">
        <v>218</v>
      </c>
      <c r="E57" s="166"/>
      <c r="F57" s="166"/>
      <c r="G57" s="166"/>
      <c r="H57" s="167"/>
      <c r="I57" s="165" t="s">
        <v>204</v>
      </c>
      <c r="J57" s="166"/>
      <c r="K57" s="166"/>
      <c r="L57" s="166"/>
      <c r="M57" s="167"/>
    </row>
    <row r="58" spans="1:14" x14ac:dyDescent="0.25">
      <c r="A58" s="207"/>
      <c r="B58" s="208"/>
      <c r="C58" s="209"/>
      <c r="D58" s="168" t="s">
        <v>219</v>
      </c>
      <c r="E58" s="169"/>
      <c r="F58" s="169"/>
      <c r="G58" s="169"/>
      <c r="H58" s="170"/>
      <c r="I58" s="168" t="s">
        <v>190</v>
      </c>
      <c r="J58" s="169"/>
      <c r="K58" s="169"/>
      <c r="L58" s="169"/>
      <c r="M58" s="170"/>
    </row>
    <row r="59" spans="1:14" x14ac:dyDescent="0.25">
      <c r="A59" s="210"/>
      <c r="B59" s="211"/>
      <c r="C59" s="212"/>
      <c r="D59" s="168" t="s">
        <v>217</v>
      </c>
      <c r="E59" s="169"/>
      <c r="F59" s="169"/>
      <c r="G59" s="169"/>
      <c r="H59" s="170"/>
    </row>
    <row r="60" spans="1:14" ht="15.75" customHeight="1" x14ac:dyDescent="0.25">
      <c r="A60" s="90" t="s">
        <v>45</v>
      </c>
      <c r="B60" s="90"/>
      <c r="C60" s="90"/>
      <c r="D60" s="171" t="s">
        <v>208</v>
      </c>
      <c r="E60" s="171"/>
      <c r="F60" s="171"/>
      <c r="G60" s="171"/>
      <c r="H60" s="171"/>
      <c r="J60" s="24"/>
      <c r="K60" s="23"/>
      <c r="N60" s="23"/>
    </row>
    <row r="61" spans="1:14" ht="15.75" customHeight="1" x14ac:dyDescent="0.25">
      <c r="A61" s="90" t="s">
        <v>86</v>
      </c>
      <c r="B61" s="90"/>
      <c r="C61" s="90"/>
      <c r="D61" s="183" t="str">
        <f>(IF(G52="NA","60 Years After Completion",IF(G52&lt;&gt;"NA",""&amp;60-ROUNDDOWN((E3-G52)/360,0)&amp;" Years"," ")))</f>
        <v>60 Years After Completion</v>
      </c>
      <c r="E61" s="183"/>
      <c r="F61" s="183"/>
      <c r="G61" s="183"/>
      <c r="H61" s="183"/>
      <c r="N61" s="23"/>
    </row>
    <row r="62" spans="1:14" ht="15.75" customHeight="1" x14ac:dyDescent="0.25">
      <c r="A62" s="90" t="s">
        <v>87</v>
      </c>
      <c r="B62" s="90"/>
      <c r="C62" s="90"/>
      <c r="D62" s="109" t="s">
        <v>24</v>
      </c>
      <c r="E62" s="109"/>
      <c r="F62" s="109"/>
      <c r="G62" s="109"/>
      <c r="H62" s="109"/>
      <c r="J62" s="25"/>
      <c r="K62" s="25"/>
    </row>
    <row r="63" spans="1:14" ht="32.25" customHeight="1" x14ac:dyDescent="0.25">
      <c r="A63" s="90" t="s">
        <v>73</v>
      </c>
      <c r="B63" s="90"/>
      <c r="C63" s="90"/>
      <c r="D63" s="139" t="s">
        <v>242</v>
      </c>
      <c r="E63" s="139"/>
      <c r="F63" s="139"/>
      <c r="G63" s="139"/>
      <c r="H63" s="139"/>
    </row>
    <row r="64" spans="1:14" x14ac:dyDescent="0.25">
      <c r="A64" s="109" t="s">
        <v>144</v>
      </c>
      <c r="B64" s="109"/>
      <c r="C64" s="109"/>
      <c r="D64" s="109" t="s">
        <v>29</v>
      </c>
      <c r="E64" s="109"/>
      <c r="F64" s="109"/>
      <c r="G64" s="109"/>
      <c r="H64" s="109"/>
      <c r="I64" s="26"/>
      <c r="J64" s="26"/>
      <c r="K64" s="26"/>
      <c r="L64" s="26"/>
      <c r="M64" s="26"/>
      <c r="N64" s="26"/>
    </row>
    <row r="65" spans="1:10" ht="15.75" customHeight="1" x14ac:dyDescent="0.25">
      <c r="A65" s="142" t="s">
        <v>85</v>
      </c>
      <c r="B65" s="142"/>
      <c r="C65" s="142"/>
      <c r="D65" s="141" t="str">
        <f ca="1">(IF(G71&gt;95%,"Nothing",IF(G71&gt;0%,"Cement, Aggregate, Steel, etc",IF(G71=0%,"Work not yet Started"))))</f>
        <v>Cement, Aggregate, Steel, etc</v>
      </c>
      <c r="E65" s="141"/>
      <c r="F65" s="141"/>
      <c r="G65" s="141"/>
      <c r="H65" s="141"/>
      <c r="J65" s="25"/>
    </row>
    <row r="66" spans="1:10" ht="33.75" customHeight="1" thickBot="1" x14ac:dyDescent="0.3">
      <c r="A66" s="140" t="s">
        <v>117</v>
      </c>
      <c r="B66" s="140"/>
      <c r="C66" s="140"/>
      <c r="D66" s="141" t="str">
        <f ca="1">(IF(D65="Nothing","Yes",IF(D65="Cement, Aggregate, Steel, etc","Under Construction",IF(D65="Work not yet Started","Work not yet Started"))))</f>
        <v>Under Construction</v>
      </c>
      <c r="E66" s="141"/>
      <c r="F66" s="141" t="str">
        <f ca="1">(IF(D65="Nothing","Yes",IF(D65="Cement, Aggregate, Steel, etc","Under Construction",IF(D65="Work not yet Started","Work not yet Started"))))</f>
        <v>Under Construction</v>
      </c>
      <c r="G66" s="141"/>
      <c r="H66" s="141"/>
    </row>
    <row r="67" spans="1:10" ht="15.75" customHeight="1" x14ac:dyDescent="0.25">
      <c r="A67" s="95" t="s">
        <v>136</v>
      </c>
      <c r="B67" s="96"/>
      <c r="C67" s="97" t="str">
        <f>D57</f>
        <v>Building No.1 (Wing A) = G + 1st to 7th Floor</v>
      </c>
      <c r="D67" s="98"/>
      <c r="E67" s="98"/>
      <c r="F67" s="98"/>
      <c r="G67" s="98"/>
      <c r="H67" s="99"/>
      <c r="I67" s="47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4 Floor, Painting upto 4 Floor Completed</v>
      </c>
      <c r="J67" s="48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4 Floor, Painting upto 4 Floor</v>
      </c>
    </row>
    <row r="68" spans="1:10" x14ac:dyDescent="0.25">
      <c r="A68" s="15" t="s">
        <v>138</v>
      </c>
      <c r="B68" s="45">
        <f>IF(AND(ISNUMBER(SEARCH("1B",C67))),1,IF(AND(ISNUMBER(SEARCH("2B",C67))),2,IF(AND(ISNUMBER(SEARCH("3B",C67))),3,IF(AND(ISNUMBER(SEARCH("4B",C67))),4,IF(ISNUMBER(SEARCH("5B",C67)),5,0)))))</f>
        <v>0</v>
      </c>
      <c r="C68" s="45" t="s">
        <v>70</v>
      </c>
      <c r="D68" s="45">
        <v>1</v>
      </c>
      <c r="E68" s="45" t="s">
        <v>69</v>
      </c>
      <c r="F68" s="45">
        <v>0</v>
      </c>
      <c r="G68" s="45" t="s">
        <v>79</v>
      </c>
      <c r="H68" s="16">
        <f ca="1">--TRIM(RIGHT(SUBSTITUTE(LEFT(C67,_xlfn.AGGREGATE(16,6,FIND({0,1,2,3,4,5,6,7,8,9},C67,ROW(INDIRECT("1:"&amp;LEN(C67)))),1))," ",REPT(" ",LEN(C67))),LEN(C67)))</f>
        <v>7</v>
      </c>
      <c r="I68" s="49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50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5.25" customHeight="1" x14ac:dyDescent="0.25">
      <c r="A69" s="191" t="s">
        <v>89</v>
      </c>
      <c r="B69" s="146"/>
      <c r="C69" s="137" t="str">
        <f ca="1">I67</f>
        <v>Excavation, Plinth, RCC Slab, Brickwork, Internal Plaster, External Plaster Completed, Flooring upto 4 Floor, Painting upto 4 Floor Completed</v>
      </c>
      <c r="D69" s="137"/>
      <c r="E69" s="137"/>
      <c r="F69" s="137"/>
      <c r="G69" s="137"/>
      <c r="H69" s="138"/>
      <c r="I69" s="49" t="str">
        <f ca="1">IF(I68&lt;&gt;""," Completed","")</f>
        <v xml:space="preserve"> Completed</v>
      </c>
      <c r="J69" s="50" t="str">
        <f ca="1">IF(J67&lt;&gt;"","Completed","")</f>
        <v>Completed</v>
      </c>
    </row>
    <row r="70" spans="1:10" ht="15.75" customHeight="1" x14ac:dyDescent="0.25">
      <c r="A70" s="93" t="s">
        <v>49</v>
      </c>
      <c r="B70" s="94"/>
      <c r="C70" s="41" t="s">
        <v>135</v>
      </c>
      <c r="D70" s="41" t="s">
        <v>82</v>
      </c>
      <c r="E70" s="94" t="s">
        <v>84</v>
      </c>
      <c r="F70" s="94"/>
      <c r="G70" s="94" t="s">
        <v>83</v>
      </c>
      <c r="H70" s="143"/>
      <c r="I70" s="13" t="s">
        <v>137</v>
      </c>
      <c r="J70" s="27">
        <f ca="1">H68*25%</f>
        <v>1.75</v>
      </c>
    </row>
    <row r="71" spans="1:10" x14ac:dyDescent="0.25">
      <c r="A71" s="93" t="s">
        <v>124</v>
      </c>
      <c r="B71" s="94"/>
      <c r="C71" s="41">
        <f ca="1">J72</f>
        <v>7</v>
      </c>
      <c r="D71" s="18">
        <f ca="1">((100/H68)*C71)/100</f>
        <v>1</v>
      </c>
      <c r="E71" s="172">
        <f ca="1">(((C72/H68*10)+(40/(D68+F68+H68)*C73)+(7.5/(H68)*C74)+(7.5/(H68)*C75)+(10/H68*C76)+(10/H68*C77)+(5/H68*C78)+(5/H68*C79)+(5/H68*C80))/100)</f>
        <v>0.83571428571428574</v>
      </c>
      <c r="F71" s="173"/>
      <c r="G71" s="172">
        <f ca="1">((((C71/H68)*20)+((C72/H68)*25)+(30/(H68+F68+D68)*C73)+(5/H68*C74)+(5/H68*C75)+(5/H68*C76)+(5/H68*C77)+(0/H68*C78)+(0/H68*C79)+(5/H68*C80))/100)</f>
        <v>0.9285714285714286</v>
      </c>
      <c r="H71" s="178"/>
      <c r="I71" s="13" t="s">
        <v>99</v>
      </c>
      <c r="J71" s="28">
        <f ca="1">H68*50%</f>
        <v>3.5</v>
      </c>
    </row>
    <row r="72" spans="1:10" x14ac:dyDescent="0.25">
      <c r="A72" s="93" t="s">
        <v>50</v>
      </c>
      <c r="B72" s="94"/>
      <c r="C72" s="41">
        <f ca="1">J80</f>
        <v>7</v>
      </c>
      <c r="D72" s="18">
        <f ca="1">((100/H68)*C72)/100</f>
        <v>1</v>
      </c>
      <c r="E72" s="174"/>
      <c r="F72" s="175"/>
      <c r="G72" s="174"/>
      <c r="H72" s="179"/>
      <c r="I72" s="13" t="s">
        <v>100</v>
      </c>
      <c r="J72" s="28">
        <f ca="1">H68</f>
        <v>7</v>
      </c>
    </row>
    <row r="73" spans="1:10" ht="15.75" customHeight="1" x14ac:dyDescent="0.25">
      <c r="A73" s="93" t="s">
        <v>125</v>
      </c>
      <c r="B73" s="94"/>
      <c r="C73" s="41">
        <v>8</v>
      </c>
      <c r="D73" s="18">
        <f ca="1">((100/(D68+F68+H68))*C73)/100</f>
        <v>1</v>
      </c>
      <c r="E73" s="174"/>
      <c r="F73" s="175"/>
      <c r="G73" s="174"/>
      <c r="H73" s="179"/>
      <c r="I73" s="13" t="s">
        <v>101</v>
      </c>
      <c r="J73" s="29">
        <f ca="1">(IF(B68&gt;1,(H68/(B68+2)),H68/4))</f>
        <v>1.75</v>
      </c>
    </row>
    <row r="74" spans="1:10" ht="15.75" customHeight="1" x14ac:dyDescent="0.25">
      <c r="A74" s="93" t="s">
        <v>132</v>
      </c>
      <c r="B74" s="94" t="s">
        <v>126</v>
      </c>
      <c r="C74" s="41">
        <v>7</v>
      </c>
      <c r="D74" s="18">
        <f ca="1">((100/H68)*C74)/100</f>
        <v>1</v>
      </c>
      <c r="E74" s="174"/>
      <c r="F74" s="175"/>
      <c r="G74" s="174"/>
      <c r="H74" s="179"/>
      <c r="I74" s="13" t="s">
        <v>102</v>
      </c>
      <c r="J74" s="29">
        <f ca="1">(IF(B68&gt;1,(H68/(B68+2)+J73),H68/4+J73))</f>
        <v>3.5</v>
      </c>
    </row>
    <row r="75" spans="1:10" ht="15.75" customHeight="1" x14ac:dyDescent="0.25">
      <c r="A75" s="93" t="s">
        <v>133</v>
      </c>
      <c r="B75" s="94" t="s">
        <v>126</v>
      </c>
      <c r="C75" s="41">
        <v>7</v>
      </c>
      <c r="D75" s="18">
        <f ca="1">((100/H68)*C75)/100</f>
        <v>1</v>
      </c>
      <c r="E75" s="174"/>
      <c r="F75" s="175"/>
      <c r="G75" s="174"/>
      <c r="H75" s="179"/>
      <c r="I75" s="13" t="s">
        <v>142</v>
      </c>
      <c r="J75" s="29">
        <f>(IF(B68&gt;1,(H68/(B68+2)+J74),0))</f>
        <v>0</v>
      </c>
    </row>
    <row r="76" spans="1:10" ht="15" customHeight="1" x14ac:dyDescent="0.25">
      <c r="A76" s="93" t="s">
        <v>131</v>
      </c>
      <c r="B76" s="94" t="s">
        <v>128</v>
      </c>
      <c r="C76" s="41">
        <v>7</v>
      </c>
      <c r="D76" s="18">
        <f ca="1">((100/(H68))*C76)/100</f>
        <v>1</v>
      </c>
      <c r="E76" s="174"/>
      <c r="F76" s="175"/>
      <c r="G76" s="174"/>
      <c r="H76" s="179"/>
      <c r="I76" s="13" t="s">
        <v>139</v>
      </c>
      <c r="J76" s="29">
        <f>(IF(B68&gt;2,(H68/(B68+2)+J75),0))</f>
        <v>0</v>
      </c>
    </row>
    <row r="77" spans="1:10" ht="15.75" customHeight="1" x14ac:dyDescent="0.25">
      <c r="A77" s="93" t="s">
        <v>127</v>
      </c>
      <c r="B77" s="94" t="s">
        <v>127</v>
      </c>
      <c r="C77" s="41">
        <v>4</v>
      </c>
      <c r="D77" s="18">
        <f ca="1">((100/H68)*C77)/100</f>
        <v>0.57142857142857151</v>
      </c>
      <c r="E77" s="174"/>
      <c r="F77" s="175"/>
      <c r="G77" s="174"/>
      <c r="H77" s="179"/>
      <c r="I77" s="13" t="s">
        <v>140</v>
      </c>
      <c r="J77" s="30">
        <f>(IF(B68&gt;3,(H68/(B68+2)+J76),0))</f>
        <v>0</v>
      </c>
    </row>
    <row r="78" spans="1:10" ht="15.75" customHeight="1" x14ac:dyDescent="0.25">
      <c r="A78" s="93" t="s">
        <v>134</v>
      </c>
      <c r="B78" s="94"/>
      <c r="C78" s="41">
        <v>4</v>
      </c>
      <c r="D78" s="18">
        <f ca="1">((100/H68)*C78)/100</f>
        <v>0.57142857142857151</v>
      </c>
      <c r="E78" s="174"/>
      <c r="F78" s="175"/>
      <c r="G78" s="174"/>
      <c r="H78" s="179"/>
      <c r="I78" s="13" t="s">
        <v>141</v>
      </c>
      <c r="J78" s="29">
        <f>(IF(B68&gt;4,(H68/(B68+2)+J77),0))</f>
        <v>0</v>
      </c>
    </row>
    <row r="79" spans="1:10" ht="15.75" customHeight="1" x14ac:dyDescent="0.25">
      <c r="A79" s="93" t="s">
        <v>129</v>
      </c>
      <c r="B79" s="94" t="s">
        <v>129</v>
      </c>
      <c r="C79" s="41">
        <v>0</v>
      </c>
      <c r="D79" s="18">
        <f ca="1">((100/(H68))*C79)/100</f>
        <v>0</v>
      </c>
      <c r="E79" s="174"/>
      <c r="F79" s="175"/>
      <c r="G79" s="174"/>
      <c r="H79" s="179"/>
      <c r="I79" s="13" t="s">
        <v>143</v>
      </c>
      <c r="J79" s="29">
        <f ca="1">(IF(B68=1,(H68/(B68+3)+J74),IF(B68=0,(H68/4+J74),IF(B68&gt;1,0))))</f>
        <v>5.25</v>
      </c>
    </row>
    <row r="80" spans="1:10" ht="16.5" thickBot="1" x14ac:dyDescent="0.3">
      <c r="A80" s="181" t="s">
        <v>130</v>
      </c>
      <c r="B80" s="182"/>
      <c r="C80" s="42">
        <v>0</v>
      </c>
      <c r="D80" s="19">
        <f ca="1">((100/(H68))*C80)/100</f>
        <v>0</v>
      </c>
      <c r="E80" s="176"/>
      <c r="F80" s="177"/>
      <c r="G80" s="176"/>
      <c r="H80" s="180"/>
      <c r="I80" s="14" t="s">
        <v>103</v>
      </c>
      <c r="J80" s="31">
        <f ca="1">(IF(B68&gt;1.5,(H68/(B68+2)+J74+MAX(0,J75-J74)+MAX(0,J76-J75)+MAX(0,J77-J76)+MAX(0,J78-J77)+MAX(0,J79-J78)),IF(B68=1,(H68/(B68+3)+J79),IF(B68=0,H68/4+J79))))</f>
        <v>7</v>
      </c>
    </row>
    <row r="81" spans="1:10" ht="15.75" customHeight="1" x14ac:dyDescent="0.25">
      <c r="A81" s="95" t="s">
        <v>136</v>
      </c>
      <c r="B81" s="96"/>
      <c r="C81" s="97" t="str">
        <f>D58</f>
        <v>Building No.1 (Wing B) = G + 1st to 7th Floor</v>
      </c>
      <c r="D81" s="98"/>
      <c r="E81" s="98"/>
      <c r="F81" s="98"/>
      <c r="G81" s="98"/>
      <c r="H81" s="99"/>
      <c r="I81" s="47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 Completed, Flooring upto 3 Floor, Painting upto 1 Floor Completed</v>
      </c>
      <c r="J81" s="48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Flooring upto 3 Floor, Painting upto 1 Floor</v>
      </c>
    </row>
    <row r="82" spans="1:10" x14ac:dyDescent="0.25">
      <c r="A82" s="15" t="s">
        <v>138</v>
      </c>
      <c r="B82" s="45">
        <f>IF(AND(ISNUMBER(SEARCH("1B",C81))),1,IF(AND(ISNUMBER(SEARCH("2B",C81))),2,IF(AND(ISNUMBER(SEARCH("3B",C81))),3,IF(AND(ISNUMBER(SEARCH("4B",C81))),4,IF(ISNUMBER(SEARCH("5B",C81)),5,0)))))</f>
        <v>0</v>
      </c>
      <c r="C82" s="45" t="s">
        <v>70</v>
      </c>
      <c r="D82" s="45">
        <v>1</v>
      </c>
      <c r="E82" s="45" t="s">
        <v>69</v>
      </c>
      <c r="F82" s="45">
        <v>0</v>
      </c>
      <c r="G82" s="46" t="s">
        <v>79</v>
      </c>
      <c r="H82" s="16">
        <f ca="1">--TRIM(RIGHT(SUBSTITUTE(LEFT(C81,_xlfn.AGGREGATE(16,6,FIND({0,1,2,3,4,5,6,7,8,9},C81,ROW(INDIRECT("1:"&amp;LEN(C81)))),1))," ",REPT(" ",LEN(C81))),LEN(C81)))</f>
        <v>7</v>
      </c>
      <c r="I82" s="49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</v>
      </c>
      <c r="J82" s="50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0.6" customHeight="1" x14ac:dyDescent="0.25">
      <c r="A83" s="191" t="s">
        <v>89</v>
      </c>
      <c r="B83" s="146"/>
      <c r="C83" s="137" t="str">
        <f ca="1">(IF($G$52="NA",I81,"All work Completed. OC Received."))</f>
        <v>Excavation, Plinth, RCC Slab, Brickwork, Internal Plaster, External Plaster Completed, Flooring upto 3 Floor, Painting upto 1 Floor Completed</v>
      </c>
      <c r="D83" s="137"/>
      <c r="E83" s="137"/>
      <c r="F83" s="137"/>
      <c r="G83" s="137"/>
      <c r="H83" s="138"/>
      <c r="I83" s="49" t="str">
        <f ca="1">IF(I82&lt;&gt;""," Completed","")</f>
        <v xml:space="preserve"> Completed</v>
      </c>
      <c r="J83" s="50" t="str">
        <f ca="1">IF(J81&lt;&gt;"","Completed","")</f>
        <v>Completed</v>
      </c>
    </row>
    <row r="84" spans="1:10" ht="15.75" customHeight="1" x14ac:dyDescent="0.25">
      <c r="A84" s="93" t="s">
        <v>49</v>
      </c>
      <c r="B84" s="94"/>
      <c r="C84" s="41" t="s">
        <v>135</v>
      </c>
      <c r="D84" s="41" t="s">
        <v>82</v>
      </c>
      <c r="E84" s="94" t="s">
        <v>84</v>
      </c>
      <c r="F84" s="94"/>
      <c r="G84" s="94" t="s">
        <v>83</v>
      </c>
      <c r="H84" s="143"/>
      <c r="I84" s="13" t="s">
        <v>137</v>
      </c>
      <c r="J84" s="27">
        <f ca="1">H82*25%</f>
        <v>1.75</v>
      </c>
    </row>
    <row r="85" spans="1:10" x14ac:dyDescent="0.25">
      <c r="A85" s="93" t="s">
        <v>124</v>
      </c>
      <c r="B85" s="94"/>
      <c r="C85" s="41">
        <f ca="1">J86</f>
        <v>7</v>
      </c>
      <c r="D85" s="18">
        <f ca="1">((100/H82)*C85)/100</f>
        <v>1</v>
      </c>
      <c r="E85" s="172">
        <f ca="1">(((C86/H82*10)+(40/(D82+F82+H82)*C87)+(7.5/(H82)*C88)+(7.5/(H82)*C89)+(10/H82*C90)+(10/H82*C91)+(5/H82*C92)+(5/H82*C93)+(5/H82*C94))/100)</f>
        <v>0.8</v>
      </c>
      <c r="F85" s="173"/>
      <c r="G85" s="172">
        <f ca="1">((((C85/H82)*20)+((C86/H82)*25)+(30/(H82+F82+D82)*C87)+(5/H82*C88)+(5/H82*C89)+(5/H82*C90)+(5/H82*C91)+(0/H82*C92)+(0/H82*C93)+(5/H82*C94))/100)</f>
        <v>0.92142857142857137</v>
      </c>
      <c r="H85" s="178"/>
      <c r="I85" s="13" t="s">
        <v>99</v>
      </c>
      <c r="J85" s="28">
        <f ca="1">H82*50%</f>
        <v>3.5</v>
      </c>
    </row>
    <row r="86" spans="1:10" x14ac:dyDescent="0.25">
      <c r="A86" s="93" t="s">
        <v>50</v>
      </c>
      <c r="B86" s="94"/>
      <c r="C86" s="51">
        <f ca="1">J94</f>
        <v>7</v>
      </c>
      <c r="D86" s="18">
        <f ca="1">((100/H82)*C86)/100</f>
        <v>1</v>
      </c>
      <c r="E86" s="174"/>
      <c r="F86" s="175"/>
      <c r="G86" s="174"/>
      <c r="H86" s="179"/>
      <c r="I86" s="13" t="s">
        <v>100</v>
      </c>
      <c r="J86" s="28">
        <f ca="1">H82</f>
        <v>7</v>
      </c>
    </row>
    <row r="87" spans="1:10" ht="15.75" customHeight="1" x14ac:dyDescent="0.25">
      <c r="A87" s="93" t="s">
        <v>125</v>
      </c>
      <c r="B87" s="94"/>
      <c r="C87" s="41">
        <v>8</v>
      </c>
      <c r="D87" s="18">
        <f ca="1">((100/(D82+F82+H82))*C87)/100</f>
        <v>1</v>
      </c>
      <c r="E87" s="174"/>
      <c r="F87" s="175"/>
      <c r="G87" s="174"/>
      <c r="H87" s="179"/>
      <c r="I87" s="13" t="s">
        <v>101</v>
      </c>
      <c r="J87" s="29">
        <f ca="1">(IF(B82&gt;1,(H82/(B82+2)),H82/4))</f>
        <v>1.75</v>
      </c>
    </row>
    <row r="88" spans="1:10" ht="15.75" customHeight="1" x14ac:dyDescent="0.25">
      <c r="A88" s="93" t="s">
        <v>132</v>
      </c>
      <c r="B88" s="94" t="s">
        <v>126</v>
      </c>
      <c r="C88" s="41">
        <v>7</v>
      </c>
      <c r="D88" s="18">
        <f ca="1">((100/H82)*C88)/100</f>
        <v>1</v>
      </c>
      <c r="E88" s="174"/>
      <c r="F88" s="175"/>
      <c r="G88" s="174"/>
      <c r="H88" s="179"/>
      <c r="I88" s="13" t="s">
        <v>102</v>
      </c>
      <c r="J88" s="29">
        <f ca="1">(IF(B82&gt;1,(H82/(B82+2)+J87),H82/4+J87))</f>
        <v>3.5</v>
      </c>
    </row>
    <row r="89" spans="1:10" ht="15.75" customHeight="1" x14ac:dyDescent="0.25">
      <c r="A89" s="93" t="s">
        <v>133</v>
      </c>
      <c r="B89" s="94" t="s">
        <v>126</v>
      </c>
      <c r="C89" s="41">
        <v>7</v>
      </c>
      <c r="D89" s="18">
        <f ca="1">((100/H82)*C89)/100</f>
        <v>1</v>
      </c>
      <c r="E89" s="174"/>
      <c r="F89" s="175"/>
      <c r="G89" s="174"/>
      <c r="H89" s="179"/>
      <c r="I89" s="13" t="s">
        <v>142</v>
      </c>
      <c r="J89" s="29">
        <f>(IF(B82&gt;1,(H82/(B82+2)+J88),0))</f>
        <v>0</v>
      </c>
    </row>
    <row r="90" spans="1:10" ht="15" customHeight="1" x14ac:dyDescent="0.25">
      <c r="A90" s="93" t="s">
        <v>131</v>
      </c>
      <c r="B90" s="94" t="s">
        <v>128</v>
      </c>
      <c r="C90" s="41">
        <v>7</v>
      </c>
      <c r="D90" s="18">
        <f ca="1">((100/(H82))*C90)/100</f>
        <v>1</v>
      </c>
      <c r="E90" s="174"/>
      <c r="F90" s="175"/>
      <c r="G90" s="174"/>
      <c r="H90" s="179"/>
      <c r="I90" s="13" t="s">
        <v>139</v>
      </c>
      <c r="J90" s="29">
        <f>(IF(B82&gt;2,(H82/(B82+2)+J89),0))</f>
        <v>0</v>
      </c>
    </row>
    <row r="91" spans="1:10" ht="15.75" customHeight="1" x14ac:dyDescent="0.25">
      <c r="A91" s="93" t="s">
        <v>127</v>
      </c>
      <c r="B91" s="94" t="s">
        <v>127</v>
      </c>
      <c r="C91" s="41">
        <v>3</v>
      </c>
      <c r="D91" s="18">
        <f ca="1">((100/H82)*C91)/100</f>
        <v>0.4285714285714286</v>
      </c>
      <c r="E91" s="174"/>
      <c r="F91" s="175"/>
      <c r="G91" s="174"/>
      <c r="H91" s="179"/>
      <c r="I91" s="13" t="s">
        <v>140</v>
      </c>
      <c r="J91" s="30">
        <f>(IF(B82&gt;3,(H82/(B82+2)+J90),0))</f>
        <v>0</v>
      </c>
    </row>
    <row r="92" spans="1:10" ht="15.75" customHeight="1" x14ac:dyDescent="0.25">
      <c r="A92" s="93" t="s">
        <v>134</v>
      </c>
      <c r="B92" s="94"/>
      <c r="C92" s="41">
        <v>1</v>
      </c>
      <c r="D92" s="18">
        <f ca="1">((100/H82)*C92)/100</f>
        <v>0.14285714285714288</v>
      </c>
      <c r="E92" s="174"/>
      <c r="F92" s="175"/>
      <c r="G92" s="174"/>
      <c r="H92" s="179"/>
      <c r="I92" s="13" t="s">
        <v>141</v>
      </c>
      <c r="J92" s="29">
        <f>(IF(B82&gt;4,(H82/(B82+2)+J91),0))</f>
        <v>0</v>
      </c>
    </row>
    <row r="93" spans="1:10" ht="15.75" customHeight="1" x14ac:dyDescent="0.25">
      <c r="A93" s="93" t="s">
        <v>129</v>
      </c>
      <c r="B93" s="94" t="s">
        <v>129</v>
      </c>
      <c r="C93" s="41">
        <v>0</v>
      </c>
      <c r="D93" s="18">
        <f ca="1">((100/(H82))*C93)/100</f>
        <v>0</v>
      </c>
      <c r="E93" s="174"/>
      <c r="F93" s="175"/>
      <c r="G93" s="174"/>
      <c r="H93" s="179"/>
      <c r="I93" s="13" t="s">
        <v>143</v>
      </c>
      <c r="J93" s="29">
        <f ca="1">(IF(B82=1,(H82/(B82+3)+J88),IF(B82=0,(H82/4+J88),IF(B82&gt;1,0))))</f>
        <v>5.25</v>
      </c>
    </row>
    <row r="94" spans="1:10" ht="16.5" thickBot="1" x14ac:dyDescent="0.3">
      <c r="A94" s="181" t="s">
        <v>130</v>
      </c>
      <c r="B94" s="182"/>
      <c r="C94" s="42">
        <v>0</v>
      </c>
      <c r="D94" s="19">
        <f ca="1">((100/(H82))*C94)/100</f>
        <v>0</v>
      </c>
      <c r="E94" s="176"/>
      <c r="F94" s="177"/>
      <c r="G94" s="176"/>
      <c r="H94" s="180"/>
      <c r="I94" s="14" t="s">
        <v>103</v>
      </c>
      <c r="J94" s="31">
        <f ca="1">(IF(B82&gt;1.5,(H82/(B82+2)+J88+MAX(0,J89-J88)+MAX(0,J90-J89)+MAX(0,J91-J90)+MAX(0,J92-J91)+MAX(0,J93-J92)),IF(B82=1,(H82/(B82+3)+J93),IF(B82=0,H82/4+J93))))</f>
        <v>7</v>
      </c>
    </row>
    <row r="95" spans="1:10" ht="15.75" customHeight="1" x14ac:dyDescent="0.25">
      <c r="A95" s="95" t="s">
        <v>136</v>
      </c>
      <c r="B95" s="96"/>
      <c r="C95" s="222" t="s">
        <v>247</v>
      </c>
      <c r="D95" s="223"/>
      <c r="E95" s="223"/>
      <c r="F95" s="223"/>
      <c r="G95" s="223"/>
      <c r="H95" s="224"/>
      <c r="I95" s="47" t="str">
        <f ca="1">IF(D108=100%,"All work Completed. Possession granted to the Building.",IF(D107=100%,"All work Completed, Waiting for OC",I96&amp;""&amp;I97&amp;""&amp;J96&amp;""&amp;J95&amp;" "&amp;J97))</f>
        <v xml:space="preserve">Excavation Completed, Footing work Completed </v>
      </c>
      <c r="J95" s="48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x14ac:dyDescent="0.25">
      <c r="A96" s="15" t="s">
        <v>138</v>
      </c>
      <c r="B96" s="57">
        <f>IF(AND(ISNUMBER(SEARCH("1B",C95))),1,IF(AND(ISNUMBER(SEARCH("2B",C95))),2,IF(AND(ISNUMBER(SEARCH("3B",C95))),3,IF(AND(ISNUMBER(SEARCH("4B",C95))),4,IF(ISNUMBER(SEARCH("5B",C95)),5,0)))))</f>
        <v>0</v>
      </c>
      <c r="C96" s="57" t="s">
        <v>70</v>
      </c>
      <c r="D96" s="57">
        <v>1</v>
      </c>
      <c r="E96" s="57" t="s">
        <v>69</v>
      </c>
      <c r="F96" s="57">
        <v>0</v>
      </c>
      <c r="G96" s="46" t="s">
        <v>79</v>
      </c>
      <c r="H96" s="16">
        <f ca="1">--TRIM(RIGHT(SUBSTITUTE(LEFT(C95,_xlfn.AGGREGATE(16,6,FIND({0,1,2,3,4,5,6,7,8,9},C95,ROW(INDIRECT("1:"&amp;LEN(C95)))),1))," ",REPT(" ",LEN(C95))),LEN(C95)))</f>
        <v>7</v>
      </c>
      <c r="I96" s="49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</v>
      </c>
      <c r="J96" s="50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>, Footing work Completed</v>
      </c>
    </row>
    <row r="97" spans="1:10" x14ac:dyDescent="0.25">
      <c r="A97" s="191" t="s">
        <v>89</v>
      </c>
      <c r="B97" s="146"/>
      <c r="C97" s="137" t="str">
        <f ca="1">(IF($G$52="NA",I95,"All work Completed. OC Received."))</f>
        <v xml:space="preserve">Excavation Completed, Footing work Completed </v>
      </c>
      <c r="D97" s="137"/>
      <c r="E97" s="137"/>
      <c r="F97" s="137"/>
      <c r="G97" s="137"/>
      <c r="H97" s="138"/>
      <c r="I97" s="49" t="str">
        <f ca="1">IF(I96&lt;&gt;""," Completed","")</f>
        <v xml:space="preserve"> Completed</v>
      </c>
      <c r="J97" s="50" t="str">
        <f ca="1">IF(J95&lt;&gt;"","Completed","")</f>
        <v/>
      </c>
    </row>
    <row r="98" spans="1:10" ht="15.75" customHeight="1" x14ac:dyDescent="0.25">
      <c r="A98" s="93" t="s">
        <v>49</v>
      </c>
      <c r="B98" s="94"/>
      <c r="C98" s="56" t="s">
        <v>135</v>
      </c>
      <c r="D98" s="56" t="s">
        <v>82</v>
      </c>
      <c r="E98" s="94" t="s">
        <v>84</v>
      </c>
      <c r="F98" s="94"/>
      <c r="G98" s="94" t="s">
        <v>83</v>
      </c>
      <c r="H98" s="143"/>
      <c r="I98" s="13" t="s">
        <v>137</v>
      </c>
      <c r="J98" s="27">
        <f ca="1">H96*25%</f>
        <v>1.75</v>
      </c>
    </row>
    <row r="99" spans="1:10" x14ac:dyDescent="0.25">
      <c r="A99" s="93" t="s">
        <v>124</v>
      </c>
      <c r="B99" s="94"/>
      <c r="C99" s="60">
        <f ca="1">J100</f>
        <v>7</v>
      </c>
      <c r="D99" s="18">
        <f ca="1">((100/H96)*C99)/100</f>
        <v>1</v>
      </c>
      <c r="E99" s="172">
        <f ca="1">(((C100/H96*10)+(40/(D96+F96+H96)*C101)+(7.5/(H96)*C102)+(7.5/(H96)*C103)+(10/H96*C104)+(10/H96*C105)+(5/H96*C106)+(5/H96*C107)+(5/H96*C108))/100)</f>
        <v>0.05</v>
      </c>
      <c r="F99" s="173"/>
      <c r="G99" s="172">
        <f ca="1">((((C99/H96)*20)+((C100/H96)*25)+(30/(H96+F96+D96)*C101)+(5/H96*C102)+(5/H96*C103)+(5/H96*C104)+(5/H96*C105)+(0/H96*C106)+(0/H96*C107)+(5/H96*C108))/100)</f>
        <v>0.32500000000000001</v>
      </c>
      <c r="H99" s="178"/>
      <c r="I99" s="13" t="s">
        <v>99</v>
      </c>
      <c r="J99" s="28">
        <f ca="1">H96*50%</f>
        <v>3.5</v>
      </c>
    </row>
    <row r="100" spans="1:10" x14ac:dyDescent="0.25">
      <c r="A100" s="93" t="s">
        <v>50</v>
      </c>
      <c r="B100" s="94"/>
      <c r="C100" s="51">
        <f ca="1">J102</f>
        <v>3.5</v>
      </c>
      <c r="D100" s="18">
        <f ca="1">((100/H96)*C100)/100</f>
        <v>0.5</v>
      </c>
      <c r="E100" s="174"/>
      <c r="F100" s="175"/>
      <c r="G100" s="174"/>
      <c r="H100" s="179"/>
      <c r="I100" s="13" t="s">
        <v>100</v>
      </c>
      <c r="J100" s="28">
        <f ca="1">H96</f>
        <v>7</v>
      </c>
    </row>
    <row r="101" spans="1:10" ht="15.75" customHeight="1" x14ac:dyDescent="0.25">
      <c r="A101" s="93" t="s">
        <v>125</v>
      </c>
      <c r="B101" s="94"/>
      <c r="C101" s="60">
        <v>0</v>
      </c>
      <c r="D101" s="18">
        <f ca="1">((100/(D96+F96+H96))*C101)/100</f>
        <v>0</v>
      </c>
      <c r="E101" s="174"/>
      <c r="F101" s="175"/>
      <c r="G101" s="174"/>
      <c r="H101" s="179"/>
      <c r="I101" s="13" t="s">
        <v>101</v>
      </c>
      <c r="J101" s="29">
        <f ca="1">(IF(B96&gt;1,(H96/(B96+2)),H96/4))</f>
        <v>1.75</v>
      </c>
    </row>
    <row r="102" spans="1:10" ht="15.75" customHeight="1" x14ac:dyDescent="0.25">
      <c r="A102" s="93" t="s">
        <v>132</v>
      </c>
      <c r="B102" s="94" t="s">
        <v>126</v>
      </c>
      <c r="C102" s="60">
        <v>0</v>
      </c>
      <c r="D102" s="18">
        <f ca="1">((100/H96)*C102)/100</f>
        <v>0</v>
      </c>
      <c r="E102" s="174"/>
      <c r="F102" s="175"/>
      <c r="G102" s="174"/>
      <c r="H102" s="179"/>
      <c r="I102" s="13" t="s">
        <v>102</v>
      </c>
      <c r="J102" s="29">
        <f ca="1">(IF(B96&gt;1,(H96/(B96+2)+J101),H96/4+J101))</f>
        <v>3.5</v>
      </c>
    </row>
    <row r="103" spans="1:10" ht="15.75" customHeight="1" x14ac:dyDescent="0.25">
      <c r="A103" s="93" t="s">
        <v>133</v>
      </c>
      <c r="B103" s="94" t="s">
        <v>126</v>
      </c>
      <c r="C103" s="60">
        <v>0</v>
      </c>
      <c r="D103" s="18">
        <f ca="1">((100/H96)*C103)/100</f>
        <v>0</v>
      </c>
      <c r="E103" s="174"/>
      <c r="F103" s="175"/>
      <c r="G103" s="174"/>
      <c r="H103" s="179"/>
      <c r="I103" s="13" t="s">
        <v>142</v>
      </c>
      <c r="J103" s="29">
        <f>(IF(B96&gt;1,(H96/(B96+2)+J102),0))</f>
        <v>0</v>
      </c>
    </row>
    <row r="104" spans="1:10" ht="15" customHeight="1" x14ac:dyDescent="0.25">
      <c r="A104" s="93" t="s">
        <v>131</v>
      </c>
      <c r="B104" s="94" t="s">
        <v>128</v>
      </c>
      <c r="C104" s="60">
        <v>0</v>
      </c>
      <c r="D104" s="18">
        <f ca="1">((100/(H96))*C104)/100</f>
        <v>0</v>
      </c>
      <c r="E104" s="174"/>
      <c r="F104" s="175"/>
      <c r="G104" s="174"/>
      <c r="H104" s="179"/>
      <c r="I104" s="13" t="s">
        <v>139</v>
      </c>
      <c r="J104" s="29">
        <f>(IF(B96&gt;2,(H96/(B96+2)+J103),0))</f>
        <v>0</v>
      </c>
    </row>
    <row r="105" spans="1:10" ht="15.75" customHeight="1" x14ac:dyDescent="0.25">
      <c r="A105" s="93" t="s">
        <v>127</v>
      </c>
      <c r="B105" s="94" t="s">
        <v>127</v>
      </c>
      <c r="C105" s="60">
        <v>0</v>
      </c>
      <c r="D105" s="18">
        <f ca="1">((100/H96)*C105)/100</f>
        <v>0</v>
      </c>
      <c r="E105" s="174"/>
      <c r="F105" s="175"/>
      <c r="G105" s="174"/>
      <c r="H105" s="179"/>
      <c r="I105" s="13" t="s">
        <v>140</v>
      </c>
      <c r="J105" s="30">
        <f>(IF(B96&gt;3,(H96/(B96+2)+J104),0))</f>
        <v>0</v>
      </c>
    </row>
    <row r="106" spans="1:10" ht="15.75" customHeight="1" x14ac:dyDescent="0.25">
      <c r="A106" s="93" t="s">
        <v>134</v>
      </c>
      <c r="B106" s="94"/>
      <c r="C106" s="60">
        <v>0</v>
      </c>
      <c r="D106" s="18">
        <f ca="1">((100/H96)*C106)/100</f>
        <v>0</v>
      </c>
      <c r="E106" s="174"/>
      <c r="F106" s="175"/>
      <c r="G106" s="174"/>
      <c r="H106" s="179"/>
      <c r="I106" s="13" t="s">
        <v>141</v>
      </c>
      <c r="J106" s="29">
        <f>(IF(B96&gt;4,(H96/(B96+2)+J105),0))</f>
        <v>0</v>
      </c>
    </row>
    <row r="107" spans="1:10" ht="15.75" customHeight="1" x14ac:dyDescent="0.25">
      <c r="A107" s="93" t="s">
        <v>129</v>
      </c>
      <c r="B107" s="94" t="s">
        <v>129</v>
      </c>
      <c r="C107" s="72">
        <v>0</v>
      </c>
      <c r="D107" s="18">
        <f ca="1">((100/(H96))*C107)/100</f>
        <v>0</v>
      </c>
      <c r="E107" s="174"/>
      <c r="F107" s="175"/>
      <c r="G107" s="174"/>
      <c r="H107" s="179"/>
      <c r="I107" s="13" t="s">
        <v>143</v>
      </c>
      <c r="J107" s="29">
        <f ca="1">(IF(B96=1,(H96/(B96+3)+J102),IF(B96=0,(H96/4+J102),IF(B96&gt;1,0))))</f>
        <v>5.25</v>
      </c>
    </row>
    <row r="108" spans="1:10" ht="16.5" thickBot="1" x14ac:dyDescent="0.3">
      <c r="A108" s="181" t="s">
        <v>130</v>
      </c>
      <c r="B108" s="213"/>
      <c r="C108" s="61">
        <v>0</v>
      </c>
      <c r="D108" s="65">
        <f ca="1">((100/(H96))*C108)/100</f>
        <v>0</v>
      </c>
      <c r="E108" s="176"/>
      <c r="F108" s="177"/>
      <c r="G108" s="176"/>
      <c r="H108" s="180"/>
      <c r="I108" s="14" t="s">
        <v>103</v>
      </c>
      <c r="J108" s="31">
        <f ca="1">(IF(B96&gt;1.5,(H96/(B96+2)+J102+MAX(0,J103-J102)+MAX(0,J104-J103)+MAX(0,J105-J104)+MAX(0,J106-J105)+MAX(0,J107-J106)),IF(B96=1,(H96/(B96+3)+J107),IF(B96=0,H96/4+J107))))</f>
        <v>7</v>
      </c>
    </row>
    <row r="109" spans="1:10" ht="15.75" customHeight="1" x14ac:dyDescent="0.25">
      <c r="A109" s="95" t="s">
        <v>136</v>
      </c>
      <c r="B109" s="96"/>
      <c r="C109" s="222" t="s">
        <v>248</v>
      </c>
      <c r="D109" s="223"/>
      <c r="E109" s="223"/>
      <c r="F109" s="223"/>
      <c r="G109" s="223"/>
      <c r="H109" s="224"/>
      <c r="I109" s="47" t="str">
        <f ca="1">IF(D122=100%,"All work Completed. Possession granted to the Building.",IF(D121=100%,"All work Completed, Waiting for OC",I110&amp;""&amp;I111&amp;""&amp;J110&amp;""&amp;J109&amp;" "&amp;J111))</f>
        <v xml:space="preserve">Excavation Completed, Plinth work is process </v>
      </c>
      <c r="J109" s="48" t="str">
        <f ca="1">(IF(C115=(D110+F110+H110),"",IF(C115&gt;0,", RCC upto "&amp;C115&amp;" Slab","")))&amp;(IF(C116=H110,"",IF(C116&gt;0,", Brickwork upto "&amp;C116&amp;" Floor","")))&amp;(IF(C117=H110,"",IF(C117&gt;0,", Internal Plaster upto "&amp;C117&amp;" Floor","")))&amp;(IF(C118=H110,"",IF(C118&gt;0,", External Plaster upto "&amp;C118&amp;" Floor","")))&amp;(IF(C119=H110,"",IF(C119&gt;0,", Flooring upto "&amp;C119&amp;" Floor","")))&amp;(IF(C120=H110,"",IF(C120&gt;0,", Painting upto "&amp;C120&amp;" Floor","")))&amp;(IF(C121=H110,"",IF(C121&gt;0,", Finishing upto "&amp;C121&amp;" Floor","")))&amp;(IF(C122=H110,"",IF(C122&gt;0,", Possession upto "&amp;C122&amp;" Floor","")))</f>
        <v/>
      </c>
    </row>
    <row r="110" spans="1:10" x14ac:dyDescent="0.25">
      <c r="A110" s="15" t="s">
        <v>138</v>
      </c>
      <c r="B110" s="68">
        <f>IF(AND(ISNUMBER(SEARCH("1B",C109))),1,IF(AND(ISNUMBER(SEARCH("2B",C109))),2,IF(AND(ISNUMBER(SEARCH("3B",C109))),3,IF(AND(ISNUMBER(SEARCH("4B",C109))),4,IF(ISNUMBER(SEARCH("5B",C109)),5,0)))))</f>
        <v>0</v>
      </c>
      <c r="C110" s="68" t="s">
        <v>70</v>
      </c>
      <c r="D110" s="68">
        <v>1</v>
      </c>
      <c r="E110" s="68" t="s">
        <v>69</v>
      </c>
      <c r="F110" s="68">
        <v>0</v>
      </c>
      <c r="G110" s="46" t="s">
        <v>79</v>
      </c>
      <c r="H110" s="16">
        <f ca="1">--TRIM(RIGHT(SUBSTITUTE(LEFT(C109,_xlfn.AGGREGATE(16,6,FIND({0,1,2,3,4,5,6,7,8,9},C109,ROW(INDIRECT("1:"&amp;LEN(C109)))),1))," ",REPT(" ",LEN(C109))),LEN(C109)))</f>
        <v>7</v>
      </c>
      <c r="I110" s="49" t="str">
        <f ca="1">IF(D113=100%,"Excavation","")&amp;IF(D114=100%,", Plinth","")&amp;IF(D115=100%,", RCC Slab","")&amp;IF(D116=100%,", Brickwork","")&amp;IF(D117=100%,", Internal Plaster","")&amp;IF(D118=100%,", External Plaster","")&amp;IF(D119=100%,", Flooring","")&amp;IF(D120=100%,", Painting","")&amp;IF(D121=100%,", Building common Amenities","")</f>
        <v>Excavation</v>
      </c>
      <c r="J110" s="50" t="str">
        <f ca="1">(IF(C113=0,"Work not yet Started.",IF(D113=25%,"Piling work in process",IF(D113=50%,"Excavation work in process",IF(D113=100%,"","0")))))&amp;(IF(C114=0%,"",IF(C114=J115,", Footing work is process",IF(C114=J116,", Footing work Completed",IF(C114=J117,", 1st Basement Completed",IF(C114=J118,", 1st &amp; 2nd Basement Completed",IF(C114=J119,", 1st to 3rd Basement Completed",IF(C114=J120,", 1st to 4th Basement Completed",IF(C114=J121,", Plinth work is process",IF(C114=J122,"","0"))))))))))</f>
        <v>, Plinth work is process</v>
      </c>
    </row>
    <row r="111" spans="1:10" x14ac:dyDescent="0.25">
      <c r="A111" s="191" t="s">
        <v>89</v>
      </c>
      <c r="B111" s="146"/>
      <c r="C111" s="137" t="str">
        <f ca="1">(IF($G$52="NA",I109,"All work Completed. OC Received."))</f>
        <v xml:space="preserve">Excavation Completed, Plinth work is process </v>
      </c>
      <c r="D111" s="137"/>
      <c r="E111" s="137"/>
      <c r="F111" s="137"/>
      <c r="G111" s="137"/>
      <c r="H111" s="138"/>
      <c r="I111" s="49" t="str">
        <f ca="1">IF(I110&lt;&gt;""," Completed","")</f>
        <v xml:space="preserve"> Completed</v>
      </c>
      <c r="J111" s="50" t="str">
        <f ca="1">IF(J109&lt;&gt;"","Completed","")</f>
        <v/>
      </c>
    </row>
    <row r="112" spans="1:10" ht="15.75" customHeight="1" x14ac:dyDescent="0.25">
      <c r="A112" s="93" t="s">
        <v>49</v>
      </c>
      <c r="B112" s="94"/>
      <c r="C112" s="66" t="s">
        <v>135</v>
      </c>
      <c r="D112" s="66" t="s">
        <v>82</v>
      </c>
      <c r="E112" s="94" t="s">
        <v>84</v>
      </c>
      <c r="F112" s="94"/>
      <c r="G112" s="94" t="s">
        <v>83</v>
      </c>
      <c r="H112" s="143"/>
      <c r="I112" s="13" t="s">
        <v>137</v>
      </c>
      <c r="J112" s="27">
        <f ca="1">H110*25%</f>
        <v>1.75</v>
      </c>
    </row>
    <row r="113" spans="1:13" x14ac:dyDescent="0.25">
      <c r="A113" s="93" t="s">
        <v>124</v>
      </c>
      <c r="B113" s="94"/>
      <c r="C113" s="66">
        <f ca="1">J114</f>
        <v>7</v>
      </c>
      <c r="D113" s="18">
        <f ca="1">((100/H110)*C113)/100</f>
        <v>1</v>
      </c>
      <c r="E113" s="172">
        <f ca="1">(((C114/H110*10)+(40/(D110+F110+H110)*C115)+(7.5/(H110)*C116)+(7.5/(H110)*C117)+(10/H110*C118)+(10/H110*C119)+(5/H110*C120)+(5/H110*C121)+(5/H110*C122))/100)</f>
        <v>7.4999999999999997E-2</v>
      </c>
      <c r="F113" s="173"/>
      <c r="G113" s="172">
        <f ca="1">((((C113/H110)*20)+((C114/H110)*25)+(30/(H110+F110+D110)*C115)+(5/H110*C116)+(5/H110*C117)+(5/H110*C118)+(5/H110*C119)+(0/H110*C120)+(0/H110*C121)+(5/H110*C122))/100)</f>
        <v>0.38750000000000001</v>
      </c>
      <c r="H113" s="178"/>
      <c r="I113" s="13" t="s">
        <v>99</v>
      </c>
      <c r="J113" s="28">
        <f ca="1">H110*50%</f>
        <v>3.5</v>
      </c>
    </row>
    <row r="114" spans="1:13" x14ac:dyDescent="0.25">
      <c r="A114" s="93" t="s">
        <v>50</v>
      </c>
      <c r="B114" s="94"/>
      <c r="C114" s="51">
        <f ca="1">J121</f>
        <v>5.25</v>
      </c>
      <c r="D114" s="18">
        <f ca="1">((100/H110)*C114)/100</f>
        <v>0.75</v>
      </c>
      <c r="E114" s="174"/>
      <c r="F114" s="175"/>
      <c r="G114" s="174"/>
      <c r="H114" s="179"/>
      <c r="I114" s="13" t="s">
        <v>100</v>
      </c>
      <c r="J114" s="28">
        <f ca="1">H110</f>
        <v>7</v>
      </c>
    </row>
    <row r="115" spans="1:13" ht="15.75" customHeight="1" x14ac:dyDescent="0.25">
      <c r="A115" s="93" t="s">
        <v>125</v>
      </c>
      <c r="B115" s="94"/>
      <c r="C115" s="66">
        <v>0</v>
      </c>
      <c r="D115" s="18">
        <f ca="1">((100/(D110+F110+H110))*C115)/100</f>
        <v>0</v>
      </c>
      <c r="E115" s="174"/>
      <c r="F115" s="175"/>
      <c r="G115" s="174"/>
      <c r="H115" s="179"/>
      <c r="I115" s="13" t="s">
        <v>101</v>
      </c>
      <c r="J115" s="29">
        <f ca="1">(IF(B110&gt;1,(H110/(B110+2)),H110/4))</f>
        <v>1.75</v>
      </c>
    </row>
    <row r="116" spans="1:13" ht="15.75" customHeight="1" x14ac:dyDescent="0.25">
      <c r="A116" s="93" t="s">
        <v>132</v>
      </c>
      <c r="B116" s="94" t="s">
        <v>126</v>
      </c>
      <c r="C116" s="66">
        <v>0</v>
      </c>
      <c r="D116" s="18">
        <f ca="1">((100/H110)*C116)/100</f>
        <v>0</v>
      </c>
      <c r="E116" s="174"/>
      <c r="F116" s="175"/>
      <c r="G116" s="174"/>
      <c r="H116" s="179"/>
      <c r="I116" s="13" t="s">
        <v>102</v>
      </c>
      <c r="J116" s="29">
        <f ca="1">(IF(B110&gt;1,(H110/(B110+2)+J115),H110/4+J115))</f>
        <v>3.5</v>
      </c>
    </row>
    <row r="117" spans="1:13" ht="15.75" customHeight="1" x14ac:dyDescent="0.25">
      <c r="A117" s="93" t="s">
        <v>133</v>
      </c>
      <c r="B117" s="94" t="s">
        <v>126</v>
      </c>
      <c r="C117" s="66">
        <v>0</v>
      </c>
      <c r="D117" s="18">
        <f ca="1">((100/H110)*C117)/100</f>
        <v>0</v>
      </c>
      <c r="E117" s="174"/>
      <c r="F117" s="175"/>
      <c r="G117" s="174"/>
      <c r="H117" s="179"/>
      <c r="I117" s="13" t="s">
        <v>142</v>
      </c>
      <c r="J117" s="29">
        <f>(IF(B110&gt;1,(H110/(B110+2)+J116),0))</f>
        <v>0</v>
      </c>
    </row>
    <row r="118" spans="1:13" ht="15" customHeight="1" x14ac:dyDescent="0.25">
      <c r="A118" s="93" t="s">
        <v>131</v>
      </c>
      <c r="B118" s="94" t="s">
        <v>128</v>
      </c>
      <c r="C118" s="66">
        <v>0</v>
      </c>
      <c r="D118" s="18">
        <f ca="1">((100/(H110))*C118)/100</f>
        <v>0</v>
      </c>
      <c r="E118" s="174"/>
      <c r="F118" s="175"/>
      <c r="G118" s="174"/>
      <c r="H118" s="179"/>
      <c r="I118" s="13" t="s">
        <v>139</v>
      </c>
      <c r="J118" s="29">
        <f>(IF(B110&gt;2,(H110/(B110+2)+J117),0))</f>
        <v>0</v>
      </c>
    </row>
    <row r="119" spans="1:13" ht="15.75" customHeight="1" x14ac:dyDescent="0.25">
      <c r="A119" s="93" t="s">
        <v>127</v>
      </c>
      <c r="B119" s="94" t="s">
        <v>127</v>
      </c>
      <c r="C119" s="66">
        <v>0</v>
      </c>
      <c r="D119" s="18">
        <f ca="1">((100/H110)*C119)/100</f>
        <v>0</v>
      </c>
      <c r="E119" s="174"/>
      <c r="F119" s="175"/>
      <c r="G119" s="174"/>
      <c r="H119" s="179"/>
      <c r="I119" s="13" t="s">
        <v>140</v>
      </c>
      <c r="J119" s="30">
        <f>(IF(B110&gt;3,(H110/(B110+2)+J118),0))</f>
        <v>0</v>
      </c>
    </row>
    <row r="120" spans="1:13" ht="15.75" customHeight="1" x14ac:dyDescent="0.25">
      <c r="A120" s="93" t="s">
        <v>134</v>
      </c>
      <c r="B120" s="94"/>
      <c r="C120" s="66">
        <v>0</v>
      </c>
      <c r="D120" s="18">
        <f ca="1">((100/H110)*C120)/100</f>
        <v>0</v>
      </c>
      <c r="E120" s="174"/>
      <c r="F120" s="175"/>
      <c r="G120" s="174"/>
      <c r="H120" s="179"/>
      <c r="I120" s="13" t="s">
        <v>141</v>
      </c>
      <c r="J120" s="29">
        <f>(IF(B110&gt;4,(H110/(B110+2)+J119),0))</f>
        <v>0</v>
      </c>
    </row>
    <row r="121" spans="1:13" ht="15.75" customHeight="1" x14ac:dyDescent="0.25">
      <c r="A121" s="93" t="s">
        <v>129</v>
      </c>
      <c r="B121" s="94" t="s">
        <v>129</v>
      </c>
      <c r="C121" s="72">
        <v>0</v>
      </c>
      <c r="D121" s="18">
        <f ca="1">((100/(H110))*C121)/100</f>
        <v>0</v>
      </c>
      <c r="E121" s="174"/>
      <c r="F121" s="175"/>
      <c r="G121" s="174"/>
      <c r="H121" s="179"/>
      <c r="I121" s="13" t="s">
        <v>143</v>
      </c>
      <c r="J121" s="29">
        <f ca="1">(IF(B110=1,(H110/(B110+3)+J116),IF(B110=0,(H110/4+J116),IF(B110&gt;1,0))))</f>
        <v>5.25</v>
      </c>
    </row>
    <row r="122" spans="1:13" ht="16.5" thickBot="1" x14ac:dyDescent="0.3">
      <c r="A122" s="181" t="s">
        <v>130</v>
      </c>
      <c r="B122" s="213"/>
      <c r="C122" s="67">
        <v>0</v>
      </c>
      <c r="D122" s="65">
        <f ca="1">((100/(H110))*C122)/100</f>
        <v>0</v>
      </c>
      <c r="E122" s="176"/>
      <c r="F122" s="177"/>
      <c r="G122" s="176"/>
      <c r="H122" s="180"/>
      <c r="I122" s="14" t="s">
        <v>103</v>
      </c>
      <c r="J122" s="31">
        <f ca="1">(IF(B110&gt;1.5,(H110/(B110+2)+J116+MAX(0,J117-J116)+MAX(0,J118-J117)+MAX(0,J119-J118)+MAX(0,J120-J119)+MAX(0,J121-J120)),IF(B110=1,(H110/(B110+3)+J121),IF(B110=0,H110/4+J121))))</f>
        <v>7</v>
      </c>
    </row>
    <row r="123" spans="1:13" x14ac:dyDescent="0.25">
      <c r="A123" s="195" t="s">
        <v>153</v>
      </c>
      <c r="B123" s="195"/>
      <c r="C123" s="195"/>
      <c r="D123" s="195"/>
      <c r="E123" s="195"/>
      <c r="F123" s="194" t="s">
        <v>158</v>
      </c>
      <c r="G123" s="194"/>
      <c r="H123" s="194"/>
    </row>
    <row r="124" spans="1:13" x14ac:dyDescent="0.25">
      <c r="A124" s="90" t="s">
        <v>156</v>
      </c>
      <c r="B124" s="90"/>
      <c r="C124" s="90"/>
      <c r="D124" s="90"/>
      <c r="E124" s="90"/>
      <c r="F124" s="100">
        <v>4850</v>
      </c>
      <c r="G124" s="100"/>
      <c r="H124" s="100"/>
      <c r="I124" s="53" t="s">
        <v>199</v>
      </c>
      <c r="J124" s="53"/>
      <c r="K124" s="53" t="s">
        <v>200</v>
      </c>
      <c r="L124" s="53" t="s">
        <v>201</v>
      </c>
      <c r="M124" s="54">
        <v>45118</v>
      </c>
    </row>
    <row r="125" spans="1:13" hidden="1" x14ac:dyDescent="0.25">
      <c r="A125" s="90" t="s">
        <v>155</v>
      </c>
      <c r="B125" s="90"/>
      <c r="C125" s="90"/>
      <c r="D125" s="90"/>
      <c r="E125" s="90"/>
      <c r="F125" s="100"/>
      <c r="G125" s="100"/>
      <c r="H125" s="100"/>
    </row>
    <row r="126" spans="1:13" hidden="1" x14ac:dyDescent="0.25">
      <c r="A126" s="90" t="s">
        <v>157</v>
      </c>
      <c r="B126" s="90"/>
      <c r="C126" s="90"/>
      <c r="D126" s="90"/>
      <c r="E126" s="90"/>
      <c r="F126" s="100"/>
      <c r="G126" s="100"/>
      <c r="H126" s="100"/>
    </row>
    <row r="127" spans="1:13" s="32" customFormat="1" hidden="1" x14ac:dyDescent="0.25">
      <c r="A127" s="90" t="s">
        <v>154</v>
      </c>
      <c r="B127" s="90"/>
      <c r="C127" s="90"/>
      <c r="D127" s="90"/>
      <c r="E127" s="90"/>
      <c r="F127" s="100"/>
      <c r="G127" s="100"/>
      <c r="H127" s="100"/>
    </row>
    <row r="128" spans="1:13" s="32" customFormat="1" x14ac:dyDescent="0.25">
      <c r="A128" s="90" t="s">
        <v>94</v>
      </c>
      <c r="B128" s="90"/>
      <c r="C128" s="90"/>
      <c r="D128" s="90"/>
      <c r="E128" s="90"/>
      <c r="F128" s="100">
        <v>200000</v>
      </c>
      <c r="G128" s="100"/>
      <c r="H128" s="100"/>
      <c r="I128" s="32" t="s">
        <v>205</v>
      </c>
    </row>
    <row r="129" spans="1:8" s="32" customFormat="1" hidden="1" x14ac:dyDescent="0.25">
      <c r="A129" s="90" t="s">
        <v>95</v>
      </c>
      <c r="B129" s="90"/>
      <c r="C129" s="90"/>
      <c r="D129" s="90"/>
      <c r="E129" s="90"/>
      <c r="F129" s="100"/>
      <c r="G129" s="100"/>
      <c r="H129" s="100"/>
    </row>
    <row r="130" spans="1:8" s="32" customFormat="1" hidden="1" x14ac:dyDescent="0.25">
      <c r="A130" s="90" t="s">
        <v>159</v>
      </c>
      <c r="B130" s="90"/>
      <c r="C130" s="90"/>
      <c r="D130" s="90"/>
      <c r="E130" s="90"/>
      <c r="F130" s="100"/>
      <c r="G130" s="100"/>
      <c r="H130" s="100"/>
    </row>
    <row r="131" spans="1:8" s="32" customFormat="1" hidden="1" x14ac:dyDescent="0.25">
      <c r="A131" s="90" t="s">
        <v>96</v>
      </c>
      <c r="B131" s="90"/>
      <c r="C131" s="90"/>
      <c r="D131" s="90"/>
      <c r="E131" s="90"/>
      <c r="F131" s="100"/>
      <c r="G131" s="100"/>
      <c r="H131" s="100"/>
    </row>
    <row r="132" spans="1:8" s="32" customFormat="1" hidden="1" x14ac:dyDescent="0.25">
      <c r="A132" s="90" t="s">
        <v>97</v>
      </c>
      <c r="B132" s="90"/>
      <c r="C132" s="90"/>
      <c r="D132" s="90"/>
      <c r="E132" s="90"/>
      <c r="F132" s="100"/>
      <c r="G132" s="100"/>
      <c r="H132" s="100"/>
    </row>
    <row r="133" spans="1:8" s="32" customFormat="1" x14ac:dyDescent="0.25">
      <c r="A133" s="90" t="s">
        <v>202</v>
      </c>
      <c r="B133" s="90"/>
      <c r="C133" s="90"/>
      <c r="D133" s="90"/>
      <c r="E133" s="90"/>
      <c r="F133" s="100">
        <v>50000</v>
      </c>
      <c r="G133" s="100"/>
      <c r="H133" s="100"/>
    </row>
    <row r="134" spans="1:8" s="32" customFormat="1" hidden="1" x14ac:dyDescent="0.25">
      <c r="A134" s="90" t="s">
        <v>98</v>
      </c>
      <c r="B134" s="90"/>
      <c r="C134" s="90"/>
      <c r="D134" s="90"/>
      <c r="E134" s="90"/>
      <c r="F134" s="100"/>
      <c r="G134" s="100"/>
      <c r="H134" s="100"/>
    </row>
    <row r="135" spans="1:8" x14ac:dyDescent="0.25">
      <c r="A135" s="90" t="s">
        <v>51</v>
      </c>
      <c r="B135" s="90"/>
      <c r="C135" s="90"/>
      <c r="D135" s="90"/>
      <c r="E135" s="90"/>
      <c r="F135" s="100">
        <v>150000</v>
      </c>
      <c r="G135" s="100"/>
      <c r="H135" s="100"/>
    </row>
    <row r="136" spans="1:8" s="33" customFormat="1" x14ac:dyDescent="0.25">
      <c r="A136" s="136" t="s">
        <v>52</v>
      </c>
      <c r="B136" s="136"/>
      <c r="C136" s="136"/>
      <c r="D136" s="136"/>
      <c r="E136" s="136"/>
      <c r="F136" s="100">
        <f>F124*0.8</f>
        <v>3880</v>
      </c>
      <c r="G136" s="100"/>
      <c r="H136" s="100"/>
    </row>
    <row r="137" spans="1:8" s="34" customFormat="1" ht="15.75" customHeight="1" x14ac:dyDescent="0.25">
      <c r="A137" s="135" t="s">
        <v>74</v>
      </c>
      <c r="B137" s="135"/>
      <c r="C137" s="135"/>
      <c r="D137" s="135"/>
      <c r="E137" s="135"/>
      <c r="F137" s="135"/>
      <c r="G137" s="135"/>
      <c r="H137" s="135"/>
    </row>
    <row r="138" spans="1:8" s="34" customFormat="1" ht="15.75" customHeight="1" x14ac:dyDescent="0.25">
      <c r="A138" s="92" t="s">
        <v>53</v>
      </c>
      <c r="B138" s="92"/>
      <c r="C138" s="121" t="s">
        <v>77</v>
      </c>
      <c r="D138" s="121"/>
      <c r="E138" s="124" t="s">
        <v>54</v>
      </c>
      <c r="F138" s="124"/>
      <c r="G138" s="92" t="s">
        <v>55</v>
      </c>
      <c r="H138" s="92"/>
    </row>
    <row r="139" spans="1:8" s="34" customFormat="1" ht="32.25" customHeight="1" x14ac:dyDescent="0.25">
      <c r="A139" s="58" t="s">
        <v>244</v>
      </c>
      <c r="B139" s="58" t="s">
        <v>182</v>
      </c>
      <c r="C139" s="225">
        <f>COUNT(F157:F160)</f>
        <v>4</v>
      </c>
      <c r="D139" s="225"/>
      <c r="E139" s="225">
        <f>SUM(F157:F160)</f>
        <v>560.10473999999999</v>
      </c>
      <c r="F139" s="225"/>
      <c r="G139" s="225">
        <f>SUM(H157:H160)</f>
        <v>840.15710999999999</v>
      </c>
      <c r="H139" s="225"/>
    </row>
    <row r="140" spans="1:8" s="34" customFormat="1" x14ac:dyDescent="0.25">
      <c r="A140" s="135" t="s">
        <v>146</v>
      </c>
      <c r="B140" s="135"/>
      <c r="C140" s="199">
        <f>SUM(C139)</f>
        <v>4</v>
      </c>
      <c r="D140" s="121"/>
      <c r="E140" s="200">
        <f>SUM(E139)</f>
        <v>560.10473999999999</v>
      </c>
      <c r="F140" s="124"/>
      <c r="G140" s="92">
        <f>SUM(G139)</f>
        <v>840.15710999999999</v>
      </c>
      <c r="H140" s="92"/>
    </row>
    <row r="141" spans="1:8" s="34" customFormat="1" x14ac:dyDescent="0.25">
      <c r="A141" s="135" t="s">
        <v>68</v>
      </c>
      <c r="B141" s="135"/>
      <c r="C141" s="135"/>
      <c r="D141" s="135"/>
      <c r="E141" s="135"/>
      <c r="F141" s="135"/>
      <c r="G141" s="135"/>
      <c r="H141" s="135"/>
    </row>
    <row r="142" spans="1:8" s="34" customFormat="1" ht="15.75" customHeight="1" x14ac:dyDescent="0.25">
      <c r="A142" s="92" t="s">
        <v>53</v>
      </c>
      <c r="B142" s="92"/>
      <c r="C142" s="121" t="s">
        <v>77</v>
      </c>
      <c r="D142" s="121"/>
      <c r="E142" s="124" t="s">
        <v>54</v>
      </c>
      <c r="F142" s="124"/>
      <c r="G142" s="92" t="s">
        <v>55</v>
      </c>
      <c r="H142" s="92"/>
    </row>
    <row r="143" spans="1:8" s="34" customFormat="1" ht="15.75" customHeight="1" x14ac:dyDescent="0.25">
      <c r="A143" s="125" t="s">
        <v>245</v>
      </c>
      <c r="B143" s="44" t="s">
        <v>182</v>
      </c>
      <c r="C143" s="192">
        <f>COUNT(F168:F172)*7</f>
        <v>35</v>
      </c>
      <c r="D143" s="192"/>
      <c r="E143" s="193">
        <f>SUM(F168:F172)*7</f>
        <v>14205.17007</v>
      </c>
      <c r="F143" s="193"/>
      <c r="G143" s="193">
        <f>SUM(H168:H172)*7</f>
        <v>20597.496601499999</v>
      </c>
      <c r="H143" s="193"/>
    </row>
    <row r="144" spans="1:8" s="34" customFormat="1" x14ac:dyDescent="0.25">
      <c r="A144" s="126"/>
      <c r="B144" s="44" t="s">
        <v>184</v>
      </c>
      <c r="C144" s="192">
        <f>COUNT(F176:F180)*7</f>
        <v>35</v>
      </c>
      <c r="D144" s="192"/>
      <c r="E144" s="193">
        <f>SUM(F176:F180)*7</f>
        <v>14205.170069999998</v>
      </c>
      <c r="F144" s="193"/>
      <c r="G144" s="193">
        <f>SUM(H176:H180)*7</f>
        <v>20597.496601499995</v>
      </c>
      <c r="H144" s="193"/>
    </row>
    <row r="145" spans="1:20" s="34" customFormat="1" ht="15.75" customHeight="1" x14ac:dyDescent="0.25">
      <c r="A145" s="125" t="s">
        <v>244</v>
      </c>
      <c r="B145" s="58" t="s">
        <v>182</v>
      </c>
      <c r="C145" s="193">
        <f>COUNT(F184:F187)*7</f>
        <v>28</v>
      </c>
      <c r="D145" s="193"/>
      <c r="E145" s="193">
        <f>SUM(F184:F187)*7</f>
        <v>8168.8534200000013</v>
      </c>
      <c r="F145" s="193"/>
      <c r="G145" s="193">
        <f>SUM(H184:H187)*7</f>
        <v>11844.837459</v>
      </c>
      <c r="H145" s="193"/>
      <c r="I145" s="63" t="s">
        <v>223</v>
      </c>
    </row>
    <row r="146" spans="1:20" s="34" customFormat="1" x14ac:dyDescent="0.25">
      <c r="A146" s="216"/>
      <c r="B146" s="58" t="s">
        <v>184</v>
      </c>
      <c r="C146" s="193">
        <f>COUNT(F191:F194)*7</f>
        <v>28</v>
      </c>
      <c r="D146" s="193"/>
      <c r="E146" s="193">
        <f>SUM(F191:F194)*7</f>
        <v>8802.1533600000002</v>
      </c>
      <c r="F146" s="193"/>
      <c r="G146" s="193">
        <f>SUM(H191:H194)*7</f>
        <v>12763.122371999998</v>
      </c>
      <c r="H146" s="193"/>
      <c r="I146" s="63" t="s">
        <v>223</v>
      </c>
    </row>
    <row r="147" spans="1:20" s="34" customFormat="1" x14ac:dyDescent="0.25">
      <c r="A147" s="126"/>
      <c r="B147" s="58" t="s">
        <v>222</v>
      </c>
      <c r="C147" s="193">
        <f>COUNT(F198:F200)*7</f>
        <v>21</v>
      </c>
      <c r="D147" s="193"/>
      <c r="E147" s="193">
        <f>SUM(F198:F200)*7</f>
        <v>6601.6150200000002</v>
      </c>
      <c r="F147" s="193"/>
      <c r="G147" s="193">
        <f>SUM(H198:H200)*7</f>
        <v>9572.3417789999985</v>
      </c>
      <c r="H147" s="193"/>
      <c r="I147" s="63" t="s">
        <v>223</v>
      </c>
    </row>
    <row r="148" spans="1:20" s="34" customFormat="1" ht="16.5" thickBot="1" x14ac:dyDescent="0.3">
      <c r="A148" s="201" t="s">
        <v>146</v>
      </c>
      <c r="B148" s="201"/>
      <c r="C148" s="122">
        <f>SUM(C143:C147)</f>
        <v>147</v>
      </c>
      <c r="D148" s="123"/>
      <c r="E148" s="122">
        <f>SUM(E143:E147)</f>
        <v>51982.961939999994</v>
      </c>
      <c r="F148" s="123"/>
      <c r="G148" s="197">
        <f>SUM(G143:G147)</f>
        <v>75375.294812999986</v>
      </c>
      <c r="H148" s="198"/>
    </row>
    <row r="149" spans="1:20" s="34" customFormat="1" ht="16.5" thickBot="1" x14ac:dyDescent="0.3">
      <c r="A149" s="217" t="s">
        <v>224</v>
      </c>
      <c r="B149" s="218"/>
      <c r="C149" s="219">
        <f>SUM(C140,C148)</f>
        <v>151</v>
      </c>
      <c r="D149" s="220"/>
      <c r="E149" s="219">
        <f t="shared" ref="E149" si="0">SUM(E140,E148)</f>
        <v>52543.066679999996</v>
      </c>
      <c r="F149" s="220"/>
      <c r="G149" s="219">
        <f t="shared" ref="G149" si="1">SUM(G140,G148)</f>
        <v>76215.451922999986</v>
      </c>
      <c r="H149" s="220"/>
    </row>
    <row r="150" spans="1:20" s="33" customFormat="1" x14ac:dyDescent="0.25">
      <c r="A150" s="127" t="s">
        <v>230</v>
      </c>
      <c r="B150" s="127"/>
      <c r="C150" s="127"/>
      <c r="D150" s="127"/>
      <c r="E150" s="127"/>
      <c r="F150" s="127"/>
      <c r="G150" s="127"/>
      <c r="H150" s="127"/>
      <c r="T150" s="34"/>
    </row>
    <row r="151" spans="1:20" x14ac:dyDescent="0.25">
      <c r="A151" s="128" t="s">
        <v>231</v>
      </c>
      <c r="B151" s="128"/>
      <c r="C151" s="128"/>
      <c r="D151" s="128"/>
      <c r="E151" s="128"/>
      <c r="F151" s="128"/>
      <c r="G151" s="128"/>
      <c r="H151" s="128"/>
      <c r="T151" s="34"/>
    </row>
    <row r="152" spans="1:20" ht="47.25" customHeight="1" x14ac:dyDescent="0.25">
      <c r="A152" s="77" t="s">
        <v>234</v>
      </c>
      <c r="B152" s="77" t="s">
        <v>232</v>
      </c>
      <c r="C152" s="77" t="s">
        <v>56</v>
      </c>
      <c r="D152" s="77" t="s">
        <v>233</v>
      </c>
      <c r="E152" s="79" t="s">
        <v>152</v>
      </c>
      <c r="F152" s="77" t="s">
        <v>57</v>
      </c>
      <c r="G152" s="79" t="s">
        <v>58</v>
      </c>
      <c r="H152" s="69" t="s">
        <v>145</v>
      </c>
      <c r="T152" s="34"/>
    </row>
    <row r="153" spans="1:20" s="62" customFormat="1" x14ac:dyDescent="0.25">
      <c r="A153" s="78"/>
      <c r="B153" s="78"/>
      <c r="C153" s="78"/>
      <c r="D153" s="78"/>
      <c r="E153" s="80"/>
      <c r="F153" s="78"/>
      <c r="G153" s="80"/>
      <c r="H153" s="70">
        <v>0.5</v>
      </c>
      <c r="T153" s="34"/>
    </row>
    <row r="154" spans="1:20" s="62" customFormat="1" x14ac:dyDescent="0.25">
      <c r="A154" s="83" t="s">
        <v>244</v>
      </c>
      <c r="B154" s="84"/>
      <c r="C154" s="84"/>
      <c r="D154" s="84"/>
      <c r="E154" s="84"/>
      <c r="F154" s="84"/>
      <c r="G154" s="84"/>
      <c r="H154" s="85"/>
      <c r="J154" s="35"/>
    </row>
    <row r="155" spans="1:20" s="62" customFormat="1" x14ac:dyDescent="0.25">
      <c r="A155" s="83" t="s">
        <v>182</v>
      </c>
      <c r="B155" s="84"/>
      <c r="C155" s="84"/>
      <c r="D155" s="84"/>
      <c r="E155" s="84"/>
      <c r="F155" s="84"/>
      <c r="G155" s="84"/>
      <c r="H155" s="85"/>
      <c r="J155" s="35"/>
    </row>
    <row r="156" spans="1:20" s="62" customFormat="1" x14ac:dyDescent="0.25">
      <c r="A156" s="202" t="s">
        <v>228</v>
      </c>
      <c r="B156" s="203"/>
      <c r="C156" s="203"/>
      <c r="D156" s="203"/>
      <c r="E156" s="203"/>
      <c r="F156" s="203"/>
      <c r="G156" s="203"/>
      <c r="H156" s="204"/>
      <c r="J156" s="35"/>
      <c r="T156" s="34"/>
    </row>
    <row r="157" spans="1:20" s="62" customFormat="1" ht="15.75" customHeight="1" x14ac:dyDescent="0.25">
      <c r="A157" s="81">
        <v>1</v>
      </c>
      <c r="B157" s="82"/>
      <c r="C157" s="59" t="s">
        <v>220</v>
      </c>
      <c r="D157" s="64">
        <f>(6.1975)*(10.764)</f>
        <v>66.709889999999987</v>
      </c>
      <c r="E157" s="71">
        <v>0</v>
      </c>
      <c r="F157" s="71">
        <f>D157+(IF(E157&lt;201,E157,IF(E157&lt;301,E157/2,E157/3)))</f>
        <v>66.709889999999987</v>
      </c>
      <c r="G157" s="71">
        <v>0</v>
      </c>
      <c r="H157" s="59">
        <f>(F157+(IF(G157&lt;101,G157,IF(G157&lt;201,G157/2,IF(G157&lt;=301,G157/3,G157/4)))))*(($H$153)+1)</f>
        <v>100.06483499999999</v>
      </c>
      <c r="I157" s="35">
        <f>F157*1.5</f>
        <v>100.06483499999999</v>
      </c>
      <c r="L157" s="75"/>
      <c r="M157" s="75"/>
      <c r="N157" s="35"/>
      <c r="T157" s="34"/>
    </row>
    <row r="158" spans="1:20" s="62" customFormat="1" ht="15.75" customHeight="1" x14ac:dyDescent="0.25">
      <c r="A158" s="81">
        <f>A157+1</f>
        <v>2</v>
      </c>
      <c r="B158" s="82"/>
      <c r="C158" s="59" t="s">
        <v>220</v>
      </c>
      <c r="D158" s="64">
        <f>(14.98)*(10.764)</f>
        <v>161.24472</v>
      </c>
      <c r="E158" s="71">
        <v>0</v>
      </c>
      <c r="F158" s="71">
        <f>D158+(IF(E158&lt;201,E158,IF(E158&lt;301,E158/2,E158/3)))</f>
        <v>161.24472</v>
      </c>
      <c r="G158" s="71">
        <v>0</v>
      </c>
      <c r="H158" s="59">
        <f>(F158+(IF(G158&lt;101,G158,IF(G158&lt;201,G158/2,IF(G158&lt;=301,G158/3,G158/4)))))*(($H$153)+1)</f>
        <v>241.86707999999999</v>
      </c>
      <c r="I158" s="35">
        <f t="shared" ref="I158:I160" si="2">F158*1.5</f>
        <v>241.86707999999999</v>
      </c>
      <c r="L158" s="75"/>
      <c r="M158" s="75"/>
      <c r="N158" s="35"/>
      <c r="T158" s="33"/>
    </row>
    <row r="159" spans="1:20" s="62" customFormat="1" ht="15.75" customHeight="1" x14ac:dyDescent="0.25">
      <c r="A159" s="81">
        <f>A158+1</f>
        <v>3</v>
      </c>
      <c r="B159" s="82"/>
      <c r="C159" s="59" t="s">
        <v>220</v>
      </c>
      <c r="D159" s="64">
        <f>(19.46)*(10.764)</f>
        <v>209.46744000000001</v>
      </c>
      <c r="E159" s="71">
        <v>0</v>
      </c>
      <c r="F159" s="71">
        <f>D159+(IF(E159&lt;201,E159,IF(E159&lt;301,E159/2,E159/3)))</f>
        <v>209.46744000000001</v>
      </c>
      <c r="G159" s="71">
        <v>0</v>
      </c>
      <c r="H159" s="59">
        <f t="shared" ref="H158:H160" si="3">(F159+(IF(G159&lt;101,G159,IF(G159&lt;201,G159/2,IF(G159&lt;=301,G159/3,G159/4)))))*(($H$153)+1)</f>
        <v>314.20116000000002</v>
      </c>
      <c r="I159" s="35">
        <f t="shared" si="2"/>
        <v>314.20116000000002</v>
      </c>
      <c r="L159" s="75"/>
      <c r="M159" s="75"/>
      <c r="N159" s="35"/>
      <c r="T159" s="20"/>
    </row>
    <row r="160" spans="1:20" s="62" customFormat="1" ht="15.75" customHeight="1" x14ac:dyDescent="0.25">
      <c r="A160" s="81">
        <f>A159+1</f>
        <v>4</v>
      </c>
      <c r="B160" s="82"/>
      <c r="C160" s="59" t="s">
        <v>220</v>
      </c>
      <c r="D160" s="64">
        <f>(11.3975)*(10.764)</f>
        <v>122.68269000000001</v>
      </c>
      <c r="E160" s="71">
        <v>0</v>
      </c>
      <c r="F160" s="71">
        <f>D160+(IF(E160&lt;201,E160,IF(E160&lt;301,E160/2,E160/3)))</f>
        <v>122.68269000000001</v>
      </c>
      <c r="G160" s="71">
        <v>0</v>
      </c>
      <c r="H160" s="59">
        <f t="shared" si="3"/>
        <v>184.02403500000003</v>
      </c>
      <c r="I160" s="35">
        <f t="shared" si="2"/>
        <v>184.02403500000003</v>
      </c>
      <c r="L160" s="75"/>
      <c r="M160" s="75"/>
      <c r="N160" s="35"/>
      <c r="T160" s="20"/>
    </row>
    <row r="161" spans="1:20" s="36" customFormat="1" x14ac:dyDescent="0.25">
      <c r="A161" s="73"/>
      <c r="B161" s="196"/>
      <c r="C161" s="196"/>
      <c r="D161" s="196"/>
      <c r="E161" s="196"/>
      <c r="F161" s="196"/>
      <c r="G161" s="196"/>
      <c r="H161" s="74"/>
      <c r="I161" s="35"/>
      <c r="N161" s="35"/>
    </row>
    <row r="162" spans="1:20" ht="47.25" customHeight="1" x14ac:dyDescent="0.25">
      <c r="A162" s="214" t="s">
        <v>237</v>
      </c>
      <c r="B162" s="77" t="s">
        <v>235</v>
      </c>
      <c r="C162" s="77" t="s">
        <v>56</v>
      </c>
      <c r="D162" s="77" t="s">
        <v>236</v>
      </c>
      <c r="E162" s="77" t="s">
        <v>238</v>
      </c>
      <c r="F162" s="77" t="s">
        <v>57</v>
      </c>
      <c r="G162" s="79" t="s">
        <v>58</v>
      </c>
      <c r="H162" s="69" t="s">
        <v>145</v>
      </c>
      <c r="I162" s="35"/>
      <c r="T162" s="62"/>
    </row>
    <row r="163" spans="1:20" s="62" customFormat="1" x14ac:dyDescent="0.25">
      <c r="A163" s="215"/>
      <c r="B163" s="78"/>
      <c r="C163" s="78"/>
      <c r="D163" s="78"/>
      <c r="E163" s="78"/>
      <c r="F163" s="78"/>
      <c r="G163" s="80"/>
      <c r="H163" s="70">
        <v>0.45</v>
      </c>
      <c r="I163" s="35"/>
    </row>
    <row r="164" spans="1:20" s="62" customFormat="1" x14ac:dyDescent="0.25">
      <c r="A164" s="76" t="s">
        <v>245</v>
      </c>
      <c r="B164" s="76"/>
      <c r="C164" s="76"/>
      <c r="D164" s="76"/>
      <c r="E164" s="76"/>
      <c r="F164" s="76"/>
      <c r="G164" s="76"/>
      <c r="H164" s="76"/>
      <c r="J164" s="35"/>
    </row>
    <row r="165" spans="1:20" s="62" customFormat="1" x14ac:dyDescent="0.25">
      <c r="A165" s="76" t="s">
        <v>182</v>
      </c>
      <c r="B165" s="76"/>
      <c r="C165" s="76"/>
      <c r="D165" s="76"/>
      <c r="E165" s="76"/>
      <c r="F165" s="76"/>
      <c r="G165" s="76"/>
      <c r="H165" s="76"/>
      <c r="J165" s="35"/>
    </row>
    <row r="166" spans="1:20" s="62" customFormat="1" x14ac:dyDescent="0.25">
      <c r="A166" s="76" t="s">
        <v>183</v>
      </c>
      <c r="B166" s="76"/>
      <c r="C166" s="76"/>
      <c r="D166" s="76"/>
      <c r="E166" s="76"/>
      <c r="F166" s="76"/>
      <c r="G166" s="76"/>
      <c r="H166" s="76"/>
      <c r="J166" s="35"/>
    </row>
    <row r="167" spans="1:20" s="62" customFormat="1" x14ac:dyDescent="0.25">
      <c r="A167" s="76" t="s">
        <v>185</v>
      </c>
      <c r="B167" s="76"/>
      <c r="C167" s="76"/>
      <c r="D167" s="76"/>
      <c r="E167" s="76"/>
      <c r="F167" s="76"/>
      <c r="G167" s="76"/>
      <c r="H167" s="76"/>
      <c r="I167" s="35"/>
      <c r="L167" s="75"/>
      <c r="M167" s="75"/>
    </row>
    <row r="168" spans="1:20" s="62" customFormat="1" ht="15.75" customHeight="1" x14ac:dyDescent="0.25">
      <c r="A168" s="73">
        <v>1</v>
      </c>
      <c r="B168" s="74"/>
      <c r="C168" s="59" t="s">
        <v>186</v>
      </c>
      <c r="D168" s="52">
        <f>(25.915)*(10.764)</f>
        <v>278.94905999999997</v>
      </c>
      <c r="E168" s="59">
        <f>(2.8575+1.95)*10.764</f>
        <v>51.747929999999997</v>
      </c>
      <c r="F168" s="59">
        <f>D168+E168</f>
        <v>330.69698999999997</v>
      </c>
      <c r="G168" s="59">
        <v>0</v>
      </c>
      <c r="H168" s="59">
        <f>F168*(($H$163)+1)+(IF(G168&lt;101,G168,IF(G168&lt;201,G168/2,IF(G168&lt;=301,G168/3,G168/4))))</f>
        <v>479.51063549999992</v>
      </c>
      <c r="I168" s="35">
        <f>F168*1.45</f>
        <v>479.51063549999992</v>
      </c>
      <c r="L168" s="75"/>
      <c r="M168" s="75"/>
      <c r="N168" s="35"/>
    </row>
    <row r="169" spans="1:20" s="62" customFormat="1" ht="15.75" customHeight="1" x14ac:dyDescent="0.25">
      <c r="A169" s="73">
        <f>A168+1</f>
        <v>2</v>
      </c>
      <c r="B169" s="74"/>
      <c r="C169" s="59" t="s">
        <v>186</v>
      </c>
      <c r="D169" s="52">
        <f>(25.915)*(10.764)</f>
        <v>278.94905999999997</v>
      </c>
      <c r="E169" s="59">
        <f>(2.8575+1.95)*10.764</f>
        <v>51.747929999999997</v>
      </c>
      <c r="F169" s="59">
        <f>D169+E169</f>
        <v>330.69698999999997</v>
      </c>
      <c r="G169" s="59">
        <v>0</v>
      </c>
      <c r="H169" s="59">
        <f t="shared" ref="H169:H172" si="4">F169*(($H$163)+1)+(IF(G169&lt;101,G169,IF(G169&lt;201,G169/2,IF(G169&lt;=301,G169/3,G169/4))))</f>
        <v>479.51063549999992</v>
      </c>
      <c r="I169" s="35">
        <f t="shared" ref="I169:I172" si="5">F169*1.45</f>
        <v>479.51063549999992</v>
      </c>
      <c r="L169" s="75"/>
      <c r="M169" s="75"/>
      <c r="N169" s="35"/>
    </row>
    <row r="170" spans="1:20" s="62" customFormat="1" ht="15.75" customHeight="1" x14ac:dyDescent="0.25">
      <c r="A170" s="73">
        <f>A169+1</f>
        <v>3</v>
      </c>
      <c r="B170" s="74"/>
      <c r="C170" s="59" t="s">
        <v>186</v>
      </c>
      <c r="D170" s="52">
        <f>(25.915)*(10.764)</f>
        <v>278.94905999999997</v>
      </c>
      <c r="E170" s="59">
        <f>(2.9325+1.95)*10.764</f>
        <v>52.555230000000002</v>
      </c>
      <c r="F170" s="59">
        <f>D170+E170</f>
        <v>331.50428999999997</v>
      </c>
      <c r="G170" s="59">
        <v>0</v>
      </c>
      <c r="H170" s="59">
        <f t="shared" si="4"/>
        <v>480.68122049999994</v>
      </c>
      <c r="I170" s="35">
        <f t="shared" si="5"/>
        <v>480.68122049999994</v>
      </c>
      <c r="L170" s="75"/>
      <c r="M170" s="75"/>
      <c r="N170" s="35"/>
    </row>
    <row r="171" spans="1:20" s="62" customFormat="1" ht="15.75" customHeight="1" x14ac:dyDescent="0.25">
      <c r="A171" s="73">
        <f>A170+1</f>
        <v>4</v>
      </c>
      <c r="B171" s="74"/>
      <c r="C171" s="59" t="s">
        <v>187</v>
      </c>
      <c r="D171" s="52">
        <f>(38.4025)*(10.764)</f>
        <v>413.36451</v>
      </c>
      <c r="E171" s="59">
        <f>(6.31+3.43)*10.764</f>
        <v>104.84135999999999</v>
      </c>
      <c r="F171" s="59">
        <f>D171+E171</f>
        <v>518.20587</v>
      </c>
      <c r="G171" s="59">
        <v>0</v>
      </c>
      <c r="H171" s="59">
        <f t="shared" si="4"/>
        <v>751.39851149999993</v>
      </c>
      <c r="I171" s="35">
        <f t="shared" si="5"/>
        <v>751.39851149999993</v>
      </c>
      <c r="L171" s="75"/>
      <c r="M171" s="75"/>
      <c r="N171" s="35"/>
      <c r="T171" s="20"/>
    </row>
    <row r="172" spans="1:20" s="62" customFormat="1" ht="15.75" customHeight="1" x14ac:dyDescent="0.25">
      <c r="A172" s="73">
        <f>A171+1</f>
        <v>5</v>
      </c>
      <c r="B172" s="74"/>
      <c r="C172" s="59" t="s">
        <v>187</v>
      </c>
      <c r="D172" s="52">
        <f>(38.4025)*(10.764)</f>
        <v>413.36451</v>
      </c>
      <c r="E172" s="59">
        <f>(6.31+3.43)*10.764</f>
        <v>104.84135999999999</v>
      </c>
      <c r="F172" s="59">
        <f>D172+E172</f>
        <v>518.20587</v>
      </c>
      <c r="G172" s="59">
        <v>0</v>
      </c>
      <c r="H172" s="59">
        <f t="shared" si="4"/>
        <v>751.39851149999993</v>
      </c>
      <c r="I172" s="35">
        <f t="shared" si="5"/>
        <v>751.39851149999993</v>
      </c>
      <c r="L172" s="75"/>
      <c r="M172" s="75"/>
      <c r="N172" s="35"/>
    </row>
    <row r="173" spans="1:20" s="62" customFormat="1" x14ac:dyDescent="0.25">
      <c r="A173" s="76" t="s">
        <v>184</v>
      </c>
      <c r="B173" s="76"/>
      <c r="C173" s="76"/>
      <c r="D173" s="76"/>
      <c r="E173" s="76"/>
      <c r="F173" s="76"/>
      <c r="G173" s="76"/>
      <c r="H173" s="76"/>
      <c r="J173" s="35"/>
    </row>
    <row r="174" spans="1:20" s="62" customFormat="1" x14ac:dyDescent="0.25">
      <c r="A174" s="76" t="s">
        <v>240</v>
      </c>
      <c r="B174" s="76"/>
      <c r="C174" s="76"/>
      <c r="D174" s="76"/>
      <c r="E174" s="76"/>
      <c r="F174" s="76"/>
      <c r="G174" s="76"/>
      <c r="H174" s="76"/>
      <c r="J174" s="35"/>
    </row>
    <row r="175" spans="1:20" s="62" customFormat="1" ht="15.75" customHeight="1" x14ac:dyDescent="0.25">
      <c r="A175" s="76" t="s">
        <v>185</v>
      </c>
      <c r="B175" s="76"/>
      <c r="C175" s="76"/>
      <c r="D175" s="76"/>
      <c r="E175" s="76"/>
      <c r="F175" s="76"/>
      <c r="G175" s="76"/>
      <c r="H175" s="76"/>
      <c r="I175" s="35"/>
    </row>
    <row r="176" spans="1:20" s="62" customFormat="1" ht="15.75" customHeight="1" x14ac:dyDescent="0.25">
      <c r="A176" s="73">
        <v>1</v>
      </c>
      <c r="B176" s="74"/>
      <c r="C176" s="59" t="s">
        <v>187</v>
      </c>
      <c r="D176" s="52">
        <f>(38.4025)*(10.764)</f>
        <v>413.36451</v>
      </c>
      <c r="E176" s="59">
        <f>(6.31+3.43)*10.764</f>
        <v>104.84135999999999</v>
      </c>
      <c r="F176" s="59">
        <f>D176+E176</f>
        <v>518.20587</v>
      </c>
      <c r="G176" s="59">
        <v>0</v>
      </c>
      <c r="H176" s="59">
        <f>F176*(($H$163)+1)+(IF(G176&lt;101,G176,IF(G176&lt;201,G176/2,IF(G176&lt;=301,G176/3,G176/4))))</f>
        <v>751.39851149999993</v>
      </c>
      <c r="I176" s="35">
        <f>F176*1.45</f>
        <v>751.39851149999993</v>
      </c>
      <c r="L176" s="75"/>
      <c r="M176" s="75"/>
      <c r="N176" s="35"/>
    </row>
    <row r="177" spans="1:20" s="62" customFormat="1" ht="15.75" customHeight="1" x14ac:dyDescent="0.25">
      <c r="A177" s="73">
        <f>A176+1</f>
        <v>2</v>
      </c>
      <c r="B177" s="74"/>
      <c r="C177" s="59" t="s">
        <v>187</v>
      </c>
      <c r="D177" s="52">
        <f>(38.4025)*(10.764)</f>
        <v>413.36451</v>
      </c>
      <c r="E177" s="59">
        <f>(6.31+3.43)*10.764</f>
        <v>104.84135999999999</v>
      </c>
      <c r="F177" s="59">
        <f>D177+E177</f>
        <v>518.20587</v>
      </c>
      <c r="G177" s="59">
        <v>0</v>
      </c>
      <c r="H177" s="59">
        <f t="shared" ref="H177:H180" si="6">F177*(($H$163)+1)+(IF(G177&lt;101,G177,IF(G177&lt;201,G177/2,IF(G177&lt;=301,G177/3,G177/4))))</f>
        <v>751.39851149999993</v>
      </c>
      <c r="I177" s="35">
        <f t="shared" ref="I177:I180" si="7">F177*1.45</f>
        <v>751.39851149999993</v>
      </c>
      <c r="L177" s="75"/>
      <c r="M177" s="75"/>
      <c r="N177" s="35"/>
    </row>
    <row r="178" spans="1:20" s="62" customFormat="1" ht="15.75" customHeight="1" x14ac:dyDescent="0.25">
      <c r="A178" s="73">
        <f>A177+1</f>
        <v>3</v>
      </c>
      <c r="B178" s="74"/>
      <c r="C178" s="59" t="s">
        <v>186</v>
      </c>
      <c r="D178" s="52">
        <f>(25.915)*(10.764)</f>
        <v>278.94905999999997</v>
      </c>
      <c r="E178" s="59">
        <f>(2.9325+1.95)*10.764</f>
        <v>52.555230000000002</v>
      </c>
      <c r="F178" s="59">
        <f>D178+E178</f>
        <v>331.50428999999997</v>
      </c>
      <c r="G178" s="59">
        <v>0</v>
      </c>
      <c r="H178" s="59">
        <f>F178*(($H$163)+1)+(IF(G178&lt;101,G178,IF(G178&lt;201,G178/2,IF(G178&lt;=301,G178/3,G178/4))))</f>
        <v>480.68122049999994</v>
      </c>
      <c r="I178" s="35">
        <f t="shared" si="7"/>
        <v>480.68122049999994</v>
      </c>
      <c r="L178" s="75"/>
      <c r="M178" s="75"/>
      <c r="N178" s="35"/>
    </row>
    <row r="179" spans="1:20" s="62" customFormat="1" ht="15.75" customHeight="1" x14ac:dyDescent="0.25">
      <c r="A179" s="73">
        <f>A178+1</f>
        <v>4</v>
      </c>
      <c r="B179" s="74"/>
      <c r="C179" s="59" t="s">
        <v>186</v>
      </c>
      <c r="D179" s="52">
        <f>(25.915)*(10.764)</f>
        <v>278.94905999999997</v>
      </c>
      <c r="E179" s="59">
        <f>(2.8575+1.95)*10.764</f>
        <v>51.747929999999997</v>
      </c>
      <c r="F179" s="59">
        <f>D179+E179</f>
        <v>330.69698999999997</v>
      </c>
      <c r="G179" s="59">
        <v>0</v>
      </c>
      <c r="H179" s="59">
        <f t="shared" si="6"/>
        <v>479.51063549999992</v>
      </c>
      <c r="I179" s="35">
        <f t="shared" si="7"/>
        <v>479.51063549999992</v>
      </c>
      <c r="L179" s="75"/>
      <c r="M179" s="75"/>
      <c r="N179" s="35"/>
      <c r="T179" s="20"/>
    </row>
    <row r="180" spans="1:20" s="62" customFormat="1" ht="15.75" customHeight="1" x14ac:dyDescent="0.25">
      <c r="A180" s="73">
        <f>A179+1</f>
        <v>5</v>
      </c>
      <c r="B180" s="74"/>
      <c r="C180" s="59" t="s">
        <v>186</v>
      </c>
      <c r="D180" s="52">
        <f>(25.915)*(10.764)</f>
        <v>278.94905999999997</v>
      </c>
      <c r="E180" s="59">
        <f>(2.8575+1.95)*10.764</f>
        <v>51.747929999999997</v>
      </c>
      <c r="F180" s="59">
        <f>D180+E180</f>
        <v>330.69698999999997</v>
      </c>
      <c r="G180" s="59">
        <v>0</v>
      </c>
      <c r="H180" s="59">
        <f t="shared" si="6"/>
        <v>479.51063549999992</v>
      </c>
      <c r="I180" s="35">
        <f t="shared" si="7"/>
        <v>479.51063549999992</v>
      </c>
      <c r="L180" s="75"/>
      <c r="M180" s="75"/>
      <c r="N180" s="35"/>
    </row>
    <row r="181" spans="1:20" s="62" customFormat="1" x14ac:dyDescent="0.25">
      <c r="A181" s="76" t="s">
        <v>244</v>
      </c>
      <c r="B181" s="76"/>
      <c r="C181" s="76"/>
      <c r="D181" s="76"/>
      <c r="E181" s="76"/>
      <c r="F181" s="76"/>
      <c r="G181" s="76"/>
      <c r="H181" s="76"/>
      <c r="J181" s="35"/>
    </row>
    <row r="182" spans="1:20" s="62" customFormat="1" x14ac:dyDescent="0.25">
      <c r="A182" s="76" t="s">
        <v>182</v>
      </c>
      <c r="B182" s="76"/>
      <c r="C182" s="76"/>
      <c r="D182" s="76"/>
      <c r="E182" s="76"/>
      <c r="F182" s="76"/>
      <c r="G182" s="76"/>
      <c r="H182" s="76"/>
      <c r="J182" s="35"/>
    </row>
    <row r="183" spans="1:20" s="62" customFormat="1" x14ac:dyDescent="0.25">
      <c r="A183" s="76" t="s">
        <v>185</v>
      </c>
      <c r="B183" s="76"/>
      <c r="C183" s="76"/>
      <c r="D183" s="76"/>
      <c r="E183" s="76"/>
      <c r="F183" s="76"/>
      <c r="G183" s="76"/>
      <c r="H183" s="76"/>
      <c r="J183" s="35"/>
    </row>
    <row r="184" spans="1:20" s="62" customFormat="1" ht="15.75" customHeight="1" x14ac:dyDescent="0.25">
      <c r="A184" s="73">
        <v>1</v>
      </c>
      <c r="B184" s="74"/>
      <c r="C184" s="59" t="s">
        <v>186</v>
      </c>
      <c r="D184" s="52">
        <f>(4*2.8+1.9*2+2.7*1.95+1.1*1.2+1.6*1.1+1.1*1.1)*10.764</f>
        <v>264.31002000000001</v>
      </c>
      <c r="E184" s="59">
        <f>(2.7+1.95)*10.764</f>
        <v>50.052599999999998</v>
      </c>
      <c r="F184" s="59">
        <f>D184+E184</f>
        <v>314.36261999999999</v>
      </c>
      <c r="G184" s="59">
        <v>0</v>
      </c>
      <c r="H184" s="59">
        <f>F184*(($H$163)+1)+(IF(G184&lt;101,G184,IF(G184&lt;201,G184/2,IF(G184&lt;=301,G184/3,G184/4))))</f>
        <v>455.82579899999996</v>
      </c>
      <c r="I184" s="35">
        <f>F184*1.45</f>
        <v>455.82579899999996</v>
      </c>
      <c r="L184" s="75"/>
      <c r="M184" s="75"/>
      <c r="N184" s="35"/>
    </row>
    <row r="185" spans="1:20" s="62" customFormat="1" ht="15.75" customHeight="1" x14ac:dyDescent="0.25">
      <c r="A185" s="73">
        <f>A184+1</f>
        <v>2</v>
      </c>
      <c r="B185" s="74"/>
      <c r="C185" s="59" t="s">
        <v>221</v>
      </c>
      <c r="D185" s="52">
        <f>(4*2.8+1.9*2+1.1*1.2+1.1*1.2+1.1*1.1)*10.764</f>
        <v>202.9014</v>
      </c>
      <c r="E185" s="59">
        <f>(1.95)*10.764</f>
        <v>20.989799999999999</v>
      </c>
      <c r="F185" s="59">
        <f>D185+E185</f>
        <v>223.8912</v>
      </c>
      <c r="G185" s="59">
        <v>0</v>
      </c>
      <c r="H185" s="59">
        <f t="shared" ref="H185" si="8">F185*(($H$163)+1)+(IF(G185&lt;101,G185,IF(G185&lt;201,G185/2,IF(G185&lt;=301,G185/3,G185/4))))</f>
        <v>324.64224000000002</v>
      </c>
      <c r="I185" s="35">
        <f t="shared" ref="I185:I187" si="9">F185*1.45</f>
        <v>324.64224000000002</v>
      </c>
      <c r="L185" s="75"/>
      <c r="M185" s="75"/>
      <c r="N185" s="35"/>
    </row>
    <row r="186" spans="1:20" s="62" customFormat="1" ht="15.75" customHeight="1" x14ac:dyDescent="0.25">
      <c r="A186" s="73">
        <f>A185+1</f>
        <v>3</v>
      </c>
      <c r="B186" s="74"/>
      <c r="C186" s="59" t="s">
        <v>186</v>
      </c>
      <c r="D186" s="52">
        <f>(4*2.8+1.9*2+2.7*1.95+1.1*1.2+1.6*1.1+1.1*1.1)*10.764</f>
        <v>264.31002000000001</v>
      </c>
      <c r="E186" s="59">
        <f t="shared" ref="E186:E187" si="10">(2.7+1.95)*10.764</f>
        <v>50.052599999999998</v>
      </c>
      <c r="F186" s="59">
        <f>D186+E186</f>
        <v>314.36261999999999</v>
      </c>
      <c r="G186" s="59">
        <v>0</v>
      </c>
      <c r="H186" s="59">
        <f>F186*(($H$163)+1)+(IF(G186&lt;101,G186,IF(G186&lt;201,G186/2,IF(G186&lt;=301,G186/3,G186/4))))</f>
        <v>455.82579899999996</v>
      </c>
      <c r="I186" s="35">
        <f t="shared" si="9"/>
        <v>455.82579899999996</v>
      </c>
      <c r="L186" s="75"/>
      <c r="M186" s="75"/>
      <c r="N186" s="35"/>
    </row>
    <row r="187" spans="1:20" s="62" customFormat="1" ht="15.75" customHeight="1" x14ac:dyDescent="0.25">
      <c r="A187" s="73">
        <f>A186+1</f>
        <v>4</v>
      </c>
      <c r="B187" s="74"/>
      <c r="C187" s="59" t="s">
        <v>186</v>
      </c>
      <c r="D187" s="52">
        <f>(4*2.8+1.9*2+2.7*1.95+1.1*1.2+1.6*1.1+1.1*1.1)*10.764</f>
        <v>264.31002000000001</v>
      </c>
      <c r="E187" s="59">
        <f t="shared" si="10"/>
        <v>50.052599999999998</v>
      </c>
      <c r="F187" s="59">
        <f>D187+E187</f>
        <v>314.36261999999999</v>
      </c>
      <c r="G187" s="59">
        <v>0</v>
      </c>
      <c r="H187" s="59">
        <f t="shared" ref="H187" si="11">F187*(($H$163)+1)+(IF(G187&lt;101,G187,IF(G187&lt;201,G187/2,IF(G187&lt;=301,G187/3,G187/4))))</f>
        <v>455.82579899999996</v>
      </c>
      <c r="I187" s="35">
        <f t="shared" si="9"/>
        <v>455.82579899999996</v>
      </c>
      <c r="L187" s="75"/>
      <c r="M187" s="75"/>
      <c r="N187" s="35"/>
      <c r="T187" s="20"/>
    </row>
    <row r="188" spans="1:20" s="62" customFormat="1" x14ac:dyDescent="0.25">
      <c r="A188" s="76" t="s">
        <v>184</v>
      </c>
      <c r="B188" s="76"/>
      <c r="C188" s="76"/>
      <c r="D188" s="76"/>
      <c r="E188" s="76"/>
      <c r="F188" s="76"/>
      <c r="G188" s="76"/>
      <c r="H188" s="76"/>
      <c r="J188" s="35"/>
    </row>
    <row r="189" spans="1:20" s="62" customFormat="1" x14ac:dyDescent="0.25">
      <c r="A189" s="76" t="s">
        <v>240</v>
      </c>
      <c r="B189" s="76"/>
      <c r="C189" s="76"/>
      <c r="D189" s="76"/>
      <c r="E189" s="76"/>
      <c r="F189" s="76"/>
      <c r="G189" s="76"/>
      <c r="H189" s="76"/>
      <c r="J189" s="35"/>
    </row>
    <row r="190" spans="1:20" s="62" customFormat="1" x14ac:dyDescent="0.25">
      <c r="A190" s="76" t="s">
        <v>185</v>
      </c>
      <c r="B190" s="76"/>
      <c r="C190" s="76"/>
      <c r="D190" s="76"/>
      <c r="E190" s="76"/>
      <c r="F190" s="76"/>
      <c r="G190" s="76"/>
      <c r="H190" s="76"/>
      <c r="J190" s="35"/>
    </row>
    <row r="191" spans="1:20" s="62" customFormat="1" ht="15.75" customHeight="1" x14ac:dyDescent="0.25">
      <c r="A191" s="73">
        <v>1</v>
      </c>
      <c r="B191" s="74"/>
      <c r="C191" s="59" t="s">
        <v>186</v>
      </c>
      <c r="D191" s="52">
        <f>(4*2.8+1.9*2+2.7*1.95+1.1*1.2+1.6*1.1+1.1*1.1)*10.764</f>
        <v>264.31002000000001</v>
      </c>
      <c r="E191" s="59">
        <f>(2.7+1.95)*10.764</f>
        <v>50.052599999999998</v>
      </c>
      <c r="F191" s="59">
        <f>D191+E191</f>
        <v>314.36261999999999</v>
      </c>
      <c r="G191" s="59">
        <v>0</v>
      </c>
      <c r="H191" s="59">
        <f>F191*(($H$163)+1)+(IF(G191&lt;101,G191,IF(G191&lt;201,G191/2,IF(G191&lt;=301,G191/3,G191/4))))</f>
        <v>455.82579899999996</v>
      </c>
      <c r="I191" s="35">
        <f>F191*1.45</f>
        <v>455.82579899999996</v>
      </c>
      <c r="L191" s="75"/>
      <c r="M191" s="75"/>
      <c r="N191" s="35"/>
    </row>
    <row r="192" spans="1:20" s="62" customFormat="1" ht="15.75" customHeight="1" x14ac:dyDescent="0.25">
      <c r="A192" s="73">
        <f>A191+1</f>
        <v>2</v>
      </c>
      <c r="B192" s="74"/>
      <c r="C192" s="59" t="s">
        <v>186</v>
      </c>
      <c r="D192" s="52">
        <f t="shared" ref="D192:D194" si="12">(4*2.8+1.9*2+2.7*1.95+1.1*1.2+1.6*1.1+1.1*1.1)*10.764</f>
        <v>264.31002000000001</v>
      </c>
      <c r="E192" s="59">
        <f t="shared" ref="E192:E194" si="13">(2.7+1.95)*10.764</f>
        <v>50.052599999999998</v>
      </c>
      <c r="F192" s="59">
        <f>D192+E192</f>
        <v>314.36261999999999</v>
      </c>
      <c r="G192" s="59">
        <v>0</v>
      </c>
      <c r="H192" s="59">
        <f t="shared" ref="H192" si="14">F192*(($H$163)+1)+(IF(G192&lt;101,G192,IF(G192&lt;201,G192/2,IF(G192&lt;=301,G192/3,G192/4))))</f>
        <v>455.82579899999996</v>
      </c>
      <c r="I192" s="35">
        <f t="shared" ref="I192:I194" si="15">F192*1.45</f>
        <v>455.82579899999996</v>
      </c>
      <c r="L192" s="75"/>
      <c r="M192" s="75"/>
      <c r="N192" s="35"/>
    </row>
    <row r="193" spans="1:20" s="62" customFormat="1" ht="15.75" customHeight="1" x14ac:dyDescent="0.25">
      <c r="A193" s="73">
        <f>A192+1</f>
        <v>3</v>
      </c>
      <c r="B193" s="74"/>
      <c r="C193" s="59" t="s">
        <v>186</v>
      </c>
      <c r="D193" s="52">
        <f t="shared" si="12"/>
        <v>264.31002000000001</v>
      </c>
      <c r="E193" s="59">
        <f t="shared" si="13"/>
        <v>50.052599999999998</v>
      </c>
      <c r="F193" s="59">
        <f>D193+E193</f>
        <v>314.36261999999999</v>
      </c>
      <c r="G193" s="59">
        <v>0</v>
      </c>
      <c r="H193" s="59">
        <f>F193*(($H$163)+1)+(IF(G193&lt;101,G193,IF(G193&lt;201,G193/2,IF(G193&lt;=301,G193/3,G193/4))))</f>
        <v>455.82579899999996</v>
      </c>
      <c r="I193" s="35">
        <f t="shared" si="15"/>
        <v>455.82579899999996</v>
      </c>
      <c r="L193" s="75"/>
      <c r="M193" s="75"/>
      <c r="N193" s="35"/>
    </row>
    <row r="194" spans="1:20" s="62" customFormat="1" ht="15.75" customHeight="1" x14ac:dyDescent="0.25">
      <c r="A194" s="73">
        <f>A193+1</f>
        <v>4</v>
      </c>
      <c r="B194" s="74"/>
      <c r="C194" s="59" t="s">
        <v>186</v>
      </c>
      <c r="D194" s="52">
        <f t="shared" si="12"/>
        <v>264.31002000000001</v>
      </c>
      <c r="E194" s="59">
        <f t="shared" si="13"/>
        <v>50.052599999999998</v>
      </c>
      <c r="F194" s="59">
        <f>D194+E194</f>
        <v>314.36261999999999</v>
      </c>
      <c r="G194" s="59">
        <v>0</v>
      </c>
      <c r="H194" s="59">
        <f t="shared" ref="H194" si="16">F194*(($H$163)+1)+(IF(G194&lt;101,G194,IF(G194&lt;201,G194/2,IF(G194&lt;=301,G194/3,G194/4))))</f>
        <v>455.82579899999996</v>
      </c>
      <c r="I194" s="35">
        <f t="shared" si="15"/>
        <v>455.82579899999996</v>
      </c>
      <c r="L194" s="75"/>
      <c r="M194" s="75"/>
      <c r="N194" s="35"/>
      <c r="T194" s="20"/>
    </row>
    <row r="195" spans="1:20" s="62" customFormat="1" x14ac:dyDescent="0.25">
      <c r="A195" s="76" t="s">
        <v>222</v>
      </c>
      <c r="B195" s="76"/>
      <c r="C195" s="76"/>
      <c r="D195" s="76"/>
      <c r="E195" s="76"/>
      <c r="F195" s="76"/>
      <c r="G195" s="76"/>
      <c r="H195" s="76"/>
      <c r="J195" s="35"/>
    </row>
    <row r="196" spans="1:20" s="62" customFormat="1" x14ac:dyDescent="0.25">
      <c r="A196" s="76" t="s">
        <v>241</v>
      </c>
      <c r="B196" s="76"/>
      <c r="C196" s="76"/>
      <c r="D196" s="76"/>
      <c r="E196" s="76"/>
      <c r="F196" s="76"/>
      <c r="G196" s="76"/>
      <c r="H196" s="76"/>
      <c r="J196" s="35"/>
    </row>
    <row r="197" spans="1:20" s="62" customFormat="1" x14ac:dyDescent="0.25">
      <c r="A197" s="76" t="s">
        <v>185</v>
      </c>
      <c r="B197" s="76"/>
      <c r="C197" s="76"/>
      <c r="D197" s="76"/>
      <c r="E197" s="76"/>
      <c r="F197" s="76"/>
      <c r="G197" s="76"/>
      <c r="H197" s="76"/>
      <c r="J197" s="35"/>
    </row>
    <row r="198" spans="1:20" s="62" customFormat="1" ht="15.75" customHeight="1" x14ac:dyDescent="0.25">
      <c r="A198" s="73">
        <v>1</v>
      </c>
      <c r="B198" s="74"/>
      <c r="C198" s="59" t="s">
        <v>186</v>
      </c>
      <c r="D198" s="52">
        <f>(4*2.8+1.9*2+2.7*1.95+1.1*1.2+1.6*1.1+1.1*1.1)*10.764</f>
        <v>264.31002000000001</v>
      </c>
      <c r="E198" s="59">
        <f>(2.7+1.95)*10.764</f>
        <v>50.052599999999998</v>
      </c>
      <c r="F198" s="59">
        <f>D198+E198</f>
        <v>314.36261999999999</v>
      </c>
      <c r="G198" s="59">
        <v>0</v>
      </c>
      <c r="H198" s="59">
        <f>F198*(($H$163)+1)+(IF(G198&lt;101,G198,IF(G198&lt;201,G198/2,IF(G198&lt;=301,G198/3,G198/4))))</f>
        <v>455.82579899999996</v>
      </c>
      <c r="I198" s="35">
        <f>F198*1.45</f>
        <v>455.82579899999996</v>
      </c>
      <c r="L198" s="75"/>
      <c r="M198" s="75"/>
      <c r="N198" s="35"/>
    </row>
    <row r="199" spans="1:20" s="62" customFormat="1" ht="15.75" customHeight="1" x14ac:dyDescent="0.25">
      <c r="A199" s="73">
        <f>A198+1</f>
        <v>2</v>
      </c>
      <c r="B199" s="74"/>
      <c r="C199" s="59" t="s">
        <v>186</v>
      </c>
      <c r="D199" s="52">
        <f t="shared" ref="D199:D200" si="17">(4*2.8+1.9*2+2.7*1.95+1.1*1.2+1.6*1.1+1.1*1.1)*10.764</f>
        <v>264.31002000000001</v>
      </c>
      <c r="E199" s="59">
        <f t="shared" ref="E199:E200" si="18">(2.7+1.95)*10.764</f>
        <v>50.052599999999998</v>
      </c>
      <c r="F199" s="59">
        <f>D199+E199</f>
        <v>314.36261999999999</v>
      </c>
      <c r="G199" s="59">
        <v>0</v>
      </c>
      <c r="H199" s="59">
        <f t="shared" ref="H199" si="19">F199*(($H$163)+1)+(IF(G199&lt;101,G199,IF(G199&lt;201,G199/2,IF(G199&lt;=301,G199/3,G199/4))))</f>
        <v>455.82579899999996</v>
      </c>
      <c r="I199" s="35">
        <f t="shared" ref="I199:I200" si="20">F199*1.45</f>
        <v>455.82579899999996</v>
      </c>
      <c r="L199" s="75"/>
      <c r="M199" s="75"/>
      <c r="N199" s="35"/>
    </row>
    <row r="200" spans="1:20" s="62" customFormat="1" ht="15.75" customHeight="1" x14ac:dyDescent="0.25">
      <c r="A200" s="73">
        <f>A199+1</f>
        <v>3</v>
      </c>
      <c r="B200" s="74"/>
      <c r="C200" s="59" t="s">
        <v>186</v>
      </c>
      <c r="D200" s="52">
        <f t="shared" si="17"/>
        <v>264.31002000000001</v>
      </c>
      <c r="E200" s="59">
        <f t="shared" si="18"/>
        <v>50.052599999999998</v>
      </c>
      <c r="F200" s="59">
        <f>D200+E200</f>
        <v>314.36261999999999</v>
      </c>
      <c r="G200" s="59">
        <v>0</v>
      </c>
      <c r="H200" s="59">
        <f>F200*(($H$163)+1)+(IF(G200&lt;101,G200,IF(G200&lt;201,G200/2,IF(G200&lt;=301,G200/3,G200/4))))</f>
        <v>455.82579899999996</v>
      </c>
      <c r="I200" s="35">
        <f t="shared" si="20"/>
        <v>455.82579899999996</v>
      </c>
      <c r="L200" s="75"/>
      <c r="M200" s="75"/>
      <c r="N200" s="35"/>
    </row>
    <row r="201" spans="1:20" s="34" customFormat="1" x14ac:dyDescent="0.25">
      <c r="A201" s="132" t="s">
        <v>66</v>
      </c>
      <c r="B201" s="132"/>
      <c r="C201" s="132"/>
      <c r="D201" s="132"/>
      <c r="E201" s="132"/>
      <c r="F201" s="132"/>
      <c r="G201" s="132"/>
      <c r="H201" s="132"/>
    </row>
    <row r="202" spans="1:20" s="34" customFormat="1" x14ac:dyDescent="0.25">
      <c r="A202" s="44" t="s">
        <v>149</v>
      </c>
      <c r="B202" s="129" t="s">
        <v>246</v>
      </c>
      <c r="C202" s="130"/>
      <c r="D202" s="130"/>
      <c r="E202" s="130"/>
      <c r="F202" s="130"/>
      <c r="G202" s="130"/>
      <c r="H202" s="131"/>
    </row>
    <row r="203" spans="1:20" s="34" customFormat="1" x14ac:dyDescent="0.25">
      <c r="A203" s="44" t="s">
        <v>149</v>
      </c>
      <c r="B203" s="129" t="str">
        <f>(IF(H162="Saleable area Loading :","We have considered Saleable area of Flats as per our Calculation.","We considered Saleable area of Flat as per Builder area Sheet."))</f>
        <v>We have considered Saleable area of Flats as per our Calculation.</v>
      </c>
      <c r="C203" s="130"/>
      <c r="D203" s="130"/>
      <c r="E203" s="130"/>
      <c r="F203" s="130"/>
      <c r="G203" s="130"/>
      <c r="H203" s="131"/>
    </row>
    <row r="204" spans="1:20" s="34" customFormat="1" hidden="1" x14ac:dyDescent="0.25">
      <c r="A204" s="44" t="s">
        <v>149</v>
      </c>
      <c r="B204" s="129" t="e">
        <f>(IF(#REF!="Saleable area Loading :","We have considered Saleable area of Commercial as per our Calculation.","We considered Saleable area of Commercial as per Builder area Sheet."))</f>
        <v>#REF!</v>
      </c>
      <c r="C204" s="130"/>
      <c r="D204" s="130"/>
      <c r="E204" s="130"/>
      <c r="F204" s="130"/>
      <c r="G204" s="130"/>
      <c r="H204" s="131"/>
    </row>
    <row r="205" spans="1:20" s="34" customFormat="1" x14ac:dyDescent="0.25">
      <c r="A205" s="44" t="s">
        <v>149</v>
      </c>
      <c r="B205" s="118" t="s">
        <v>119</v>
      </c>
      <c r="C205" s="119"/>
      <c r="D205" s="119"/>
      <c r="E205" s="119"/>
      <c r="F205" s="119"/>
      <c r="G205" s="119"/>
      <c r="H205" s="120"/>
    </row>
    <row r="206" spans="1:20" s="34" customFormat="1" x14ac:dyDescent="0.25">
      <c r="A206" s="44" t="s">
        <v>149</v>
      </c>
      <c r="B206" s="118" t="s">
        <v>188</v>
      </c>
      <c r="C206" s="119"/>
      <c r="D206" s="119"/>
      <c r="E206" s="119"/>
      <c r="F206" s="119"/>
      <c r="G206" s="119"/>
      <c r="H206" s="120"/>
    </row>
    <row r="207" spans="1:20" s="34" customFormat="1" x14ac:dyDescent="0.25">
      <c r="A207" s="44" t="s">
        <v>149</v>
      </c>
      <c r="B207" s="118" t="s">
        <v>148</v>
      </c>
      <c r="C207" s="119"/>
      <c r="D207" s="119"/>
      <c r="E207" s="119"/>
      <c r="F207" s="119"/>
      <c r="G207" s="119"/>
      <c r="H207" s="120"/>
    </row>
    <row r="208" spans="1:20" s="34" customFormat="1" x14ac:dyDescent="0.25">
      <c r="A208" s="44" t="s">
        <v>149</v>
      </c>
      <c r="B208" s="118" t="s">
        <v>120</v>
      </c>
      <c r="C208" s="119"/>
      <c r="D208" s="119"/>
      <c r="E208" s="119"/>
      <c r="F208" s="119"/>
      <c r="G208" s="119"/>
      <c r="H208" s="120"/>
    </row>
    <row r="209" spans="1:8" s="34" customFormat="1" ht="34.5" customHeight="1" x14ac:dyDescent="0.25">
      <c r="A209" s="44" t="s">
        <v>149</v>
      </c>
      <c r="B209" s="118" t="s">
        <v>150</v>
      </c>
      <c r="C209" s="119"/>
      <c r="D209" s="119"/>
      <c r="E209" s="119"/>
      <c r="F209" s="119"/>
      <c r="G209" s="119"/>
      <c r="H209" s="120"/>
    </row>
    <row r="210" spans="1:8" s="34" customFormat="1" x14ac:dyDescent="0.25">
      <c r="A210" s="44" t="s">
        <v>149</v>
      </c>
      <c r="B210" s="118" t="s">
        <v>121</v>
      </c>
      <c r="C210" s="119"/>
      <c r="D210" s="119"/>
      <c r="E210" s="119"/>
      <c r="F210" s="119"/>
      <c r="G210" s="119"/>
      <c r="H210" s="120"/>
    </row>
    <row r="211" spans="1:8" s="34" customFormat="1" x14ac:dyDescent="0.25">
      <c r="A211" s="58" t="s">
        <v>149</v>
      </c>
      <c r="B211" s="118" t="s">
        <v>206</v>
      </c>
      <c r="C211" s="119"/>
      <c r="D211" s="119"/>
      <c r="E211" s="119"/>
      <c r="F211" s="119"/>
      <c r="G211" s="119"/>
      <c r="H211" s="120"/>
    </row>
    <row r="212" spans="1:8" s="34" customFormat="1" ht="32.25" customHeight="1" x14ac:dyDescent="0.25">
      <c r="A212" s="55" t="s">
        <v>149</v>
      </c>
      <c r="B212" s="86" t="s">
        <v>229</v>
      </c>
      <c r="C212" s="87"/>
      <c r="D212" s="87"/>
      <c r="E212" s="87"/>
      <c r="F212" s="87"/>
      <c r="G212" s="87"/>
      <c r="H212" s="88"/>
    </row>
    <row r="213" spans="1:8" s="34" customFormat="1" x14ac:dyDescent="0.25">
      <c r="A213" s="58" t="s">
        <v>149</v>
      </c>
      <c r="B213" s="129" t="s">
        <v>249</v>
      </c>
      <c r="C213" s="130"/>
      <c r="D213" s="130"/>
      <c r="E213" s="130"/>
      <c r="F213" s="130"/>
      <c r="G213" s="130"/>
      <c r="H213" s="131"/>
    </row>
    <row r="214" spans="1:8" x14ac:dyDescent="0.25">
      <c r="A214" s="108" t="s">
        <v>59</v>
      </c>
      <c r="B214" s="108"/>
      <c r="C214" s="108"/>
      <c r="D214" s="108"/>
      <c r="E214" s="108"/>
      <c r="F214" s="108"/>
      <c r="G214" s="108"/>
      <c r="H214" s="108"/>
    </row>
    <row r="215" spans="1:8" x14ac:dyDescent="0.25">
      <c r="A215" s="90" t="s">
        <v>60</v>
      </c>
      <c r="B215" s="90"/>
      <c r="C215" s="90"/>
      <c r="D215" s="90"/>
      <c r="E215" s="90"/>
      <c r="F215" s="90"/>
      <c r="G215" s="90"/>
      <c r="H215" s="90"/>
    </row>
    <row r="216" spans="1:8" ht="15.75" customHeight="1" x14ac:dyDescent="0.25">
      <c r="A216" s="91" t="s">
        <v>61</v>
      </c>
      <c r="B216" s="91"/>
      <c r="C216" s="91"/>
      <c r="D216" s="91"/>
      <c r="E216" s="91"/>
      <c r="F216" s="91"/>
      <c r="G216" s="91"/>
      <c r="H216" s="91"/>
    </row>
    <row r="217" spans="1:8" x14ac:dyDescent="0.25">
      <c r="A217" s="90" t="s">
        <v>62</v>
      </c>
      <c r="B217" s="90"/>
      <c r="C217" s="90"/>
      <c r="D217" s="90"/>
      <c r="E217" s="90"/>
      <c r="F217" s="90"/>
      <c r="G217" s="90"/>
      <c r="H217" s="90"/>
    </row>
    <row r="218" spans="1:8" x14ac:dyDescent="0.25">
      <c r="A218" s="90" t="s">
        <v>63</v>
      </c>
      <c r="B218" s="90"/>
      <c r="C218" s="90"/>
      <c r="D218" s="90"/>
      <c r="E218" s="90"/>
      <c r="F218" s="90"/>
      <c r="G218" s="90"/>
      <c r="H218" s="90"/>
    </row>
    <row r="219" spans="1:8" x14ac:dyDescent="0.25">
      <c r="A219" s="90" t="s">
        <v>122</v>
      </c>
      <c r="B219" s="90"/>
      <c r="C219" s="90"/>
      <c r="D219" s="90"/>
      <c r="E219" s="90"/>
      <c r="F219" s="90"/>
      <c r="G219" s="90"/>
      <c r="H219" s="90"/>
    </row>
    <row r="220" spans="1:8" x14ac:dyDescent="0.25">
      <c r="A220" s="109" t="s">
        <v>123</v>
      </c>
      <c r="B220" s="109"/>
      <c r="C220" s="109"/>
      <c r="D220" s="109"/>
      <c r="E220" s="109"/>
      <c r="F220" s="109"/>
      <c r="G220" s="109"/>
      <c r="H220" s="109"/>
    </row>
    <row r="221" spans="1:8" x14ac:dyDescent="0.25">
      <c r="A221" s="134" t="s">
        <v>76</v>
      </c>
      <c r="B221" s="134"/>
      <c r="C221" s="134" t="s">
        <v>203</v>
      </c>
      <c r="D221" s="134"/>
      <c r="E221" s="134" t="s">
        <v>105</v>
      </c>
      <c r="F221" s="134"/>
      <c r="G221" s="134" t="s">
        <v>225</v>
      </c>
      <c r="H221" s="134"/>
    </row>
    <row r="222" spans="1:8" x14ac:dyDescent="0.25">
      <c r="A222" s="133" t="s">
        <v>78</v>
      </c>
      <c r="B222" s="133"/>
      <c r="C222" s="133"/>
      <c r="D222" s="133"/>
      <c r="E222" s="133"/>
      <c r="F222" s="133"/>
      <c r="G222" s="133"/>
      <c r="H222" s="133"/>
    </row>
    <row r="223" spans="1:8" x14ac:dyDescent="0.25">
      <c r="A223" s="133"/>
      <c r="B223" s="133"/>
      <c r="C223" s="133"/>
      <c r="D223" s="133"/>
      <c r="E223" s="133"/>
      <c r="F223" s="133"/>
      <c r="G223" s="133"/>
      <c r="H223" s="133"/>
    </row>
    <row r="224" spans="1:8" x14ac:dyDescent="0.25">
      <c r="A224" s="133"/>
      <c r="B224" s="133"/>
      <c r="C224" s="133"/>
      <c r="D224" s="133"/>
      <c r="E224" s="133"/>
      <c r="F224" s="133"/>
      <c r="G224" s="133"/>
      <c r="H224" s="133"/>
    </row>
    <row r="225" spans="1:8" x14ac:dyDescent="0.25">
      <c r="A225" s="133"/>
      <c r="B225" s="133"/>
      <c r="C225" s="133"/>
      <c r="D225" s="133"/>
      <c r="E225" s="133"/>
      <c r="F225" s="133"/>
      <c r="G225" s="133"/>
      <c r="H225" s="133"/>
    </row>
    <row r="226" spans="1:8" x14ac:dyDescent="0.25">
      <c r="A226" s="37" t="s">
        <v>64</v>
      </c>
      <c r="B226" s="38"/>
      <c r="C226" s="38"/>
      <c r="D226" s="37" t="str">
        <f>E8</f>
        <v xml:space="preserve">Vrundavan Park </v>
      </c>
      <c r="F226" s="38"/>
      <c r="G226" s="38"/>
      <c r="H226" s="38"/>
    </row>
    <row r="227" spans="1:8" x14ac:dyDescent="0.25">
      <c r="A227" s="38"/>
      <c r="B227" s="38"/>
      <c r="C227" s="38"/>
      <c r="D227" s="38"/>
      <c r="E227" s="38"/>
      <c r="F227" s="38"/>
      <c r="G227" s="38"/>
      <c r="H227" s="38"/>
    </row>
    <row r="228" spans="1:8" x14ac:dyDescent="0.25">
      <c r="A228" s="38"/>
      <c r="B228" s="38"/>
      <c r="C228" s="38"/>
      <c r="D228" s="38"/>
      <c r="E228" s="38"/>
      <c r="F228" s="38"/>
      <c r="G228" s="38"/>
      <c r="H228" s="38"/>
    </row>
    <row r="229" spans="1:8" ht="15" customHeight="1" x14ac:dyDescent="0.25"/>
    <row r="270" spans="1:1" x14ac:dyDescent="0.25">
      <c r="A270" s="40" t="s">
        <v>162</v>
      </c>
    </row>
    <row r="295" spans="1:1" x14ac:dyDescent="0.25">
      <c r="A295" s="40" t="s">
        <v>65</v>
      </c>
    </row>
  </sheetData>
  <mergeCells count="412">
    <mergeCell ref="A116:B116"/>
    <mergeCell ref="A117:B117"/>
    <mergeCell ref="A118:B118"/>
    <mergeCell ref="A119:B119"/>
    <mergeCell ref="A120:B120"/>
    <mergeCell ref="A121:B121"/>
    <mergeCell ref="A122:B122"/>
    <mergeCell ref="I20:J20"/>
    <mergeCell ref="I5:L5"/>
    <mergeCell ref="A145:A147"/>
    <mergeCell ref="C145:D145"/>
    <mergeCell ref="E145:F145"/>
    <mergeCell ref="G145:H145"/>
    <mergeCell ref="C147:D147"/>
    <mergeCell ref="E147:F147"/>
    <mergeCell ref="G147:H147"/>
    <mergeCell ref="C146:D146"/>
    <mergeCell ref="E146:F146"/>
    <mergeCell ref="G146:H146"/>
    <mergeCell ref="A109:B109"/>
    <mergeCell ref="C109:H109"/>
    <mergeCell ref="A111:B111"/>
    <mergeCell ref="C111:H111"/>
    <mergeCell ref="A112:B112"/>
    <mergeCell ref="E112:F112"/>
    <mergeCell ref="G112:H112"/>
    <mergeCell ref="A113:B113"/>
    <mergeCell ref="E113:F122"/>
    <mergeCell ref="G113:H122"/>
    <mergeCell ref="A114:B114"/>
    <mergeCell ref="A115:B115"/>
    <mergeCell ref="C139:D139"/>
    <mergeCell ref="E139:F139"/>
    <mergeCell ref="A165:H165"/>
    <mergeCell ref="A162:A163"/>
    <mergeCell ref="B162:B163"/>
    <mergeCell ref="C162:C163"/>
    <mergeCell ref="D162:D163"/>
    <mergeCell ref="E162:E163"/>
    <mergeCell ref="B213:H213"/>
    <mergeCell ref="A149:B149"/>
    <mergeCell ref="C149:D149"/>
    <mergeCell ref="E149:F149"/>
    <mergeCell ref="G149:H149"/>
    <mergeCell ref="E98:F98"/>
    <mergeCell ref="G98:H98"/>
    <mergeCell ref="A99:B99"/>
    <mergeCell ref="E99:F108"/>
    <mergeCell ref="G99:H108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I51:N51"/>
    <mergeCell ref="I8:L8"/>
    <mergeCell ref="B211:H211"/>
    <mergeCell ref="I11:L11"/>
    <mergeCell ref="I37:N37"/>
    <mergeCell ref="I38:N38"/>
    <mergeCell ref="I40:L40"/>
    <mergeCell ref="I41:L41"/>
    <mergeCell ref="I42:L42"/>
    <mergeCell ref="I43:L43"/>
    <mergeCell ref="I44:L44"/>
    <mergeCell ref="I45:L45"/>
    <mergeCell ref="I56:M56"/>
    <mergeCell ref="I57:M57"/>
    <mergeCell ref="I58:M58"/>
    <mergeCell ref="D59:H59"/>
    <mergeCell ref="A57:C59"/>
    <mergeCell ref="G85:H94"/>
    <mergeCell ref="A86:B86"/>
    <mergeCell ref="A87:B87"/>
    <mergeCell ref="A88:B88"/>
    <mergeCell ref="F125:H125"/>
    <mergeCell ref="A125:E125"/>
    <mergeCell ref="A98:B98"/>
    <mergeCell ref="C95:H95"/>
    <mergeCell ref="A97:B97"/>
    <mergeCell ref="C97:H97"/>
    <mergeCell ref="A161:H161"/>
    <mergeCell ref="A134:E134"/>
    <mergeCell ref="G148:H148"/>
    <mergeCell ref="A140:B140"/>
    <mergeCell ref="C140:D140"/>
    <mergeCell ref="E140:F140"/>
    <mergeCell ref="G140:H140"/>
    <mergeCell ref="C144:D144"/>
    <mergeCell ref="E144:F144"/>
    <mergeCell ref="G144:H144"/>
    <mergeCell ref="A127:E127"/>
    <mergeCell ref="A129:E129"/>
    <mergeCell ref="F129:H129"/>
    <mergeCell ref="A130:E130"/>
    <mergeCell ref="A132:E132"/>
    <mergeCell ref="F126:H126"/>
    <mergeCell ref="A131:E131"/>
    <mergeCell ref="A126:E126"/>
    <mergeCell ref="A148:B148"/>
    <mergeCell ref="F152:F153"/>
    <mergeCell ref="G152:G153"/>
    <mergeCell ref="L172:M172"/>
    <mergeCell ref="A78:B78"/>
    <mergeCell ref="C143:D143"/>
    <mergeCell ref="E143:F143"/>
    <mergeCell ref="G143:H143"/>
    <mergeCell ref="F130:H130"/>
    <mergeCell ref="A124:E124"/>
    <mergeCell ref="A167:H167"/>
    <mergeCell ref="A85:B85"/>
    <mergeCell ref="E85:F94"/>
    <mergeCell ref="A92:B92"/>
    <mergeCell ref="A93:B93"/>
    <mergeCell ref="F123:H123"/>
    <mergeCell ref="F128:H128"/>
    <mergeCell ref="A83:B83"/>
    <mergeCell ref="C83:H83"/>
    <mergeCell ref="A84:B84"/>
    <mergeCell ref="E84:F84"/>
    <mergeCell ref="G84:H84"/>
    <mergeCell ref="A123:E123"/>
    <mergeCell ref="F127:H127"/>
    <mergeCell ref="A128:E128"/>
    <mergeCell ref="A94:B94"/>
    <mergeCell ref="A95:B95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4:D44"/>
    <mergeCell ref="A47:B47"/>
    <mergeCell ref="C47:H47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A37:B37"/>
    <mergeCell ref="C37:H37"/>
    <mergeCell ref="A38:B38"/>
    <mergeCell ref="C38:H38"/>
    <mergeCell ref="A43:D43"/>
    <mergeCell ref="F35:H35"/>
    <mergeCell ref="A45:D45"/>
    <mergeCell ref="A46:H46"/>
    <mergeCell ref="D56:H56"/>
    <mergeCell ref="A56:C56"/>
    <mergeCell ref="G49:H49"/>
    <mergeCell ref="A50:B51"/>
    <mergeCell ref="D57:H57"/>
    <mergeCell ref="D58:H58"/>
    <mergeCell ref="C49:E49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222:H225"/>
    <mergeCell ref="A221:B221"/>
    <mergeCell ref="E221:F221"/>
    <mergeCell ref="C221:D221"/>
    <mergeCell ref="G221:H221"/>
    <mergeCell ref="A137:H137"/>
    <mergeCell ref="A135:E135"/>
    <mergeCell ref="F135:H135"/>
    <mergeCell ref="A136:E136"/>
    <mergeCell ref="F136:H136"/>
    <mergeCell ref="A217:H217"/>
    <mergeCell ref="A141:H141"/>
    <mergeCell ref="A220:H220"/>
    <mergeCell ref="A218:H218"/>
    <mergeCell ref="A214:H214"/>
    <mergeCell ref="C142:D142"/>
    <mergeCell ref="A215:H215"/>
    <mergeCell ref="E142:F142"/>
    <mergeCell ref="B210:H210"/>
    <mergeCell ref="B208:H208"/>
    <mergeCell ref="B204:H204"/>
    <mergeCell ref="B202:H202"/>
    <mergeCell ref="A156:H156"/>
    <mergeCell ref="A157:B157"/>
    <mergeCell ref="B203:H203"/>
    <mergeCell ref="G142:H142"/>
    <mergeCell ref="B205:H205"/>
    <mergeCell ref="B206:H206"/>
    <mergeCell ref="A201:H201"/>
    <mergeCell ref="E148:F148"/>
    <mergeCell ref="A152:A153"/>
    <mergeCell ref="B152:B153"/>
    <mergeCell ref="C152:C153"/>
    <mergeCell ref="D152:D153"/>
    <mergeCell ref="E152:E153"/>
    <mergeCell ref="A49:B49"/>
    <mergeCell ref="A53:H53"/>
    <mergeCell ref="A54:C54"/>
    <mergeCell ref="A55:C55"/>
    <mergeCell ref="D55:H55"/>
    <mergeCell ref="G52:H52"/>
    <mergeCell ref="C51:H51"/>
    <mergeCell ref="B209:H209"/>
    <mergeCell ref="B207:H207"/>
    <mergeCell ref="A172:B172"/>
    <mergeCell ref="F131:H131"/>
    <mergeCell ref="C138:D138"/>
    <mergeCell ref="F134:H134"/>
    <mergeCell ref="F132:H132"/>
    <mergeCell ref="G138:H138"/>
    <mergeCell ref="A133:E133"/>
    <mergeCell ref="C148:D148"/>
    <mergeCell ref="F133:H133"/>
    <mergeCell ref="E138:F138"/>
    <mergeCell ref="A138:B138"/>
    <mergeCell ref="A143:A144"/>
    <mergeCell ref="A166:H166"/>
    <mergeCell ref="A150:H150"/>
    <mergeCell ref="A151:H151"/>
    <mergeCell ref="A154:H154"/>
    <mergeCell ref="A155:H155"/>
    <mergeCell ref="B212:H212"/>
    <mergeCell ref="E41:H41"/>
    <mergeCell ref="A41:D41"/>
    <mergeCell ref="A219:H219"/>
    <mergeCell ref="A216:H216"/>
    <mergeCell ref="A142:B142"/>
    <mergeCell ref="A89:B89"/>
    <mergeCell ref="A90:B90"/>
    <mergeCell ref="A91:B91"/>
    <mergeCell ref="A81:B81"/>
    <mergeCell ref="C81:H81"/>
    <mergeCell ref="A76:B76"/>
    <mergeCell ref="F124:H124"/>
    <mergeCell ref="G139:H139"/>
    <mergeCell ref="A48:B48"/>
    <mergeCell ref="C48:E48"/>
    <mergeCell ref="G48:H48"/>
    <mergeCell ref="G50:H50"/>
    <mergeCell ref="D54:H54"/>
    <mergeCell ref="C50:E50"/>
    <mergeCell ref="A52:B52"/>
    <mergeCell ref="C52:E52"/>
    <mergeCell ref="F162:F163"/>
    <mergeCell ref="G162:G163"/>
    <mergeCell ref="A168:B168"/>
    <mergeCell ref="L168:M168"/>
    <mergeCell ref="A169:B169"/>
    <mergeCell ref="L169:M169"/>
    <mergeCell ref="A170:B170"/>
    <mergeCell ref="L170:M170"/>
    <mergeCell ref="L157:M157"/>
    <mergeCell ref="A158:B158"/>
    <mergeCell ref="L158:M158"/>
    <mergeCell ref="A159:B159"/>
    <mergeCell ref="L159:M159"/>
    <mergeCell ref="A160:B160"/>
    <mergeCell ref="L160:M160"/>
    <mergeCell ref="L192:M192"/>
    <mergeCell ref="A171:B171"/>
    <mergeCell ref="L171:M171"/>
    <mergeCell ref="A164:H164"/>
    <mergeCell ref="L167:M167"/>
    <mergeCell ref="A173:H173"/>
    <mergeCell ref="A175:H175"/>
    <mergeCell ref="A176:B176"/>
    <mergeCell ref="L176:M176"/>
    <mergeCell ref="A177:B177"/>
    <mergeCell ref="L177:M177"/>
    <mergeCell ref="A178:B178"/>
    <mergeCell ref="L178:M178"/>
    <mergeCell ref="A179:B179"/>
    <mergeCell ref="L179:M179"/>
    <mergeCell ref="A180:B180"/>
    <mergeCell ref="L180:M180"/>
    <mergeCell ref="A181:H181"/>
    <mergeCell ref="A182:H182"/>
    <mergeCell ref="A183:H183"/>
    <mergeCell ref="A184:B184"/>
    <mergeCell ref="L184:M184"/>
    <mergeCell ref="A185:B185"/>
    <mergeCell ref="L185:M185"/>
    <mergeCell ref="A200:B200"/>
    <mergeCell ref="L200:M200"/>
    <mergeCell ref="A174:H174"/>
    <mergeCell ref="A189:H189"/>
    <mergeCell ref="A196:H196"/>
    <mergeCell ref="A193:B193"/>
    <mergeCell ref="L193:M193"/>
    <mergeCell ref="A194:B194"/>
    <mergeCell ref="L194:M194"/>
    <mergeCell ref="A195:H195"/>
    <mergeCell ref="A197:H197"/>
    <mergeCell ref="A198:B198"/>
    <mergeCell ref="L198:M198"/>
    <mergeCell ref="A199:B199"/>
    <mergeCell ref="L199:M199"/>
    <mergeCell ref="A186:B186"/>
    <mergeCell ref="L186:M186"/>
    <mergeCell ref="A187:B187"/>
    <mergeCell ref="L187:M187"/>
    <mergeCell ref="A188:H188"/>
    <mergeCell ref="A190:H190"/>
    <mergeCell ref="A191:B191"/>
    <mergeCell ref="L191:M191"/>
    <mergeCell ref="A192:B192"/>
  </mergeCells>
  <dataValidations count="8">
    <dataValidation type="list" allowBlank="1" showInputMessage="1" showErrorMessage="1" sqref="D152:D153">
      <formula1>"Carpet area,RERA Carpet area"</formula1>
    </dataValidation>
    <dataValidation type="list" allowBlank="1" showInputMessage="1" showErrorMessage="1" sqref="H152 H162">
      <formula1>"Saleable area Loading :,Builder Saleable Area"</formula1>
    </dataValidation>
    <dataValidation type="list" allowBlank="1" showInputMessage="1" showErrorMessage="1" sqref="H153 H163">
      <formula1>".45,.50,.55,.60"</formula1>
    </dataValidation>
    <dataValidation type="list" allowBlank="1" showInputMessage="1" showErrorMessage="1" sqref="B152:B153">
      <formula1>"Shop No. (Sale Plan),Sale / Rehab,Sale / Mhada"</formula1>
    </dataValidation>
    <dataValidation type="list" allowBlank="1" showInputMessage="1" showErrorMessage="1" sqref="E152:E153">
      <formula1>"Attached Loft area,Attached Otla area,Attached Mezzanine area"</formula1>
    </dataValidation>
    <dataValidation type="list" allowBlank="1" showInputMessage="1" showErrorMessage="1" sqref="D162:D163">
      <formula1>"Carpet Area,Carpet + Encl Balcony Area,RERA Carpet area"</formula1>
    </dataValidation>
    <dataValidation type="list" allowBlank="1" showInputMessage="1" showErrorMessage="1" sqref="E162:E163">
      <formula1>"Fungible area,Balcony Area,Chajja Area,Cornice Area,AP Area,WS Area"</formula1>
    </dataValidation>
    <dataValidation type="list" allowBlank="1" showInputMessage="1" showErrorMessage="1" sqref="B162:B163">
      <formula1>"Flat No. (Sale Plan),Sale / Rehab,Sale / Mhada"</formula1>
    </dataValidation>
  </dataValidations>
  <hyperlinks>
    <hyperlink ref="I38" r:id="rId1"/>
    <hyperlink ref="C38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108" max="7" man="1"/>
    <brk id="225" max="16383" man="1"/>
    <brk id="269" max="16383" man="1"/>
    <brk id="294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85546875" defaultRowHeight="15" x14ac:dyDescent="0.25"/>
  <cols>
    <col min="1" max="1" width="8.855468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855468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1" t="s">
        <v>106</v>
      </c>
      <c r="C3" s="221"/>
      <c r="D3" s="221"/>
      <c r="E3" s="221"/>
      <c r="F3" s="221"/>
      <c r="G3" s="221"/>
      <c r="H3" s="221"/>
    </row>
    <row r="4" spans="1:9" x14ac:dyDescent="0.25">
      <c r="A4" s="2"/>
      <c r="B4" s="3" t="s">
        <v>107</v>
      </c>
      <c r="C4" s="3" t="s">
        <v>108</v>
      </c>
      <c r="D4" s="3" t="s">
        <v>67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2025-07-14T09:50:43Z</cp:lastPrinted>
  <dcterms:created xsi:type="dcterms:W3CDTF">2019-07-16T09:29:46Z</dcterms:created>
  <dcterms:modified xsi:type="dcterms:W3CDTF">2025-07-14T09:50:46Z</dcterms:modified>
</cp:coreProperties>
</file>