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July 2025\11-07-2025\"/>
    </mc:Choice>
  </mc:AlternateContent>
  <bookViews>
    <workbookView xWindow="0" yWindow="0" windowWidth="19200" windowHeight="6640" tabRatio="725"/>
  </bookViews>
  <sheets>
    <sheet name="Report" sheetId="1" r:id="rId1"/>
    <sheet name="valuation" sheetId="5" r:id="rId2"/>
    <sheet name="Research" sheetId="4" r:id="rId3"/>
    <sheet name="Remarks" sheetId="6" r:id="rId4"/>
    <sheet name="Area Calculation" sheetId="7" r:id="rId5"/>
  </sheets>
  <definedNames>
    <definedName name="_xlnm.Print_Area" localSheetId="0">Report!$A$1:$H$458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30" i="1" l="1"/>
  <c r="E219" i="1" l="1"/>
  <c r="E218" i="1"/>
  <c r="E217" i="1"/>
  <c r="E216" i="1"/>
  <c r="E214" i="1"/>
  <c r="E213" i="1"/>
  <c r="E212" i="1"/>
  <c r="E211" i="1"/>
  <c r="E43" i="1"/>
  <c r="C154" i="1" l="1"/>
  <c r="C140" i="1"/>
  <c r="C126" i="1"/>
  <c r="G224" i="1"/>
  <c r="G223" i="1"/>
  <c r="G222" i="1"/>
  <c r="G221" i="1"/>
  <c r="E224" i="1"/>
  <c r="D224" i="1"/>
  <c r="F224" i="1" s="1"/>
  <c r="H224" i="1" s="1"/>
  <c r="E223" i="1"/>
  <c r="D223" i="1"/>
  <c r="E222" i="1"/>
  <c r="D222" i="1"/>
  <c r="E221" i="1"/>
  <c r="D221" i="1"/>
  <c r="G219" i="1"/>
  <c r="G218" i="1"/>
  <c r="D219" i="1"/>
  <c r="D218" i="1"/>
  <c r="D217" i="1"/>
  <c r="D216" i="1"/>
  <c r="F216" i="1" s="1"/>
  <c r="H216" i="1" s="1"/>
  <c r="G214" i="1"/>
  <c r="G213" i="1"/>
  <c r="G212" i="1"/>
  <c r="G211" i="1"/>
  <c r="D214" i="1"/>
  <c r="D213" i="1"/>
  <c r="D212" i="1"/>
  <c r="D211" i="1"/>
  <c r="A222" i="1"/>
  <c r="A223" i="1" s="1"/>
  <c r="A224" i="1" s="1"/>
  <c r="F217" i="1"/>
  <c r="H217" i="1" s="1"/>
  <c r="A217" i="1"/>
  <c r="A218" i="1" s="1"/>
  <c r="A219" i="1" s="1"/>
  <c r="I211" i="1"/>
  <c r="A212" i="1"/>
  <c r="A213" i="1" s="1"/>
  <c r="A214" i="1" s="1"/>
  <c r="G54" i="1"/>
  <c r="I54" i="1" s="1"/>
  <c r="I44" i="1"/>
  <c r="H127" i="1"/>
  <c r="J131" i="1" l="1"/>
  <c r="C130" i="1" s="1"/>
  <c r="D130" i="1" s="1"/>
  <c r="J129" i="1"/>
  <c r="J126" i="1"/>
  <c r="J128" i="1" s="1"/>
  <c r="D134" i="1"/>
  <c r="J130" i="1"/>
  <c r="D137" i="1"/>
  <c r="D139" i="1"/>
  <c r="D135" i="1"/>
  <c r="D136" i="1"/>
  <c r="D138" i="1"/>
  <c r="D133" i="1"/>
  <c r="D132" i="1"/>
  <c r="B127" i="1"/>
  <c r="F218" i="1"/>
  <c r="H218" i="1" s="1"/>
  <c r="F222" i="1"/>
  <c r="H222" i="1" s="1"/>
  <c r="F221" i="1"/>
  <c r="H221" i="1" s="1"/>
  <c r="F219" i="1"/>
  <c r="H219" i="1" s="1"/>
  <c r="F223" i="1"/>
  <c r="H223" i="1" s="1"/>
  <c r="F214" i="1"/>
  <c r="H214" i="1" s="1"/>
  <c r="F213" i="1"/>
  <c r="H213" i="1" s="1"/>
  <c r="F212" i="1"/>
  <c r="H212" i="1" s="1"/>
  <c r="F211" i="1"/>
  <c r="E45" i="1"/>
  <c r="J135" i="1" l="1"/>
  <c r="J137" i="1"/>
  <c r="J132" i="1"/>
  <c r="J133" i="1" s="1"/>
  <c r="J138" i="1" s="1"/>
  <c r="J139" i="1" s="1"/>
  <c r="C131" i="1" s="1"/>
  <c r="J134" i="1"/>
  <c r="J136" i="1"/>
  <c r="H211" i="1"/>
  <c r="G189" i="1" s="1"/>
  <c r="G191" i="1" s="1"/>
  <c r="G192" i="1" s="1"/>
  <c r="C189" i="1"/>
  <c r="C191" i="1" s="1"/>
  <c r="C192" i="1" s="1"/>
  <c r="E189" i="1"/>
  <c r="E191" i="1" s="1"/>
  <c r="E192" i="1" s="1"/>
  <c r="L41" i="7"/>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87" i="1"/>
  <c r="B257" i="1"/>
  <c r="B256" i="1"/>
  <c r="F253" i="1"/>
  <c r="H253" i="1" s="1"/>
  <c r="F252" i="1"/>
  <c r="H252" i="1" s="1"/>
  <c r="F251" i="1"/>
  <c r="H251" i="1" s="1"/>
  <c r="F250" i="1"/>
  <c r="H250" i="1" s="1"/>
  <c r="F249" i="1"/>
  <c r="H249" i="1" s="1"/>
  <c r="F247" i="1"/>
  <c r="H247" i="1" s="1"/>
  <c r="F246" i="1"/>
  <c r="H246" i="1" s="1"/>
  <c r="F245" i="1"/>
  <c r="H245" i="1" s="1"/>
  <c r="F244" i="1"/>
  <c r="H244" i="1" s="1"/>
  <c r="F243" i="1"/>
  <c r="H243" i="1" s="1"/>
  <c r="F241" i="1"/>
  <c r="H241" i="1" s="1"/>
  <c r="F240" i="1"/>
  <c r="H240" i="1" s="1"/>
  <c r="F239" i="1"/>
  <c r="H239" i="1" s="1"/>
  <c r="F238" i="1"/>
  <c r="H238" i="1" s="1"/>
  <c r="F237" i="1"/>
  <c r="H237" i="1" s="1"/>
  <c r="F235" i="1"/>
  <c r="H235" i="1" s="1"/>
  <c r="F234" i="1"/>
  <c r="H234" i="1" s="1"/>
  <c r="F233" i="1"/>
  <c r="H233" i="1" s="1"/>
  <c r="F232" i="1"/>
  <c r="H232" i="1" s="1"/>
  <c r="F231" i="1"/>
  <c r="H231" i="1" s="1"/>
  <c r="A231" i="1"/>
  <c r="A232" i="1" s="1"/>
  <c r="A233" i="1" s="1"/>
  <c r="A234" i="1" s="1"/>
  <c r="A235" i="1" s="1"/>
  <c r="F229" i="1"/>
  <c r="H229" i="1" s="1"/>
  <c r="F228" i="1"/>
  <c r="H228" i="1" s="1"/>
  <c r="F227" i="1"/>
  <c r="H227" i="1" s="1"/>
  <c r="A227" i="1"/>
  <c r="A228" i="1" s="1"/>
  <c r="A229" i="1" s="1"/>
  <c r="F226" i="1"/>
  <c r="H226" i="1" s="1"/>
  <c r="F201" i="1"/>
  <c r="H201" i="1" s="1"/>
  <c r="F200" i="1"/>
  <c r="H200" i="1" s="1"/>
  <c r="F199" i="1"/>
  <c r="H199" i="1" s="1"/>
  <c r="A199" i="1"/>
  <c r="A200" i="1" s="1"/>
  <c r="A201" i="1" s="1"/>
  <c r="F198" i="1"/>
  <c r="H198" i="1" s="1"/>
  <c r="F181" i="1"/>
  <c r="C111" i="1"/>
  <c r="B112" i="1" s="1"/>
  <c r="J121" i="1" s="1"/>
  <c r="C97" i="1"/>
  <c r="C83" i="1"/>
  <c r="B84" i="1" s="1"/>
  <c r="J91" i="1" s="1"/>
  <c r="D77" i="1"/>
  <c r="D67" i="1"/>
  <c r="G60" i="1"/>
  <c r="C60" i="1"/>
  <c r="K58" i="1"/>
  <c r="C58" i="1"/>
  <c r="G52" i="1"/>
  <c r="C52" i="1"/>
  <c r="S33" i="1"/>
  <c r="E31" i="1"/>
  <c r="E28" i="1"/>
  <c r="E26" i="1"/>
  <c r="C16" i="1"/>
  <c r="I15" i="1"/>
  <c r="Z13" i="1"/>
  <c r="E8" i="1"/>
  <c r="E3" i="1"/>
  <c r="B267" i="1" s="1"/>
  <c r="A237" i="1"/>
  <c r="H84" i="1"/>
  <c r="A249" i="1"/>
  <c r="H98" i="1"/>
  <c r="H112" i="1"/>
  <c r="A243" i="1"/>
  <c r="E130" i="1" l="1"/>
  <c r="D131" i="1"/>
  <c r="I127" i="1" s="1"/>
  <c r="G130" i="1"/>
  <c r="J127" i="1"/>
  <c r="J92" i="1"/>
  <c r="E42" i="7"/>
  <c r="E44" i="7" s="1"/>
  <c r="I42" i="7"/>
  <c r="H42" i="7" s="1"/>
  <c r="L42" i="7"/>
  <c r="K42" i="7" s="1"/>
  <c r="J97" i="1"/>
  <c r="J99" i="1" s="1"/>
  <c r="D106" i="1"/>
  <c r="D105" i="1"/>
  <c r="D110" i="1"/>
  <c r="D104" i="1"/>
  <c r="J100" i="1"/>
  <c r="D109" i="1"/>
  <c r="J102" i="1"/>
  <c r="C101" i="1" s="1"/>
  <c r="D103" i="1"/>
  <c r="D108" i="1"/>
  <c r="J101" i="1"/>
  <c r="D107" i="1"/>
  <c r="D92" i="1"/>
  <c r="J86" i="1"/>
  <c r="D91" i="1"/>
  <c r="D96" i="1"/>
  <c r="D90" i="1"/>
  <c r="D95" i="1"/>
  <c r="D89" i="1"/>
  <c r="J88" i="1"/>
  <c r="D94" i="1"/>
  <c r="D93" i="1"/>
  <c r="J87" i="1"/>
  <c r="J83" i="1"/>
  <c r="J85" i="1" s="1"/>
  <c r="D122" i="1"/>
  <c r="J116" i="1"/>
  <c r="J111" i="1"/>
  <c r="J113" i="1" s="1"/>
  <c r="J115" i="1"/>
  <c r="D120" i="1"/>
  <c r="D125" i="1"/>
  <c r="D119" i="1"/>
  <c r="D124" i="1"/>
  <c r="D118" i="1"/>
  <c r="D121" i="1"/>
  <c r="J117" i="1"/>
  <c r="C116" i="1" s="1"/>
  <c r="D116" i="1" s="1"/>
  <c r="D123" i="1"/>
  <c r="D42" i="7"/>
  <c r="D44" i="7" s="1"/>
  <c r="L58" i="1"/>
  <c r="B98" i="1"/>
  <c r="J93" i="1"/>
  <c r="J123" i="1"/>
  <c r="J94" i="1"/>
  <c r="J118" i="1"/>
  <c r="J119" i="1" s="1"/>
  <c r="J124" i="1" s="1"/>
  <c r="J125" i="1" s="1"/>
  <c r="C117" i="1" s="1"/>
  <c r="I56" i="1"/>
  <c r="J122" i="1"/>
  <c r="J89" i="1"/>
  <c r="J90" i="1" s="1"/>
  <c r="J95" i="1" s="1"/>
  <c r="J96" i="1" s="1"/>
  <c r="J120" i="1"/>
  <c r="A238" i="1"/>
  <c r="A244" i="1"/>
  <c r="A250" i="1"/>
  <c r="I128" i="1" l="1"/>
  <c r="I126" i="1" s="1"/>
  <c r="C128" i="1" s="1"/>
  <c r="E87" i="1"/>
  <c r="D88" i="1"/>
  <c r="E116" i="1"/>
  <c r="C114" i="1" s="1"/>
  <c r="D117" i="1"/>
  <c r="I112" i="1" s="1"/>
  <c r="G87" i="1"/>
  <c r="G116" i="1"/>
  <c r="G114" i="1" s="1"/>
  <c r="J112" i="1"/>
  <c r="J114" i="1" s="1"/>
  <c r="D87" i="1"/>
  <c r="D101" i="1"/>
  <c r="J106" i="1"/>
  <c r="J103" i="1"/>
  <c r="J104" i="1" s="1"/>
  <c r="J109" i="1" s="1"/>
  <c r="J110" i="1" s="1"/>
  <c r="C102" i="1" s="1"/>
  <c r="J108" i="1"/>
  <c r="J105" i="1"/>
  <c r="J107" i="1"/>
  <c r="A251" i="1"/>
  <c r="A239" i="1"/>
  <c r="A245" i="1"/>
  <c r="B155" i="1" l="1"/>
  <c r="B141" i="1"/>
  <c r="I84" i="1"/>
  <c r="I85" i="1" s="1"/>
  <c r="J84" i="1"/>
  <c r="E101" i="1"/>
  <c r="D102" i="1"/>
  <c r="I98" i="1" s="1"/>
  <c r="J98" i="1"/>
  <c r="G101" i="1"/>
  <c r="D81" i="1" s="1"/>
  <c r="F82" i="1" s="1"/>
  <c r="I113" i="1"/>
  <c r="H155" i="1"/>
  <c r="A252" i="1"/>
  <c r="H141" i="1"/>
  <c r="A246" i="1"/>
  <c r="A240" i="1"/>
  <c r="D167" i="1" l="1"/>
  <c r="D163" i="1"/>
  <c r="D166" i="1"/>
  <c r="J158" i="1"/>
  <c r="D161" i="1"/>
  <c r="D164" i="1"/>
  <c r="J157" i="1"/>
  <c r="D162" i="1"/>
  <c r="D165" i="1"/>
  <c r="D160" i="1"/>
  <c r="J159" i="1"/>
  <c r="C158" i="1" s="1"/>
  <c r="D158" i="1" s="1"/>
  <c r="J154" i="1"/>
  <c r="J156" i="1" s="1"/>
  <c r="J162" i="1"/>
  <c r="J163" i="1"/>
  <c r="J164" i="1"/>
  <c r="J165" i="1"/>
  <c r="J160" i="1"/>
  <c r="J161" i="1" s="1"/>
  <c r="J166" i="1" s="1"/>
  <c r="J167" i="1" s="1"/>
  <c r="C159" i="1" s="1"/>
  <c r="J145" i="1"/>
  <c r="C144" i="1" s="1"/>
  <c r="D144" i="1" s="1"/>
  <c r="J143" i="1"/>
  <c r="J140" i="1"/>
  <c r="J142" i="1" s="1"/>
  <c r="J144" i="1"/>
  <c r="D150" i="1"/>
  <c r="D153" i="1"/>
  <c r="D149" i="1"/>
  <c r="D148" i="1"/>
  <c r="D147" i="1"/>
  <c r="D152" i="1"/>
  <c r="D151" i="1"/>
  <c r="D146" i="1"/>
  <c r="J149" i="1"/>
  <c r="J151" i="1"/>
  <c r="J150" i="1"/>
  <c r="J148" i="1"/>
  <c r="J146" i="1"/>
  <c r="J147" i="1" s="1"/>
  <c r="J152" i="1" s="1"/>
  <c r="J153" i="1" s="1"/>
  <c r="C145" i="1" s="1"/>
  <c r="I111" i="1"/>
  <c r="C113" i="1" s="1"/>
  <c r="D82" i="1"/>
  <c r="I83" i="1"/>
  <c r="C85" i="1" s="1"/>
  <c r="I99" i="1"/>
  <c r="I97" i="1" s="1"/>
  <c r="C99" i="1" s="1"/>
  <c r="A253" i="1"/>
  <c r="A241" i="1"/>
  <c r="A247" i="1"/>
  <c r="E158" i="1" l="1"/>
  <c r="D159" i="1"/>
  <c r="I155" i="1" s="1"/>
  <c r="G158" i="1"/>
  <c r="J155" i="1"/>
  <c r="E144" i="1"/>
  <c r="D145" i="1"/>
  <c r="I141" i="1" s="1"/>
  <c r="I142" i="1" s="1"/>
  <c r="J141" i="1"/>
  <c r="G144" i="1"/>
  <c r="I156" i="1" l="1"/>
  <c r="I154" i="1" s="1"/>
  <c r="C156" i="1" s="1"/>
  <c r="I140" i="1"/>
  <c r="C142"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9" authorId="1" shapeId="0">
      <text>
        <r>
          <rPr>
            <b/>
            <sz val="9"/>
            <color indexed="81"/>
            <rFont val="Tahoma"/>
            <family val="2"/>
          </rPr>
          <t>SACHIN:</t>
        </r>
        <r>
          <rPr>
            <sz val="9"/>
            <color indexed="81"/>
            <rFont val="Tahoma"/>
            <family val="2"/>
          </rPr>
          <t xml:space="preserve">
Floor with height</t>
        </r>
      </text>
    </comment>
    <comment ref="C61" authorId="1" shapeId="0">
      <text>
        <r>
          <rPr>
            <b/>
            <sz val="9"/>
            <color indexed="81"/>
            <rFont val="Tahoma"/>
            <family val="2"/>
          </rPr>
          <t>SACHIN:</t>
        </r>
        <r>
          <rPr>
            <sz val="9"/>
            <color indexed="81"/>
            <rFont val="Tahoma"/>
            <family val="2"/>
          </rPr>
          <t xml:space="preserve">
Survey Nos.</t>
        </r>
      </text>
    </comment>
    <comment ref="C63" authorId="1" shapeId="0">
      <text>
        <r>
          <rPr>
            <b/>
            <sz val="9"/>
            <color indexed="81"/>
            <rFont val="Tahoma"/>
            <family val="2"/>
          </rPr>
          <t>SACHIN:</t>
        </r>
        <r>
          <rPr>
            <sz val="9"/>
            <color indexed="81"/>
            <rFont val="Tahoma"/>
            <family val="2"/>
          </rPr>
          <t xml:space="preserve">
Height from AMSL</t>
        </r>
      </text>
    </comment>
    <comment ref="D67"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73"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204"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<sst xmlns="http://schemas.openxmlformats.org/spreadsheetml/2006/main" count="840" uniqueCount="421">
  <si>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</si>
  <si>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</si>
  <si>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</si>
  <si>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</si>
  <si>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</si>
  <si>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</si>
  <si>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</si>
  <si>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</si>
  <si>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</si>
  <si>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</si>
  <si>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</si>
  <si>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</si>
  <si>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</si>
  <si>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</si>
  <si>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</si>
  <si>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</si>
  <si>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</si>
  <si>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</si>
  <si>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</si>
  <si>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</si>
  <si>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</si>
  <si>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</si>
  <si>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</si>
  <si>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</si>
  <si>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</si>
  <si>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</si>
  <si>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</si>
  <si>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</si>
  <si>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</si>
  <si>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</si>
  <si>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</si>
  <si>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</si>
  <si>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</si>
  <si>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</si>
  <si>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</si>
  <si>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</si>
  <si>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</si>
  <si>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</si>
  <si>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</si>
  <si>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</si>
  <si>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</si>
  <si>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</si>
  <si>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</si>
  <si>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</si>
  <si>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</si>
  <si>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</si>
  <si>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</si>
  <si>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</si>
  <si>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</si>
  <si>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</si>
  <si>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</si>
  <si>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</si>
  <si>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</si>
  <si>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</si>
  <si>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Building details Floor Wise</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</si>
  <si>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</si>
  <si>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</si>
  <si>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</si>
  <si>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</si>
  <si>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</si>
  <si>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</si>
  <si>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</si>
  <si>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</si>
  <si>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</si>
  <si>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</si>
  <si>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</si>
  <si>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</si>
  <si>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</si>
  <si>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</si>
  <si>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</si>
  <si>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</si>
  <si>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</si>
  <si>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</si>
  <si>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</si>
  <si>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</si>
  <si>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</si>
  <si>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</si>
  <si>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</si>
  <si>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</si>
  <si>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</si>
  <si>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</si>
  <si>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</si>
  <si>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</si>
  <si>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</si>
  <si>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</si>
  <si>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</si>
  <si>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</si>
  <si>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</si>
  <si>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</si>
  <si>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</si>
  <si>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</si>
  <si>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</si>
  <si>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</si>
  <si>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</si>
  <si>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</si>
  <si>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</si>
  <si>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</si>
  <si>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</si>
  <si>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</si>
  <si>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</si>
  <si>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</si>
  <si>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</si>
  <si>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</si>
  <si>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</si>
  <si>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</si>
  <si>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</si>
  <si>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</si>
  <si>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</si>
  <si>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</si>
  <si>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</si>
  <si>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</si>
  <si>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</si>
  <si>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</si>
  <si>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</si>
  <si>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</si>
  <si>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</si>
  <si>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</si>
  <si>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</si>
  <si>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2nd Floor</t>
  </si>
  <si>
    <t>Valid Upto 
Date</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</si>
  <si>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</si>
  <si>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</si>
  <si>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</si>
  <si>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</si>
  <si>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</si>
  <si>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</si>
  <si>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</si>
  <si>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</si>
  <si>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</si>
  <si>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</si>
  <si>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</si>
  <si>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</si>
  <si>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</si>
  <si>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</si>
  <si>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</si>
  <si>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</si>
  <si>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</si>
  <si>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</si>
  <si>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</si>
  <si>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</si>
  <si>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</si>
  <si>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</si>
  <si>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</si>
  <si>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</si>
  <si>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</si>
  <si>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</si>
  <si>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</si>
  <si>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</si>
  <si>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</si>
  <si>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</si>
  <si>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</si>
  <si>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</si>
  <si>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</si>
  <si>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Only For MCGM &amp; MHADA or SRA</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</si>
  <si>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</si>
  <si>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</si>
  <si>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</si>
  <si>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</si>
  <si>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</si>
  <si>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</si>
  <si>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</si>
  <si>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</si>
  <si>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</si>
  <si>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</si>
  <si>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</si>
  <si>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</si>
  <si>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</si>
  <si>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</si>
  <si>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</si>
  <si>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</si>
  <si>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</si>
  <si>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</si>
  <si>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</si>
  <si>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</si>
  <si>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</si>
  <si>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</si>
  <si>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</si>
  <si>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</si>
  <si>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</si>
  <si>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</si>
  <si>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</si>
  <si>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</si>
  <si>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</si>
  <si>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</si>
  <si>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</si>
  <si>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</si>
  <si>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</si>
  <si>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</si>
  <si>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</si>
  <si>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</si>
  <si>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</si>
  <si>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</si>
  <si>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</si>
  <si>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</si>
  <si>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</si>
  <si>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</si>
  <si>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</si>
  <si>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</si>
  <si>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</si>
  <si>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</si>
  <si>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</si>
  <si>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</si>
  <si>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</si>
  <si>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</si>
  <si>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</si>
  <si>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</si>
  <si>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</si>
  <si>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</si>
  <si>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</si>
  <si>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</si>
  <si>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</si>
  <si>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</si>
  <si>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</si>
  <si>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</si>
  <si>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</si>
  <si>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</si>
  <si>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</si>
  <si>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</si>
  <si>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</si>
  <si>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</si>
  <si>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</si>
  <si>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</si>
  <si>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</si>
  <si>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</si>
  <si>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</si>
  <si>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</si>
  <si>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</si>
  <si>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</si>
  <si>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</si>
  <si>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</si>
  <si>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</si>
  <si>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</si>
  <si>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</si>
  <si>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</si>
  <si>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</si>
  <si>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</si>
  <si>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</si>
  <si>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</si>
  <si>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</si>
  <si>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</si>
  <si>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</si>
  <si>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</si>
  <si>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</si>
  <si>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</si>
  <si>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</si>
  <si>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</si>
  <si>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</si>
  <si>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</si>
  <si>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</si>
  <si>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</si>
  <si>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</si>
  <si>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</si>
  <si>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</si>
  <si>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</si>
  <si>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</si>
  <si>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</si>
  <si>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</si>
  <si>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</si>
  <si>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</si>
  <si>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</si>
  <si>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</si>
  <si>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</si>
  <si>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</si>
  <si>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</si>
  <si>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</si>
  <si>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</si>
  <si>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</si>
  <si>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</si>
  <si>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</si>
  <si>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</si>
  <si>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</si>
  <si>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</si>
  <si>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</si>
  <si>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</si>
  <si>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</si>
  <si>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</si>
  <si>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</si>
  <si>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</si>
  <si>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</si>
  <si>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</si>
  <si>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</si>
  <si>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</si>
  <si>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</si>
  <si>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</si>
  <si>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</si>
  <si>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</si>
  <si>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</si>
  <si>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</si>
  <si>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</si>
  <si>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</si>
  <si>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</si>
  <si>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</si>
  <si>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</si>
  <si>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</si>
  <si>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</si>
  <si>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</si>
  <si>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</si>
  <si>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</si>
  <si>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</si>
  <si>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</si>
  <si>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</si>
  <si>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</si>
  <si>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</si>
  <si>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</si>
  <si>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</si>
  <si>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</si>
  <si>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</si>
  <si>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</si>
  <si>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</si>
  <si>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</si>
  <si>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</si>
  <si>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</si>
  <si>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</si>
  <si>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</si>
  <si>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</si>
  <si>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</si>
  <si>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</si>
  <si>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</si>
  <si>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</si>
  <si>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</si>
  <si>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</si>
  <si>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</si>
  <si>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</si>
  <si>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</si>
  <si>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</si>
  <si>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</si>
  <si>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</si>
  <si>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</si>
  <si>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</si>
  <si>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</si>
  <si>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</si>
  <si>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</si>
  <si>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</si>
  <si>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</si>
  <si>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</si>
  <si>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</si>
  <si>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</si>
  <si>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</si>
  <si>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</si>
  <si>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</si>
  <si>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</si>
  <si>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</si>
  <si>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</si>
  <si>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</si>
  <si>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Sammaan Capital</t>
  </si>
  <si>
    <t>SCL Kalyan</t>
  </si>
  <si>
    <t>SCL Badlapur</t>
  </si>
  <si>
    <t>SCL Vashi</t>
  </si>
  <si>
    <t>SCL Thane</t>
  </si>
  <si>
    <t>SCL Andheri</t>
  </si>
  <si>
    <t>SCL Borivali</t>
  </si>
  <si>
    <t>SCL Virar</t>
  </si>
  <si>
    <t>As per Approved Floor Plan, In C to E wing on Ground floor Shop No. 19 &amp; 20 are merged into single shop.</t>
  </si>
  <si>
    <t xml:space="preserve">Please check for Environment Clearance Certificate, Fire NOC, Airport NOC, CRZ NOC, Railway Noc.
</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</si>
  <si>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</si>
  <si>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</si>
  <si>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</si>
  <si>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</si>
  <si>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</si>
  <si>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 xml:space="preserve">Site Elevation = 
Permissible Top Elevation = </t>
  </si>
  <si>
    <t>M/s.Shree Enterprises</t>
  </si>
  <si>
    <t>Sparsh Housing Project</t>
  </si>
  <si>
    <t>Mr. Harshad Rane - 9324611972
Prashant - 9850008570</t>
  </si>
  <si>
    <t xml:space="preserve">Building No.1
Building No.2 (A to C wing)
Building No.3 (A to C wing)
Building No.4 (A &amp; B wing)
Building No.5 (A &amp; B wing)
Building No.6 (A &amp; B wing)
</t>
  </si>
  <si>
    <t>Gut No</t>
  </si>
  <si>
    <t>42/0, 118/0, 124/1, &amp; 124/2</t>
  </si>
  <si>
    <t>Shedung</t>
  </si>
  <si>
    <t>https://maps.app.goo.gl/Yz4wGwESd6xgFXpF9</t>
  </si>
  <si>
    <t>18.9565215,73.1734852</t>
  </si>
  <si>
    <t>Bhingar Road</t>
  </si>
  <si>
    <t>9.5 KM from Panvel Railway Station</t>
  </si>
  <si>
    <t>Joy City</t>
  </si>
  <si>
    <t>U/C Plot</t>
  </si>
  <si>
    <t>Other Plot</t>
  </si>
  <si>
    <t>Adj Gut No. 121/2</t>
  </si>
  <si>
    <t>Adj Gut No. 119/1</t>
  </si>
  <si>
    <t>Adj Gut No. 125/4</t>
  </si>
  <si>
    <t>06 Buildings (13 Wings)</t>
  </si>
  <si>
    <t>MSRDC/SPA/Shedung/Panvel/BP-21/Revised CC/2023/955</t>
  </si>
  <si>
    <t>For Building 1, 4, 5 &amp; 6</t>
  </si>
  <si>
    <t>MSRDC/SPA/Shedung/Panvel/BP-21/RevisedCC/2023/955</t>
  </si>
  <si>
    <t xml:space="preserve">C.certificate No  </t>
  </si>
  <si>
    <t xml:space="preserve">MSRDC/SPA/Shedung/Panvel/BP-21/CC/2018/659 
Valid Up to: Total Builtup Area = 9541.956 Sq.m
</t>
  </si>
  <si>
    <t>Building No.2 (A to C wing) = Ground/Stilt + 1st to 6th floor</t>
  </si>
  <si>
    <t>Building No.3 (A to C wing) = Ground/Stilt + 1st to 4th floor</t>
  </si>
  <si>
    <t>Building No.4 (A &amp; B wing) = Ground/Stilt + 1st to 7th floor</t>
  </si>
  <si>
    <t>Building No.5(A &amp; B wing) = Ground/Stilt + 1st to 7th floor</t>
  </si>
  <si>
    <t>Building No.6(A &amp; B wing) = Ground/Stilt + 1st to 7th floor</t>
  </si>
  <si>
    <t>Building No.5</t>
  </si>
  <si>
    <t>A Wing</t>
  </si>
  <si>
    <t>B Wing</t>
  </si>
  <si>
    <t>Ground Floor for Society Office, Meter Room &amp; Parking</t>
  </si>
  <si>
    <t>Ground Floor for Drivers room, Meter Room &amp; Parking</t>
  </si>
  <si>
    <t>1st, 3rd &amp; 5th Floor for Residential</t>
  </si>
  <si>
    <t>1RK</t>
  </si>
  <si>
    <t>1BHK</t>
  </si>
  <si>
    <t>2nd, 4th &amp; 6th Floor</t>
  </si>
  <si>
    <t>7th Floor</t>
  </si>
  <si>
    <t>Balcony Area</t>
  </si>
  <si>
    <r>
      <t xml:space="preserve">Flat No.
</t>
    </r>
    <r>
      <rPr>
        <b/>
        <sz val="11"/>
        <rFont val="Times New Roman"/>
        <family val="1"/>
      </rPr>
      <t>(Approved Plan)</t>
    </r>
  </si>
  <si>
    <r>
      <t xml:space="preserve">Shop No.
</t>
    </r>
    <r>
      <rPr>
        <b/>
        <sz val="11"/>
        <rFont val="Times New Roman"/>
        <family val="1"/>
      </rPr>
      <t>(Approved Plan)</t>
    </r>
  </si>
  <si>
    <t>Bldg No.5 (Wing B)</t>
  </si>
  <si>
    <t>Flats - 28</t>
  </si>
  <si>
    <t>Building No.5 (B Wing) = Gr/St + 1st to 7th Floor</t>
  </si>
  <si>
    <r>
      <t xml:space="preserve">Proposed Amenities :                                                                                                                                                                                                                         </t>
    </r>
    <r>
      <rPr>
        <b/>
        <sz val="12"/>
        <rFont val="Times New Roman"/>
        <family val="1"/>
      </rPr>
      <t xml:space="preserve">                                               </t>
    </r>
  </si>
  <si>
    <t>We considered Gross carpet area = Net carpet + Enclose balcony + Balcony.</t>
  </si>
  <si>
    <t>Pooja Kawale</t>
  </si>
  <si>
    <t>We have updated OC from Rera for Bldg No.3 (On 27/12/2024).</t>
  </si>
  <si>
    <t xml:space="preserve">MSRDC/SPA/Shedung/Panvel/BP-21/Part OC/2019/400
Valid Up to: Building No.3 = Gr/St + 1st to 4th Floor
TBU = 2504.75 Sq.M.
- This Part Occupancy is granted based on the revised CC issued by MSRDC under ref.no. MSRDC/SPA/Shedung/Panvel/BP-21/CC/2018/659 dtd. 04/07/2018.
</t>
  </si>
  <si>
    <t>1 Year Society Maintenance</t>
  </si>
  <si>
    <t>Sparsh Phase-III (Building No. 1 &amp; 2) - P52000027334
Sparsh Building no. 3 - P52000006745
Sparsh Phase-II (Building No. 4, 5 &amp; 6) - P52000016230</t>
  </si>
  <si>
    <t>We have updated Bldg No.5 (B Wing) on 28/12/2024.</t>
  </si>
  <si>
    <r>
      <t xml:space="preserve">This Revised CC is issued for amendments in bldg no. 1, 4, 5 &amp; 6. Amendment includes revision in ground floor plans in bldg no. 1, 4, 5, 6 also addition on one floor i.e. 7th floor in bldg no. 4, 5, 6. All intermediate floors are kept intact as per previous CC dtd. 20/03/2020 issued by MSRDC, </t>
    </r>
    <r>
      <rPr>
        <b/>
        <sz val="12"/>
        <color indexed="8"/>
        <rFont val="Times New Roman"/>
        <family val="1"/>
      </rPr>
      <t>except bldg no.1 in which 1st to 4th floors are deleted in this revised CC.</t>
    </r>
    <r>
      <rPr>
        <sz val="12"/>
        <color indexed="8"/>
        <rFont val="Times New Roman"/>
        <family val="1"/>
      </rPr>
      <t xml:space="preserve">
Total Built Up Area = 1982.60 Sq.M.
The balance built up Area 10966.525 is kept intact as approved vide previous revised cc dtd. 20/03/2020.</t>
    </r>
  </si>
  <si>
    <t>We have updated revised approved CC &amp; Plan of Bldg No.5 (B Wing) on 28/12/2024.</t>
  </si>
  <si>
    <t>Building No.1 = Ground/Stilt + 1st to 7th floor</t>
  </si>
  <si>
    <t>As Per revised approved CC dtd.06/06/2023, Building no.1 in which 1st to 4th floors are deleted.</t>
  </si>
  <si>
    <t>Ravindra vishwakarma</t>
  </si>
  <si>
    <t>As per RERA - 
Sparsh Phase-III (Building No. 1 &amp; 2) = 30/06/2025
Sparsh Building no. 3 = Completed
Sparsh Phase-II (Building No. 4, 5 &amp; 6) = 31/12/2025</t>
  </si>
  <si>
    <t>Since the project has received first CC on 17/12/2014, But construction work of Building No. 2, 4 &amp; 6 is not yet completed. &amp; Building No. 1 are not yet started.</t>
  </si>
  <si>
    <t>As per RERA, completion period of project Sparsh Phase-III (Building No. 1 &amp; 2) is expired on 30/06/2025 but still project is under construction</t>
  </si>
  <si>
    <t>Building No.1 = Work not yet started.
Bldg No.2 = Work is same as last visit (18/03/2024).
Building No.3 = All work Completed. OC Received.
Building No.4 = Work is in process at the time of visit.
Building No. 5 = All work Completed. Please provide OC.
Building No. 6 = Finishing work is in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</si>
</sst>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5"/>
      <name val="Times New Roman"/>
      <family val="1"/>
    </font>
    <font>
      <sz val="11"/>
      <color indexed="8"/>
      <name val="Times New Roman"/>
      <family val="1"/>
    </font>
    <font>
      <b/>
      <sz val="11"/>
      <name val="Times New Roman"/>
      <family val="1"/>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0" fillId="0" borderId="0"/>
    <xf numFmtId="9" fontId="21" fillId="0" borderId="0" applyFont="0" applyFill="0" applyBorder="0" applyAlignment="0" applyProtection="0"/>
    <xf numFmtId="43" fontId="21" fillId="0" borderId="0" applyFont="0" applyFill="0" applyBorder="0" applyAlignment="0" applyProtection="0"/>
    <xf numFmtId="0" fontId="25" fillId="0" borderId="0" applyNumberFormat="0" applyFill="0" applyBorder="0" applyAlignment="0" applyProtection="0"/>
  </cellStyleXfs>
  <cellXfs count="244">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8" fillId="0" borderId="1" xfId="5" applyNumberFormat="1" applyFont="1" applyBorder="1" applyAlignment="1">
      <alignment horizontal="center" vertical="center"/>
    </xf>
    <xf numFmtId="0" fontId="5" fillId="0" borderId="1" xfId="4" applyBorder="1" applyAlignment="1">
      <alignment horizontal="center" vertical="center"/>
    </xf>
    <xf numFmtId="0" fontId="17" fillId="0" borderId="0" xfId="0" applyFont="1" applyProtection="1">
      <protection hidden="1"/>
    </xf>
    <xf numFmtId="0" fontId="17" fillId="0" borderId="11" xfId="0" applyFont="1" applyBorder="1" applyProtection="1">
      <protection hidden="1"/>
    </xf>
    <xf numFmtId="0" fontId="11" fillId="0" borderId="4" xfId="1" applyFont="1" applyBorder="1" applyAlignment="1" applyProtection="1">
      <alignment horizontal="center" vertical="top"/>
      <protection locked="0"/>
    </xf>
    <xf numFmtId="0" fontId="11"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0" fontId="7" fillId="0" borderId="0" xfId="1" applyFont="1"/>
    <xf numFmtId="0" fontId="14" fillId="0" borderId="0" xfId="1" applyFont="1"/>
    <xf numFmtId="0" fontId="11"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2" fillId="0" borderId="0" xfId="1" applyFont="1"/>
    <xf numFmtId="0" fontId="7" fillId="0" borderId="10" xfId="1" applyFont="1" applyBorder="1"/>
    <xf numFmtId="0" fontId="17"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5"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23" fillId="2" borderId="28" xfId="0" applyFont="1" applyFill="1" applyBorder="1"/>
    <xf numFmtId="0" fontId="24" fillId="0" borderId="29" xfId="0" applyFont="1" applyBorder="1"/>
    <xf numFmtId="0" fontId="24" fillId="0" borderId="1" xfId="0" applyFont="1" applyBorder="1"/>
    <xf numFmtId="0" fontId="24" fillId="0" borderId="5" xfId="0" applyFont="1" applyBorder="1"/>
    <xf numFmtId="0" fontId="11" fillId="0" borderId="1" xfId="1" applyFont="1" applyBorder="1" applyAlignment="1" applyProtection="1">
      <alignment horizontal="center" vertical="top"/>
      <protection locked="0"/>
    </xf>
    <xf numFmtId="1" fontId="6" fillId="0" borderId="1" xfId="0" applyNumberFormat="1" applyFont="1" applyBorder="1" applyAlignment="1" applyProtection="1">
      <alignment horizontal="center" vertical="center" wrapText="1"/>
      <protection locked="0"/>
    </xf>
    <xf numFmtId="0" fontId="0" fillId="0" borderId="0" xfId="0" applyAlignment="1">
      <alignment horizontal="center" vertical="center"/>
    </xf>
    <xf numFmtId="0" fontId="0" fillId="0" borderId="1" xfId="0" applyBorder="1" applyAlignment="1">
      <alignment horizontal="center" vertical="center"/>
    </xf>
    <xf numFmtId="1" fontId="6" fillId="0" borderId="1" xfId="1"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xf numFmtId="0" fontId="0" fillId="0" borderId="1" xfId="0" applyBorder="1" applyAlignment="1">
      <alignment horizontal="left" vertical="top" wrapText="1"/>
    </xf>
    <xf numFmtId="0" fontId="0" fillId="0" borderId="23" xfId="0" applyFill="1" applyBorder="1"/>
    <xf numFmtId="0" fontId="0" fillId="0" borderId="8" xfId="0" applyBorder="1"/>
    <xf numFmtId="0" fontId="0" fillId="0" borderId="1" xfId="0" applyBorder="1" applyAlignment="1">
      <alignment vertical="top" wrapText="1"/>
    </xf>
    <xf numFmtId="0" fontId="0" fillId="0" borderId="1" xfId="0" applyFill="1" applyBorder="1"/>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Fill="1"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8" xfId="0" applyFill="1" applyBorder="1"/>
    <xf numFmtId="0" fontId="11" fillId="0" borderId="1" xfId="1" applyFont="1" applyBorder="1"/>
    <xf numFmtId="0" fontId="7" fillId="0" borderId="1" xfId="1" applyFont="1" applyBorder="1"/>
    <xf numFmtId="0" fontId="0" fillId="0" borderId="8" xfId="0" applyBorder="1" applyAlignment="1">
      <alignment vertical="top"/>
    </xf>
    <xf numFmtId="0" fontId="0" fillId="0" borderId="23" xfId="0" applyFill="1" applyBorder="1" applyAlignment="1">
      <alignment horizontal="center" vertical="top"/>
    </xf>
    <xf numFmtId="0" fontId="0" fillId="0" borderId="8" xfId="0" applyFill="1" applyBorder="1" applyAlignment="1">
      <alignment horizontal="left" vertical="top"/>
    </xf>
    <xf numFmtId="1" fontId="6" fillId="0" borderId="1" xfId="0"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0" fontId="14" fillId="2" borderId="0" xfId="1" applyFont="1" applyFill="1"/>
    <xf numFmtId="14" fontId="11" fillId="0" borderId="0" xfId="1" applyNumberFormat="1" applyFont="1"/>
    <xf numFmtId="0" fontId="0" fillId="0" borderId="1" xfId="0" applyBorder="1" applyAlignment="1">
      <alignment horizontal="left" vertical="top"/>
    </xf>
    <xf numFmtId="1" fontId="6" fillId="0" borderId="1" xfId="0" applyNumberFormat="1" applyFont="1" applyBorder="1" applyAlignment="1" applyProtection="1">
      <alignment horizontal="center" vertical="center" wrapText="1"/>
      <protection locked="0"/>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164" fontId="7" fillId="0" borderId="0" xfId="1" applyNumberFormat="1" applyFont="1" applyAlignment="1">
      <alignment horizontal="left"/>
    </xf>
    <xf numFmtId="0" fontId="30" fillId="6" borderId="1" xfId="0" applyFont="1" applyFill="1" applyBorder="1" applyAlignment="1">
      <alignment vertical="top"/>
    </xf>
    <xf numFmtId="0" fontId="15" fillId="0" borderId="0" xfId="0" applyFont="1"/>
    <xf numFmtId="0" fontId="30" fillId="6" borderId="19" xfId="0" applyFont="1" applyFill="1" applyBorder="1" applyAlignment="1">
      <alignment vertical="top"/>
    </xf>
    <xf numFmtId="0" fontId="30" fillId="6" borderId="9" xfId="0" applyFont="1" applyFill="1" applyBorder="1" applyAlignment="1">
      <alignment vertical="top"/>
    </xf>
    <xf numFmtId="1" fontId="7" fillId="0" borderId="1" xfId="1" applyNumberFormat="1" applyFont="1" applyBorder="1" applyAlignment="1">
      <alignment horizontal="center" vertical="center"/>
    </xf>
    <xf numFmtId="1" fontId="11" fillId="0" borderId="1" xfId="1" applyNumberFormat="1" applyFont="1" applyFill="1" applyBorder="1" applyAlignment="1" applyProtection="1">
      <alignment horizontal="center" vertical="center" wrapText="1"/>
      <protection locked="0"/>
    </xf>
    <xf numFmtId="0" fontId="4" fillId="0" borderId="1" xfId="0" applyFont="1" applyBorder="1" applyAlignment="1">
      <alignment vertical="top"/>
    </xf>
    <xf numFmtId="0" fontId="11" fillId="0" borderId="1" xfId="1" applyFont="1" applyBorder="1" applyAlignment="1" applyProtection="1">
      <alignment horizontal="center" vertical="top" wrapText="1"/>
      <protection locked="0"/>
    </xf>
    <xf numFmtId="9" fontId="11" fillId="0" borderId="1" xfId="8" applyFont="1" applyFill="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9" fontId="11" fillId="0" borderId="7" xfId="8" applyFont="1" applyFill="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11" fillId="0" borderId="1" xfId="1" applyFont="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14" fontId="4" fillId="0" borderId="1" xfId="0" applyNumberFormat="1" applyFont="1" applyBorder="1" applyAlignment="1">
      <alignment horizontal="left" vertical="top"/>
    </xf>
    <xf numFmtId="0" fontId="23" fillId="2" borderId="15" xfId="0" applyFont="1" applyFill="1" applyBorder="1"/>
    <xf numFmtId="0" fontId="24" fillId="0" borderId="9" xfId="0" applyFont="1" applyBorder="1"/>
    <xf numFmtId="1" fontId="12" fillId="0" borderId="1" xfId="1" applyNumberFormat="1" applyFont="1" applyBorder="1" applyAlignment="1" applyProtection="1">
      <alignment horizontal="center" vertical="top" wrapText="1"/>
      <protection locked="0"/>
    </xf>
    <xf numFmtId="9" fontId="12" fillId="0" borderId="1" xfId="8" applyFont="1" applyFill="1" applyBorder="1" applyAlignment="1" applyProtection="1">
      <alignment horizontal="center" vertical="top" wrapText="1"/>
      <protection locked="0"/>
    </xf>
    <xf numFmtId="1" fontId="11" fillId="0" borderId="1" xfId="1" applyNumberFormat="1" applyFont="1" applyBorder="1" applyAlignment="1" applyProtection="1">
      <alignment horizontal="center" vertical="center" wrapText="1"/>
      <protection locked="0"/>
    </xf>
    <xf numFmtId="1" fontId="16" fillId="0" borderId="8" xfId="0" applyNumberFormat="1" applyFont="1" applyBorder="1" applyAlignment="1" applyProtection="1">
      <alignment vertical="top" wrapText="1"/>
      <protection locked="0"/>
    </xf>
    <xf numFmtId="1" fontId="8" fillId="0" borderId="19"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164" fontId="6" fillId="0" borderId="1" xfId="1" applyNumberFormat="1" applyFont="1" applyBorder="1" applyAlignment="1" applyProtection="1">
      <alignment horizontal="left" vertical="top"/>
      <protection locked="0"/>
    </xf>
    <xf numFmtId="0" fontId="6" fillId="0" borderId="1" xfId="1" applyFont="1" applyBorder="1" applyAlignment="1" applyProtection="1">
      <alignment horizontal="left" vertical="top"/>
      <protection locked="0"/>
    </xf>
    <xf numFmtId="0" fontId="11" fillId="0" borderId="4" xfId="1" applyFont="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0" fontId="6" fillId="0" borderId="8"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11" fillId="0" borderId="1" xfId="1" applyFont="1" applyBorder="1" applyAlignment="1" applyProtection="1">
      <alignment horizontal="left" vertical="top"/>
      <protection locked="0"/>
    </xf>
    <xf numFmtId="0" fontId="6" fillId="0" borderId="1" xfId="1" applyFont="1" applyBorder="1" applyAlignment="1" applyProtection="1">
      <alignment horizontal="left" vertical="top" wrapText="1"/>
      <protection locked="0"/>
    </xf>
    <xf numFmtId="1" fontId="8" fillId="0" borderId="1" xfId="0" applyNumberFormat="1" applyFont="1" applyBorder="1" applyAlignment="1" applyProtection="1">
      <alignment horizontal="left" vertical="top" wrapText="1"/>
      <protection locked="0"/>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1" fontId="8" fillId="0" borderId="8" xfId="1" applyNumberFormat="1" applyFont="1" applyBorder="1" applyAlignment="1" applyProtection="1">
      <alignment horizontal="center" vertical="center" wrapText="1"/>
      <protection locked="0"/>
    </xf>
    <xf numFmtId="1" fontId="8" fillId="0" borderId="19"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0" fontId="11" fillId="0" borderId="1" xfId="1" applyFont="1" applyBorder="1" applyAlignment="1" applyProtection="1">
      <alignment horizontal="left" vertical="top" wrapText="1"/>
      <protection locked="0"/>
    </xf>
    <xf numFmtId="0" fontId="11" fillId="0" borderId="3" xfId="1" applyFont="1" applyBorder="1" applyAlignment="1" applyProtection="1">
      <alignment horizontal="left" vertical="top" wrapText="1"/>
      <protection locked="0"/>
    </xf>
    <xf numFmtId="0" fontId="11" fillId="0" borderId="5" xfId="1" applyFont="1" applyBorder="1" applyAlignment="1" applyProtection="1">
      <alignment horizontal="center" vertical="top" wrapText="1"/>
      <protection locked="0"/>
    </xf>
    <xf numFmtId="0" fontId="11" fillId="0" borderId="6" xfId="1" applyFont="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1" fontId="11" fillId="0" borderId="1" xfId="1" applyNumberFormat="1" applyFont="1" applyBorder="1" applyAlignment="1" applyProtection="1">
      <alignment horizontal="center" vertical="center" wrapText="1"/>
      <protection locked="0"/>
    </xf>
    <xf numFmtId="0" fontId="7" fillId="0" borderId="23" xfId="1" applyFont="1" applyBorder="1" applyAlignment="1">
      <alignment horizontal="center"/>
    </xf>
    <xf numFmtId="0" fontId="7" fillId="0" borderId="0" xfId="1" applyFont="1" applyAlignment="1">
      <alignment horizontal="center"/>
    </xf>
    <xf numFmtId="167" fontId="7" fillId="0" borderId="1" xfId="9" applyNumberFormat="1" applyFont="1" applyFill="1" applyBorder="1" applyAlignment="1" applyProtection="1">
      <alignment horizontal="left" vertical="top"/>
      <protection locked="0"/>
    </xf>
    <xf numFmtId="0" fontId="12" fillId="0" borderId="1" xfId="1" applyFont="1" applyBorder="1" applyAlignment="1" applyProtection="1">
      <alignment horizontal="center" vertical="top"/>
      <protection locked="0"/>
    </xf>
    <xf numFmtId="1" fontId="8" fillId="0" borderId="1" xfId="0" applyNumberFormat="1" applyFont="1" applyBorder="1" applyAlignment="1" applyProtection="1">
      <alignment horizontal="center" vertical="top" wrapText="1"/>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19" xfId="1" applyFont="1" applyBorder="1" applyAlignment="1" applyProtection="1">
      <alignment horizontal="left" vertical="top" wrapText="1"/>
      <protection locked="0"/>
    </xf>
    <xf numFmtId="0" fontId="10" fillId="0" borderId="1" xfId="0"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0" fontId="14" fillId="0" borderId="1" xfId="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6" fillId="0" borderId="1" xfId="1" applyFont="1" applyBorder="1" applyAlignment="1" applyProtection="1">
      <alignment vertical="top"/>
      <protection locked="0"/>
    </xf>
    <xf numFmtId="1" fontId="6" fillId="0" borderId="1" xfId="1" applyNumberFormat="1" applyFont="1" applyBorder="1" applyAlignment="1" applyProtection="1">
      <alignment horizontal="center" vertical="center" wrapText="1"/>
      <protection locked="0"/>
    </xf>
    <xf numFmtId="1" fontId="12" fillId="0" borderId="1" xfId="1" applyNumberFormat="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top" wrapText="1"/>
      <protection locked="0"/>
    </xf>
    <xf numFmtId="1" fontId="10" fillId="0" borderId="1" xfId="0" applyNumberFormat="1" applyFont="1" applyBorder="1" applyAlignment="1" applyProtection="1">
      <alignment horizontal="center" vertical="center"/>
      <protection locked="0"/>
    </xf>
    <xf numFmtId="1" fontId="12" fillId="0" borderId="8" xfId="0" applyNumberFormat="1" applyFont="1" applyBorder="1" applyAlignment="1" applyProtection="1">
      <alignment vertical="top" wrapText="1"/>
      <protection locked="0"/>
    </xf>
    <xf numFmtId="1" fontId="12" fillId="0" borderId="19" xfId="0" applyNumberFormat="1" applyFont="1" applyBorder="1" applyAlignment="1" applyProtection="1">
      <alignment vertical="top" wrapText="1"/>
      <protection locked="0"/>
    </xf>
    <xf numFmtId="1" fontId="12" fillId="0" borderId="9" xfId="0" applyNumberFormat="1" applyFont="1" applyBorder="1" applyAlignment="1" applyProtection="1">
      <alignment vertical="top" wrapText="1"/>
      <protection locked="0"/>
    </xf>
    <xf numFmtId="1" fontId="16" fillId="0" borderId="19" xfId="0" applyNumberFormat="1" applyFont="1" applyBorder="1" applyAlignment="1" applyProtection="1">
      <alignment vertical="top" wrapText="1"/>
      <protection locked="0"/>
    </xf>
    <xf numFmtId="1" fontId="16" fillId="0" borderId="9" xfId="0" applyNumberFormat="1" applyFont="1" applyBorder="1" applyAlignment="1" applyProtection="1">
      <alignment vertical="top" wrapText="1"/>
      <protection locked="0"/>
    </xf>
    <xf numFmtId="1" fontId="12" fillId="0" borderId="8" xfId="1" applyNumberFormat="1" applyFont="1" applyBorder="1" applyAlignment="1" applyProtection="1">
      <alignment horizontal="center" vertical="center" wrapText="1"/>
      <protection locked="0"/>
    </xf>
    <xf numFmtId="1" fontId="12" fillId="0" borderId="19" xfId="1" applyNumberFormat="1" applyFont="1" applyBorder="1" applyAlignment="1" applyProtection="1">
      <alignment horizontal="center" vertical="center" wrapText="1"/>
      <protection locked="0"/>
    </xf>
    <xf numFmtId="1" fontId="12" fillId="0" borderId="9" xfId="1" applyNumberFormat="1" applyFont="1" applyBorder="1" applyAlignment="1" applyProtection="1">
      <alignment horizontal="center" vertical="center" wrapText="1"/>
      <protection locked="0"/>
    </xf>
    <xf numFmtId="0" fontId="8" fillId="0" borderId="16" xfId="1" applyFont="1" applyBorder="1" applyAlignment="1" applyProtection="1">
      <alignment horizontal="left" vertical="top"/>
      <protection locked="0"/>
    </xf>
    <xf numFmtId="0" fontId="10" fillId="0" borderId="16" xfId="1" applyFont="1" applyBorder="1" applyAlignment="1" applyProtection="1">
      <alignment horizontal="center" vertical="top"/>
      <protection locked="0"/>
    </xf>
    <xf numFmtId="1" fontId="31" fillId="0" borderId="1" xfId="1" applyNumberFormat="1" applyFont="1" applyBorder="1" applyAlignment="1" applyProtection="1">
      <alignment horizontal="center" vertical="top" wrapText="1"/>
      <protection locked="0"/>
    </xf>
    <xf numFmtId="0" fontId="12" fillId="0" borderId="1" xfId="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0" fontId="8" fillId="0" borderId="1" xfId="1" applyFont="1" applyBorder="1" applyAlignment="1" applyProtection="1">
      <alignment horizontal="left" vertical="top"/>
      <protection locked="0"/>
    </xf>
    <xf numFmtId="167" fontId="11" fillId="0" borderId="1" xfId="9" applyNumberFormat="1" applyFont="1" applyFill="1" applyBorder="1" applyAlignment="1" applyProtection="1">
      <alignment horizontal="left" vertical="top"/>
      <protection locked="0"/>
    </xf>
    <xf numFmtId="1" fontId="8" fillId="0" borderId="1" xfId="1" applyNumberFormat="1" applyFont="1" applyBorder="1" applyAlignment="1" applyProtection="1">
      <alignment horizontal="center" vertical="center" wrapText="1"/>
      <protection locked="0"/>
    </xf>
    <xf numFmtId="0" fontId="8" fillId="0" borderId="1" xfId="1" applyFont="1" applyBorder="1" applyAlignment="1" applyProtection="1">
      <alignment vertical="top"/>
      <protection locked="0"/>
    </xf>
    <xf numFmtId="1" fontId="8" fillId="0" borderId="8" xfId="0" applyNumberFormat="1" applyFont="1" applyBorder="1" applyAlignment="1" applyProtection="1">
      <alignment vertical="top" wrapText="1"/>
      <protection locked="0"/>
    </xf>
    <xf numFmtId="0" fontId="29" fillId="0" borderId="1" xfId="1" applyFont="1" applyBorder="1" applyAlignment="1" applyProtection="1">
      <alignment horizontal="center" vertical="top" wrapText="1"/>
      <protection locked="0"/>
    </xf>
    <xf numFmtId="0" fontId="12" fillId="0" borderId="1" xfId="1" applyFont="1" applyBorder="1" applyAlignment="1" applyProtection="1">
      <alignment horizontal="left" vertical="top"/>
      <protection locked="0"/>
    </xf>
    <xf numFmtId="14" fontId="11" fillId="0" borderId="1" xfId="1" applyNumberFormat="1" applyFont="1" applyBorder="1" applyAlignment="1" applyProtection="1">
      <alignment horizontal="left" vertical="top"/>
      <protection locked="0"/>
    </xf>
    <xf numFmtId="0" fontId="11" fillId="0" borderId="1" xfId="1" applyFont="1" applyBorder="1" applyAlignment="1" applyProtection="1">
      <alignment horizontal="left"/>
      <protection locked="0"/>
    </xf>
    <xf numFmtId="0" fontId="11" fillId="0" borderId="1" xfId="1" applyFont="1" applyBorder="1" applyAlignment="1" applyProtection="1">
      <alignment horizontal="center"/>
      <protection locked="0"/>
    </xf>
    <xf numFmtId="0" fontId="11" fillId="0" borderId="8" xfId="1" applyFont="1" applyBorder="1" applyAlignment="1" applyProtection="1">
      <alignment horizontal="center" vertical="top"/>
      <protection locked="0"/>
    </xf>
    <xf numFmtId="0" fontId="11" fillId="0" borderId="19" xfId="1" applyFont="1" applyBorder="1" applyAlignment="1" applyProtection="1">
      <alignment horizontal="center" vertical="top"/>
      <protection locked="0"/>
    </xf>
    <xf numFmtId="0" fontId="11" fillId="0" borderId="9" xfId="1" applyFont="1" applyBorder="1" applyAlignment="1" applyProtection="1">
      <alignment horizontal="center" vertical="top"/>
      <protection locked="0"/>
    </xf>
    <xf numFmtId="0" fontId="12" fillId="0" borderId="8" xfId="1" applyFont="1" applyBorder="1" applyAlignment="1" applyProtection="1">
      <alignment horizontal="center" vertical="top"/>
      <protection locked="0"/>
    </xf>
    <xf numFmtId="0" fontId="12" fillId="0" borderId="19"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12" fillId="0" borderId="1" xfId="1" applyFont="1" applyBorder="1" applyAlignment="1" applyProtection="1">
      <alignment horizontal="center"/>
      <protection locked="0"/>
    </xf>
    <xf numFmtId="0" fontId="12" fillId="0" borderId="4" xfId="1" applyFont="1" applyBorder="1" applyAlignment="1" applyProtection="1">
      <alignment horizontal="left" vertical="top"/>
      <protection locked="0"/>
    </xf>
    <xf numFmtId="0" fontId="12" fillId="0" borderId="20" xfId="1" applyFont="1" applyBorder="1" applyAlignment="1" applyProtection="1">
      <alignment horizontal="left" vertical="top" wrapText="1"/>
      <protection locked="0"/>
    </xf>
    <xf numFmtId="0" fontId="12" fillId="0" borderId="15" xfId="1" applyFont="1" applyBorder="1" applyAlignment="1" applyProtection="1">
      <alignment horizontal="left" vertical="top" wrapText="1"/>
      <protection locked="0"/>
    </xf>
    <xf numFmtId="0" fontId="12" fillId="0" borderId="13" xfId="1" applyFont="1" applyBorder="1" applyAlignment="1" applyProtection="1">
      <alignment horizontal="left" vertical="top" wrapText="1"/>
      <protection locked="0"/>
    </xf>
    <xf numFmtId="0" fontId="12" fillId="0" borderId="14" xfId="1" applyFont="1" applyBorder="1" applyAlignment="1" applyProtection="1">
      <alignment horizontal="left" vertical="top" wrapText="1"/>
      <protection locked="0"/>
    </xf>
    <xf numFmtId="0" fontId="12" fillId="0" borderId="21" xfId="1" applyFont="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0" fontId="12" fillId="0" borderId="5"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11" fillId="0" borderId="3" xfId="1" applyFont="1" applyBorder="1" applyAlignment="1" applyProtection="1">
      <alignment horizontal="left" vertical="top"/>
      <protection locked="0"/>
    </xf>
    <xf numFmtId="0" fontId="11" fillId="0" borderId="17" xfId="1" applyFont="1" applyBorder="1" applyAlignment="1" applyProtection="1">
      <alignment horizontal="left" vertical="top" wrapText="1"/>
      <protection locked="0"/>
    </xf>
    <xf numFmtId="0" fontId="11" fillId="0" borderId="22" xfId="1" applyFont="1" applyBorder="1" applyAlignment="1" applyProtection="1">
      <alignment horizontal="left" vertical="top" wrapText="1"/>
      <protection locked="0"/>
    </xf>
    <xf numFmtId="0" fontId="11" fillId="0" borderId="18" xfId="1" applyFont="1" applyBorder="1" applyAlignment="1" applyProtection="1">
      <alignment horizontal="left" vertical="top" wrapText="1"/>
      <protection locked="0"/>
    </xf>
    <xf numFmtId="0" fontId="11" fillId="0" borderId="23" xfId="1" applyFont="1" applyBorder="1" applyAlignment="1" applyProtection="1">
      <alignment horizontal="left" vertical="top" wrapText="1"/>
      <protection locked="0"/>
    </xf>
    <xf numFmtId="0" fontId="11" fillId="0" borderId="0" xfId="1" applyFont="1" applyBorder="1" applyAlignment="1" applyProtection="1">
      <alignment horizontal="left" vertical="top" wrapText="1"/>
      <protection locked="0"/>
    </xf>
    <xf numFmtId="0" fontId="11" fillId="0" borderId="24" xfId="1" applyFont="1" applyBorder="1" applyAlignment="1" applyProtection="1">
      <alignment horizontal="left" vertical="top" wrapText="1"/>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0" fontId="6" fillId="0" borderId="1" xfId="1" applyFont="1" applyBorder="1" applyAlignment="1" applyProtection="1">
      <alignment vertical="top" wrapText="1"/>
      <protection locked="0"/>
    </xf>
    <xf numFmtId="1" fontId="11" fillId="0" borderId="1" xfId="1" applyNumberFormat="1" applyFont="1" applyBorder="1" applyAlignment="1" applyProtection="1">
      <alignment horizontal="left" vertical="top" wrapText="1"/>
      <protection locked="0"/>
    </xf>
    <xf numFmtId="164" fontId="7" fillId="0" borderId="1" xfId="1" applyNumberFormat="1" applyFont="1" applyBorder="1" applyAlignment="1" applyProtection="1">
      <alignment horizontal="left" vertical="top"/>
      <protection locked="0"/>
    </xf>
    <xf numFmtId="2" fontId="6" fillId="0" borderId="1" xfId="1" applyNumberFormat="1" applyFont="1" applyBorder="1" applyAlignment="1" applyProtection="1">
      <alignment horizontal="left" vertical="top"/>
      <protection locked="0"/>
    </xf>
    <xf numFmtId="0" fontId="12" fillId="0" borderId="8" xfId="1" applyFont="1" applyBorder="1" applyAlignment="1" applyProtection="1">
      <alignment horizontal="left" vertical="top"/>
      <protection locked="0"/>
    </xf>
    <xf numFmtId="0" fontId="12" fillId="0" borderId="19" xfId="1" applyFont="1" applyBorder="1" applyAlignment="1" applyProtection="1">
      <alignment horizontal="left" vertical="top"/>
      <protection locked="0"/>
    </xf>
    <xf numFmtId="0" fontId="12" fillId="0" borderId="9" xfId="1" applyFont="1" applyBorder="1" applyAlignment="1" applyProtection="1">
      <alignment horizontal="left" vertical="top"/>
      <protection locked="0"/>
    </xf>
    <xf numFmtId="1" fontId="10" fillId="0" borderId="1" xfId="0" applyNumberFormat="1" applyFont="1" applyBorder="1" applyAlignment="1" applyProtection="1">
      <alignment horizontal="center" vertical="top" wrapText="1"/>
      <protection locked="0"/>
    </xf>
    <xf numFmtId="2" fontId="6" fillId="0" borderId="1" xfId="1" applyNumberFormat="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25" fillId="0" borderId="1" xfId="10" applyFill="1" applyBorder="1" applyAlignment="1" applyProtection="1">
      <alignment horizontal="left" vertical="top" wrapText="1"/>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top" wrapText="1"/>
      <protection locked="0"/>
    </xf>
    <xf numFmtId="1" fontId="12"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9" fontId="11" fillId="0" borderId="17" xfId="8" applyFont="1" applyFill="1" applyBorder="1" applyAlignment="1" applyProtection="1">
      <alignment horizontal="center" vertical="center" wrapText="1"/>
      <protection locked="0"/>
    </xf>
    <xf numFmtId="9" fontId="11" fillId="0" borderId="25" xfId="8" applyFont="1" applyFill="1" applyBorder="1" applyAlignment="1" applyProtection="1">
      <alignment horizontal="center" vertical="center" wrapText="1"/>
      <protection locked="0"/>
    </xf>
    <xf numFmtId="9" fontId="11" fillId="0" borderId="23" xfId="8" applyFont="1" applyFill="1" applyBorder="1" applyAlignment="1" applyProtection="1">
      <alignment horizontal="center" vertical="center" wrapText="1"/>
      <protection locked="0"/>
    </xf>
    <xf numFmtId="9" fontId="11" fillId="0" borderId="10" xfId="8" applyFont="1" applyFill="1" applyBorder="1" applyAlignment="1" applyProtection="1">
      <alignment horizontal="center" vertical="center" wrapText="1"/>
      <protection locked="0"/>
    </xf>
    <xf numFmtId="9" fontId="11" fillId="0" borderId="26" xfId="8" applyFont="1" applyFill="1" applyBorder="1" applyAlignment="1" applyProtection="1">
      <alignment horizontal="center" vertical="center" wrapText="1"/>
      <protection locked="0"/>
    </xf>
    <xf numFmtId="9" fontId="11" fillId="0" borderId="12" xfId="8" applyFont="1" applyFill="1" applyBorder="1" applyAlignment="1" applyProtection="1">
      <alignment horizontal="center" vertical="center" wrapText="1"/>
      <protection locked="0"/>
    </xf>
    <xf numFmtId="9" fontId="11" fillId="0" borderId="18" xfId="8" applyFont="1" applyFill="1" applyBorder="1" applyAlignment="1" applyProtection="1">
      <alignment horizontal="center" vertical="center" wrapText="1"/>
      <protection locked="0"/>
    </xf>
    <xf numFmtId="9" fontId="11" fillId="0" borderId="24" xfId="8" applyFont="1" applyFill="1" applyBorder="1" applyAlignment="1" applyProtection="1">
      <alignment horizontal="center" vertical="center" wrapText="1"/>
      <protection locked="0"/>
    </xf>
    <xf numFmtId="9" fontId="11" fillId="0" borderId="27" xfId="8" applyFont="1" applyFill="1" applyBorder="1" applyAlignment="1" applyProtection="1">
      <alignment horizontal="center" vertical="center" wrapText="1"/>
      <protection locked="0"/>
    </xf>
    <xf numFmtId="0" fontId="6" fillId="0" borderId="1" xfId="1" applyFont="1" applyFill="1" applyBorder="1" applyAlignment="1" applyProtection="1">
      <alignment horizontal="left" vertical="top" wrapText="1"/>
      <protection locked="0"/>
    </xf>
    <xf numFmtId="0" fontId="30" fillId="0" borderId="8" xfId="0" applyFont="1" applyBorder="1" applyAlignment="1">
      <alignment horizontal="left" vertical="top" wrapText="1"/>
    </xf>
    <xf numFmtId="0" fontId="30" fillId="0" borderId="9" xfId="0" applyFont="1" applyBorder="1" applyAlignment="1">
      <alignment horizontal="left" vertical="top" wrapText="1"/>
    </xf>
    <xf numFmtId="0" fontId="30" fillId="6" borderId="8" xfId="0" applyFont="1" applyFill="1" applyBorder="1" applyAlignment="1">
      <alignment horizontal="left" vertical="top" wrapText="1"/>
    </xf>
    <xf numFmtId="0" fontId="30" fillId="6" borderId="19" xfId="0" applyFont="1" applyFill="1" applyBorder="1" applyAlignment="1">
      <alignment horizontal="left" vertical="top" wrapText="1"/>
    </xf>
    <xf numFmtId="14" fontId="30" fillId="6" borderId="8" xfId="0" applyNumberFormat="1" applyFont="1" applyFill="1" applyBorder="1" applyAlignment="1">
      <alignment horizontal="left" vertical="top"/>
    </xf>
    <xf numFmtId="14" fontId="30" fillId="6" borderId="19" xfId="0" applyNumberFormat="1" applyFont="1" applyFill="1" applyBorder="1" applyAlignment="1">
      <alignment horizontal="left" vertical="top"/>
    </xf>
    <xf numFmtId="9" fontId="11" fillId="0" borderId="1" xfId="8" applyFont="1" applyFill="1" applyBorder="1" applyAlignment="1" applyProtection="1">
      <alignment horizontal="center" vertical="center" wrapText="1"/>
      <protection locked="0"/>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12" fillId="0" borderId="4" xfId="1" applyFont="1" applyBorder="1" applyAlignment="1" applyProtection="1">
      <alignment horizontal="center" vertical="center"/>
      <protection locked="0"/>
    </xf>
    <xf numFmtId="0" fontId="12" fillId="0" borderId="1" xfId="1" applyFont="1" applyBorder="1" applyAlignment="1" applyProtection="1">
      <alignment horizontal="center" vertical="center"/>
      <protection locked="0"/>
    </xf>
    <xf numFmtId="9" fontId="12" fillId="0" borderId="8" xfId="1" applyNumberFormat="1" applyFont="1" applyBorder="1" applyAlignment="1" applyProtection="1">
      <alignment horizontal="center" vertical="center" wrapText="1"/>
      <protection locked="0"/>
    </xf>
    <xf numFmtId="0" fontId="12" fillId="0" borderId="9" xfId="1" applyFont="1" applyBorder="1" applyAlignment="1" applyProtection="1">
      <alignment horizontal="center" vertical="center" wrapText="1"/>
      <protection locked="0"/>
    </xf>
    <xf numFmtId="0" fontId="12" fillId="0" borderId="8" xfId="1" applyFont="1" applyBorder="1" applyAlignment="1" applyProtection="1">
      <alignment horizontal="center" vertical="center" wrapText="1"/>
      <protection locked="0"/>
    </xf>
    <xf numFmtId="0" fontId="12" fillId="0" borderId="30" xfId="1" applyFont="1" applyBorder="1" applyAlignment="1" applyProtection="1">
      <alignment horizontal="center" vertical="center" wrapText="1"/>
      <protection locked="0"/>
    </xf>
    <xf numFmtId="0" fontId="9" fillId="0" borderId="1" xfId="5" applyFont="1" applyBorder="1" applyAlignment="1">
      <alignment horizontal="left"/>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7.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8</xdr:col>
      <xdr:colOff>403225</xdr:colOff>
      <xdr:row>14</xdr:row>
      <xdr:rowOff>349250</xdr:rowOff>
    </xdr:from>
    <xdr:to>
      <xdr:col>12</xdr:col>
      <xdr:colOff>231325</xdr:colOff>
      <xdr:row>15</xdr:row>
      <xdr:rowOff>342710</xdr:rowOff>
    </xdr:to>
    <xdr:pic>
      <xdr:nvPicPr>
        <xdr:cNvPr id="2" name="Picture 1"/>
        <xdr:cNvPicPr>
          <a:picLocks noChangeAspect="1"/>
        </xdr:cNvPicPr>
      </xdr:nvPicPr>
      <xdr:blipFill>
        <a:blip xmlns:r="http://schemas.openxmlformats.org/officeDocument/2006/relationships" r:embed="rId1"/>
        <a:stretch>
          <a:fillRect/>
        </a:stretch>
      </xdr:blipFill>
      <xdr:spPr>
        <a:xfrm>
          <a:off x="6718300" y="4730750"/>
          <a:ext cx="3428550" cy="1012635"/>
        </a:xfrm>
        <a:prstGeom prst="rect">
          <a:avLst/>
        </a:prstGeom>
        <a:ln>
          <a:solidFill>
            <a:schemeClr val="tx1"/>
          </a:solidFill>
        </a:ln>
      </xdr:spPr>
    </xdr:pic>
    <xdr:clientData/>
  </xdr:twoCellAnchor>
  <xdr:twoCellAnchor editAs="oneCell">
    <xdr:from>
      <xdr:col>8</xdr:col>
      <xdr:colOff>666750</xdr:colOff>
      <xdr:row>48</xdr:row>
      <xdr:rowOff>38100</xdr:rowOff>
    </xdr:from>
    <xdr:to>
      <xdr:col>11</xdr:col>
      <xdr:colOff>380050</xdr:colOff>
      <xdr:row>52</xdr:row>
      <xdr:rowOff>81852</xdr:rowOff>
    </xdr:to>
    <xdr:pic>
      <xdr:nvPicPr>
        <xdr:cNvPr id="3" name="Picture 2"/>
        <xdr:cNvPicPr>
          <a:picLocks noChangeAspect="1"/>
        </xdr:cNvPicPr>
      </xdr:nvPicPr>
      <xdr:blipFill>
        <a:blip xmlns:r="http://schemas.openxmlformats.org/officeDocument/2006/relationships" r:embed="rId2"/>
        <a:stretch>
          <a:fillRect/>
        </a:stretch>
      </xdr:blipFill>
      <xdr:spPr>
        <a:xfrm>
          <a:off x="7289800" y="11976100"/>
          <a:ext cx="2520000" cy="1434402"/>
        </a:xfrm>
        <a:prstGeom prst="rect">
          <a:avLst/>
        </a:prstGeom>
        <a:ln>
          <a:solidFill>
            <a:schemeClr val="tx1"/>
          </a:solidFill>
        </a:ln>
      </xdr:spPr>
    </xdr:pic>
    <xdr:clientData/>
  </xdr:twoCellAnchor>
  <xdr:twoCellAnchor editAs="oneCell">
    <xdr:from>
      <xdr:col>10</xdr:col>
      <xdr:colOff>600075</xdr:colOff>
      <xdr:row>54</xdr:row>
      <xdr:rowOff>444501</xdr:rowOff>
    </xdr:from>
    <xdr:to>
      <xdr:col>16</xdr:col>
      <xdr:colOff>155625</xdr:colOff>
      <xdr:row>63</xdr:row>
      <xdr:rowOff>579592</xdr:rowOff>
    </xdr:to>
    <xdr:pic>
      <xdr:nvPicPr>
        <xdr:cNvPr id="4" name="Picture 3"/>
        <xdr:cNvPicPr>
          <a:picLocks noChangeAspect="1"/>
        </xdr:cNvPicPr>
      </xdr:nvPicPr>
      <xdr:blipFill>
        <a:blip xmlns:r="http://schemas.openxmlformats.org/officeDocument/2006/relationships" r:embed="rId3"/>
        <a:stretch>
          <a:fillRect/>
        </a:stretch>
      </xdr:blipFill>
      <xdr:spPr>
        <a:xfrm>
          <a:off x="7172325" y="11156950"/>
          <a:ext cx="4680000" cy="1754341"/>
        </a:xfrm>
        <a:prstGeom prst="rect">
          <a:avLst/>
        </a:prstGeom>
      </xdr:spPr>
    </xdr:pic>
    <xdr:clientData/>
  </xdr:twoCellAnchor>
  <xdr:twoCellAnchor editAs="oneCell">
    <xdr:from>
      <xdr:col>1</xdr:col>
      <xdr:colOff>209550</xdr:colOff>
      <xdr:row>437</xdr:row>
      <xdr:rowOff>57759</xdr:rowOff>
    </xdr:from>
    <xdr:to>
      <xdr:col>6</xdr:col>
      <xdr:colOff>603300</xdr:colOff>
      <xdr:row>454</xdr:row>
      <xdr:rowOff>87284</xdr:rowOff>
    </xdr:to>
    <xdr:pic>
      <xdr:nvPicPr>
        <xdr:cNvPr id="5" name="Picture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1009650" y="66078709"/>
          <a:ext cx="4680000" cy="3375975"/>
        </a:xfrm>
        <a:prstGeom prst="rect">
          <a:avLst/>
        </a:prstGeom>
        <a:ln>
          <a:solidFill>
            <a:schemeClr val="tx1"/>
          </a:solidFill>
        </a:ln>
      </xdr:spPr>
    </xdr:pic>
    <xdr:clientData/>
  </xdr:twoCellAnchor>
  <xdr:twoCellAnchor editAs="oneCell">
    <xdr:from>
      <xdr:col>1</xdr:col>
      <xdr:colOff>209550</xdr:colOff>
      <xdr:row>416</xdr:row>
      <xdr:rowOff>120650</xdr:rowOff>
    </xdr:from>
    <xdr:to>
      <xdr:col>6</xdr:col>
      <xdr:colOff>603300</xdr:colOff>
      <xdr:row>436</xdr:row>
      <xdr:rowOff>99004</xdr:rowOff>
    </xdr:to>
    <xdr:pic>
      <xdr:nvPicPr>
        <xdr:cNvPr id="6" name="Picture 5"/>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009650" y="62007750"/>
          <a:ext cx="4680000" cy="3915354"/>
        </a:xfrm>
        <a:prstGeom prst="rect">
          <a:avLst/>
        </a:prstGeom>
        <a:ln>
          <a:solidFill>
            <a:schemeClr val="tx1"/>
          </a:solidFill>
        </a:ln>
      </xdr:spPr>
    </xdr:pic>
    <xdr:clientData/>
  </xdr:twoCellAnchor>
  <xdr:oneCellAnchor>
    <xdr:from>
      <xdr:col>4</xdr:col>
      <xdr:colOff>501650</xdr:colOff>
      <xdr:row>448</xdr:row>
      <xdr:rowOff>127609</xdr:rowOff>
    </xdr:from>
    <xdr:ext cx="558800" cy="264560"/>
    <xdr:sp macro="" textlink="">
      <xdr:nvSpPr>
        <xdr:cNvPr id="8" name="TextBox 7"/>
        <xdr:cNvSpPr txBox="1"/>
      </xdr:nvSpPr>
      <xdr:spPr>
        <a:xfrm>
          <a:off x="3987800" y="68313909"/>
          <a:ext cx="5588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IN" sz="1100" b="1" cap="none" spc="0">
              <a:ln w="0"/>
              <a:solidFill>
                <a:srgbClr val="FFFF00"/>
              </a:solidFill>
              <a:effectLst>
                <a:outerShdw blurRad="38100" dist="25400" dir="5400000" algn="ctr" rotWithShape="0">
                  <a:srgbClr val="6E747A">
                    <a:alpha val="43000"/>
                  </a:srgbClr>
                </a:outerShdw>
              </a:effectLst>
            </a:rPr>
            <a:t>Bldg 6</a:t>
          </a:r>
        </a:p>
      </xdr:txBody>
    </xdr:sp>
    <xdr:clientData/>
  </xdr:oneCellAnchor>
  <xdr:oneCellAnchor>
    <xdr:from>
      <xdr:col>3</xdr:col>
      <xdr:colOff>444500</xdr:colOff>
      <xdr:row>449</xdr:row>
      <xdr:rowOff>95859</xdr:rowOff>
    </xdr:from>
    <xdr:ext cx="558800" cy="264560"/>
    <xdr:sp macro="" textlink="">
      <xdr:nvSpPr>
        <xdr:cNvPr id="9" name="TextBox 8"/>
        <xdr:cNvSpPr txBox="1"/>
      </xdr:nvSpPr>
      <xdr:spPr>
        <a:xfrm>
          <a:off x="2971800" y="68479009"/>
          <a:ext cx="5588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IN" sz="1100" b="1" cap="none" spc="0">
              <a:ln w="0"/>
              <a:solidFill>
                <a:srgbClr val="FFFF00"/>
              </a:solidFill>
              <a:effectLst>
                <a:outerShdw blurRad="38100" dist="25400" dir="5400000" algn="ctr" rotWithShape="0">
                  <a:srgbClr val="6E747A">
                    <a:alpha val="43000"/>
                  </a:srgbClr>
                </a:outerShdw>
              </a:effectLst>
            </a:rPr>
            <a:t>Bldg 5</a:t>
          </a:r>
        </a:p>
      </xdr:txBody>
    </xdr:sp>
    <xdr:clientData/>
  </xdr:oneCellAnchor>
  <xdr:oneCellAnchor>
    <xdr:from>
      <xdr:col>2</xdr:col>
      <xdr:colOff>857250</xdr:colOff>
      <xdr:row>445</xdr:row>
      <xdr:rowOff>159359</xdr:rowOff>
    </xdr:from>
    <xdr:ext cx="558800" cy="264560"/>
    <xdr:sp macro="" textlink="">
      <xdr:nvSpPr>
        <xdr:cNvPr id="10" name="TextBox 9"/>
        <xdr:cNvSpPr txBox="1"/>
      </xdr:nvSpPr>
      <xdr:spPr>
        <a:xfrm>
          <a:off x="2495550" y="67755109"/>
          <a:ext cx="5588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IN" sz="1100" b="1" cap="none" spc="0">
              <a:ln w="0"/>
              <a:solidFill>
                <a:srgbClr val="FFFF00"/>
              </a:solidFill>
              <a:effectLst>
                <a:outerShdw blurRad="38100" dist="25400" dir="5400000" algn="ctr" rotWithShape="0">
                  <a:srgbClr val="6E747A">
                    <a:alpha val="43000"/>
                  </a:srgbClr>
                </a:outerShdw>
              </a:effectLst>
            </a:rPr>
            <a:t>Bldg 4</a:t>
          </a:r>
        </a:p>
      </xdr:txBody>
    </xdr:sp>
    <xdr:clientData/>
  </xdr:oneCellAnchor>
  <xdr:oneCellAnchor>
    <xdr:from>
      <xdr:col>3</xdr:col>
      <xdr:colOff>184150</xdr:colOff>
      <xdr:row>441</xdr:row>
      <xdr:rowOff>127609</xdr:rowOff>
    </xdr:from>
    <xdr:ext cx="558800" cy="264560"/>
    <xdr:sp macro="" textlink="">
      <xdr:nvSpPr>
        <xdr:cNvPr id="11" name="TextBox 10"/>
        <xdr:cNvSpPr txBox="1"/>
      </xdr:nvSpPr>
      <xdr:spPr>
        <a:xfrm>
          <a:off x="2711450" y="66935959"/>
          <a:ext cx="5588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IN" sz="1100" b="1" cap="none" spc="0">
              <a:ln w="0"/>
              <a:solidFill>
                <a:srgbClr val="FFFF00"/>
              </a:solidFill>
              <a:effectLst>
                <a:outerShdw blurRad="38100" dist="25400" dir="5400000" algn="ctr" rotWithShape="0">
                  <a:srgbClr val="6E747A">
                    <a:alpha val="43000"/>
                  </a:srgbClr>
                </a:outerShdw>
              </a:effectLst>
            </a:rPr>
            <a:t>Bldg 3</a:t>
          </a:r>
        </a:p>
      </xdr:txBody>
    </xdr:sp>
    <xdr:clientData/>
  </xdr:oneCellAnchor>
  <xdr:twoCellAnchor>
    <xdr:from>
      <xdr:col>4</xdr:col>
      <xdr:colOff>374650</xdr:colOff>
      <xdr:row>447</xdr:row>
      <xdr:rowOff>38100</xdr:rowOff>
    </xdr:from>
    <xdr:to>
      <xdr:col>4</xdr:col>
      <xdr:colOff>781050</xdr:colOff>
      <xdr:row>448</xdr:row>
      <xdr:rowOff>127609</xdr:rowOff>
    </xdr:to>
    <xdr:cxnSp macro="">
      <xdr:nvCxnSpPr>
        <xdr:cNvPr id="13" name="Straight Arrow Connector 12"/>
        <xdr:cNvCxnSpPr>
          <a:stCxn id="8" idx="0"/>
        </xdr:cNvCxnSpPr>
      </xdr:nvCxnSpPr>
      <xdr:spPr>
        <a:xfrm flipH="1" flipV="1">
          <a:off x="3860800" y="68027550"/>
          <a:ext cx="406400" cy="286359"/>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679450</xdr:colOff>
      <xdr:row>448</xdr:row>
      <xdr:rowOff>139701</xdr:rowOff>
    </xdr:from>
    <xdr:to>
      <xdr:col>3</xdr:col>
      <xdr:colOff>723900</xdr:colOff>
      <xdr:row>449</xdr:row>
      <xdr:rowOff>95859</xdr:rowOff>
    </xdr:to>
    <xdr:cxnSp macro="">
      <xdr:nvCxnSpPr>
        <xdr:cNvPr id="16" name="Straight Arrow Connector 15"/>
        <xdr:cNvCxnSpPr>
          <a:stCxn id="9" idx="0"/>
        </xdr:cNvCxnSpPr>
      </xdr:nvCxnSpPr>
      <xdr:spPr>
        <a:xfrm flipH="1" flipV="1">
          <a:off x="3206750" y="68326001"/>
          <a:ext cx="44450" cy="15300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527050</xdr:colOff>
      <xdr:row>446</xdr:row>
      <xdr:rowOff>63501</xdr:rowOff>
    </xdr:from>
    <xdr:to>
      <xdr:col>3</xdr:col>
      <xdr:colOff>742950</xdr:colOff>
      <xdr:row>446</xdr:row>
      <xdr:rowOff>94789</xdr:rowOff>
    </xdr:to>
    <xdr:cxnSp macro="">
      <xdr:nvCxnSpPr>
        <xdr:cNvPr id="19" name="Straight Arrow Connector 18"/>
        <xdr:cNvCxnSpPr>
          <a:stCxn id="10" idx="3"/>
        </xdr:cNvCxnSpPr>
      </xdr:nvCxnSpPr>
      <xdr:spPr>
        <a:xfrm flipV="1">
          <a:off x="3054350" y="67856101"/>
          <a:ext cx="215900" cy="3128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463550</xdr:colOff>
      <xdr:row>442</xdr:row>
      <xdr:rowOff>195319</xdr:rowOff>
    </xdr:from>
    <xdr:to>
      <xdr:col>3</xdr:col>
      <xdr:colOff>514350</xdr:colOff>
      <xdr:row>443</xdr:row>
      <xdr:rowOff>133351</xdr:rowOff>
    </xdr:to>
    <xdr:cxnSp macro="">
      <xdr:nvCxnSpPr>
        <xdr:cNvPr id="22" name="Straight Arrow Connector 21"/>
        <xdr:cNvCxnSpPr>
          <a:stCxn id="11" idx="2"/>
        </xdr:cNvCxnSpPr>
      </xdr:nvCxnSpPr>
      <xdr:spPr>
        <a:xfrm>
          <a:off x="2990850" y="67200519"/>
          <a:ext cx="50800" cy="134882"/>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654050</xdr:colOff>
      <xdr:row>374</xdr:row>
      <xdr:rowOff>165100</xdr:rowOff>
    </xdr:from>
    <xdr:to>
      <xdr:col>6</xdr:col>
      <xdr:colOff>256287</xdr:colOff>
      <xdr:row>402</xdr:row>
      <xdr:rowOff>53300</xdr:rowOff>
    </xdr:to>
    <xdr:pic>
      <xdr:nvPicPr>
        <xdr:cNvPr id="25" name="Picture 24"/>
        <xdr:cNvPicPr>
          <a:picLocks noChangeAspect="1"/>
        </xdr:cNvPicPr>
      </xdr:nvPicPr>
      <xdr:blipFill>
        <a:blip xmlns:r="http://schemas.openxmlformats.org/officeDocument/2006/relationships" r:embed="rId6"/>
        <a:stretch>
          <a:fillRect/>
        </a:stretch>
      </xdr:blipFill>
      <xdr:spPr>
        <a:xfrm>
          <a:off x="1454150" y="53587650"/>
          <a:ext cx="3888487" cy="5400000"/>
        </a:xfrm>
        <a:prstGeom prst="rect">
          <a:avLst/>
        </a:prstGeom>
        <a:ln>
          <a:solidFill>
            <a:schemeClr val="tx1"/>
          </a:solidFill>
        </a:ln>
      </xdr:spPr>
    </xdr:pic>
    <xdr:clientData/>
  </xdr:twoCellAnchor>
  <xdr:twoCellAnchor>
    <xdr:from>
      <xdr:col>0</xdr:col>
      <xdr:colOff>361950</xdr:colOff>
      <xdr:row>330</xdr:row>
      <xdr:rowOff>95250</xdr:rowOff>
    </xdr:from>
    <xdr:to>
      <xdr:col>7</xdr:col>
      <xdr:colOff>376656</xdr:colOff>
      <xdr:row>370</xdr:row>
      <xdr:rowOff>171450</xdr:rowOff>
    </xdr:to>
    <xdr:grpSp>
      <xdr:nvGrpSpPr>
        <xdr:cNvPr id="12" name="Group 11"/>
        <xdr:cNvGrpSpPr/>
      </xdr:nvGrpSpPr>
      <xdr:grpSpPr>
        <a:xfrm>
          <a:off x="361950" y="60090050"/>
          <a:ext cx="5869406" cy="7943850"/>
          <a:chOff x="361950" y="59886850"/>
          <a:chExt cx="5869406" cy="7943850"/>
        </a:xfrm>
      </xdr:grpSpPr>
      <xdr:pic>
        <xdr:nvPicPr>
          <xdr:cNvPr id="52" name="Picture 51"/>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2889562" y="66265351"/>
            <a:ext cx="2397778" cy="1565349"/>
          </a:xfrm>
          <a:prstGeom prst="rect">
            <a:avLst/>
          </a:prstGeom>
          <a:ln>
            <a:solidFill>
              <a:schemeClr val="tx1"/>
            </a:solidFill>
          </a:ln>
        </xdr:spPr>
      </xdr:pic>
      <xdr:pic>
        <xdr:nvPicPr>
          <xdr:cNvPr id="53" name="Picture 52"/>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390603" y="64379184"/>
            <a:ext cx="2397778" cy="1800000"/>
          </a:xfrm>
          <a:prstGeom prst="rect">
            <a:avLst/>
          </a:prstGeom>
          <a:ln>
            <a:solidFill>
              <a:schemeClr val="tx1"/>
            </a:solidFill>
          </a:ln>
        </xdr:spPr>
      </xdr:pic>
      <xdr:pic>
        <xdr:nvPicPr>
          <xdr:cNvPr id="54" name="Picture 5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862991" y="62493017"/>
            <a:ext cx="2397778" cy="1800000"/>
          </a:xfrm>
          <a:prstGeom prst="rect">
            <a:avLst/>
          </a:prstGeom>
          <a:ln>
            <a:solidFill>
              <a:schemeClr val="tx1"/>
            </a:solidFill>
          </a:ln>
        </xdr:spPr>
      </xdr:pic>
      <xdr:pic>
        <xdr:nvPicPr>
          <xdr:cNvPr id="55" name="Picture 54"/>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3390603" y="62493017"/>
            <a:ext cx="2397778" cy="1800000"/>
          </a:xfrm>
          <a:prstGeom prst="rect">
            <a:avLst/>
          </a:prstGeom>
          <a:ln>
            <a:solidFill>
              <a:schemeClr val="tx1"/>
            </a:solidFill>
          </a:ln>
        </xdr:spPr>
      </xdr:pic>
      <xdr:pic>
        <xdr:nvPicPr>
          <xdr:cNvPr id="56" name="Picture 55"/>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1411134" y="66265351"/>
            <a:ext cx="1348594" cy="1565349"/>
          </a:xfrm>
          <a:prstGeom prst="rect">
            <a:avLst/>
          </a:prstGeom>
          <a:ln>
            <a:solidFill>
              <a:schemeClr val="tx1"/>
            </a:solidFill>
          </a:ln>
        </xdr:spPr>
      </xdr:pic>
      <xdr:pic>
        <xdr:nvPicPr>
          <xdr:cNvPr id="57" name="Picture 56"/>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862991" y="64379184"/>
            <a:ext cx="2397778" cy="1800000"/>
          </a:xfrm>
          <a:prstGeom prst="rect">
            <a:avLst/>
          </a:prstGeom>
          <a:ln>
            <a:solidFill>
              <a:schemeClr val="tx1"/>
            </a:solidFill>
          </a:ln>
        </xdr:spPr>
      </xdr:pic>
      <xdr:pic>
        <xdr:nvPicPr>
          <xdr:cNvPr id="58" name="Picture 57"/>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2352637" y="59886850"/>
            <a:ext cx="1888032" cy="2520000"/>
          </a:xfrm>
          <a:prstGeom prst="rect">
            <a:avLst/>
          </a:prstGeom>
          <a:ln>
            <a:solidFill>
              <a:schemeClr val="tx1"/>
            </a:solidFill>
          </a:ln>
        </xdr:spPr>
      </xdr:pic>
      <xdr:pic>
        <xdr:nvPicPr>
          <xdr:cNvPr id="59" name="Picture 58"/>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361950" y="59886850"/>
            <a:ext cx="1888032" cy="2520000"/>
          </a:xfrm>
          <a:prstGeom prst="rect">
            <a:avLst/>
          </a:prstGeom>
          <a:ln>
            <a:solidFill>
              <a:schemeClr val="tx1"/>
            </a:solidFill>
          </a:ln>
        </xdr:spPr>
      </xdr:pic>
      <xdr:pic>
        <xdr:nvPicPr>
          <xdr:cNvPr id="60" name="Picture 59"/>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4343324" y="59886850"/>
            <a:ext cx="1888032" cy="2520000"/>
          </a:xfrm>
          <a:prstGeom prst="rect">
            <a:avLst/>
          </a:prstGeom>
          <a:ln>
            <a:solidFill>
              <a:schemeClr val="tx1"/>
            </a:solidFill>
          </a:ln>
        </xdr:spPr>
      </xdr:pic>
    </xdr:grpSp>
    <xdr:clientData/>
  </xdr:twoCellAnchor>
  <xdr:oneCellAnchor>
    <xdr:from>
      <xdr:col>9</xdr:col>
      <xdr:colOff>304800</xdr:colOff>
      <xdr:row>286</xdr:row>
      <xdr:rowOff>82550</xdr:rowOff>
    </xdr:from>
    <xdr:ext cx="738728" cy="264560"/>
    <xdr:sp macro="" textlink="">
      <xdr:nvSpPr>
        <xdr:cNvPr id="14" name="TextBox 13"/>
        <xdr:cNvSpPr txBox="1"/>
      </xdr:nvSpPr>
      <xdr:spPr>
        <a:xfrm>
          <a:off x="8147050" y="51219100"/>
          <a:ext cx="7387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0" cap="none" spc="0">
              <a:ln w="0"/>
              <a:solidFill>
                <a:srgbClr val="FFFF00"/>
              </a:solidFill>
              <a:effectLst>
                <a:outerShdw blurRad="38100" dist="25400" dir="5400000" algn="ctr" rotWithShape="0">
                  <a:srgbClr val="6E747A">
                    <a:alpha val="43000"/>
                  </a:srgbClr>
                </a:outerShdw>
              </a:effectLst>
            </a:rPr>
            <a:t>Bldg No.4</a:t>
          </a:r>
        </a:p>
      </xdr:txBody>
    </xdr:sp>
    <xdr:clientData/>
  </xdr:oneCellAnchor>
  <xdr:twoCellAnchor>
    <xdr:from>
      <xdr:col>0</xdr:col>
      <xdr:colOff>76200</xdr:colOff>
      <xdr:row>287</xdr:row>
      <xdr:rowOff>50800</xdr:rowOff>
    </xdr:from>
    <xdr:to>
      <xdr:col>7</xdr:col>
      <xdr:colOff>651357</xdr:colOff>
      <xdr:row>328</xdr:row>
      <xdr:rowOff>107602</xdr:rowOff>
    </xdr:to>
    <xdr:grpSp>
      <xdr:nvGrpSpPr>
        <xdr:cNvPr id="15" name="Group 14"/>
        <xdr:cNvGrpSpPr/>
      </xdr:nvGrpSpPr>
      <xdr:grpSpPr>
        <a:xfrm>
          <a:off x="76200" y="51587400"/>
          <a:ext cx="6429857" cy="8121302"/>
          <a:chOff x="76200" y="51384200"/>
          <a:chExt cx="6429857" cy="8121302"/>
        </a:xfrm>
      </xdr:grpSpPr>
      <xdr:pic>
        <xdr:nvPicPr>
          <xdr:cNvPr id="30" name="Picture 29"/>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76200" y="51384200"/>
            <a:ext cx="2049863" cy="2736000"/>
          </a:xfrm>
          <a:prstGeom prst="rect">
            <a:avLst/>
          </a:prstGeom>
          <a:ln>
            <a:solidFill>
              <a:schemeClr val="tx1"/>
            </a:solidFill>
          </a:ln>
        </xdr:spPr>
      </xdr:pic>
      <xdr:pic>
        <xdr:nvPicPr>
          <xdr:cNvPr id="31" name="Picture 30"/>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2265580" y="51384200"/>
            <a:ext cx="2049863" cy="2736000"/>
          </a:xfrm>
          <a:prstGeom prst="rect">
            <a:avLst/>
          </a:prstGeom>
          <a:ln>
            <a:solidFill>
              <a:schemeClr val="tx1"/>
            </a:solidFill>
          </a:ln>
        </xdr:spPr>
      </xdr:pic>
      <xdr:pic>
        <xdr:nvPicPr>
          <xdr:cNvPr id="32" name="Picture 31"/>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4454960" y="51384200"/>
            <a:ext cx="2049863" cy="2736000"/>
          </a:xfrm>
          <a:prstGeom prst="rect">
            <a:avLst/>
          </a:prstGeom>
          <a:ln>
            <a:solidFill>
              <a:schemeClr val="tx1"/>
            </a:solidFill>
          </a:ln>
        </xdr:spPr>
      </xdr:pic>
      <xdr:pic>
        <xdr:nvPicPr>
          <xdr:cNvPr id="33" name="Picture 32"/>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76200" y="54239589"/>
            <a:ext cx="2049863" cy="2736000"/>
          </a:xfrm>
          <a:prstGeom prst="rect">
            <a:avLst/>
          </a:prstGeom>
          <a:ln>
            <a:solidFill>
              <a:schemeClr val="tx1"/>
            </a:solidFill>
          </a:ln>
        </xdr:spPr>
      </xdr:pic>
      <xdr:pic>
        <xdr:nvPicPr>
          <xdr:cNvPr id="34" name="Picture 33"/>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2265580" y="54239589"/>
            <a:ext cx="2049863" cy="2736000"/>
          </a:xfrm>
          <a:prstGeom prst="rect">
            <a:avLst/>
          </a:prstGeom>
          <a:ln>
            <a:solidFill>
              <a:schemeClr val="tx1"/>
            </a:solidFill>
          </a:ln>
        </xdr:spPr>
      </xdr:pic>
      <xdr:pic>
        <xdr:nvPicPr>
          <xdr:cNvPr id="35" name="Picture 34"/>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4456194" y="54227063"/>
            <a:ext cx="2049863" cy="2736000"/>
          </a:xfrm>
          <a:prstGeom prst="rect">
            <a:avLst/>
          </a:prstGeom>
          <a:ln>
            <a:solidFill>
              <a:schemeClr val="tx1"/>
            </a:solidFill>
          </a:ln>
        </xdr:spPr>
      </xdr:pic>
      <xdr:pic>
        <xdr:nvPicPr>
          <xdr:cNvPr id="49" name="Picture 48"/>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4439482" y="57069926"/>
            <a:ext cx="2049863" cy="2410524"/>
          </a:xfrm>
          <a:prstGeom prst="rect">
            <a:avLst/>
          </a:prstGeom>
          <a:ln>
            <a:solidFill>
              <a:schemeClr val="tx1"/>
            </a:solidFill>
          </a:ln>
        </xdr:spPr>
      </xdr:pic>
      <xdr:pic>
        <xdr:nvPicPr>
          <xdr:cNvPr id="50" name="Picture 49"/>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76200" y="57094978"/>
            <a:ext cx="2049863" cy="2410524"/>
          </a:xfrm>
          <a:prstGeom prst="rect">
            <a:avLst/>
          </a:prstGeom>
          <a:ln>
            <a:solidFill>
              <a:schemeClr val="tx1"/>
            </a:solidFill>
          </a:ln>
        </xdr:spPr>
      </xdr:pic>
      <xdr:pic>
        <xdr:nvPicPr>
          <xdr:cNvPr id="51" name="Picture 50"/>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2256140" y="57094978"/>
            <a:ext cx="2049863" cy="2410524"/>
          </a:xfrm>
          <a:prstGeom prst="rect">
            <a:avLst/>
          </a:prstGeom>
          <a:ln>
            <a:solidFill>
              <a:schemeClr val="tx1"/>
            </a:solidFill>
          </a:ln>
        </xdr:spPr>
      </xdr:pic>
      <xdr:sp macro="" textlink="">
        <xdr:nvSpPr>
          <xdr:cNvPr id="61" name="TextBox 60"/>
          <xdr:cNvSpPr txBox="1"/>
        </xdr:nvSpPr>
        <xdr:spPr>
          <a:xfrm>
            <a:off x="958850" y="52984400"/>
            <a:ext cx="7387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0" cap="none" spc="0">
                <a:ln w="0"/>
                <a:solidFill>
                  <a:srgbClr val="FFFF00"/>
                </a:solidFill>
                <a:effectLst>
                  <a:outerShdw blurRad="38100" dist="25400" dir="5400000" algn="ctr" rotWithShape="0">
                    <a:srgbClr val="6E747A">
                      <a:alpha val="43000"/>
                    </a:srgbClr>
                  </a:outerShdw>
                </a:effectLst>
              </a:rPr>
              <a:t>Bldg No.4</a:t>
            </a:r>
          </a:p>
        </xdr:txBody>
      </xdr:sp>
      <xdr:sp macro="" textlink="">
        <xdr:nvSpPr>
          <xdr:cNvPr id="62" name="TextBox 61"/>
          <xdr:cNvSpPr txBox="1"/>
        </xdr:nvSpPr>
        <xdr:spPr>
          <a:xfrm>
            <a:off x="5135780" y="53740050"/>
            <a:ext cx="82035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0" cap="none" spc="0">
                <a:ln w="0"/>
                <a:solidFill>
                  <a:srgbClr val="FFFF00"/>
                </a:solidFill>
                <a:effectLst>
                  <a:outerShdw blurRad="38100" dist="25400" dir="5400000" algn="ctr" rotWithShape="0">
                    <a:srgbClr val="6E747A">
                      <a:alpha val="43000"/>
                    </a:srgbClr>
                  </a:outerShdw>
                </a:effectLst>
              </a:rPr>
              <a:t>Bldg No.5A</a:t>
            </a:r>
          </a:p>
        </xdr:txBody>
      </xdr:sp>
      <xdr:sp macro="" textlink="">
        <xdr:nvSpPr>
          <xdr:cNvPr id="63" name="TextBox 62"/>
          <xdr:cNvSpPr txBox="1"/>
        </xdr:nvSpPr>
        <xdr:spPr>
          <a:xfrm>
            <a:off x="457200" y="56544639"/>
            <a:ext cx="82035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0" cap="none" spc="0">
                <a:ln w="0"/>
                <a:solidFill>
                  <a:srgbClr val="FFFF00"/>
                </a:solidFill>
                <a:effectLst>
                  <a:outerShdw blurRad="38100" dist="25400" dir="5400000" algn="ctr" rotWithShape="0">
                    <a:srgbClr val="6E747A">
                      <a:alpha val="43000"/>
                    </a:srgbClr>
                  </a:outerShdw>
                </a:effectLst>
              </a:rPr>
              <a:t>Bldg No.5B</a:t>
            </a:r>
          </a:p>
        </xdr:txBody>
      </xdr:sp>
      <xdr:sp macro="" textlink="">
        <xdr:nvSpPr>
          <xdr:cNvPr id="64" name="TextBox 63"/>
          <xdr:cNvSpPr txBox="1"/>
        </xdr:nvSpPr>
        <xdr:spPr>
          <a:xfrm>
            <a:off x="3351430" y="56652589"/>
            <a:ext cx="82035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0" cap="none" spc="0">
                <a:ln w="0"/>
                <a:solidFill>
                  <a:srgbClr val="FFFF00"/>
                </a:solidFill>
                <a:effectLst>
                  <a:outerShdw blurRad="38100" dist="25400" dir="5400000" algn="ctr" rotWithShape="0">
                    <a:srgbClr val="6E747A">
                      <a:alpha val="43000"/>
                    </a:srgbClr>
                  </a:outerShdw>
                </a:effectLst>
              </a:rPr>
              <a:t>Bldg No.6A</a:t>
            </a:r>
          </a:p>
        </xdr:txBody>
      </xdr:sp>
      <xdr:sp macro="" textlink="">
        <xdr:nvSpPr>
          <xdr:cNvPr id="65" name="TextBox 64"/>
          <xdr:cNvSpPr txBox="1"/>
        </xdr:nvSpPr>
        <xdr:spPr>
          <a:xfrm>
            <a:off x="5091194" y="56684513"/>
            <a:ext cx="82035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0" cap="none" spc="0">
                <a:ln w="0"/>
                <a:solidFill>
                  <a:srgbClr val="FFFF00"/>
                </a:solidFill>
                <a:effectLst>
                  <a:outerShdw blurRad="38100" dist="25400" dir="5400000" algn="ctr" rotWithShape="0">
                    <a:srgbClr val="6E747A">
                      <a:alpha val="43000"/>
                    </a:srgbClr>
                  </a:outerShdw>
                </a:effectLst>
              </a:rPr>
              <a:t>Bldg No.6B</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Yz4wGwESd6xgFXpF9"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416"/>
  <sheetViews>
    <sheetView tabSelected="1" view="pageBreakPreview" topLeftCell="A224" zoomScaleNormal="100" zoomScaleSheetLayoutView="100" zoomScalePageLayoutView="85" workbookViewId="0">
      <selection activeCell="B256" sqref="B256:H256"/>
    </sheetView>
  </sheetViews>
  <sheetFormatPr defaultColWidth="9.1796875" defaultRowHeight="15.5" x14ac:dyDescent="0.35"/>
  <cols>
    <col min="1" max="1" width="11.453125" style="37" customWidth="1"/>
    <col min="2" max="2" width="12" style="37" customWidth="1"/>
    <col min="3" max="3" width="12.7265625" style="37" customWidth="1"/>
    <col min="4" max="4" width="13.7265625" style="37" customWidth="1"/>
    <col min="5" max="5" width="11.7265625" style="37" customWidth="1"/>
    <col min="6" max="6" width="11.1796875" style="37" customWidth="1"/>
    <col min="7" max="8" width="11" style="37" customWidth="1"/>
    <col min="9" max="9" width="17.453125" style="18" customWidth="1"/>
    <col min="10" max="10" width="11.453125" style="18" customWidth="1"/>
    <col min="11" max="11" width="11.26953125" style="18" bestFit="1" customWidth="1"/>
    <col min="12" max="12" width="13.81640625" style="18" bestFit="1" customWidth="1"/>
    <col min="13" max="13" width="11.81640625" style="18" customWidth="1"/>
    <col min="14" max="14" width="12.54296875" style="18" customWidth="1"/>
    <col min="15" max="15" width="12.1796875" style="18" customWidth="1"/>
    <col min="16" max="16" width="11.7265625" style="18" customWidth="1"/>
    <col min="17" max="18" width="9.1796875" style="18"/>
    <col min="19" max="19" width="10.81640625" style="18" bestFit="1" customWidth="1"/>
    <col min="20" max="20" width="10.7265625" style="18" customWidth="1"/>
    <col min="21" max="247" width="9.1796875" style="18"/>
    <col min="248" max="248" width="8.7265625" style="18" customWidth="1"/>
    <col min="249" max="249" width="9.81640625" style="18" customWidth="1"/>
    <col min="250" max="250" width="14.453125" style="18" customWidth="1"/>
    <col min="251" max="251" width="7.26953125" style="18" customWidth="1"/>
    <col min="252" max="252" width="5.54296875" style="18" customWidth="1"/>
    <col min="253" max="253" width="9" style="18" customWidth="1"/>
    <col min="254" max="255" width="9.81640625" style="18" customWidth="1"/>
    <col min="256" max="256" width="11.1796875" style="18" customWidth="1"/>
    <col min="257" max="257" width="2.81640625" style="18" customWidth="1"/>
    <col min="258" max="258" width="3.54296875" style="18" customWidth="1"/>
    <col min="259" max="503" width="9.1796875" style="18"/>
    <col min="504" max="504" width="8.7265625" style="18" customWidth="1"/>
    <col min="505" max="505" width="9.81640625" style="18" customWidth="1"/>
    <col min="506" max="506" width="14.453125" style="18" customWidth="1"/>
    <col min="507" max="507" width="7.26953125" style="18" customWidth="1"/>
    <col min="508" max="508" width="5.54296875" style="18" customWidth="1"/>
    <col min="509" max="509" width="9" style="18" customWidth="1"/>
    <col min="510" max="511" width="9.81640625" style="18" customWidth="1"/>
    <col min="512" max="512" width="11.1796875" style="18" customWidth="1"/>
    <col min="513" max="513" width="2.81640625" style="18" customWidth="1"/>
    <col min="514" max="514" width="3.54296875" style="18" customWidth="1"/>
    <col min="515" max="759" width="9.1796875" style="18"/>
    <col min="760" max="760" width="8.7265625" style="18" customWidth="1"/>
    <col min="761" max="761" width="9.81640625" style="18" customWidth="1"/>
    <col min="762" max="762" width="14.453125" style="18" customWidth="1"/>
    <col min="763" max="763" width="7.26953125" style="18" customWidth="1"/>
    <col min="764" max="764" width="5.54296875" style="18" customWidth="1"/>
    <col min="765" max="765" width="9" style="18" customWidth="1"/>
    <col min="766" max="767" width="9.81640625" style="18" customWidth="1"/>
    <col min="768" max="768" width="11.1796875" style="18" customWidth="1"/>
    <col min="769" max="769" width="2.81640625" style="18" customWidth="1"/>
    <col min="770" max="770" width="3.54296875" style="18" customWidth="1"/>
    <col min="771" max="1015" width="9.1796875" style="18"/>
    <col min="1016" max="1016" width="8.7265625" style="18" customWidth="1"/>
    <col min="1017" max="1017" width="9.81640625" style="18" customWidth="1"/>
    <col min="1018" max="1018" width="14.453125" style="18" customWidth="1"/>
    <col min="1019" max="1019" width="7.26953125" style="18" customWidth="1"/>
    <col min="1020" max="1020" width="5.54296875" style="18" customWidth="1"/>
    <col min="1021" max="1021" width="9" style="18" customWidth="1"/>
    <col min="1022" max="1023" width="9.81640625" style="18" customWidth="1"/>
    <col min="1024" max="1024" width="11.1796875" style="18" customWidth="1"/>
    <col min="1025" max="1025" width="2.81640625" style="18" customWidth="1"/>
    <col min="1026" max="1026" width="3.54296875" style="18" customWidth="1"/>
    <col min="1027" max="1271" width="9.1796875" style="18"/>
    <col min="1272" max="1272" width="8.7265625" style="18" customWidth="1"/>
    <col min="1273" max="1273" width="9.81640625" style="18" customWidth="1"/>
    <col min="1274" max="1274" width="14.453125" style="18" customWidth="1"/>
    <col min="1275" max="1275" width="7.26953125" style="18" customWidth="1"/>
    <col min="1276" max="1276" width="5.54296875" style="18" customWidth="1"/>
    <col min="1277" max="1277" width="9" style="18" customWidth="1"/>
    <col min="1278" max="1279" width="9.81640625" style="18" customWidth="1"/>
    <col min="1280" max="1280" width="11.1796875" style="18" customWidth="1"/>
    <col min="1281" max="1281" width="2.81640625" style="18" customWidth="1"/>
    <col min="1282" max="1282" width="3.54296875" style="18" customWidth="1"/>
    <col min="1283" max="1527" width="9.1796875" style="18"/>
    <col min="1528" max="1528" width="8.7265625" style="18" customWidth="1"/>
    <col min="1529" max="1529" width="9.81640625" style="18" customWidth="1"/>
    <col min="1530" max="1530" width="14.453125" style="18" customWidth="1"/>
    <col min="1531" max="1531" width="7.26953125" style="18" customWidth="1"/>
    <col min="1532" max="1532" width="5.54296875" style="18" customWidth="1"/>
    <col min="1533" max="1533" width="9" style="18" customWidth="1"/>
    <col min="1534" max="1535" width="9.81640625" style="18" customWidth="1"/>
    <col min="1536" max="1536" width="11.1796875" style="18" customWidth="1"/>
    <col min="1537" max="1537" width="2.81640625" style="18" customWidth="1"/>
    <col min="1538" max="1538" width="3.54296875" style="18" customWidth="1"/>
    <col min="1539" max="1783" width="9.1796875" style="18"/>
    <col min="1784" max="1784" width="8.7265625" style="18" customWidth="1"/>
    <col min="1785" max="1785" width="9.81640625" style="18" customWidth="1"/>
    <col min="1786" max="1786" width="14.453125" style="18" customWidth="1"/>
    <col min="1787" max="1787" width="7.26953125" style="18" customWidth="1"/>
    <col min="1788" max="1788" width="5.54296875" style="18" customWidth="1"/>
    <col min="1789" max="1789" width="9" style="18" customWidth="1"/>
    <col min="1790" max="1791" width="9.81640625" style="18" customWidth="1"/>
    <col min="1792" max="1792" width="11.1796875" style="18" customWidth="1"/>
    <col min="1793" max="1793" width="2.81640625" style="18" customWidth="1"/>
    <col min="1794" max="1794" width="3.54296875" style="18" customWidth="1"/>
    <col min="1795" max="2039" width="9.1796875" style="18"/>
    <col min="2040" max="2040" width="8.7265625" style="18" customWidth="1"/>
    <col min="2041" max="2041" width="9.81640625" style="18" customWidth="1"/>
    <col min="2042" max="2042" width="14.453125" style="18" customWidth="1"/>
    <col min="2043" max="2043" width="7.26953125" style="18" customWidth="1"/>
    <col min="2044" max="2044" width="5.54296875" style="18" customWidth="1"/>
    <col min="2045" max="2045" width="9" style="18" customWidth="1"/>
    <col min="2046" max="2047" width="9.81640625" style="18" customWidth="1"/>
    <col min="2048" max="2048" width="11.1796875" style="18" customWidth="1"/>
    <col min="2049" max="2049" width="2.81640625" style="18" customWidth="1"/>
    <col min="2050" max="2050" width="3.54296875" style="18" customWidth="1"/>
    <col min="2051" max="2295" width="9.1796875" style="18"/>
    <col min="2296" max="2296" width="8.7265625" style="18" customWidth="1"/>
    <col min="2297" max="2297" width="9.81640625" style="18" customWidth="1"/>
    <col min="2298" max="2298" width="14.453125" style="18" customWidth="1"/>
    <col min="2299" max="2299" width="7.26953125" style="18" customWidth="1"/>
    <col min="2300" max="2300" width="5.54296875" style="18" customWidth="1"/>
    <col min="2301" max="2301" width="9" style="18" customWidth="1"/>
    <col min="2302" max="2303" width="9.81640625" style="18" customWidth="1"/>
    <col min="2304" max="2304" width="11.1796875" style="18" customWidth="1"/>
    <col min="2305" max="2305" width="2.81640625" style="18" customWidth="1"/>
    <col min="2306" max="2306" width="3.54296875" style="18" customWidth="1"/>
    <col min="2307" max="2551" width="9.1796875" style="18"/>
    <col min="2552" max="2552" width="8.7265625" style="18" customWidth="1"/>
    <col min="2553" max="2553" width="9.81640625" style="18" customWidth="1"/>
    <col min="2554" max="2554" width="14.453125" style="18" customWidth="1"/>
    <col min="2555" max="2555" width="7.26953125" style="18" customWidth="1"/>
    <col min="2556" max="2556" width="5.54296875" style="18" customWidth="1"/>
    <col min="2557" max="2557" width="9" style="18" customWidth="1"/>
    <col min="2558" max="2559" width="9.81640625" style="18" customWidth="1"/>
    <col min="2560" max="2560" width="11.1796875" style="18" customWidth="1"/>
    <col min="2561" max="2561" width="2.81640625" style="18" customWidth="1"/>
    <col min="2562" max="2562" width="3.54296875" style="18" customWidth="1"/>
    <col min="2563" max="2807" width="9.1796875" style="18"/>
    <col min="2808" max="2808" width="8.7265625" style="18" customWidth="1"/>
    <col min="2809" max="2809" width="9.81640625" style="18" customWidth="1"/>
    <col min="2810" max="2810" width="14.453125" style="18" customWidth="1"/>
    <col min="2811" max="2811" width="7.26953125" style="18" customWidth="1"/>
    <col min="2812" max="2812" width="5.54296875" style="18" customWidth="1"/>
    <col min="2813" max="2813" width="9" style="18" customWidth="1"/>
    <col min="2814" max="2815" width="9.81640625" style="18" customWidth="1"/>
    <col min="2816" max="2816" width="11.1796875" style="18" customWidth="1"/>
    <col min="2817" max="2817" width="2.81640625" style="18" customWidth="1"/>
    <col min="2818" max="2818" width="3.54296875" style="18" customWidth="1"/>
    <col min="2819" max="3063" width="9.1796875" style="18"/>
    <col min="3064" max="3064" width="8.7265625" style="18" customWidth="1"/>
    <col min="3065" max="3065" width="9.81640625" style="18" customWidth="1"/>
    <col min="3066" max="3066" width="14.453125" style="18" customWidth="1"/>
    <col min="3067" max="3067" width="7.26953125" style="18" customWidth="1"/>
    <col min="3068" max="3068" width="5.54296875" style="18" customWidth="1"/>
    <col min="3069" max="3069" width="9" style="18" customWidth="1"/>
    <col min="3070" max="3071" width="9.81640625" style="18" customWidth="1"/>
    <col min="3072" max="3072" width="11.1796875" style="18" customWidth="1"/>
    <col min="3073" max="3073" width="2.81640625" style="18" customWidth="1"/>
    <col min="3074" max="3074" width="3.54296875" style="18" customWidth="1"/>
    <col min="3075" max="3319" width="9.1796875" style="18"/>
    <col min="3320" max="3320" width="8.7265625" style="18" customWidth="1"/>
    <col min="3321" max="3321" width="9.81640625" style="18" customWidth="1"/>
    <col min="3322" max="3322" width="14.453125" style="18" customWidth="1"/>
    <col min="3323" max="3323" width="7.26953125" style="18" customWidth="1"/>
    <col min="3324" max="3324" width="5.54296875" style="18" customWidth="1"/>
    <col min="3325" max="3325" width="9" style="18" customWidth="1"/>
    <col min="3326" max="3327" width="9.81640625" style="18" customWidth="1"/>
    <col min="3328" max="3328" width="11.1796875" style="18" customWidth="1"/>
    <col min="3329" max="3329" width="2.81640625" style="18" customWidth="1"/>
    <col min="3330" max="3330" width="3.54296875" style="18" customWidth="1"/>
    <col min="3331" max="3575" width="9.1796875" style="18"/>
    <col min="3576" max="3576" width="8.7265625" style="18" customWidth="1"/>
    <col min="3577" max="3577" width="9.81640625" style="18" customWidth="1"/>
    <col min="3578" max="3578" width="14.453125" style="18" customWidth="1"/>
    <col min="3579" max="3579" width="7.26953125" style="18" customWidth="1"/>
    <col min="3580" max="3580" width="5.54296875" style="18" customWidth="1"/>
    <col min="3581" max="3581" width="9" style="18" customWidth="1"/>
    <col min="3582" max="3583" width="9.81640625" style="18" customWidth="1"/>
    <col min="3584" max="3584" width="11.1796875" style="18" customWidth="1"/>
    <col min="3585" max="3585" width="2.81640625" style="18" customWidth="1"/>
    <col min="3586" max="3586" width="3.54296875" style="18" customWidth="1"/>
    <col min="3587" max="3831" width="9.1796875" style="18"/>
    <col min="3832" max="3832" width="8.7265625" style="18" customWidth="1"/>
    <col min="3833" max="3833" width="9.81640625" style="18" customWidth="1"/>
    <col min="3834" max="3834" width="14.453125" style="18" customWidth="1"/>
    <col min="3835" max="3835" width="7.26953125" style="18" customWidth="1"/>
    <col min="3836" max="3836" width="5.54296875" style="18" customWidth="1"/>
    <col min="3837" max="3837" width="9" style="18" customWidth="1"/>
    <col min="3838" max="3839" width="9.81640625" style="18" customWidth="1"/>
    <col min="3840" max="3840" width="11.1796875" style="18" customWidth="1"/>
    <col min="3841" max="3841" width="2.81640625" style="18" customWidth="1"/>
    <col min="3842" max="3842" width="3.54296875" style="18" customWidth="1"/>
    <col min="3843" max="4087" width="9.1796875" style="18"/>
    <col min="4088" max="4088" width="8.7265625" style="18" customWidth="1"/>
    <col min="4089" max="4089" width="9.81640625" style="18" customWidth="1"/>
    <col min="4090" max="4090" width="14.453125" style="18" customWidth="1"/>
    <col min="4091" max="4091" width="7.26953125" style="18" customWidth="1"/>
    <col min="4092" max="4092" width="5.54296875" style="18" customWidth="1"/>
    <col min="4093" max="4093" width="9" style="18" customWidth="1"/>
    <col min="4094" max="4095" width="9.81640625" style="18" customWidth="1"/>
    <col min="4096" max="4096" width="11.1796875" style="18" customWidth="1"/>
    <col min="4097" max="4097" width="2.81640625" style="18" customWidth="1"/>
    <col min="4098" max="4098" width="3.54296875" style="18" customWidth="1"/>
    <col min="4099" max="4343" width="9.1796875" style="18"/>
    <col min="4344" max="4344" width="8.7265625" style="18" customWidth="1"/>
    <col min="4345" max="4345" width="9.81640625" style="18" customWidth="1"/>
    <col min="4346" max="4346" width="14.453125" style="18" customWidth="1"/>
    <col min="4347" max="4347" width="7.26953125" style="18" customWidth="1"/>
    <col min="4348" max="4348" width="5.54296875" style="18" customWidth="1"/>
    <col min="4349" max="4349" width="9" style="18" customWidth="1"/>
    <col min="4350" max="4351" width="9.81640625" style="18" customWidth="1"/>
    <col min="4352" max="4352" width="11.1796875" style="18" customWidth="1"/>
    <col min="4353" max="4353" width="2.81640625" style="18" customWidth="1"/>
    <col min="4354" max="4354" width="3.54296875" style="18" customWidth="1"/>
    <col min="4355" max="4599" width="9.1796875" style="18"/>
    <col min="4600" max="4600" width="8.7265625" style="18" customWidth="1"/>
    <col min="4601" max="4601" width="9.81640625" style="18" customWidth="1"/>
    <col min="4602" max="4602" width="14.453125" style="18" customWidth="1"/>
    <col min="4603" max="4603" width="7.26953125" style="18" customWidth="1"/>
    <col min="4604" max="4604" width="5.54296875" style="18" customWidth="1"/>
    <col min="4605" max="4605" width="9" style="18" customWidth="1"/>
    <col min="4606" max="4607" width="9.81640625" style="18" customWidth="1"/>
    <col min="4608" max="4608" width="11.1796875" style="18" customWidth="1"/>
    <col min="4609" max="4609" width="2.81640625" style="18" customWidth="1"/>
    <col min="4610" max="4610" width="3.54296875" style="18" customWidth="1"/>
    <col min="4611" max="4855" width="9.1796875" style="18"/>
    <col min="4856" max="4856" width="8.7265625" style="18" customWidth="1"/>
    <col min="4857" max="4857" width="9.81640625" style="18" customWidth="1"/>
    <col min="4858" max="4858" width="14.453125" style="18" customWidth="1"/>
    <col min="4859" max="4859" width="7.26953125" style="18" customWidth="1"/>
    <col min="4860" max="4860" width="5.54296875" style="18" customWidth="1"/>
    <col min="4861" max="4861" width="9" style="18" customWidth="1"/>
    <col min="4862" max="4863" width="9.81640625" style="18" customWidth="1"/>
    <col min="4864" max="4864" width="11.1796875" style="18" customWidth="1"/>
    <col min="4865" max="4865" width="2.81640625" style="18" customWidth="1"/>
    <col min="4866" max="4866" width="3.54296875" style="18" customWidth="1"/>
    <col min="4867" max="5111" width="9.1796875" style="18"/>
    <col min="5112" max="5112" width="8.7265625" style="18" customWidth="1"/>
    <col min="5113" max="5113" width="9.81640625" style="18" customWidth="1"/>
    <col min="5114" max="5114" width="14.453125" style="18" customWidth="1"/>
    <col min="5115" max="5115" width="7.26953125" style="18" customWidth="1"/>
    <col min="5116" max="5116" width="5.54296875" style="18" customWidth="1"/>
    <col min="5117" max="5117" width="9" style="18" customWidth="1"/>
    <col min="5118" max="5119" width="9.81640625" style="18" customWidth="1"/>
    <col min="5120" max="5120" width="11.1796875" style="18" customWidth="1"/>
    <col min="5121" max="5121" width="2.81640625" style="18" customWidth="1"/>
    <col min="5122" max="5122" width="3.54296875" style="18" customWidth="1"/>
    <col min="5123" max="5367" width="9.1796875" style="18"/>
    <col min="5368" max="5368" width="8.7265625" style="18" customWidth="1"/>
    <col min="5369" max="5369" width="9.81640625" style="18" customWidth="1"/>
    <col min="5370" max="5370" width="14.453125" style="18" customWidth="1"/>
    <col min="5371" max="5371" width="7.26953125" style="18" customWidth="1"/>
    <col min="5372" max="5372" width="5.54296875" style="18" customWidth="1"/>
    <col min="5373" max="5373" width="9" style="18" customWidth="1"/>
    <col min="5374" max="5375" width="9.81640625" style="18" customWidth="1"/>
    <col min="5376" max="5376" width="11.1796875" style="18" customWidth="1"/>
    <col min="5377" max="5377" width="2.81640625" style="18" customWidth="1"/>
    <col min="5378" max="5378" width="3.54296875" style="18" customWidth="1"/>
    <col min="5379" max="5623" width="9.1796875" style="18"/>
    <col min="5624" max="5624" width="8.7265625" style="18" customWidth="1"/>
    <col min="5625" max="5625" width="9.81640625" style="18" customWidth="1"/>
    <col min="5626" max="5626" width="14.453125" style="18" customWidth="1"/>
    <col min="5627" max="5627" width="7.26953125" style="18" customWidth="1"/>
    <col min="5628" max="5628" width="5.54296875" style="18" customWidth="1"/>
    <col min="5629" max="5629" width="9" style="18" customWidth="1"/>
    <col min="5630" max="5631" width="9.81640625" style="18" customWidth="1"/>
    <col min="5632" max="5632" width="11.1796875" style="18" customWidth="1"/>
    <col min="5633" max="5633" width="2.81640625" style="18" customWidth="1"/>
    <col min="5634" max="5634" width="3.54296875" style="18" customWidth="1"/>
    <col min="5635" max="5879" width="9.1796875" style="18"/>
    <col min="5880" max="5880" width="8.7265625" style="18" customWidth="1"/>
    <col min="5881" max="5881" width="9.81640625" style="18" customWidth="1"/>
    <col min="5882" max="5882" width="14.453125" style="18" customWidth="1"/>
    <col min="5883" max="5883" width="7.26953125" style="18" customWidth="1"/>
    <col min="5884" max="5884" width="5.54296875" style="18" customWidth="1"/>
    <col min="5885" max="5885" width="9" style="18" customWidth="1"/>
    <col min="5886" max="5887" width="9.81640625" style="18" customWidth="1"/>
    <col min="5888" max="5888" width="11.1796875" style="18" customWidth="1"/>
    <col min="5889" max="5889" width="2.81640625" style="18" customWidth="1"/>
    <col min="5890" max="5890" width="3.54296875" style="18" customWidth="1"/>
    <col min="5891" max="6135" width="9.1796875" style="18"/>
    <col min="6136" max="6136" width="8.7265625" style="18" customWidth="1"/>
    <col min="6137" max="6137" width="9.81640625" style="18" customWidth="1"/>
    <col min="6138" max="6138" width="14.453125" style="18" customWidth="1"/>
    <col min="6139" max="6139" width="7.26953125" style="18" customWidth="1"/>
    <col min="6140" max="6140" width="5.54296875" style="18" customWidth="1"/>
    <col min="6141" max="6141" width="9" style="18" customWidth="1"/>
    <col min="6142" max="6143" width="9.81640625" style="18" customWidth="1"/>
    <col min="6144" max="6144" width="11.1796875" style="18" customWidth="1"/>
    <col min="6145" max="6145" width="2.81640625" style="18" customWidth="1"/>
    <col min="6146" max="6146" width="3.54296875" style="18" customWidth="1"/>
    <col min="6147" max="6391" width="9.1796875" style="18"/>
    <col min="6392" max="6392" width="8.7265625" style="18" customWidth="1"/>
    <col min="6393" max="6393" width="9.81640625" style="18" customWidth="1"/>
    <col min="6394" max="6394" width="14.453125" style="18" customWidth="1"/>
    <col min="6395" max="6395" width="7.26953125" style="18" customWidth="1"/>
    <col min="6396" max="6396" width="5.54296875" style="18" customWidth="1"/>
    <col min="6397" max="6397" width="9" style="18" customWidth="1"/>
    <col min="6398" max="6399" width="9.81640625" style="18" customWidth="1"/>
    <col min="6400" max="6400" width="11.1796875" style="18" customWidth="1"/>
    <col min="6401" max="6401" width="2.81640625" style="18" customWidth="1"/>
    <col min="6402" max="6402" width="3.54296875" style="18" customWidth="1"/>
    <col min="6403" max="6647" width="9.1796875" style="18"/>
    <col min="6648" max="6648" width="8.7265625" style="18" customWidth="1"/>
    <col min="6649" max="6649" width="9.81640625" style="18" customWidth="1"/>
    <col min="6650" max="6650" width="14.453125" style="18" customWidth="1"/>
    <col min="6651" max="6651" width="7.26953125" style="18" customWidth="1"/>
    <col min="6652" max="6652" width="5.54296875" style="18" customWidth="1"/>
    <col min="6653" max="6653" width="9" style="18" customWidth="1"/>
    <col min="6654" max="6655" width="9.81640625" style="18" customWidth="1"/>
    <col min="6656" max="6656" width="11.1796875" style="18" customWidth="1"/>
    <col min="6657" max="6657" width="2.81640625" style="18" customWidth="1"/>
    <col min="6658" max="6658" width="3.54296875" style="18" customWidth="1"/>
    <col min="6659" max="6903" width="9.1796875" style="18"/>
    <col min="6904" max="6904" width="8.7265625" style="18" customWidth="1"/>
    <col min="6905" max="6905" width="9.81640625" style="18" customWidth="1"/>
    <col min="6906" max="6906" width="14.453125" style="18" customWidth="1"/>
    <col min="6907" max="6907" width="7.26953125" style="18" customWidth="1"/>
    <col min="6908" max="6908" width="5.54296875" style="18" customWidth="1"/>
    <col min="6909" max="6909" width="9" style="18" customWidth="1"/>
    <col min="6910" max="6911" width="9.81640625" style="18" customWidth="1"/>
    <col min="6912" max="6912" width="11.1796875" style="18" customWidth="1"/>
    <col min="6913" max="6913" width="2.81640625" style="18" customWidth="1"/>
    <col min="6914" max="6914" width="3.54296875" style="18" customWidth="1"/>
    <col min="6915" max="7159" width="9.1796875" style="18"/>
    <col min="7160" max="7160" width="8.7265625" style="18" customWidth="1"/>
    <col min="7161" max="7161" width="9.81640625" style="18" customWidth="1"/>
    <col min="7162" max="7162" width="14.453125" style="18" customWidth="1"/>
    <col min="7163" max="7163" width="7.26953125" style="18" customWidth="1"/>
    <col min="7164" max="7164" width="5.54296875" style="18" customWidth="1"/>
    <col min="7165" max="7165" width="9" style="18" customWidth="1"/>
    <col min="7166" max="7167" width="9.81640625" style="18" customWidth="1"/>
    <col min="7168" max="7168" width="11.1796875" style="18" customWidth="1"/>
    <col min="7169" max="7169" width="2.81640625" style="18" customWidth="1"/>
    <col min="7170" max="7170" width="3.54296875" style="18" customWidth="1"/>
    <col min="7171" max="7415" width="9.1796875" style="18"/>
    <col min="7416" max="7416" width="8.7265625" style="18" customWidth="1"/>
    <col min="7417" max="7417" width="9.81640625" style="18" customWidth="1"/>
    <col min="7418" max="7418" width="14.453125" style="18" customWidth="1"/>
    <col min="7419" max="7419" width="7.26953125" style="18" customWidth="1"/>
    <col min="7420" max="7420" width="5.54296875" style="18" customWidth="1"/>
    <col min="7421" max="7421" width="9" style="18" customWidth="1"/>
    <col min="7422" max="7423" width="9.81640625" style="18" customWidth="1"/>
    <col min="7424" max="7424" width="11.1796875" style="18" customWidth="1"/>
    <col min="7425" max="7425" width="2.81640625" style="18" customWidth="1"/>
    <col min="7426" max="7426" width="3.54296875" style="18" customWidth="1"/>
    <col min="7427" max="7671" width="9.1796875" style="18"/>
    <col min="7672" max="7672" width="8.7265625" style="18" customWidth="1"/>
    <col min="7673" max="7673" width="9.81640625" style="18" customWidth="1"/>
    <col min="7674" max="7674" width="14.453125" style="18" customWidth="1"/>
    <col min="7675" max="7675" width="7.26953125" style="18" customWidth="1"/>
    <col min="7676" max="7676" width="5.54296875" style="18" customWidth="1"/>
    <col min="7677" max="7677" width="9" style="18" customWidth="1"/>
    <col min="7678" max="7679" width="9.81640625" style="18" customWidth="1"/>
    <col min="7680" max="7680" width="11.1796875" style="18" customWidth="1"/>
    <col min="7681" max="7681" width="2.81640625" style="18" customWidth="1"/>
    <col min="7682" max="7682" width="3.54296875" style="18" customWidth="1"/>
    <col min="7683" max="7927" width="9.1796875" style="18"/>
    <col min="7928" max="7928" width="8.7265625" style="18" customWidth="1"/>
    <col min="7929" max="7929" width="9.81640625" style="18" customWidth="1"/>
    <col min="7930" max="7930" width="14.453125" style="18" customWidth="1"/>
    <col min="7931" max="7931" width="7.26953125" style="18" customWidth="1"/>
    <col min="7932" max="7932" width="5.54296875" style="18" customWidth="1"/>
    <col min="7933" max="7933" width="9" style="18" customWidth="1"/>
    <col min="7934" max="7935" width="9.81640625" style="18" customWidth="1"/>
    <col min="7936" max="7936" width="11.1796875" style="18" customWidth="1"/>
    <col min="7937" max="7937" width="2.81640625" style="18" customWidth="1"/>
    <col min="7938" max="7938" width="3.54296875" style="18" customWidth="1"/>
    <col min="7939" max="8183" width="9.1796875" style="18"/>
    <col min="8184" max="8184" width="8.7265625" style="18" customWidth="1"/>
    <col min="8185" max="8185" width="9.81640625" style="18" customWidth="1"/>
    <col min="8186" max="8186" width="14.453125" style="18" customWidth="1"/>
    <col min="8187" max="8187" width="7.26953125" style="18" customWidth="1"/>
    <col min="8188" max="8188" width="5.54296875" style="18" customWidth="1"/>
    <col min="8189" max="8189" width="9" style="18" customWidth="1"/>
    <col min="8190" max="8191" width="9.81640625" style="18" customWidth="1"/>
    <col min="8192" max="8192" width="11.1796875" style="18" customWidth="1"/>
    <col min="8193" max="8193" width="2.81640625" style="18" customWidth="1"/>
    <col min="8194" max="8194" width="3.54296875" style="18" customWidth="1"/>
    <col min="8195" max="8439" width="9.1796875" style="18"/>
    <col min="8440" max="8440" width="8.7265625" style="18" customWidth="1"/>
    <col min="8441" max="8441" width="9.81640625" style="18" customWidth="1"/>
    <col min="8442" max="8442" width="14.453125" style="18" customWidth="1"/>
    <col min="8443" max="8443" width="7.26953125" style="18" customWidth="1"/>
    <col min="8444" max="8444" width="5.54296875" style="18" customWidth="1"/>
    <col min="8445" max="8445" width="9" style="18" customWidth="1"/>
    <col min="8446" max="8447" width="9.81640625" style="18" customWidth="1"/>
    <col min="8448" max="8448" width="11.1796875" style="18" customWidth="1"/>
    <col min="8449" max="8449" width="2.81640625" style="18" customWidth="1"/>
    <col min="8450" max="8450" width="3.54296875" style="18" customWidth="1"/>
    <col min="8451" max="8695" width="9.1796875" style="18"/>
    <col min="8696" max="8696" width="8.7265625" style="18" customWidth="1"/>
    <col min="8697" max="8697" width="9.81640625" style="18" customWidth="1"/>
    <col min="8698" max="8698" width="14.453125" style="18" customWidth="1"/>
    <col min="8699" max="8699" width="7.26953125" style="18" customWidth="1"/>
    <col min="8700" max="8700" width="5.54296875" style="18" customWidth="1"/>
    <col min="8701" max="8701" width="9" style="18" customWidth="1"/>
    <col min="8702" max="8703" width="9.81640625" style="18" customWidth="1"/>
    <col min="8704" max="8704" width="11.1796875" style="18" customWidth="1"/>
    <col min="8705" max="8705" width="2.81640625" style="18" customWidth="1"/>
    <col min="8706" max="8706" width="3.54296875" style="18" customWidth="1"/>
    <col min="8707" max="8951" width="9.1796875" style="18"/>
    <col min="8952" max="8952" width="8.7265625" style="18" customWidth="1"/>
    <col min="8953" max="8953" width="9.81640625" style="18" customWidth="1"/>
    <col min="8954" max="8954" width="14.453125" style="18" customWidth="1"/>
    <col min="8955" max="8955" width="7.26953125" style="18" customWidth="1"/>
    <col min="8956" max="8956" width="5.54296875" style="18" customWidth="1"/>
    <col min="8957" max="8957" width="9" style="18" customWidth="1"/>
    <col min="8958" max="8959" width="9.81640625" style="18" customWidth="1"/>
    <col min="8960" max="8960" width="11.1796875" style="18" customWidth="1"/>
    <col min="8961" max="8961" width="2.81640625" style="18" customWidth="1"/>
    <col min="8962" max="8962" width="3.54296875" style="18" customWidth="1"/>
    <col min="8963" max="9207" width="9.1796875" style="18"/>
    <col min="9208" max="9208" width="8.7265625" style="18" customWidth="1"/>
    <col min="9209" max="9209" width="9.81640625" style="18" customWidth="1"/>
    <col min="9210" max="9210" width="14.453125" style="18" customWidth="1"/>
    <col min="9211" max="9211" width="7.26953125" style="18" customWidth="1"/>
    <col min="9212" max="9212" width="5.54296875" style="18" customWidth="1"/>
    <col min="9213" max="9213" width="9" style="18" customWidth="1"/>
    <col min="9214" max="9215" width="9.81640625" style="18" customWidth="1"/>
    <col min="9216" max="9216" width="11.1796875" style="18" customWidth="1"/>
    <col min="9217" max="9217" width="2.81640625" style="18" customWidth="1"/>
    <col min="9218" max="9218" width="3.54296875" style="18" customWidth="1"/>
    <col min="9219" max="9463" width="9.1796875" style="18"/>
    <col min="9464" max="9464" width="8.7265625" style="18" customWidth="1"/>
    <col min="9465" max="9465" width="9.81640625" style="18" customWidth="1"/>
    <col min="9466" max="9466" width="14.453125" style="18" customWidth="1"/>
    <col min="9467" max="9467" width="7.26953125" style="18" customWidth="1"/>
    <col min="9468" max="9468" width="5.54296875" style="18" customWidth="1"/>
    <col min="9469" max="9469" width="9" style="18" customWidth="1"/>
    <col min="9470" max="9471" width="9.81640625" style="18" customWidth="1"/>
    <col min="9472" max="9472" width="11.1796875" style="18" customWidth="1"/>
    <col min="9473" max="9473" width="2.81640625" style="18" customWidth="1"/>
    <col min="9474" max="9474" width="3.54296875" style="18" customWidth="1"/>
    <col min="9475" max="9719" width="9.1796875" style="18"/>
    <col min="9720" max="9720" width="8.7265625" style="18" customWidth="1"/>
    <col min="9721" max="9721" width="9.81640625" style="18" customWidth="1"/>
    <col min="9722" max="9722" width="14.453125" style="18" customWidth="1"/>
    <col min="9723" max="9723" width="7.26953125" style="18" customWidth="1"/>
    <col min="9724" max="9724" width="5.54296875" style="18" customWidth="1"/>
    <col min="9725" max="9725" width="9" style="18" customWidth="1"/>
    <col min="9726" max="9727" width="9.81640625" style="18" customWidth="1"/>
    <col min="9728" max="9728" width="11.1796875" style="18" customWidth="1"/>
    <col min="9729" max="9729" width="2.81640625" style="18" customWidth="1"/>
    <col min="9730" max="9730" width="3.54296875" style="18" customWidth="1"/>
    <col min="9731" max="9975" width="9.1796875" style="18"/>
    <col min="9976" max="9976" width="8.7265625" style="18" customWidth="1"/>
    <col min="9977" max="9977" width="9.81640625" style="18" customWidth="1"/>
    <col min="9978" max="9978" width="14.453125" style="18" customWidth="1"/>
    <col min="9979" max="9979" width="7.26953125" style="18" customWidth="1"/>
    <col min="9980" max="9980" width="5.54296875" style="18" customWidth="1"/>
    <col min="9981" max="9981" width="9" style="18" customWidth="1"/>
    <col min="9982" max="9983" width="9.81640625" style="18" customWidth="1"/>
    <col min="9984" max="9984" width="11.1796875" style="18" customWidth="1"/>
    <col min="9985" max="9985" width="2.81640625" style="18" customWidth="1"/>
    <col min="9986" max="9986" width="3.54296875" style="18" customWidth="1"/>
    <col min="9987" max="10231" width="9.1796875" style="18"/>
    <col min="10232" max="10232" width="8.7265625" style="18" customWidth="1"/>
    <col min="10233" max="10233" width="9.81640625" style="18" customWidth="1"/>
    <col min="10234" max="10234" width="14.453125" style="18" customWidth="1"/>
    <col min="10235" max="10235" width="7.26953125" style="18" customWidth="1"/>
    <col min="10236" max="10236" width="5.54296875" style="18" customWidth="1"/>
    <col min="10237" max="10237" width="9" style="18" customWidth="1"/>
    <col min="10238" max="10239" width="9.81640625" style="18" customWidth="1"/>
    <col min="10240" max="10240" width="11.1796875" style="18" customWidth="1"/>
    <col min="10241" max="10241" width="2.81640625" style="18" customWidth="1"/>
    <col min="10242" max="10242" width="3.54296875" style="18" customWidth="1"/>
    <col min="10243" max="10487" width="9.1796875" style="18"/>
    <col min="10488" max="10488" width="8.7265625" style="18" customWidth="1"/>
    <col min="10489" max="10489" width="9.81640625" style="18" customWidth="1"/>
    <col min="10490" max="10490" width="14.453125" style="18" customWidth="1"/>
    <col min="10491" max="10491" width="7.26953125" style="18" customWidth="1"/>
    <col min="10492" max="10492" width="5.54296875" style="18" customWidth="1"/>
    <col min="10493" max="10493" width="9" style="18" customWidth="1"/>
    <col min="10494" max="10495" width="9.81640625" style="18" customWidth="1"/>
    <col min="10496" max="10496" width="11.1796875" style="18" customWidth="1"/>
    <col min="10497" max="10497" width="2.81640625" style="18" customWidth="1"/>
    <col min="10498" max="10498" width="3.54296875" style="18" customWidth="1"/>
    <col min="10499" max="10743" width="9.1796875" style="18"/>
    <col min="10744" max="10744" width="8.7265625" style="18" customWidth="1"/>
    <col min="10745" max="10745" width="9.81640625" style="18" customWidth="1"/>
    <col min="10746" max="10746" width="14.453125" style="18" customWidth="1"/>
    <col min="10747" max="10747" width="7.26953125" style="18" customWidth="1"/>
    <col min="10748" max="10748" width="5.54296875" style="18" customWidth="1"/>
    <col min="10749" max="10749" width="9" style="18" customWidth="1"/>
    <col min="10750" max="10751" width="9.81640625" style="18" customWidth="1"/>
    <col min="10752" max="10752" width="11.1796875" style="18" customWidth="1"/>
    <col min="10753" max="10753" width="2.81640625" style="18" customWidth="1"/>
    <col min="10754" max="10754" width="3.54296875" style="18" customWidth="1"/>
    <col min="10755" max="10999" width="9.1796875" style="18"/>
    <col min="11000" max="11000" width="8.7265625" style="18" customWidth="1"/>
    <col min="11001" max="11001" width="9.81640625" style="18" customWidth="1"/>
    <col min="11002" max="11002" width="14.453125" style="18" customWidth="1"/>
    <col min="11003" max="11003" width="7.26953125" style="18" customWidth="1"/>
    <col min="11004" max="11004" width="5.54296875" style="18" customWidth="1"/>
    <col min="11005" max="11005" width="9" style="18" customWidth="1"/>
    <col min="11006" max="11007" width="9.81640625" style="18" customWidth="1"/>
    <col min="11008" max="11008" width="11.1796875" style="18" customWidth="1"/>
    <col min="11009" max="11009" width="2.81640625" style="18" customWidth="1"/>
    <col min="11010" max="11010" width="3.54296875" style="18" customWidth="1"/>
    <col min="11011" max="11255" width="9.1796875" style="18"/>
    <col min="11256" max="11256" width="8.7265625" style="18" customWidth="1"/>
    <col min="11257" max="11257" width="9.81640625" style="18" customWidth="1"/>
    <col min="11258" max="11258" width="14.453125" style="18" customWidth="1"/>
    <col min="11259" max="11259" width="7.26953125" style="18" customWidth="1"/>
    <col min="11260" max="11260" width="5.54296875" style="18" customWidth="1"/>
    <col min="11261" max="11261" width="9" style="18" customWidth="1"/>
    <col min="11262" max="11263" width="9.81640625" style="18" customWidth="1"/>
    <col min="11264" max="11264" width="11.1796875" style="18" customWidth="1"/>
    <col min="11265" max="11265" width="2.81640625" style="18" customWidth="1"/>
    <col min="11266" max="11266" width="3.54296875" style="18" customWidth="1"/>
    <col min="11267" max="11511" width="9.1796875" style="18"/>
    <col min="11512" max="11512" width="8.7265625" style="18" customWidth="1"/>
    <col min="11513" max="11513" width="9.81640625" style="18" customWidth="1"/>
    <col min="11514" max="11514" width="14.453125" style="18" customWidth="1"/>
    <col min="11515" max="11515" width="7.26953125" style="18" customWidth="1"/>
    <col min="11516" max="11516" width="5.54296875" style="18" customWidth="1"/>
    <col min="11517" max="11517" width="9" style="18" customWidth="1"/>
    <col min="11518" max="11519" width="9.81640625" style="18" customWidth="1"/>
    <col min="11520" max="11520" width="11.1796875" style="18" customWidth="1"/>
    <col min="11521" max="11521" width="2.81640625" style="18" customWidth="1"/>
    <col min="11522" max="11522" width="3.54296875" style="18" customWidth="1"/>
    <col min="11523" max="11767" width="9.1796875" style="18"/>
    <col min="11768" max="11768" width="8.7265625" style="18" customWidth="1"/>
    <col min="11769" max="11769" width="9.81640625" style="18" customWidth="1"/>
    <col min="11770" max="11770" width="14.453125" style="18" customWidth="1"/>
    <col min="11771" max="11771" width="7.26953125" style="18" customWidth="1"/>
    <col min="11772" max="11772" width="5.54296875" style="18" customWidth="1"/>
    <col min="11773" max="11773" width="9" style="18" customWidth="1"/>
    <col min="11774" max="11775" width="9.81640625" style="18" customWidth="1"/>
    <col min="11776" max="11776" width="11.1796875" style="18" customWidth="1"/>
    <col min="11777" max="11777" width="2.81640625" style="18" customWidth="1"/>
    <col min="11778" max="11778" width="3.54296875" style="18" customWidth="1"/>
    <col min="11779" max="12023" width="9.1796875" style="18"/>
    <col min="12024" max="12024" width="8.7265625" style="18" customWidth="1"/>
    <col min="12025" max="12025" width="9.81640625" style="18" customWidth="1"/>
    <col min="12026" max="12026" width="14.453125" style="18" customWidth="1"/>
    <col min="12027" max="12027" width="7.26953125" style="18" customWidth="1"/>
    <col min="12028" max="12028" width="5.54296875" style="18" customWidth="1"/>
    <col min="12029" max="12029" width="9" style="18" customWidth="1"/>
    <col min="12030" max="12031" width="9.81640625" style="18" customWidth="1"/>
    <col min="12032" max="12032" width="11.1796875" style="18" customWidth="1"/>
    <col min="12033" max="12033" width="2.81640625" style="18" customWidth="1"/>
    <col min="12034" max="12034" width="3.54296875" style="18" customWidth="1"/>
    <col min="12035" max="12279" width="9.1796875" style="18"/>
    <col min="12280" max="12280" width="8.7265625" style="18" customWidth="1"/>
    <col min="12281" max="12281" width="9.81640625" style="18" customWidth="1"/>
    <col min="12282" max="12282" width="14.453125" style="18" customWidth="1"/>
    <col min="12283" max="12283" width="7.26953125" style="18" customWidth="1"/>
    <col min="12284" max="12284" width="5.54296875" style="18" customWidth="1"/>
    <col min="12285" max="12285" width="9" style="18" customWidth="1"/>
    <col min="12286" max="12287" width="9.81640625" style="18" customWidth="1"/>
    <col min="12288" max="12288" width="11.1796875" style="18" customWidth="1"/>
    <col min="12289" max="12289" width="2.81640625" style="18" customWidth="1"/>
    <col min="12290" max="12290" width="3.54296875" style="18" customWidth="1"/>
    <col min="12291" max="12535" width="9.1796875" style="18"/>
    <col min="12536" max="12536" width="8.7265625" style="18" customWidth="1"/>
    <col min="12537" max="12537" width="9.81640625" style="18" customWidth="1"/>
    <col min="12538" max="12538" width="14.453125" style="18" customWidth="1"/>
    <col min="12539" max="12539" width="7.26953125" style="18" customWidth="1"/>
    <col min="12540" max="12540" width="5.54296875" style="18" customWidth="1"/>
    <col min="12541" max="12541" width="9" style="18" customWidth="1"/>
    <col min="12542" max="12543" width="9.81640625" style="18" customWidth="1"/>
    <col min="12544" max="12544" width="11.1796875" style="18" customWidth="1"/>
    <col min="12545" max="12545" width="2.81640625" style="18" customWidth="1"/>
    <col min="12546" max="12546" width="3.54296875" style="18" customWidth="1"/>
    <col min="12547" max="12791" width="9.1796875" style="18"/>
    <col min="12792" max="12792" width="8.7265625" style="18" customWidth="1"/>
    <col min="12793" max="12793" width="9.81640625" style="18" customWidth="1"/>
    <col min="12794" max="12794" width="14.453125" style="18" customWidth="1"/>
    <col min="12795" max="12795" width="7.26953125" style="18" customWidth="1"/>
    <col min="12796" max="12796" width="5.54296875" style="18" customWidth="1"/>
    <col min="12797" max="12797" width="9" style="18" customWidth="1"/>
    <col min="12798" max="12799" width="9.81640625" style="18" customWidth="1"/>
    <col min="12800" max="12800" width="11.1796875" style="18" customWidth="1"/>
    <col min="12801" max="12801" width="2.81640625" style="18" customWidth="1"/>
    <col min="12802" max="12802" width="3.54296875" style="18" customWidth="1"/>
    <col min="12803" max="13047" width="9.1796875" style="18"/>
    <col min="13048" max="13048" width="8.7265625" style="18" customWidth="1"/>
    <col min="13049" max="13049" width="9.81640625" style="18" customWidth="1"/>
    <col min="13050" max="13050" width="14.453125" style="18" customWidth="1"/>
    <col min="13051" max="13051" width="7.26953125" style="18" customWidth="1"/>
    <col min="13052" max="13052" width="5.54296875" style="18" customWidth="1"/>
    <col min="13053" max="13053" width="9" style="18" customWidth="1"/>
    <col min="13054" max="13055" width="9.81640625" style="18" customWidth="1"/>
    <col min="13056" max="13056" width="11.1796875" style="18" customWidth="1"/>
    <col min="13057" max="13057" width="2.81640625" style="18" customWidth="1"/>
    <col min="13058" max="13058" width="3.54296875" style="18" customWidth="1"/>
    <col min="13059" max="13303" width="9.1796875" style="18"/>
    <col min="13304" max="13304" width="8.7265625" style="18" customWidth="1"/>
    <col min="13305" max="13305" width="9.81640625" style="18" customWidth="1"/>
    <col min="13306" max="13306" width="14.453125" style="18" customWidth="1"/>
    <col min="13307" max="13307" width="7.26953125" style="18" customWidth="1"/>
    <col min="13308" max="13308" width="5.54296875" style="18" customWidth="1"/>
    <col min="13309" max="13309" width="9" style="18" customWidth="1"/>
    <col min="13310" max="13311" width="9.81640625" style="18" customWidth="1"/>
    <col min="13312" max="13312" width="11.1796875" style="18" customWidth="1"/>
    <col min="13313" max="13313" width="2.81640625" style="18" customWidth="1"/>
    <col min="13314" max="13314" width="3.54296875" style="18" customWidth="1"/>
    <col min="13315" max="13559" width="9.1796875" style="18"/>
    <col min="13560" max="13560" width="8.7265625" style="18" customWidth="1"/>
    <col min="13561" max="13561" width="9.81640625" style="18" customWidth="1"/>
    <col min="13562" max="13562" width="14.453125" style="18" customWidth="1"/>
    <col min="13563" max="13563" width="7.26953125" style="18" customWidth="1"/>
    <col min="13564" max="13564" width="5.54296875" style="18" customWidth="1"/>
    <col min="13565" max="13565" width="9" style="18" customWidth="1"/>
    <col min="13566" max="13567" width="9.81640625" style="18" customWidth="1"/>
    <col min="13568" max="13568" width="11.1796875" style="18" customWidth="1"/>
    <col min="13569" max="13569" width="2.81640625" style="18" customWidth="1"/>
    <col min="13570" max="13570" width="3.54296875" style="18" customWidth="1"/>
    <col min="13571" max="13815" width="9.1796875" style="18"/>
    <col min="13816" max="13816" width="8.7265625" style="18" customWidth="1"/>
    <col min="13817" max="13817" width="9.81640625" style="18" customWidth="1"/>
    <col min="13818" max="13818" width="14.453125" style="18" customWidth="1"/>
    <col min="13819" max="13819" width="7.26953125" style="18" customWidth="1"/>
    <col min="13820" max="13820" width="5.54296875" style="18" customWidth="1"/>
    <col min="13821" max="13821" width="9" style="18" customWidth="1"/>
    <col min="13822" max="13823" width="9.81640625" style="18" customWidth="1"/>
    <col min="13824" max="13824" width="11.1796875" style="18" customWidth="1"/>
    <col min="13825" max="13825" width="2.81640625" style="18" customWidth="1"/>
    <col min="13826" max="13826" width="3.54296875" style="18" customWidth="1"/>
    <col min="13827" max="14071" width="9.1796875" style="18"/>
    <col min="14072" max="14072" width="8.7265625" style="18" customWidth="1"/>
    <col min="14073" max="14073" width="9.81640625" style="18" customWidth="1"/>
    <col min="14074" max="14074" width="14.453125" style="18" customWidth="1"/>
    <col min="14075" max="14075" width="7.26953125" style="18" customWidth="1"/>
    <col min="14076" max="14076" width="5.54296875" style="18" customWidth="1"/>
    <col min="14077" max="14077" width="9" style="18" customWidth="1"/>
    <col min="14078" max="14079" width="9.81640625" style="18" customWidth="1"/>
    <col min="14080" max="14080" width="11.1796875" style="18" customWidth="1"/>
    <col min="14081" max="14081" width="2.81640625" style="18" customWidth="1"/>
    <col min="14082" max="14082" width="3.54296875" style="18" customWidth="1"/>
    <col min="14083" max="14327" width="9.1796875" style="18"/>
    <col min="14328" max="14328" width="8.7265625" style="18" customWidth="1"/>
    <col min="14329" max="14329" width="9.81640625" style="18" customWidth="1"/>
    <col min="14330" max="14330" width="14.453125" style="18" customWidth="1"/>
    <col min="14331" max="14331" width="7.26953125" style="18" customWidth="1"/>
    <col min="14332" max="14332" width="5.54296875" style="18" customWidth="1"/>
    <col min="14333" max="14333" width="9" style="18" customWidth="1"/>
    <col min="14334" max="14335" width="9.81640625" style="18" customWidth="1"/>
    <col min="14336" max="14336" width="11.1796875" style="18" customWidth="1"/>
    <col min="14337" max="14337" width="2.81640625" style="18" customWidth="1"/>
    <col min="14338" max="14338" width="3.54296875" style="18" customWidth="1"/>
    <col min="14339" max="14583" width="9.1796875" style="18"/>
    <col min="14584" max="14584" width="8.7265625" style="18" customWidth="1"/>
    <col min="14585" max="14585" width="9.81640625" style="18" customWidth="1"/>
    <col min="14586" max="14586" width="14.453125" style="18" customWidth="1"/>
    <col min="14587" max="14587" width="7.26953125" style="18" customWidth="1"/>
    <col min="14588" max="14588" width="5.54296875" style="18" customWidth="1"/>
    <col min="14589" max="14589" width="9" style="18" customWidth="1"/>
    <col min="14590" max="14591" width="9.81640625" style="18" customWidth="1"/>
    <col min="14592" max="14592" width="11.1796875" style="18" customWidth="1"/>
    <col min="14593" max="14593" width="2.81640625" style="18" customWidth="1"/>
    <col min="14594" max="14594" width="3.54296875" style="18" customWidth="1"/>
    <col min="14595" max="14839" width="9.1796875" style="18"/>
    <col min="14840" max="14840" width="8.7265625" style="18" customWidth="1"/>
    <col min="14841" max="14841" width="9.81640625" style="18" customWidth="1"/>
    <col min="14842" max="14842" width="14.453125" style="18" customWidth="1"/>
    <col min="14843" max="14843" width="7.26953125" style="18" customWidth="1"/>
    <col min="14844" max="14844" width="5.54296875" style="18" customWidth="1"/>
    <col min="14845" max="14845" width="9" style="18" customWidth="1"/>
    <col min="14846" max="14847" width="9.81640625" style="18" customWidth="1"/>
    <col min="14848" max="14848" width="11.1796875" style="18" customWidth="1"/>
    <col min="14849" max="14849" width="2.81640625" style="18" customWidth="1"/>
    <col min="14850" max="14850" width="3.54296875" style="18" customWidth="1"/>
    <col min="14851" max="15095" width="9.1796875" style="18"/>
    <col min="15096" max="15096" width="8.7265625" style="18" customWidth="1"/>
    <col min="15097" max="15097" width="9.81640625" style="18" customWidth="1"/>
    <col min="15098" max="15098" width="14.453125" style="18" customWidth="1"/>
    <col min="15099" max="15099" width="7.26953125" style="18" customWidth="1"/>
    <col min="15100" max="15100" width="5.54296875" style="18" customWidth="1"/>
    <col min="15101" max="15101" width="9" style="18" customWidth="1"/>
    <col min="15102" max="15103" width="9.81640625" style="18" customWidth="1"/>
    <col min="15104" max="15104" width="11.1796875" style="18" customWidth="1"/>
    <col min="15105" max="15105" width="2.81640625" style="18" customWidth="1"/>
    <col min="15106" max="15106" width="3.54296875" style="18" customWidth="1"/>
    <col min="15107" max="15351" width="9.1796875" style="18"/>
    <col min="15352" max="15352" width="8.7265625" style="18" customWidth="1"/>
    <col min="15353" max="15353" width="9.81640625" style="18" customWidth="1"/>
    <col min="15354" max="15354" width="14.453125" style="18" customWidth="1"/>
    <col min="15355" max="15355" width="7.26953125" style="18" customWidth="1"/>
    <col min="15356" max="15356" width="5.54296875" style="18" customWidth="1"/>
    <col min="15357" max="15357" width="9" style="18" customWidth="1"/>
    <col min="15358" max="15359" width="9.81640625" style="18" customWidth="1"/>
    <col min="15360" max="15360" width="11.1796875" style="18" customWidth="1"/>
    <col min="15361" max="15361" width="2.81640625" style="18" customWidth="1"/>
    <col min="15362" max="15362" width="3.54296875" style="18" customWidth="1"/>
    <col min="15363" max="15607" width="9.1796875" style="18"/>
    <col min="15608" max="15608" width="8.7265625" style="18" customWidth="1"/>
    <col min="15609" max="15609" width="9.81640625" style="18" customWidth="1"/>
    <col min="15610" max="15610" width="14.453125" style="18" customWidth="1"/>
    <col min="15611" max="15611" width="7.26953125" style="18" customWidth="1"/>
    <col min="15612" max="15612" width="5.54296875" style="18" customWidth="1"/>
    <col min="15613" max="15613" width="9" style="18" customWidth="1"/>
    <col min="15614" max="15615" width="9.81640625" style="18" customWidth="1"/>
    <col min="15616" max="15616" width="11.1796875" style="18" customWidth="1"/>
    <col min="15617" max="15617" width="2.81640625" style="18" customWidth="1"/>
    <col min="15618" max="15618" width="3.54296875" style="18" customWidth="1"/>
    <col min="15619" max="15863" width="9.1796875" style="18"/>
    <col min="15864" max="15864" width="8.7265625" style="18" customWidth="1"/>
    <col min="15865" max="15865" width="9.81640625" style="18" customWidth="1"/>
    <col min="15866" max="15866" width="14.453125" style="18" customWidth="1"/>
    <col min="15867" max="15867" width="7.26953125" style="18" customWidth="1"/>
    <col min="15868" max="15868" width="5.54296875" style="18" customWidth="1"/>
    <col min="15869" max="15869" width="9" style="18" customWidth="1"/>
    <col min="15870" max="15871" width="9.81640625" style="18" customWidth="1"/>
    <col min="15872" max="15872" width="11.1796875" style="18" customWidth="1"/>
    <col min="15873" max="15873" width="2.81640625" style="18" customWidth="1"/>
    <col min="15874" max="15874" width="3.54296875" style="18" customWidth="1"/>
    <col min="15875" max="16119" width="9.1796875" style="18"/>
    <col min="16120" max="16120" width="8.7265625" style="18" customWidth="1"/>
    <col min="16121" max="16121" width="9.81640625" style="18" customWidth="1"/>
    <col min="16122" max="16122" width="14.453125" style="18" customWidth="1"/>
    <col min="16123" max="16123" width="7.26953125" style="18" customWidth="1"/>
    <col min="16124" max="16124" width="5.54296875" style="18" customWidth="1"/>
    <col min="16125" max="16125" width="9" style="18" customWidth="1"/>
    <col min="16126" max="16127" width="9.81640625" style="18" customWidth="1"/>
    <col min="16128" max="16128" width="11.1796875" style="18" customWidth="1"/>
    <col min="16129" max="16129" width="2.81640625" style="18" customWidth="1"/>
    <col min="16130" max="16130" width="3.54296875" style="18" customWidth="1"/>
    <col min="16131" max="16384" width="9.1796875" style="18"/>
  </cols>
  <sheetData>
    <row r="1" spans="1:26" ht="46.5" customHeight="1" x14ac:dyDescent="0.35">
      <c r="A1" s="168" t="s">
        <v>167</v>
      </c>
      <c r="B1" s="168"/>
      <c r="C1" s="168"/>
      <c r="D1" s="168"/>
      <c r="E1" s="168"/>
      <c r="F1" s="168"/>
      <c r="G1" s="168"/>
      <c r="H1" s="168"/>
    </row>
    <row r="2" spans="1:26" ht="16.5" customHeight="1" x14ac:dyDescent="0.35">
      <c r="A2" s="132" t="s">
        <v>0</v>
      </c>
      <c r="B2" s="132"/>
      <c r="C2" s="132"/>
      <c r="D2" s="132"/>
      <c r="E2" s="132"/>
      <c r="F2" s="132"/>
      <c r="G2" s="132"/>
      <c r="H2" s="132"/>
    </row>
    <row r="3" spans="1:26" x14ac:dyDescent="0.35">
      <c r="A3" s="115" t="s">
        <v>1</v>
      </c>
      <c r="B3" s="115"/>
      <c r="C3" s="115"/>
      <c r="D3" s="115"/>
      <c r="E3" s="115" t="str">
        <f ca="1">TEXT(TODAY(),"DD/MM/YYYY")</f>
        <v>11/07/2025</v>
      </c>
      <c r="F3" s="115"/>
      <c r="G3" s="115"/>
      <c r="H3" s="115"/>
      <c r="K3" s="52" t="s">
        <v>239</v>
      </c>
      <c r="L3" s="49" t="s">
        <v>237</v>
      </c>
      <c r="M3" s="49" t="s">
        <v>242</v>
      </c>
      <c r="N3" s="49" t="s">
        <v>240</v>
      </c>
      <c r="O3" s="49" t="s">
        <v>344</v>
      </c>
      <c r="P3" s="49" t="s">
        <v>243</v>
      </c>
    </row>
    <row r="4" spans="1:26" ht="15" customHeight="1" x14ac:dyDescent="0.35">
      <c r="A4" s="115" t="s">
        <v>236</v>
      </c>
      <c r="B4" s="115"/>
      <c r="C4" s="115"/>
      <c r="D4" s="115"/>
      <c r="E4" s="115" t="s">
        <v>237</v>
      </c>
      <c r="F4" s="115"/>
      <c r="G4" s="115"/>
      <c r="H4" s="115"/>
      <c r="K4" s="48" t="s">
        <v>238</v>
      </c>
      <c r="L4" s="49" t="s">
        <v>173</v>
      </c>
      <c r="M4" s="49" t="s">
        <v>247</v>
      </c>
      <c r="N4" s="49" t="s">
        <v>249</v>
      </c>
      <c r="O4" s="49" t="s">
        <v>345</v>
      </c>
      <c r="P4" s="49"/>
    </row>
    <row r="5" spans="1:26" ht="15" customHeight="1" x14ac:dyDescent="0.35">
      <c r="A5" s="115" t="s">
        <v>2</v>
      </c>
      <c r="B5" s="115"/>
      <c r="C5" s="115"/>
      <c r="D5" s="115"/>
      <c r="E5" s="115" t="s">
        <v>245</v>
      </c>
      <c r="F5" s="115"/>
      <c r="G5" s="115"/>
      <c r="H5" s="115"/>
      <c r="K5" s="48"/>
      <c r="L5" s="49" t="s">
        <v>244</v>
      </c>
      <c r="M5" s="49" t="s">
        <v>248</v>
      </c>
      <c r="N5" s="49" t="s">
        <v>250</v>
      </c>
      <c r="O5" s="49" t="s">
        <v>346</v>
      </c>
      <c r="P5" s="49"/>
    </row>
    <row r="6" spans="1:26" x14ac:dyDescent="0.35">
      <c r="A6" s="115" t="s">
        <v>3</v>
      </c>
      <c r="B6" s="115"/>
      <c r="C6" s="115"/>
      <c r="D6" s="115"/>
      <c r="E6" s="170">
        <v>45849</v>
      </c>
      <c r="F6" s="115"/>
      <c r="G6" s="115"/>
      <c r="H6" s="115"/>
      <c r="K6" s="48"/>
      <c r="L6" s="49" t="s">
        <v>245</v>
      </c>
      <c r="M6" s="49"/>
      <c r="N6" s="49"/>
      <c r="O6" s="49" t="s">
        <v>347</v>
      </c>
      <c r="P6" s="49"/>
    </row>
    <row r="7" spans="1:26" ht="16.5" customHeight="1" x14ac:dyDescent="0.35">
      <c r="A7" s="115" t="s">
        <v>4</v>
      </c>
      <c r="B7" s="115"/>
      <c r="C7" s="115"/>
      <c r="D7" s="115"/>
      <c r="E7" s="115" t="s">
        <v>360</v>
      </c>
      <c r="F7" s="115"/>
      <c r="G7" s="115"/>
      <c r="H7" s="115"/>
      <c r="K7" s="48"/>
      <c r="L7" s="49" t="s">
        <v>246</v>
      </c>
      <c r="M7" s="49"/>
      <c r="N7" s="49"/>
      <c r="O7" s="49" t="s">
        <v>347</v>
      </c>
      <c r="P7" s="49"/>
    </row>
    <row r="8" spans="1:26" ht="15" customHeight="1" x14ac:dyDescent="0.35">
      <c r="A8" s="115" t="s">
        <v>5</v>
      </c>
      <c r="B8" s="115"/>
      <c r="C8" s="115"/>
      <c r="D8" s="115"/>
      <c r="E8" s="115" t="str">
        <f>E7</f>
        <v>M/s.Shree Enterprises</v>
      </c>
      <c r="F8" s="115"/>
      <c r="G8" s="115"/>
      <c r="H8" s="115"/>
      <c r="K8" s="48"/>
      <c r="L8" s="49"/>
      <c r="M8" s="49"/>
      <c r="N8" s="49"/>
      <c r="O8" s="49" t="s">
        <v>348</v>
      </c>
      <c r="P8" s="49"/>
    </row>
    <row r="9" spans="1:26" x14ac:dyDescent="0.35">
      <c r="A9" s="115" t="s">
        <v>6</v>
      </c>
      <c r="B9" s="115"/>
      <c r="C9" s="115"/>
      <c r="D9" s="115"/>
      <c r="E9" s="169" t="s">
        <v>361</v>
      </c>
      <c r="F9" s="169"/>
      <c r="G9" s="169"/>
      <c r="H9" s="169"/>
      <c r="K9" s="48"/>
      <c r="L9" s="49"/>
      <c r="M9" s="49"/>
      <c r="N9" s="49"/>
      <c r="O9" s="49" t="s">
        <v>349</v>
      </c>
      <c r="P9" s="49"/>
    </row>
    <row r="10" spans="1:26" ht="32.15" customHeight="1" x14ac:dyDescent="0.35">
      <c r="A10" s="115" t="s">
        <v>170</v>
      </c>
      <c r="B10" s="115"/>
      <c r="C10" s="115"/>
      <c r="D10" s="115"/>
      <c r="E10" s="123" t="s">
        <v>362</v>
      </c>
      <c r="F10" s="115"/>
      <c r="G10" s="115"/>
      <c r="H10" s="115"/>
      <c r="K10" s="48"/>
      <c r="L10" s="49"/>
      <c r="M10" s="49"/>
      <c r="N10" s="49"/>
      <c r="O10" s="49" t="s">
        <v>350</v>
      </c>
      <c r="P10" s="49"/>
    </row>
    <row r="11" spans="1:26" x14ac:dyDescent="0.35">
      <c r="A11" s="115" t="s">
        <v>171</v>
      </c>
      <c r="B11" s="115"/>
      <c r="C11" s="115"/>
      <c r="D11" s="115"/>
      <c r="E11" s="115" t="s">
        <v>28</v>
      </c>
      <c r="F11" s="115"/>
      <c r="G11" s="115"/>
      <c r="H11" s="115"/>
      <c r="O11" s="49" t="s">
        <v>351</v>
      </c>
    </row>
    <row r="12" spans="1:26" ht="94.5" customHeight="1" x14ac:dyDescent="0.35">
      <c r="A12" s="115" t="s">
        <v>7</v>
      </c>
      <c r="B12" s="115"/>
      <c r="C12" s="115"/>
      <c r="D12" s="115"/>
      <c r="E12" s="123" t="s">
        <v>363</v>
      </c>
      <c r="F12" s="115"/>
      <c r="G12" s="115"/>
      <c r="H12" s="115"/>
    </row>
    <row r="13" spans="1:26" x14ac:dyDescent="0.35">
      <c r="A13" s="115" t="s">
        <v>174</v>
      </c>
      <c r="B13" s="115"/>
      <c r="C13" s="115"/>
      <c r="D13" s="115"/>
      <c r="E13" s="115" t="s">
        <v>28</v>
      </c>
      <c r="F13" s="115"/>
      <c r="G13" s="115"/>
      <c r="H13" s="115"/>
      <c r="S13" s="49" t="s">
        <v>183</v>
      </c>
      <c r="T13" s="49" t="s">
        <v>192</v>
      </c>
      <c r="U13" s="49" t="s">
        <v>175</v>
      </c>
      <c r="V13" s="49" t="s">
        <v>197</v>
      </c>
      <c r="W13" s="49" t="s">
        <v>215</v>
      </c>
      <c r="X13"/>
      <c r="Y13" t="s">
        <v>197</v>
      </c>
      <c r="Z13" t="e">
        <f ca="1">OFFSET($S$13,1,MATCH($G20,$S$13:$W$13,0)-1,15,1)</f>
        <v>#VALUE!</v>
      </c>
    </row>
    <row r="14" spans="1:26" x14ac:dyDescent="0.35">
      <c r="A14" s="115" t="s">
        <v>282</v>
      </c>
      <c r="B14" s="115"/>
      <c r="C14" s="115"/>
      <c r="D14" s="115"/>
      <c r="E14" s="123" t="s">
        <v>230</v>
      </c>
      <c r="F14" s="123"/>
      <c r="G14" s="123"/>
      <c r="H14" s="123"/>
      <c r="S14" s="49" t="s">
        <v>183</v>
      </c>
      <c r="T14" s="49" t="s">
        <v>190</v>
      </c>
      <c r="U14" s="49" t="s">
        <v>212</v>
      </c>
      <c r="V14" s="49" t="s">
        <v>198</v>
      </c>
      <c r="W14" s="49" t="s">
        <v>216</v>
      </c>
      <c r="X14"/>
      <c r="Y14"/>
      <c r="Z14"/>
    </row>
    <row r="15" spans="1:26" ht="80.25" customHeight="1" x14ac:dyDescent="0.35">
      <c r="A15" s="115" t="s">
        <v>8</v>
      </c>
      <c r="B15" s="115"/>
      <c r="C15" s="115"/>
      <c r="D15" s="115"/>
      <c r="E15" s="123" t="s">
        <v>410</v>
      </c>
      <c r="F15" s="115"/>
      <c r="G15" s="115"/>
      <c r="H15" s="115"/>
      <c r="I15" s="129" t="e">
        <f ca="1">OFFSET($D$5,1,MATCH($J13,$D$5:$H$5,0)-1,15,1)</f>
        <v>#N/A</v>
      </c>
      <c r="J15" s="130"/>
      <c r="K15" s="130"/>
      <c r="L15" s="130"/>
      <c r="M15" s="130"/>
      <c r="N15" s="130"/>
      <c r="O15" s="130"/>
      <c r="P15" s="130"/>
      <c r="S15" s="49" t="s">
        <v>184</v>
      </c>
      <c r="T15" s="49" t="s">
        <v>191</v>
      </c>
      <c r="U15" s="49" t="s">
        <v>213</v>
      </c>
      <c r="V15" s="49" t="s">
        <v>199</v>
      </c>
      <c r="W15" s="49" t="s">
        <v>229</v>
      </c>
      <c r="X15"/>
      <c r="Y15"/>
      <c r="Z15"/>
    </row>
    <row r="16" spans="1:26" ht="34" customHeight="1" x14ac:dyDescent="0.35">
      <c r="A16" s="123" t="s">
        <v>9</v>
      </c>
      <c r="B16" s="123"/>
      <c r="C16" s="123" t="str">
        <f>CONCATENATE((IF(OR(E9="",E9="NA"),"",E9)),", ",(IF(OR(A17="",A17="NA"),"",A17)),".",(IF(OR(C17="",C17="NA"),"",C17)),", near ",(IF(OR(C22="",C22="NA"),"",C22)),", ",(IF(OR(C19="",C19="NA"),"",C19)),", ",(IF(OR(C18="",C18="NA"),"",C18)),", ",(IF(OR(G19="",G19="NA"),"",G19)),", ",(IF(OR(C20="",C20="NA"),"",C20)),", ",(IF(OR(C21="",C21="NA"),"",C21)),", ",(IF(OR(G20="",G20="NA"),"",G20))," - ",(IF(OR(G21="",G21="NA"),"",G21)),".")</f>
        <v>Sparsh Housing Project, Gut No.42/0, 118/0, 124/1, &amp; 124/2, near Joy City, Bhingar Road, , Shedung, Panvel, Panvel, Raigad - 410216.</v>
      </c>
      <c r="D16" s="123"/>
      <c r="E16" s="123"/>
      <c r="F16" s="123"/>
      <c r="G16" s="123"/>
      <c r="H16" s="123"/>
      <c r="S16" s="49" t="s">
        <v>185</v>
      </c>
      <c r="T16" s="49" t="s">
        <v>193</v>
      </c>
      <c r="U16" s="49" t="s">
        <v>214</v>
      </c>
      <c r="V16" s="49" t="s">
        <v>200</v>
      </c>
      <c r="W16" s="49" t="s">
        <v>217</v>
      </c>
      <c r="X16"/>
      <c r="Y16"/>
      <c r="Z16"/>
    </row>
    <row r="17" spans="1:26" x14ac:dyDescent="0.35">
      <c r="A17" s="123" t="s">
        <v>364</v>
      </c>
      <c r="B17" s="123"/>
      <c r="C17" s="123" t="s">
        <v>365</v>
      </c>
      <c r="D17" s="123"/>
      <c r="E17" s="123"/>
      <c r="F17" s="123"/>
      <c r="G17" s="123"/>
      <c r="H17" s="123"/>
      <c r="S17" s="49" t="s">
        <v>186</v>
      </c>
      <c r="T17" s="49" t="s">
        <v>194</v>
      </c>
      <c r="U17" s="49" t="s">
        <v>175</v>
      </c>
      <c r="V17" s="49" t="s">
        <v>201</v>
      </c>
      <c r="W17" s="49" t="s">
        <v>218</v>
      </c>
      <c r="X17"/>
      <c r="Y17"/>
      <c r="Z17"/>
    </row>
    <row r="18" spans="1:26" ht="15.75" customHeight="1" x14ac:dyDescent="0.35">
      <c r="A18" s="123" t="s">
        <v>165</v>
      </c>
      <c r="B18" s="123"/>
      <c r="C18" s="123" t="s">
        <v>28</v>
      </c>
      <c r="D18" s="123"/>
      <c r="E18" s="123"/>
      <c r="F18" s="123"/>
      <c r="G18" s="123"/>
      <c r="H18" s="123"/>
      <c r="S18" s="49" t="s">
        <v>187</v>
      </c>
      <c r="T18" s="49" t="s">
        <v>192</v>
      </c>
      <c r="U18" s="49"/>
      <c r="V18" s="49" t="s">
        <v>202</v>
      </c>
      <c r="W18" s="49" t="s">
        <v>219</v>
      </c>
      <c r="X18"/>
      <c r="Y18"/>
      <c r="Z18"/>
    </row>
    <row r="19" spans="1:26" ht="15.75" customHeight="1" x14ac:dyDescent="0.35">
      <c r="A19" s="123" t="s">
        <v>10</v>
      </c>
      <c r="B19" s="123"/>
      <c r="C19" s="115" t="s">
        <v>369</v>
      </c>
      <c r="D19" s="115"/>
      <c r="E19" s="123" t="s">
        <v>70</v>
      </c>
      <c r="F19" s="123"/>
      <c r="G19" s="123" t="s">
        <v>366</v>
      </c>
      <c r="H19" s="123"/>
      <c r="S19" s="49" t="s">
        <v>188</v>
      </c>
      <c r="T19" s="49" t="s">
        <v>195</v>
      </c>
      <c r="U19" s="49"/>
      <c r="V19" s="49" t="s">
        <v>203</v>
      </c>
      <c r="W19" s="49" t="s">
        <v>220</v>
      </c>
      <c r="X19"/>
      <c r="Y19"/>
      <c r="Z19"/>
    </row>
    <row r="20" spans="1:26" x14ac:dyDescent="0.35">
      <c r="A20" s="115" t="s">
        <v>12</v>
      </c>
      <c r="B20" s="115"/>
      <c r="C20" s="123" t="s">
        <v>199</v>
      </c>
      <c r="D20" s="123"/>
      <c r="E20" s="123" t="s">
        <v>11</v>
      </c>
      <c r="F20" s="123"/>
      <c r="G20" s="171" t="s">
        <v>197</v>
      </c>
      <c r="H20" s="171"/>
      <c r="S20" s="49" t="s">
        <v>189</v>
      </c>
      <c r="T20" s="49" t="s">
        <v>196</v>
      </c>
      <c r="U20" s="49"/>
      <c r="V20" s="49" t="s">
        <v>204</v>
      </c>
      <c r="W20" s="49" t="s">
        <v>221</v>
      </c>
      <c r="X20"/>
      <c r="Y20"/>
      <c r="Z20"/>
    </row>
    <row r="21" spans="1:26" x14ac:dyDescent="0.35">
      <c r="A21" s="115" t="s">
        <v>71</v>
      </c>
      <c r="B21" s="115"/>
      <c r="C21" s="123" t="s">
        <v>199</v>
      </c>
      <c r="D21" s="123"/>
      <c r="E21" s="123" t="s">
        <v>13</v>
      </c>
      <c r="F21" s="123"/>
      <c r="G21" s="123">
        <v>410216</v>
      </c>
      <c r="H21" s="123"/>
      <c r="S21" s="49"/>
      <c r="T21" s="49"/>
      <c r="U21" s="49"/>
      <c r="V21" s="49" t="s">
        <v>205</v>
      </c>
      <c r="W21" s="49" t="s">
        <v>222</v>
      </c>
      <c r="X21"/>
      <c r="Y21"/>
      <c r="Z21"/>
    </row>
    <row r="22" spans="1:26" ht="32.25" customHeight="1" x14ac:dyDescent="0.35">
      <c r="A22" s="115" t="s">
        <v>120</v>
      </c>
      <c r="B22" s="115"/>
      <c r="C22" s="123" t="s">
        <v>371</v>
      </c>
      <c r="D22" s="123"/>
      <c r="E22" s="123" t="s">
        <v>14</v>
      </c>
      <c r="F22" s="123"/>
      <c r="G22" s="123" t="s">
        <v>370</v>
      </c>
      <c r="H22" s="123"/>
      <c r="S22" s="49"/>
      <c r="T22" s="49"/>
      <c r="U22" s="49"/>
      <c r="V22" s="49" t="s">
        <v>206</v>
      </c>
      <c r="W22" s="49" t="s">
        <v>223</v>
      </c>
      <c r="X22"/>
      <c r="Y22"/>
      <c r="Z22"/>
    </row>
    <row r="23" spans="1:26" ht="15" customHeight="1" x14ac:dyDescent="0.35">
      <c r="A23" s="116" t="s">
        <v>73</v>
      </c>
      <c r="B23" s="116"/>
      <c r="C23" s="116"/>
      <c r="D23" s="116"/>
      <c r="E23" s="115" t="s">
        <v>15</v>
      </c>
      <c r="F23" s="115"/>
      <c r="G23" s="115"/>
      <c r="H23" s="115"/>
      <c r="S23" s="49"/>
      <c r="T23" s="49"/>
      <c r="U23" s="49"/>
      <c r="V23" s="49" t="s">
        <v>207</v>
      </c>
      <c r="W23" s="49" t="s">
        <v>224</v>
      </c>
      <c r="X23"/>
      <c r="Y23"/>
      <c r="Z23"/>
    </row>
    <row r="24" spans="1:26" ht="18.75" customHeight="1" x14ac:dyDescent="0.35">
      <c r="A24" s="116"/>
      <c r="B24" s="116"/>
      <c r="C24" s="116"/>
      <c r="D24" s="116"/>
      <c r="E24" s="115"/>
      <c r="F24" s="115"/>
      <c r="G24" s="115"/>
      <c r="H24" s="115"/>
      <c r="S24" s="49"/>
      <c r="T24" s="49"/>
      <c r="U24" s="49"/>
      <c r="V24" s="49" t="s">
        <v>208</v>
      </c>
      <c r="W24" s="49" t="s">
        <v>225</v>
      </c>
      <c r="X24"/>
      <c r="Y24"/>
      <c r="Z24"/>
    </row>
    <row r="25" spans="1:26" ht="15" customHeight="1" x14ac:dyDescent="0.35">
      <c r="A25" s="116" t="s">
        <v>16</v>
      </c>
      <c r="B25" s="116"/>
      <c r="C25" s="116"/>
      <c r="D25" s="116"/>
      <c r="E25" s="123" t="s">
        <v>17</v>
      </c>
      <c r="F25" s="123"/>
      <c r="G25" s="123"/>
      <c r="H25" s="123"/>
      <c r="S25" s="49"/>
      <c r="T25" s="49"/>
      <c r="U25" s="49"/>
      <c r="V25" s="49" t="s">
        <v>209</v>
      </c>
      <c r="W25" s="49" t="s">
        <v>226</v>
      </c>
      <c r="X25"/>
      <c r="Y25"/>
      <c r="Z25"/>
    </row>
    <row r="26" spans="1:26" ht="15" customHeight="1" x14ac:dyDescent="0.35">
      <c r="A26" s="110" t="s">
        <v>18</v>
      </c>
      <c r="B26" s="110"/>
      <c r="C26" s="110"/>
      <c r="D26" s="110"/>
      <c r="E26" s="123" t="str">
        <f>IF(AND(G20="Mumbai"),"Upper Class","Middle Class")</f>
        <v>Middle Class</v>
      </c>
      <c r="F26" s="123"/>
      <c r="G26" s="123"/>
      <c r="H26" s="123"/>
      <c r="S26" s="49"/>
      <c r="T26" s="49"/>
      <c r="U26" s="49"/>
      <c r="V26" s="49" t="s">
        <v>210</v>
      </c>
      <c r="W26" s="49" t="s">
        <v>227</v>
      </c>
      <c r="X26"/>
      <c r="Y26"/>
      <c r="Z26"/>
    </row>
    <row r="27" spans="1:26" x14ac:dyDescent="0.35">
      <c r="A27" s="110" t="s">
        <v>19</v>
      </c>
      <c r="B27" s="110"/>
      <c r="C27" s="110"/>
      <c r="D27" s="110"/>
      <c r="E27" s="123" t="s">
        <v>20</v>
      </c>
      <c r="F27" s="123"/>
      <c r="G27" s="123"/>
      <c r="H27" s="123"/>
      <c r="S27" s="49"/>
      <c r="T27" s="49"/>
      <c r="U27" s="49"/>
      <c r="V27" s="49" t="s">
        <v>211</v>
      </c>
      <c r="W27" s="49" t="s">
        <v>228</v>
      </c>
      <c r="X27"/>
      <c r="Y27"/>
      <c r="Z27"/>
    </row>
    <row r="28" spans="1:26" ht="15.75" customHeight="1" x14ac:dyDescent="0.35">
      <c r="A28" s="110" t="s">
        <v>21</v>
      </c>
      <c r="B28" s="110"/>
      <c r="C28" s="110"/>
      <c r="D28" s="110"/>
      <c r="E28" s="123" t="str">
        <f>IF(AND(G20="Mumbai"),"Developed","Developing")</f>
        <v>Developing</v>
      </c>
      <c r="F28" s="123"/>
      <c r="G28" s="123"/>
      <c r="H28" s="123"/>
    </row>
    <row r="29" spans="1:26" x14ac:dyDescent="0.35">
      <c r="A29" s="110" t="s">
        <v>22</v>
      </c>
      <c r="B29" s="110"/>
      <c r="C29" s="110"/>
      <c r="D29" s="110"/>
      <c r="E29" s="123" t="s">
        <v>23</v>
      </c>
      <c r="F29" s="123"/>
      <c r="G29" s="123"/>
      <c r="H29" s="123"/>
    </row>
    <row r="30" spans="1:26" ht="15.75" customHeight="1" x14ac:dyDescent="0.35">
      <c r="A30" s="110" t="s">
        <v>78</v>
      </c>
      <c r="B30" s="110"/>
      <c r="C30" s="110"/>
      <c r="D30" s="110"/>
      <c r="E30" s="123" t="s">
        <v>79</v>
      </c>
      <c r="F30" s="123"/>
      <c r="G30" s="123"/>
      <c r="H30" s="123"/>
    </row>
    <row r="31" spans="1:26" ht="15" customHeight="1" x14ac:dyDescent="0.35">
      <c r="A31" s="110" t="s">
        <v>30</v>
      </c>
      <c r="B31" s="110"/>
      <c r="C31" s="110"/>
      <c r="D31" s="110"/>
      <c r="E31" s="123" t="str">
        <f>IF(AND(ISNUMBER(SEARCH("Flat",D68)),ISNUMBER(SEARCH("Shop",D68)),ISNUMBER(SEARCH("Office",D68))),"Residential + Commercial",IF(AND(ISNUMBER(SEARCH("Flat",D68)),ISNUMBER(SEARCH("Shop",D68))),"Residential + Commercial",IF(AND(ISNUMBER(SEARCH("Flat",D68)),ISNUMBER(SEARCH("Office",D68))),"Residential + Commercial",IF(AND(ISNUMBER(SEARCH("Shop",D68)),ISNUMBER(SEARCH("Office",D68))),"Commercial",IF(ISNUMBER(SEARCH("Shop",D68)),"Commercial",IF(ISNUMBER(SEARCH("Office",D68)),"Commercial",IF(ISNUMBER(SEARCH("Flat",D68)),"Residential")))))))</f>
        <v>Residential</v>
      </c>
      <c r="F31" s="123"/>
      <c r="G31" s="123"/>
      <c r="H31" s="123"/>
    </row>
    <row r="32" spans="1:26" ht="15.75" customHeight="1" x14ac:dyDescent="0.35">
      <c r="A32" s="110" t="s">
        <v>90</v>
      </c>
      <c r="B32" s="110"/>
      <c r="C32" s="110"/>
      <c r="D32" s="110"/>
      <c r="E32" s="123" t="s">
        <v>31</v>
      </c>
      <c r="F32" s="123"/>
      <c r="G32" s="123"/>
      <c r="H32" s="123"/>
    </row>
    <row r="33" spans="1:19" s="19" customFormat="1" x14ac:dyDescent="0.35">
      <c r="A33" s="179" t="s">
        <v>91</v>
      </c>
      <c r="B33" s="179"/>
      <c r="C33" s="176" t="s">
        <v>176</v>
      </c>
      <c r="D33" s="177"/>
      <c r="E33" s="178"/>
      <c r="F33" s="176" t="s">
        <v>29</v>
      </c>
      <c r="G33" s="177"/>
      <c r="H33" s="178"/>
      <c r="S33" s="19" t="e">
        <f ca="1">OFFSET($S$13,1,MATCH($G20,$S$13:$W$13,0)-1,15,1)</f>
        <v>#VALUE!</v>
      </c>
    </row>
    <row r="34" spans="1:19" s="19" customFormat="1" x14ac:dyDescent="0.35">
      <c r="A34" s="172" t="s">
        <v>24</v>
      </c>
      <c r="B34" s="172" t="s">
        <v>28</v>
      </c>
      <c r="C34" s="173" t="s">
        <v>374</v>
      </c>
      <c r="D34" s="174"/>
      <c r="E34" s="175"/>
      <c r="F34" s="173" t="s">
        <v>372</v>
      </c>
      <c r="G34" s="174"/>
      <c r="H34" s="175"/>
    </row>
    <row r="35" spans="1:19" x14ac:dyDescent="0.35">
      <c r="A35" s="172" t="s">
        <v>25</v>
      </c>
      <c r="B35" s="172" t="s">
        <v>28</v>
      </c>
      <c r="C35" s="173" t="s">
        <v>373</v>
      </c>
      <c r="D35" s="174"/>
      <c r="E35" s="175"/>
      <c r="F35" s="173" t="s">
        <v>373</v>
      </c>
      <c r="G35" s="174"/>
      <c r="H35" s="175"/>
    </row>
    <row r="36" spans="1:19" s="19" customFormat="1" x14ac:dyDescent="0.35">
      <c r="A36" s="172" t="s">
        <v>27</v>
      </c>
      <c r="B36" s="172" t="s">
        <v>28</v>
      </c>
      <c r="C36" s="173" t="s">
        <v>375</v>
      </c>
      <c r="D36" s="174"/>
      <c r="E36" s="175"/>
      <c r="F36" s="173" t="s">
        <v>369</v>
      </c>
      <c r="G36" s="174"/>
      <c r="H36" s="175"/>
    </row>
    <row r="37" spans="1:19" x14ac:dyDescent="0.35">
      <c r="A37" s="172" t="s">
        <v>26</v>
      </c>
      <c r="B37" s="172" t="s">
        <v>28</v>
      </c>
      <c r="C37" s="173" t="s">
        <v>376</v>
      </c>
      <c r="D37" s="174"/>
      <c r="E37" s="175"/>
      <c r="F37" s="173" t="s">
        <v>373</v>
      </c>
      <c r="G37" s="174"/>
      <c r="H37" s="175"/>
    </row>
    <row r="38" spans="1:19" x14ac:dyDescent="0.35">
      <c r="A38" s="110" t="s">
        <v>283</v>
      </c>
      <c r="B38" s="110"/>
      <c r="C38" s="110"/>
      <c r="D38" s="110"/>
      <c r="E38" s="110"/>
      <c r="F38" s="110"/>
      <c r="G38" s="110"/>
      <c r="H38" s="110"/>
    </row>
    <row r="39" spans="1:19" ht="15.75" customHeight="1" x14ac:dyDescent="0.35">
      <c r="A39" s="110" t="s">
        <v>168</v>
      </c>
      <c r="B39" s="110"/>
      <c r="C39" s="163" t="s">
        <v>368</v>
      </c>
      <c r="D39" s="163"/>
      <c r="E39" s="163"/>
      <c r="F39" s="163"/>
      <c r="G39" s="163"/>
      <c r="H39" s="163"/>
    </row>
    <row r="40" spans="1:19" x14ac:dyDescent="0.35">
      <c r="A40" s="110" t="s">
        <v>164</v>
      </c>
      <c r="B40" s="110"/>
      <c r="C40" s="208" t="s">
        <v>367</v>
      </c>
      <c r="D40" s="123"/>
      <c r="E40" s="123"/>
      <c r="F40" s="123"/>
      <c r="G40" s="123"/>
      <c r="H40" s="123"/>
    </row>
    <row r="41" spans="1:19" x14ac:dyDescent="0.35">
      <c r="A41" s="163" t="s">
        <v>32</v>
      </c>
      <c r="B41" s="163"/>
      <c r="C41" s="163"/>
      <c r="D41" s="163"/>
      <c r="E41" s="163"/>
      <c r="F41" s="163"/>
      <c r="G41" s="163"/>
      <c r="H41" s="163"/>
    </row>
    <row r="42" spans="1:19" x14ac:dyDescent="0.35">
      <c r="A42" s="110" t="s">
        <v>33</v>
      </c>
      <c r="B42" s="110"/>
      <c r="C42" s="110"/>
      <c r="D42" s="110"/>
      <c r="E42" s="206">
        <v>12420.275</v>
      </c>
      <c r="F42" s="206"/>
      <c r="G42" s="206"/>
      <c r="H42" s="206"/>
    </row>
    <row r="43" spans="1:19" x14ac:dyDescent="0.35">
      <c r="A43" s="110" t="s">
        <v>34</v>
      </c>
      <c r="B43" s="110"/>
      <c r="C43" s="110"/>
      <c r="D43" s="110"/>
      <c r="E43" s="109">
        <f>13662.303/E42</f>
        <v>1.1000000402567576</v>
      </c>
      <c r="F43" s="109"/>
      <c r="G43" s="109"/>
      <c r="H43" s="109"/>
    </row>
    <row r="44" spans="1:19" x14ac:dyDescent="0.35">
      <c r="A44" s="110" t="s">
        <v>35</v>
      </c>
      <c r="B44" s="110"/>
      <c r="C44" s="110"/>
      <c r="D44" s="110"/>
      <c r="E44" s="200">
        <v>0</v>
      </c>
      <c r="F44" s="200"/>
      <c r="G44" s="200"/>
      <c r="H44" s="200"/>
      <c r="I44" s="84">
        <f>E46/E42-E43</f>
        <v>-5.741563693235463E-2</v>
      </c>
    </row>
    <row r="45" spans="1:19" x14ac:dyDescent="0.35">
      <c r="A45" s="110" t="s">
        <v>36</v>
      </c>
      <c r="B45" s="110"/>
      <c r="C45" s="110"/>
      <c r="D45" s="110"/>
      <c r="E45" s="109">
        <f>E43+E44</f>
        <v>1.1000000402567576</v>
      </c>
      <c r="F45" s="109"/>
      <c r="G45" s="109"/>
      <c r="H45" s="109"/>
    </row>
    <row r="46" spans="1:19" x14ac:dyDescent="0.35">
      <c r="A46" s="110" t="s">
        <v>89</v>
      </c>
      <c r="B46" s="110"/>
      <c r="C46" s="110"/>
      <c r="D46" s="110"/>
      <c r="E46" s="201">
        <v>12949.184999999999</v>
      </c>
      <c r="F46" s="201"/>
      <c r="G46" s="201"/>
      <c r="H46" s="201"/>
    </row>
    <row r="47" spans="1:19" x14ac:dyDescent="0.35">
      <c r="A47" s="115" t="s">
        <v>37</v>
      </c>
      <c r="B47" s="115"/>
      <c r="C47" s="115"/>
      <c r="D47" s="115"/>
      <c r="E47" s="115" t="s">
        <v>377</v>
      </c>
      <c r="F47" s="115"/>
      <c r="G47" s="115"/>
      <c r="H47" s="115"/>
    </row>
    <row r="48" spans="1:19" x14ac:dyDescent="0.35">
      <c r="A48" s="163" t="s">
        <v>38</v>
      </c>
      <c r="B48" s="163"/>
      <c r="C48" s="163"/>
      <c r="D48" s="163"/>
      <c r="E48" s="163"/>
      <c r="F48" s="163"/>
      <c r="G48" s="163"/>
      <c r="H48" s="163"/>
    </row>
    <row r="49" spans="1:24" x14ac:dyDescent="0.35">
      <c r="A49" s="163" t="s">
        <v>379</v>
      </c>
      <c r="B49" s="163"/>
      <c r="C49" s="163"/>
      <c r="D49" s="163"/>
      <c r="E49" s="163"/>
      <c r="F49" s="163"/>
      <c r="G49" s="163"/>
      <c r="H49" s="163"/>
    </row>
    <row r="50" spans="1:24" ht="33.75" customHeight="1" x14ac:dyDescent="0.35">
      <c r="A50" s="113" t="s">
        <v>152</v>
      </c>
      <c r="B50" s="114"/>
      <c r="C50" s="202" t="s">
        <v>261</v>
      </c>
      <c r="D50" s="203"/>
      <c r="E50" s="203"/>
      <c r="F50" s="203"/>
      <c r="G50" s="203"/>
      <c r="H50" s="204"/>
      <c r="R50" t="s">
        <v>256</v>
      </c>
      <c r="S50" s="53" t="s">
        <v>175</v>
      </c>
      <c r="T50" s="53" t="s">
        <v>183</v>
      </c>
      <c r="U50" s="53" t="s">
        <v>197</v>
      </c>
      <c r="V50" s="53" t="s">
        <v>192</v>
      </c>
    </row>
    <row r="51" spans="1:24" ht="30" customHeight="1" x14ac:dyDescent="0.35">
      <c r="A51" s="113" t="s">
        <v>39</v>
      </c>
      <c r="B51" s="114"/>
      <c r="C51" s="113" t="s">
        <v>378</v>
      </c>
      <c r="D51" s="207"/>
      <c r="E51" s="114"/>
      <c r="F51" s="17" t="s">
        <v>40</v>
      </c>
      <c r="G51" s="196">
        <v>45083</v>
      </c>
      <c r="H51" s="197"/>
      <c r="R51"/>
      <c r="S51" s="53" t="s">
        <v>257</v>
      </c>
      <c r="T51" s="53" t="s">
        <v>262</v>
      </c>
      <c r="U51" s="53" t="s">
        <v>273</v>
      </c>
      <c r="V51" s="53" t="s">
        <v>278</v>
      </c>
    </row>
    <row r="52" spans="1:24" ht="30.65" customHeight="1" x14ac:dyDescent="0.35">
      <c r="A52" s="113" t="s">
        <v>41</v>
      </c>
      <c r="B52" s="114"/>
      <c r="C52" s="113" t="str">
        <f>C51</f>
        <v>MSRDC/SPA/Shedung/Panvel/BP-21/Revised CC/2023/955</v>
      </c>
      <c r="D52" s="207"/>
      <c r="E52" s="114"/>
      <c r="F52" s="17" t="s">
        <v>40</v>
      </c>
      <c r="G52" s="196">
        <f>G51</f>
        <v>45083</v>
      </c>
      <c r="H52" s="197"/>
      <c r="R52"/>
      <c r="S52" s="53" t="s">
        <v>258</v>
      </c>
      <c r="T52" s="53" t="s">
        <v>263</v>
      </c>
      <c r="U52" s="53" t="s">
        <v>271</v>
      </c>
      <c r="V52" s="53" t="s">
        <v>279</v>
      </c>
    </row>
    <row r="53" spans="1:24" s="86" customFormat="1" ht="62.15" customHeight="1" x14ac:dyDescent="0.3">
      <c r="A53" s="224" t="s">
        <v>381</v>
      </c>
      <c r="B53" s="225"/>
      <c r="C53" s="226" t="s">
        <v>382</v>
      </c>
      <c r="D53" s="227"/>
      <c r="E53" s="227"/>
      <c r="F53" s="85" t="s">
        <v>40</v>
      </c>
      <c r="G53" s="228">
        <v>43285</v>
      </c>
      <c r="H53" s="229"/>
      <c r="I53" s="87"/>
      <c r="J53" s="88"/>
    </row>
    <row r="54" spans="1:24" s="20" customFormat="1" ht="33" customHeight="1" x14ac:dyDescent="0.35">
      <c r="A54" s="116" t="s">
        <v>157</v>
      </c>
      <c r="B54" s="116"/>
      <c r="C54" s="116" t="s">
        <v>380</v>
      </c>
      <c r="D54" s="116"/>
      <c r="E54" s="116"/>
      <c r="F54" s="17" t="s">
        <v>40</v>
      </c>
      <c r="G54" s="143">
        <f>G51</f>
        <v>45083</v>
      </c>
      <c r="H54" s="143"/>
      <c r="I54" s="19" t="e">
        <f>IF(G54&gt;EDATE(E1,-48),"NO REMARK","CC REMARK FOR CC")</f>
        <v>#NUM!</v>
      </c>
      <c r="J54" s="78"/>
      <c r="R54"/>
      <c r="S54" s="53" t="s">
        <v>259</v>
      </c>
      <c r="T54" s="53" t="s">
        <v>264</v>
      </c>
      <c r="U54" s="53" t="s">
        <v>261</v>
      </c>
      <c r="V54" s="53" t="s">
        <v>280</v>
      </c>
    </row>
    <row r="55" spans="1:24" s="20" customFormat="1" ht="127.5" customHeight="1" x14ac:dyDescent="0.35">
      <c r="A55" s="116"/>
      <c r="B55" s="116"/>
      <c r="C55" s="223" t="s">
        <v>412</v>
      </c>
      <c r="D55" s="223"/>
      <c r="E55" s="223"/>
      <c r="F55" s="223"/>
      <c r="G55" s="223"/>
      <c r="H55" s="223"/>
      <c r="R55"/>
      <c r="S55" s="53" t="s">
        <v>260</v>
      </c>
      <c r="T55" s="53" t="s">
        <v>267</v>
      </c>
      <c r="U55" s="53" t="s">
        <v>274</v>
      </c>
      <c r="V55" s="71" t="s">
        <v>354</v>
      </c>
    </row>
    <row r="56" spans="1:24" s="20" customFormat="1" ht="15.75" hidden="1" customHeight="1" x14ac:dyDescent="0.35">
      <c r="A56" s="116" t="s">
        <v>157</v>
      </c>
      <c r="B56" s="116"/>
      <c r="C56" s="116"/>
      <c r="D56" s="116"/>
      <c r="E56" s="116"/>
      <c r="F56" s="17" t="s">
        <v>40</v>
      </c>
      <c r="G56" s="143">
        <v>44076</v>
      </c>
      <c r="H56" s="143"/>
      <c r="I56" s="19" t="str">
        <f ca="1">IF(G56&gt;EDATE(E3,-48),"NO REMARK","CC REMARK FOR CC")</f>
        <v>CC REMARK FOR CC</v>
      </c>
      <c r="J56" s="78"/>
      <c r="R56"/>
      <c r="S56" s="53" t="s">
        <v>259</v>
      </c>
      <c r="T56" s="53" t="s">
        <v>264</v>
      </c>
      <c r="U56" s="53" t="s">
        <v>261</v>
      </c>
      <c r="V56" s="53" t="s">
        <v>280</v>
      </c>
    </row>
    <row r="57" spans="1:24" s="20" customFormat="1" ht="33.75" hidden="1" customHeight="1" x14ac:dyDescent="0.35">
      <c r="A57" s="116"/>
      <c r="B57" s="116"/>
      <c r="C57" s="116"/>
      <c r="D57" s="116"/>
      <c r="E57" s="116"/>
      <c r="F57" s="17" t="s">
        <v>119</v>
      </c>
      <c r="G57" s="116" t="s">
        <v>153</v>
      </c>
      <c r="H57" s="116"/>
      <c r="R57"/>
      <c r="S57" s="53" t="s">
        <v>260</v>
      </c>
      <c r="T57" s="53" t="s">
        <v>267</v>
      </c>
      <c r="U57" s="53" t="s">
        <v>274</v>
      </c>
      <c r="V57" s="71" t="s">
        <v>354</v>
      </c>
    </row>
    <row r="58" spans="1:24" s="20" customFormat="1" hidden="1" x14ac:dyDescent="0.35">
      <c r="A58" s="142" t="s">
        <v>284</v>
      </c>
      <c r="B58" s="142"/>
      <c r="C58" s="116">
        <f>C57</f>
        <v>0</v>
      </c>
      <c r="D58" s="116"/>
      <c r="E58" s="116"/>
      <c r="F58" s="17" t="s">
        <v>40</v>
      </c>
      <c r="G58" s="143"/>
      <c r="H58" s="143"/>
      <c r="K58" s="79">
        <f>EDATE(G56,-48)</f>
        <v>42615</v>
      </c>
      <c r="L58" s="20" t="str">
        <f ca="1">IF(G56&gt;EDATE(E3,-48),"NO REMARK","CC REMARK FOR CC")</f>
        <v>CC REMARK FOR CC</v>
      </c>
      <c r="R58"/>
      <c r="S58" s="53" t="s">
        <v>259</v>
      </c>
      <c r="T58" s="53" t="s">
        <v>264</v>
      </c>
      <c r="U58" s="53" t="s">
        <v>261</v>
      </c>
      <c r="V58" s="53" t="s">
        <v>280</v>
      </c>
    </row>
    <row r="59" spans="1:24" s="20" customFormat="1" ht="32.25" hidden="1" customHeight="1" x14ac:dyDescent="0.35">
      <c r="A59" s="142"/>
      <c r="B59" s="142"/>
      <c r="C59" s="198"/>
      <c r="D59" s="198"/>
      <c r="E59" s="198"/>
      <c r="F59" s="198"/>
      <c r="G59" s="198"/>
      <c r="H59" s="198"/>
      <c r="R59"/>
      <c r="S59" s="53" t="s">
        <v>261</v>
      </c>
      <c r="T59" s="53" t="s">
        <v>265</v>
      </c>
      <c r="U59" s="53" t="s">
        <v>275</v>
      </c>
      <c r="V59" s="72"/>
      <c r="W59" s="18"/>
      <c r="X59" s="18"/>
    </row>
    <row r="60" spans="1:24" s="20" customFormat="1" ht="34.5" hidden="1" customHeight="1" x14ac:dyDescent="0.35">
      <c r="A60" s="142" t="s">
        <v>285</v>
      </c>
      <c r="B60" s="142"/>
      <c r="C60" s="116">
        <f>C59</f>
        <v>0</v>
      </c>
      <c r="D60" s="116"/>
      <c r="E60" s="116"/>
      <c r="F60" s="17" t="s">
        <v>40</v>
      </c>
      <c r="G60" s="143">
        <f>G59</f>
        <v>0</v>
      </c>
      <c r="H60" s="143"/>
      <c r="R60"/>
      <c r="S60" s="72"/>
      <c r="T60" s="53" t="s">
        <v>266</v>
      </c>
      <c r="U60" s="53" t="s">
        <v>276</v>
      </c>
      <c r="V60" s="72"/>
      <c r="W60" s="18"/>
      <c r="X60" s="18"/>
    </row>
    <row r="61" spans="1:24" s="20" customFormat="1" ht="41.25" hidden="1" customHeight="1" x14ac:dyDescent="0.35">
      <c r="A61" s="142"/>
      <c r="B61" s="142"/>
      <c r="C61" s="116"/>
      <c r="D61" s="116"/>
      <c r="E61" s="116"/>
      <c r="F61" s="116"/>
      <c r="G61" s="116"/>
      <c r="H61" s="116"/>
      <c r="R61"/>
      <c r="S61" s="72"/>
      <c r="T61" s="53" t="s">
        <v>268</v>
      </c>
      <c r="U61" s="53" t="s">
        <v>277</v>
      </c>
      <c r="V61" s="72"/>
      <c r="W61" s="18"/>
      <c r="X61" s="18"/>
    </row>
    <row r="62" spans="1:24" s="20" customFormat="1" ht="15.75" hidden="1" customHeight="1" x14ac:dyDescent="0.35">
      <c r="A62" s="142" t="s">
        <v>357</v>
      </c>
      <c r="B62" s="142"/>
      <c r="C62" s="116"/>
      <c r="D62" s="116"/>
      <c r="E62" s="116"/>
      <c r="F62" s="17" t="s">
        <v>40</v>
      </c>
      <c r="G62" s="143"/>
      <c r="H62" s="143"/>
      <c r="R62"/>
      <c r="S62" s="72"/>
      <c r="T62" s="53" t="s">
        <v>269</v>
      </c>
      <c r="U62" s="72" t="s">
        <v>299</v>
      </c>
      <c r="V62" s="72"/>
      <c r="W62" s="18"/>
      <c r="X62" s="18"/>
    </row>
    <row r="63" spans="1:24" s="20" customFormat="1" ht="33.75" hidden="1" customHeight="1" x14ac:dyDescent="0.35">
      <c r="A63" s="142"/>
      <c r="B63" s="142"/>
      <c r="C63" s="116" t="s">
        <v>359</v>
      </c>
      <c r="D63" s="116"/>
      <c r="E63" s="116"/>
      <c r="F63" s="17" t="s">
        <v>358</v>
      </c>
      <c r="G63" s="143"/>
      <c r="H63" s="143"/>
      <c r="R63"/>
      <c r="S63" s="72"/>
      <c r="T63" s="53" t="s">
        <v>270</v>
      </c>
      <c r="U63" s="72"/>
      <c r="V63" s="72"/>
      <c r="W63" s="18"/>
      <c r="X63" s="18"/>
    </row>
    <row r="64" spans="1:24" s="86" customFormat="1" ht="100" customHeight="1" x14ac:dyDescent="0.3">
      <c r="A64" s="231" t="s">
        <v>42</v>
      </c>
      <c r="B64" s="231"/>
      <c r="C64" s="232" t="s">
        <v>408</v>
      </c>
      <c r="D64" s="231"/>
      <c r="E64" s="231"/>
      <c r="F64" s="231"/>
      <c r="G64" s="91" t="s">
        <v>40</v>
      </c>
      <c r="H64" s="100">
        <v>43573</v>
      </c>
      <c r="I64" s="91"/>
      <c r="J64" s="91"/>
    </row>
    <row r="65" spans="1:22" hidden="1" x14ac:dyDescent="0.35">
      <c r="A65" s="134" t="s">
        <v>42</v>
      </c>
      <c r="B65" s="135"/>
      <c r="C65" s="134" t="s">
        <v>103</v>
      </c>
      <c r="D65" s="136"/>
      <c r="E65" s="135"/>
      <c r="F65" s="40" t="s">
        <v>40</v>
      </c>
      <c r="G65" s="140" t="s">
        <v>28</v>
      </c>
      <c r="H65" s="141"/>
      <c r="R65"/>
      <c r="S65" s="72"/>
      <c r="T65" s="53" t="s">
        <v>272</v>
      </c>
      <c r="U65" s="72"/>
      <c r="V65" s="72"/>
    </row>
    <row r="66" spans="1:22" x14ac:dyDescent="0.35">
      <c r="A66" s="166" t="s">
        <v>44</v>
      </c>
      <c r="B66" s="166"/>
      <c r="C66" s="166"/>
      <c r="D66" s="166"/>
      <c r="E66" s="166"/>
      <c r="F66" s="166"/>
      <c r="G66" s="166"/>
      <c r="H66" s="166"/>
      <c r="S66" s="72"/>
      <c r="T66" s="53" t="s">
        <v>281</v>
      </c>
      <c r="U66" s="72"/>
      <c r="V66" s="72"/>
    </row>
    <row r="67" spans="1:22" x14ac:dyDescent="0.35">
      <c r="A67" s="123" t="s">
        <v>88</v>
      </c>
      <c r="B67" s="123"/>
      <c r="C67" s="123"/>
      <c r="D67" s="115">
        <f>E46</f>
        <v>12949.184999999999</v>
      </c>
      <c r="E67" s="115"/>
      <c r="F67" s="115"/>
      <c r="G67" s="115"/>
      <c r="H67" s="115"/>
      <c r="R67"/>
    </row>
    <row r="68" spans="1:22" x14ac:dyDescent="0.35">
      <c r="A68" s="123" t="s">
        <v>45</v>
      </c>
      <c r="B68" s="115"/>
      <c r="C68" s="115"/>
      <c r="D68" s="115" t="s">
        <v>402</v>
      </c>
      <c r="E68" s="115"/>
      <c r="F68" s="115"/>
      <c r="G68" s="115"/>
      <c r="H68" s="115"/>
      <c r="I68" s="21"/>
      <c r="R68"/>
    </row>
    <row r="69" spans="1:22" x14ac:dyDescent="0.35">
      <c r="A69" s="190" t="s">
        <v>46</v>
      </c>
      <c r="B69" s="191"/>
      <c r="C69" s="192"/>
      <c r="D69" s="124" t="s">
        <v>403</v>
      </c>
      <c r="E69" s="189"/>
      <c r="F69" s="189"/>
      <c r="G69" s="189"/>
      <c r="H69" s="189"/>
      <c r="R69"/>
    </row>
    <row r="70" spans="1:22" ht="15.75" customHeight="1" x14ac:dyDescent="0.35">
      <c r="A70" s="190" t="s">
        <v>86</v>
      </c>
      <c r="B70" s="191"/>
      <c r="C70" s="192"/>
      <c r="D70" s="115" t="s">
        <v>414</v>
      </c>
      <c r="E70" s="115"/>
      <c r="F70" s="115"/>
      <c r="G70" s="115"/>
      <c r="H70" s="115"/>
      <c r="R70"/>
    </row>
    <row r="71" spans="1:22" ht="15.75" customHeight="1" x14ac:dyDescent="0.35">
      <c r="A71" s="193"/>
      <c r="B71" s="194"/>
      <c r="C71" s="195"/>
      <c r="D71" s="115" t="s">
        <v>383</v>
      </c>
      <c r="E71" s="115"/>
      <c r="F71" s="115"/>
      <c r="G71" s="115"/>
      <c r="H71" s="115"/>
      <c r="R71"/>
    </row>
    <row r="72" spans="1:22" ht="15.75" customHeight="1" x14ac:dyDescent="0.35">
      <c r="A72" s="193"/>
      <c r="B72" s="194"/>
      <c r="C72" s="195"/>
      <c r="D72" s="115" t="s">
        <v>384</v>
      </c>
      <c r="E72" s="115"/>
      <c r="F72" s="115"/>
      <c r="G72" s="115"/>
      <c r="H72" s="115"/>
      <c r="S72"/>
    </row>
    <row r="73" spans="1:22" ht="15.75" customHeight="1" x14ac:dyDescent="0.35">
      <c r="A73" s="193"/>
      <c r="B73" s="194"/>
      <c r="C73" s="195"/>
      <c r="D73" s="123" t="s">
        <v>385</v>
      </c>
      <c r="E73" s="115"/>
      <c r="F73" s="115"/>
      <c r="G73" s="115"/>
      <c r="H73" s="115"/>
      <c r="R73"/>
    </row>
    <row r="74" spans="1:22" ht="15.75" customHeight="1" x14ac:dyDescent="0.35">
      <c r="A74" s="193"/>
      <c r="B74" s="194"/>
      <c r="C74" s="195"/>
      <c r="D74" s="115" t="s">
        <v>386</v>
      </c>
      <c r="E74" s="115"/>
      <c r="F74" s="115"/>
      <c r="G74" s="115"/>
      <c r="H74" s="115"/>
      <c r="S74"/>
    </row>
    <row r="75" spans="1:22" ht="15.75" customHeight="1" x14ac:dyDescent="0.35">
      <c r="A75" s="193"/>
      <c r="B75" s="194"/>
      <c r="C75" s="195"/>
      <c r="D75" s="115" t="s">
        <v>387</v>
      </c>
      <c r="E75" s="115"/>
      <c r="F75" s="115"/>
      <c r="G75" s="115"/>
      <c r="H75" s="115"/>
      <c r="R75"/>
    </row>
    <row r="76" spans="1:22" ht="64.5" customHeight="1" x14ac:dyDescent="0.35">
      <c r="A76" s="110" t="s">
        <v>43</v>
      </c>
      <c r="B76" s="110"/>
      <c r="C76" s="110"/>
      <c r="D76" s="123" t="s">
        <v>417</v>
      </c>
      <c r="E76" s="123"/>
      <c r="F76" s="123"/>
      <c r="G76" s="123"/>
      <c r="H76" s="123"/>
      <c r="J76" s="22"/>
      <c r="K76" s="21"/>
      <c r="N76" s="21"/>
      <c r="S76"/>
    </row>
    <row r="77" spans="1:22" ht="15.75" customHeight="1" x14ac:dyDescent="0.35">
      <c r="A77" s="115" t="s">
        <v>84</v>
      </c>
      <c r="B77" s="115"/>
      <c r="C77" s="115"/>
      <c r="D77" s="199" t="str">
        <f>(IF(G65="NA","60 Years After Completion",IF(G65&lt;&gt;"NA",""&amp;60-ROUNDDOWN((E3-G65)/360,0)&amp;" Years"," ")))</f>
        <v>60 Years After Completion</v>
      </c>
      <c r="E77" s="199"/>
      <c r="F77" s="199"/>
      <c r="G77" s="199"/>
      <c r="H77" s="199"/>
      <c r="N77" s="21"/>
      <c r="S77"/>
    </row>
    <row r="78" spans="1:22" ht="15.75" customHeight="1" x14ac:dyDescent="0.35">
      <c r="A78" s="115" t="s">
        <v>85</v>
      </c>
      <c r="B78" s="115"/>
      <c r="C78" s="115"/>
      <c r="D78" s="123" t="s">
        <v>23</v>
      </c>
      <c r="E78" s="123"/>
      <c r="F78" s="123"/>
      <c r="G78" s="123"/>
      <c r="H78" s="123"/>
      <c r="J78" s="23"/>
      <c r="K78" s="23"/>
      <c r="S78"/>
    </row>
    <row r="79" spans="1:22" x14ac:dyDescent="0.35">
      <c r="A79" s="115" t="s">
        <v>404</v>
      </c>
      <c r="B79" s="115"/>
      <c r="C79" s="115"/>
      <c r="D79" s="123" t="s">
        <v>28</v>
      </c>
      <c r="E79" s="123"/>
      <c r="F79" s="123"/>
      <c r="G79" s="123"/>
      <c r="H79" s="123"/>
      <c r="S79"/>
    </row>
    <row r="80" spans="1:22" x14ac:dyDescent="0.35">
      <c r="A80" s="123" t="s">
        <v>148</v>
      </c>
      <c r="B80" s="123"/>
      <c r="C80" s="123"/>
      <c r="D80" s="123" t="s">
        <v>28</v>
      </c>
      <c r="E80" s="123"/>
      <c r="F80" s="123"/>
      <c r="G80" s="123"/>
      <c r="H80" s="123"/>
      <c r="I80" s="24"/>
      <c r="J80" s="24"/>
      <c r="K80" s="24"/>
      <c r="L80" s="24"/>
      <c r="M80" s="24"/>
      <c r="N80" s="24"/>
    </row>
    <row r="81" spans="1:19" ht="15.75" customHeight="1" x14ac:dyDescent="0.35">
      <c r="A81" s="189" t="s">
        <v>83</v>
      </c>
      <c r="B81" s="189"/>
      <c r="C81" s="189"/>
      <c r="D81" s="124" t="str">
        <f ca="1">(IF(G101&gt;95%,"Nothing",IF(G101&gt;0%,"Cement, Aggregate, Steel, etc",IF(G101=0%,"Work not yet Started"))))</f>
        <v>Cement, Aggregate, Steel, etc</v>
      </c>
      <c r="E81" s="124"/>
      <c r="F81" s="124"/>
      <c r="G81" s="124"/>
      <c r="H81" s="124"/>
      <c r="J81" s="23"/>
      <c r="S81"/>
    </row>
    <row r="82" spans="1:19" ht="33.75" customHeight="1" thickBot="1" x14ac:dyDescent="0.4">
      <c r="A82" s="188" t="s">
        <v>116</v>
      </c>
      <c r="B82" s="188"/>
      <c r="C82" s="188"/>
      <c r="D82" s="124" t="str">
        <f ca="1">(IF(D81="Nothing","Yes",IF(D81="Cement, Aggregate, Steel, etc","Under Construction",IF(D81="Work not yet Started","Work not yet Started"))))</f>
        <v>Under Construction</v>
      </c>
      <c r="E82" s="124"/>
      <c r="F82" s="124" t="str">
        <f ca="1">(IF(D81="Nothing","Yes",IF(D81="Cement, Aggregate, Steel, etc","Under Construction",IF(D81="Work not yet Started","Work not yet Started"))))</f>
        <v>Under Construction</v>
      </c>
      <c r="G82" s="124"/>
      <c r="H82" s="124"/>
      <c r="S82"/>
    </row>
    <row r="83" spans="1:19" ht="15.75" customHeight="1" x14ac:dyDescent="0.35">
      <c r="A83" s="181" t="s">
        <v>138</v>
      </c>
      <c r="B83" s="182"/>
      <c r="C83" s="183" t="str">
        <f>D70</f>
        <v>Building No.1 = Ground/Stilt + 1st to 7th floor</v>
      </c>
      <c r="D83" s="184"/>
      <c r="E83" s="184"/>
      <c r="F83" s="184"/>
      <c r="G83" s="184"/>
      <c r="H83" s="185"/>
      <c r="I83" s="42" t="str">
        <f ca="1">IF(D96=100%,"All work Completed. Possession granted to the Building.",IF(D95=100%,"All work Completed, Waiting for OC",I84&amp;""&amp;I85&amp;""&amp;J84&amp;""&amp;J83&amp;" "&amp;J85))</f>
        <v xml:space="preserve">Work not yet Started. </v>
      </c>
      <c r="J83" s="43" t="str">
        <f ca="1">(IF(C89=(D84+F84+H84),"",IF(C89&gt;0,", RCC upto "&amp;C89&amp;" Slab","")))&amp;(IF(C90=H84,"",IF(C90&gt;0,", Brickwork upto "&amp;C90&amp;" Floor","")))&amp;(IF(C91=H84,"",IF(C91&gt;0,", Internal Plaster upto "&amp;C91&amp;" Floor","")))&amp;(IF(C92=H84,"",IF(C92&gt;0,", External Plaster upto "&amp;C92&amp;" Floor","")))&amp;(IF(C93=H84,"",IF(C93&gt;0,", Flooring upto "&amp;C93&amp;" Floor","")))&amp;(IF(C94=H84,"",IF(C94&gt;0,", Painting upto "&amp;C94&amp;" Floor","")))&amp;(IF(C95=H84,"",IF(C95&gt;0,", Finishing upto "&amp;C95&amp;" Floor","")))&amp;(IF(C96=H84,"",IF(C96&gt;0,", Possession upto "&amp;C96&amp;" Floor","")))</f>
        <v/>
      </c>
      <c r="S83"/>
    </row>
    <row r="84" spans="1:19" x14ac:dyDescent="0.35">
      <c r="A84" s="15" t="s">
        <v>140</v>
      </c>
      <c r="B84" s="46">
        <f>IF(AND(ISNUMBER(SEARCH("1B",C83))),1,IF(AND(ISNUMBER(SEARCH("2B",C83))),2,IF(AND(ISNUMBER(SEARCH("3B",C83))),3,IF(AND(ISNUMBER(SEARCH("4B",C83))),4,IF(ISNUMBER(SEARCH("5B",C83)),5,0)))))</f>
        <v>0</v>
      </c>
      <c r="C84" s="46" t="s">
        <v>69</v>
      </c>
      <c r="D84" s="46">
        <v>1</v>
      </c>
      <c r="E84" s="46" t="s">
        <v>68</v>
      </c>
      <c r="F84" s="46">
        <v>0</v>
      </c>
      <c r="G84" s="46" t="s">
        <v>77</v>
      </c>
      <c r="H84" s="16">
        <f ca="1">--TRIM(RIGHT(SUBSTITUTE(LEFT(C83,_xlfn.AGGREGATE(16,6,FIND({0,1,2,3,4,5,6,7,8,9},C83,ROW(INDIRECT("1:"&amp;LEN(C83)))),1))," ",REPT(" ",LEN(C83))),LEN(C83)))</f>
        <v>7</v>
      </c>
      <c r="I84" s="44" t="str">
        <f ca="1">IF(D87=100%,"Excavation","")&amp;IF(D88=100%,", Plinth","")&amp;IF(D89=100%,", RCC Slab","")&amp;IF(D90=100%,", Brickwork","")&amp;IF(D91=100%,", Internal Plaster","")&amp;IF(D92=100%,", External Plaster","")&amp;IF(D93=100%,", Flooring","")&amp;IF(D94=100%,", Painting","")&amp;IF(D95=100%,", Building common Amenities","")</f>
        <v/>
      </c>
      <c r="J84" s="45" t="str">
        <f>(IF(C87=0,"Work not yet Started.",IF(D87=25%,"Piling work in process",IF(D87=50%,"Excavation work in process",IF(D87=100%,"","0")))))&amp;(IF(C88=0%,"",IF(C88=J89,", Footing work is process",IF(C88=J90,", Footing work Completed",IF(C88=J91,", 1st Basement Completed",IF(C88=J92,", 1st &amp; 2nd Basement Completed",IF(C88=J93,", 1st to 3rd Basement Completed",IF(C88=J94,", 1st to 4th Basement Completed",IF(C88=J95,", Plinth work is process",IF(C88=J96,"","0"))))))))))</f>
        <v>Work not yet Started.</v>
      </c>
      <c r="S84"/>
    </row>
    <row r="85" spans="1:19" x14ac:dyDescent="0.35">
      <c r="A85" s="180" t="s">
        <v>87</v>
      </c>
      <c r="B85" s="169"/>
      <c r="C85" s="186" t="str">
        <f ca="1">I83</f>
        <v xml:space="preserve">Work not yet Started. </v>
      </c>
      <c r="D85" s="186"/>
      <c r="E85" s="186"/>
      <c r="F85" s="186"/>
      <c r="G85" s="186"/>
      <c r="H85" s="187"/>
      <c r="I85" s="44" t="str">
        <f ca="1">IF(I84&lt;&gt;""," Completed","")</f>
        <v/>
      </c>
      <c r="J85" s="45" t="str">
        <f ca="1">IF(J83&lt;&gt;"","Completed","")</f>
        <v/>
      </c>
      <c r="S85"/>
    </row>
    <row r="86" spans="1:19" ht="15.75" customHeight="1" x14ac:dyDescent="0.35">
      <c r="A86" s="111" t="s">
        <v>47</v>
      </c>
      <c r="B86" s="112"/>
      <c r="C86" s="92" t="s">
        <v>137</v>
      </c>
      <c r="D86" s="92" t="s">
        <v>80</v>
      </c>
      <c r="E86" s="112" t="s">
        <v>82</v>
      </c>
      <c r="F86" s="112"/>
      <c r="G86" s="112" t="s">
        <v>81</v>
      </c>
      <c r="H86" s="125"/>
      <c r="I86" s="13" t="s">
        <v>139</v>
      </c>
      <c r="J86" s="25">
        <f ca="1">H84*25%</f>
        <v>1.75</v>
      </c>
      <c r="S86"/>
    </row>
    <row r="87" spans="1:19" x14ac:dyDescent="0.35">
      <c r="A87" s="111" t="s">
        <v>126</v>
      </c>
      <c r="B87" s="112"/>
      <c r="C87" s="92">
        <v>0</v>
      </c>
      <c r="D87" s="93">
        <f ca="1">((100/H84)*C87)/100</f>
        <v>0</v>
      </c>
      <c r="E87" s="214">
        <f ca="1">(((C88/H84*10)+(40/(D84+F84+H84)*C89)+(7.5/(H84)*C90)+(7.5/(H84)*C91)+(10/H84*C92)+(10/H84*C93)+(5/H84*C94)+(5/H84*C95)+(5/H84*C96))/100)</f>
        <v>0</v>
      </c>
      <c r="F87" s="220"/>
      <c r="G87" s="214">
        <f ca="1">((((C87/H84)*20)+((C88/H84)*25)+(30/(H84+F84+D84)*C89)+(5/H84*C90)+(5/H84*C91)+(5/H84*C92)+(5/H84*C93)+(0/H84*C94)+(0/H84*C95)+(5/H84*C96))/100)</f>
        <v>0</v>
      </c>
      <c r="H87" s="215"/>
      <c r="I87" s="13" t="s">
        <v>98</v>
      </c>
      <c r="J87" s="26">
        <f ca="1">H84*50%</f>
        <v>3.5</v>
      </c>
    </row>
    <row r="88" spans="1:19" x14ac:dyDescent="0.35">
      <c r="A88" s="111" t="s">
        <v>48</v>
      </c>
      <c r="B88" s="112"/>
      <c r="C88" s="92">
        <v>0</v>
      </c>
      <c r="D88" s="93">
        <f ca="1">((100/H84)*C88)/100</f>
        <v>0</v>
      </c>
      <c r="E88" s="216"/>
      <c r="F88" s="221"/>
      <c r="G88" s="216"/>
      <c r="H88" s="217"/>
      <c r="I88" s="13" t="s">
        <v>99</v>
      </c>
      <c r="J88" s="26">
        <f ca="1">H84</f>
        <v>7</v>
      </c>
      <c r="S88"/>
    </row>
    <row r="89" spans="1:19" ht="15.75" customHeight="1" x14ac:dyDescent="0.35">
      <c r="A89" s="111" t="s">
        <v>127</v>
      </c>
      <c r="B89" s="112"/>
      <c r="C89" s="92">
        <v>0</v>
      </c>
      <c r="D89" s="93">
        <f ca="1">((100/(D84+F84+H84))*C89)/100</f>
        <v>0</v>
      </c>
      <c r="E89" s="216"/>
      <c r="F89" s="221"/>
      <c r="G89" s="216"/>
      <c r="H89" s="217"/>
      <c r="I89" s="13" t="s">
        <v>100</v>
      </c>
      <c r="J89" s="27">
        <f ca="1">(IF(B84&gt;1,(H84/(B84+2)),H84/4))</f>
        <v>1.75</v>
      </c>
      <c r="S89"/>
    </row>
    <row r="90" spans="1:19" ht="15.75" customHeight="1" x14ac:dyDescent="0.35">
      <c r="A90" s="111" t="s">
        <v>134</v>
      </c>
      <c r="B90" s="112" t="s">
        <v>128</v>
      </c>
      <c r="C90" s="92">
        <v>0</v>
      </c>
      <c r="D90" s="93">
        <f ca="1">((100/H84)*C90)/100</f>
        <v>0</v>
      </c>
      <c r="E90" s="216"/>
      <c r="F90" s="221"/>
      <c r="G90" s="216"/>
      <c r="H90" s="217"/>
      <c r="I90" s="13" t="s">
        <v>101</v>
      </c>
      <c r="J90" s="27">
        <f ca="1">(IF(B84&gt;1,(H84/(B84+2)+J89),H84/4+J89))</f>
        <v>3.5</v>
      </c>
    </row>
    <row r="91" spans="1:19" ht="15.75" customHeight="1" x14ac:dyDescent="0.35">
      <c r="A91" s="111" t="s">
        <v>135</v>
      </c>
      <c r="B91" s="112" t="s">
        <v>128</v>
      </c>
      <c r="C91" s="92">
        <v>0</v>
      </c>
      <c r="D91" s="93">
        <f ca="1">((100/H84)*C91)/100</f>
        <v>0</v>
      </c>
      <c r="E91" s="216"/>
      <c r="F91" s="221"/>
      <c r="G91" s="216"/>
      <c r="H91" s="217"/>
      <c r="I91" s="13" t="s">
        <v>146</v>
      </c>
      <c r="J91" s="27">
        <f>(IF(B84&gt;1,(H84/(B84+2)+J90),0))</f>
        <v>0</v>
      </c>
    </row>
    <row r="92" spans="1:19" ht="15" customHeight="1" x14ac:dyDescent="0.35">
      <c r="A92" s="111" t="s">
        <v>133</v>
      </c>
      <c r="B92" s="112" t="s">
        <v>130</v>
      </c>
      <c r="C92" s="92">
        <v>0</v>
      </c>
      <c r="D92" s="93">
        <f ca="1">((100/(H84))*C92)/100</f>
        <v>0</v>
      </c>
      <c r="E92" s="216"/>
      <c r="F92" s="221"/>
      <c r="G92" s="216"/>
      <c r="H92" s="217"/>
      <c r="I92" s="13" t="s">
        <v>141</v>
      </c>
      <c r="J92" s="27">
        <f>(IF(B84&gt;2,(H84/(B84+2)+J91),0))</f>
        <v>0</v>
      </c>
    </row>
    <row r="93" spans="1:19" ht="15.75" customHeight="1" x14ac:dyDescent="0.35">
      <c r="A93" s="111" t="s">
        <v>129</v>
      </c>
      <c r="B93" s="112" t="s">
        <v>129</v>
      </c>
      <c r="C93" s="92">
        <v>0</v>
      </c>
      <c r="D93" s="93">
        <f ca="1">((100/H84)*C93)/100</f>
        <v>0</v>
      </c>
      <c r="E93" s="216"/>
      <c r="F93" s="221"/>
      <c r="G93" s="216"/>
      <c r="H93" s="217"/>
      <c r="I93" s="13" t="s">
        <v>142</v>
      </c>
      <c r="J93" s="28">
        <f>(IF(B84&gt;3,(H84/(B84+2)+J92),0))</f>
        <v>0</v>
      </c>
    </row>
    <row r="94" spans="1:19" ht="15.75" customHeight="1" x14ac:dyDescent="0.35">
      <c r="A94" s="111" t="s">
        <v>136</v>
      </c>
      <c r="B94" s="112"/>
      <c r="C94" s="92">
        <v>0</v>
      </c>
      <c r="D94" s="93">
        <f ca="1">((100/H84)*C94)/100</f>
        <v>0</v>
      </c>
      <c r="E94" s="216"/>
      <c r="F94" s="221"/>
      <c r="G94" s="216"/>
      <c r="H94" s="217"/>
      <c r="I94" s="13" t="s">
        <v>143</v>
      </c>
      <c r="J94" s="27">
        <f>(IF(B84&gt;4,(H84/(B84+2)+J93),0))</f>
        <v>0</v>
      </c>
    </row>
    <row r="95" spans="1:19" ht="15.75" customHeight="1" x14ac:dyDescent="0.35">
      <c r="A95" s="111" t="s">
        <v>131</v>
      </c>
      <c r="B95" s="112" t="s">
        <v>131</v>
      </c>
      <c r="C95" s="92">
        <v>0</v>
      </c>
      <c r="D95" s="93">
        <f ca="1">((100/(H84))*C95)/100</f>
        <v>0</v>
      </c>
      <c r="E95" s="216"/>
      <c r="F95" s="221"/>
      <c r="G95" s="216"/>
      <c r="H95" s="217"/>
      <c r="I95" s="13" t="s">
        <v>147</v>
      </c>
      <c r="J95" s="27">
        <f ca="1">(IF(B84=1,(H84/(B84+3)+J90),IF(B84=0,(H84/4+J90),IF(B84&gt;1,0))))</f>
        <v>5.25</v>
      </c>
    </row>
    <row r="96" spans="1:19" ht="16" thickBot="1" x14ac:dyDescent="0.4">
      <c r="A96" s="126" t="s">
        <v>132</v>
      </c>
      <c r="B96" s="127"/>
      <c r="C96" s="94">
        <v>0</v>
      </c>
      <c r="D96" s="95">
        <f ca="1">((100/(H84))*C96)/100</f>
        <v>0</v>
      </c>
      <c r="E96" s="218"/>
      <c r="F96" s="222"/>
      <c r="G96" s="218"/>
      <c r="H96" s="219"/>
      <c r="I96" s="14" t="s">
        <v>102</v>
      </c>
      <c r="J96" s="29">
        <f ca="1">(IF(B84&gt;1.5,(H84/(B84+2)+J90+MAX(0,J91-J90)+MAX(0,J92-J91)+MAX(0,J93-J92)+MAX(0,J94-J93)+MAX(0,J95-J94)),IF(B84=1,(H84/(B84+3)+J95),IF(B84=0,H84/4+J95))))</f>
        <v>7</v>
      </c>
    </row>
    <row r="97" spans="1:19" ht="15.75" customHeight="1" x14ac:dyDescent="0.35">
      <c r="A97" s="181" t="s">
        <v>138</v>
      </c>
      <c r="B97" s="182"/>
      <c r="C97" s="183" t="str">
        <f>D71</f>
        <v>Building No.2 (A to C wing) = Ground/Stilt + 1st to 6th floor</v>
      </c>
      <c r="D97" s="184"/>
      <c r="E97" s="184"/>
      <c r="F97" s="184"/>
      <c r="G97" s="184"/>
      <c r="H97" s="185"/>
      <c r="I97" s="42" t="str">
        <f ca="1">IF(D110=100%,"All work Completed. Possession granted to the Building.",IF(D109=100%,"All work Completed, Waiting for OC",I98&amp;""&amp;I99&amp;""&amp;J98&amp;""&amp;J97&amp;" "&amp;J99))</f>
        <v xml:space="preserve">Excavation, Plinth Completed </v>
      </c>
      <c r="J97" s="43" t="str">
        <f ca="1">(IF(C103=(D98+F98+H98),"",IF(C103&gt;0,", RCC upto "&amp;C103&amp;" Slab","")))&amp;(IF(C104=H98,"",IF(C104&gt;0,", Brickwork upto "&amp;C104&amp;" Floor","")))&amp;(IF(C105=H98,"",IF(C105&gt;0,", Internal Plaster upto "&amp;C105&amp;" Floor","")))&amp;(IF(C106=H98,"",IF(C106&gt;0,", External Plaster upto "&amp;C106&amp;" Floor","")))&amp;(IF(C107=H98,"",IF(C107&gt;0,", Flooring upto "&amp;C107&amp;" Floor","")))&amp;(IF(C108=H98,"",IF(C108&gt;0,", Painting upto "&amp;C108&amp;" Floor","")))&amp;(IF(C109=H98,"",IF(C109&gt;0,", Finishing upto "&amp;C109&amp;" Floor","")))&amp;(IF(C110=H98,"",IF(C110&gt;0,", Possession upto "&amp;C110&amp;" Floor","")))</f>
        <v/>
      </c>
      <c r="S97"/>
    </row>
    <row r="98" spans="1:19" x14ac:dyDescent="0.35">
      <c r="A98" s="15" t="s">
        <v>140</v>
      </c>
      <c r="B98" s="46">
        <f>IF(AND(ISNUMBER(SEARCH("1B",C97))),1,IF(AND(ISNUMBER(SEARCH("2B",C97))),2,IF(AND(ISNUMBER(SEARCH("3B",C97))),3,IF(AND(ISNUMBER(SEARCH("4B",C97))),4,IF(ISNUMBER(SEARCH("5B",C97)),5,0)))))</f>
        <v>0</v>
      </c>
      <c r="C98" s="46" t="s">
        <v>69</v>
      </c>
      <c r="D98" s="46">
        <v>1</v>
      </c>
      <c r="E98" s="46" t="s">
        <v>68</v>
      </c>
      <c r="F98" s="46">
        <v>0</v>
      </c>
      <c r="G98" s="46" t="s">
        <v>77</v>
      </c>
      <c r="H98" s="16">
        <f ca="1">--TRIM(RIGHT(SUBSTITUTE(LEFT(C97,_xlfn.AGGREGATE(16,6,FIND({0,1,2,3,4,5,6,7,8,9},C97,ROW(INDIRECT("1:"&amp;LEN(C97)))),1))," ",REPT(" ",LEN(C97))),LEN(C97)))</f>
        <v>6</v>
      </c>
      <c r="I98" s="44" t="str">
        <f ca="1">IF(D101=100%,"Excavation","")&amp;IF(D102=100%,", Plinth","")&amp;IF(D103=100%,", RCC Slab","")&amp;IF(D104=100%,", Brickwork","")&amp;IF(D105=100%,", Internal Plaster","")&amp;IF(D106=100%,", External Plaster","")&amp;IF(D107=100%,", Flooring","")&amp;IF(D108=100%,", Painting","")&amp;IF(D109=100%,", Building common Amenities","")</f>
        <v>Excavation, Plinth</v>
      </c>
      <c r="J98" s="45" t="str">
        <f ca="1">(IF(C101=0,"Work not yet Started.",IF(D101=25%,"Piling work in process",IF(D101=50%,"Excavation work in process",IF(D101=100%,"","0")))))&amp;(IF(C102=0%,"",IF(C102=J103,", Footing work is process",IF(C102=J104,", Footing work Completed",IF(C102=J105,", 1st Basement Completed",IF(C102=J106,", 1st &amp; 2nd Basement Completed",IF(C102=J107,", 1st to 3rd Basement Completed",IF(C102=J108,", 1st to 4th Basement Completed",IF(C102=J109,", Plinth work is process",IF(C102=J110,"","0"))))))))))</f>
        <v/>
      </c>
      <c r="S98"/>
    </row>
    <row r="99" spans="1:19" x14ac:dyDescent="0.35">
      <c r="A99" s="180" t="s">
        <v>87</v>
      </c>
      <c r="B99" s="169"/>
      <c r="C99" s="186" t="str">
        <f ca="1">I97</f>
        <v xml:space="preserve">Excavation, Plinth Completed </v>
      </c>
      <c r="D99" s="186"/>
      <c r="E99" s="186"/>
      <c r="F99" s="186"/>
      <c r="G99" s="186"/>
      <c r="H99" s="187"/>
      <c r="I99" s="44" t="str">
        <f ca="1">IF(I98&lt;&gt;""," Completed","")</f>
        <v xml:space="preserve"> Completed</v>
      </c>
      <c r="J99" s="45" t="str">
        <f ca="1">IF(J97&lt;&gt;"","Completed","")</f>
        <v/>
      </c>
      <c r="S99"/>
    </row>
    <row r="100" spans="1:19" ht="15.75" customHeight="1" x14ac:dyDescent="0.35">
      <c r="A100" s="111" t="s">
        <v>47</v>
      </c>
      <c r="B100" s="112"/>
      <c r="C100" s="92" t="s">
        <v>137</v>
      </c>
      <c r="D100" s="92" t="s">
        <v>80</v>
      </c>
      <c r="E100" s="112" t="s">
        <v>82</v>
      </c>
      <c r="F100" s="112"/>
      <c r="G100" s="112" t="s">
        <v>81</v>
      </c>
      <c r="H100" s="125"/>
      <c r="I100" s="13" t="s">
        <v>139</v>
      </c>
      <c r="J100" s="25">
        <f ca="1">H98*25%</f>
        <v>1.5</v>
      </c>
      <c r="S100"/>
    </row>
    <row r="101" spans="1:19" x14ac:dyDescent="0.35">
      <c r="A101" s="111" t="s">
        <v>126</v>
      </c>
      <c r="B101" s="112"/>
      <c r="C101" s="92">
        <f ca="1">J102</f>
        <v>6</v>
      </c>
      <c r="D101" s="93">
        <f ca="1">((100/H98)*C101)/100</f>
        <v>1</v>
      </c>
      <c r="E101" s="214">
        <f ca="1">(((C102/H98*10)+(40/(D98+F98+H98)*C103)+(7.5/(H98)*C104)+(7.5/(H98)*C105)+(10/H98*C106)+(10/H98*C107)+(5/H98*C108)+(5/H98*C109)+(5/H98*C110))/100)</f>
        <v>0.1</v>
      </c>
      <c r="F101" s="220"/>
      <c r="G101" s="214">
        <f ca="1">((((C101/H98)*20)+((C102/H98)*25)+(30/(H98+F98+D98)*C103)+(5/H98*C104)+(5/H98*C105)+(5/H98*C106)+(5/H98*C107)+(0/H98*C108)+(0/H98*C109)+(5/H98*C110))/100)</f>
        <v>0.45</v>
      </c>
      <c r="H101" s="215"/>
      <c r="I101" s="13" t="s">
        <v>98</v>
      </c>
      <c r="J101" s="26">
        <f ca="1">H98*50%</f>
        <v>3</v>
      </c>
    </row>
    <row r="102" spans="1:19" x14ac:dyDescent="0.35">
      <c r="A102" s="111" t="s">
        <v>48</v>
      </c>
      <c r="B102" s="112"/>
      <c r="C102" s="92">
        <f ca="1">J110</f>
        <v>6</v>
      </c>
      <c r="D102" s="93">
        <f ca="1">((100/H98)*C102)/100</f>
        <v>1</v>
      </c>
      <c r="E102" s="216"/>
      <c r="F102" s="221"/>
      <c r="G102" s="216"/>
      <c r="H102" s="217"/>
      <c r="I102" s="13" t="s">
        <v>99</v>
      </c>
      <c r="J102" s="26">
        <f ca="1">H98</f>
        <v>6</v>
      </c>
      <c r="S102"/>
    </row>
    <row r="103" spans="1:19" ht="15.75" customHeight="1" x14ac:dyDescent="0.35">
      <c r="A103" s="111" t="s">
        <v>127</v>
      </c>
      <c r="B103" s="112"/>
      <c r="C103" s="92">
        <v>0</v>
      </c>
      <c r="D103" s="93">
        <f ca="1">((100/(D98+F98+H98))*C103)/100</f>
        <v>0</v>
      </c>
      <c r="E103" s="216"/>
      <c r="F103" s="221"/>
      <c r="G103" s="216"/>
      <c r="H103" s="217"/>
      <c r="I103" s="13" t="s">
        <v>100</v>
      </c>
      <c r="J103" s="27">
        <f ca="1">(IF(B98&gt;1,(H98/(B98+2)),H98/4))</f>
        <v>1.5</v>
      </c>
      <c r="S103"/>
    </row>
    <row r="104" spans="1:19" ht="15.75" customHeight="1" x14ac:dyDescent="0.35">
      <c r="A104" s="111" t="s">
        <v>134</v>
      </c>
      <c r="B104" s="112" t="s">
        <v>128</v>
      </c>
      <c r="C104" s="92">
        <v>0</v>
      </c>
      <c r="D104" s="93">
        <f ca="1">((100/H98)*C104)/100</f>
        <v>0</v>
      </c>
      <c r="E104" s="216"/>
      <c r="F104" s="221"/>
      <c r="G104" s="216"/>
      <c r="H104" s="217"/>
      <c r="I104" s="13" t="s">
        <v>101</v>
      </c>
      <c r="J104" s="27">
        <f ca="1">(IF(B98&gt;1,(H98/(B98+2)+J103),H98/4+J103))</f>
        <v>3</v>
      </c>
    </row>
    <row r="105" spans="1:19" ht="15.75" customHeight="1" x14ac:dyDescent="0.35">
      <c r="A105" s="111" t="s">
        <v>135</v>
      </c>
      <c r="B105" s="112" t="s">
        <v>128</v>
      </c>
      <c r="C105" s="92">
        <v>0</v>
      </c>
      <c r="D105" s="93">
        <f ca="1">((100/H98)*C105)/100</f>
        <v>0</v>
      </c>
      <c r="E105" s="216"/>
      <c r="F105" s="221"/>
      <c r="G105" s="216"/>
      <c r="H105" s="217"/>
      <c r="I105" s="13" t="s">
        <v>146</v>
      </c>
      <c r="J105" s="27">
        <f>(IF(B98&gt;1,(H98/(B98+2)+J104),0))</f>
        <v>0</v>
      </c>
    </row>
    <row r="106" spans="1:19" ht="15" customHeight="1" x14ac:dyDescent="0.35">
      <c r="A106" s="111" t="s">
        <v>133</v>
      </c>
      <c r="B106" s="112" t="s">
        <v>130</v>
      </c>
      <c r="C106" s="92">
        <v>0</v>
      </c>
      <c r="D106" s="93">
        <f ca="1">((100/(H98))*C106)/100</f>
        <v>0</v>
      </c>
      <c r="E106" s="216"/>
      <c r="F106" s="221"/>
      <c r="G106" s="216"/>
      <c r="H106" s="217"/>
      <c r="I106" s="13" t="s">
        <v>141</v>
      </c>
      <c r="J106" s="27">
        <f>(IF(B98&gt;2,(H98/(B98+2)+J105),0))</f>
        <v>0</v>
      </c>
    </row>
    <row r="107" spans="1:19" ht="15.75" customHeight="1" x14ac:dyDescent="0.35">
      <c r="A107" s="111" t="s">
        <v>129</v>
      </c>
      <c r="B107" s="112" t="s">
        <v>129</v>
      </c>
      <c r="C107" s="92">
        <v>0</v>
      </c>
      <c r="D107" s="93">
        <f ca="1">((100/H98)*C107)/100</f>
        <v>0</v>
      </c>
      <c r="E107" s="216"/>
      <c r="F107" s="221"/>
      <c r="G107" s="216"/>
      <c r="H107" s="217"/>
      <c r="I107" s="13" t="s">
        <v>142</v>
      </c>
      <c r="J107" s="28">
        <f>(IF(B98&gt;3,(H98/(B98+2)+J106),0))</f>
        <v>0</v>
      </c>
    </row>
    <row r="108" spans="1:19" ht="15.75" customHeight="1" x14ac:dyDescent="0.35">
      <c r="A108" s="111" t="s">
        <v>136</v>
      </c>
      <c r="B108" s="112"/>
      <c r="C108" s="92">
        <v>0</v>
      </c>
      <c r="D108" s="93">
        <f ca="1">((100/H98)*C108)/100</f>
        <v>0</v>
      </c>
      <c r="E108" s="216"/>
      <c r="F108" s="221"/>
      <c r="G108" s="216"/>
      <c r="H108" s="217"/>
      <c r="I108" s="13" t="s">
        <v>143</v>
      </c>
      <c r="J108" s="27">
        <f>(IF(B98&gt;4,(H98/(B98+2)+J107),0))</f>
        <v>0</v>
      </c>
    </row>
    <row r="109" spans="1:19" ht="15.75" customHeight="1" x14ac:dyDescent="0.35">
      <c r="A109" s="111" t="s">
        <v>131</v>
      </c>
      <c r="B109" s="112" t="s">
        <v>131</v>
      </c>
      <c r="C109" s="92">
        <v>0</v>
      </c>
      <c r="D109" s="93">
        <f ca="1">((100/(H98))*C109)/100</f>
        <v>0</v>
      </c>
      <c r="E109" s="216"/>
      <c r="F109" s="221"/>
      <c r="G109" s="216"/>
      <c r="H109" s="217"/>
      <c r="I109" s="13" t="s">
        <v>147</v>
      </c>
      <c r="J109" s="27">
        <f ca="1">(IF(B98=1,(H98/(B98+3)+J104),IF(B98=0,(H98/4+J104),IF(B98&gt;1,0))))</f>
        <v>4.5</v>
      </c>
    </row>
    <row r="110" spans="1:19" ht="16" thickBot="1" x14ac:dyDescent="0.4">
      <c r="A110" s="126" t="s">
        <v>132</v>
      </c>
      <c r="B110" s="127"/>
      <c r="C110" s="94">
        <v>0</v>
      </c>
      <c r="D110" s="95">
        <f ca="1">((100/(H98))*C110)/100</f>
        <v>0</v>
      </c>
      <c r="E110" s="218"/>
      <c r="F110" s="222"/>
      <c r="G110" s="218"/>
      <c r="H110" s="219"/>
      <c r="I110" s="14" t="s">
        <v>102</v>
      </c>
      <c r="J110" s="29">
        <f ca="1">(IF(B98&gt;1.5,(H98/(B98+2)+J104+MAX(0,J105-J104)+MAX(0,J106-J105)+MAX(0,J107-J106)+MAX(0,J108-J107)+MAX(0,J109-J108)),IF(B98=1,(H98/(B98+3)+J109),IF(B98=0,H98/4+J109))))</f>
        <v>6</v>
      </c>
    </row>
    <row r="111" spans="1:19" ht="15.75" customHeight="1" x14ac:dyDescent="0.35">
      <c r="A111" s="181" t="s">
        <v>138</v>
      </c>
      <c r="B111" s="182"/>
      <c r="C111" s="183" t="str">
        <f>D72</f>
        <v>Building No.3 (A to C wing) = Ground/Stilt + 1st to 4th floor</v>
      </c>
      <c r="D111" s="184"/>
      <c r="E111" s="184"/>
      <c r="F111" s="184"/>
      <c r="G111" s="184"/>
      <c r="H111" s="185"/>
      <c r="I111" s="42" t="str">
        <f ca="1">IF(D125=100%,"All work Completed. Possession granted to the Building.",IF(D124=100%,"All work Completed, Waiting for OC",I112&amp;""&amp;I113&amp;""&amp;J112&amp;""&amp;J111&amp;" "&amp;J113))</f>
        <v>All work Completed. Possession granted to the Building.</v>
      </c>
      <c r="J111" s="43" t="str">
        <f ca="1">(IF(C118=(D112+F112+H112),"",IF(C118&gt;0,", RCC upto "&amp;C118&amp;" Slab","")))&amp;(IF(C119=H112,"",IF(C119&gt;0,", Brickwork upto "&amp;C119&amp;" Floor","")))&amp;(IF(C120=H112,"",IF(C120&gt;0,", Internal Plaster upto "&amp;C120&amp;" Floor","")))&amp;(IF(C121=H112,"",IF(C121&gt;0,", External Plaster upto "&amp;C121&amp;" Floor","")))&amp;(IF(C122=H112,"",IF(C122&gt;0,", Flooring upto "&amp;C122&amp;" Floor","")))&amp;(IF(C123=H112,"",IF(C123&gt;0,", Painting upto "&amp;C123&amp;" Floor","")))&amp;(IF(C124=H112,"",IF(C124&gt;0,", Finishing upto "&amp;C124&amp;" Floor","")))&amp;(IF(C125=H112,"",IF(C125&gt;0,", Possession upto "&amp;C125&amp;" Floor","")))</f>
        <v/>
      </c>
      <c r="S111"/>
    </row>
    <row r="112" spans="1:19" x14ac:dyDescent="0.35">
      <c r="A112" s="15" t="s">
        <v>140</v>
      </c>
      <c r="B112" s="46">
        <f>IF(AND(ISNUMBER(SEARCH("1B",C111))),1,IF(AND(ISNUMBER(SEARCH("2B",C111))),2,IF(AND(ISNUMBER(SEARCH("3B",C111))),3,IF(AND(ISNUMBER(SEARCH("4B",C111))),4,IF(ISNUMBER(SEARCH("5B",C111)),5,0)))))</f>
        <v>0</v>
      </c>
      <c r="C112" s="46" t="s">
        <v>69</v>
      </c>
      <c r="D112" s="46">
        <v>1</v>
      </c>
      <c r="E112" s="46" t="s">
        <v>68</v>
      </c>
      <c r="F112" s="46">
        <v>0</v>
      </c>
      <c r="G112" s="46" t="s">
        <v>77</v>
      </c>
      <c r="H112" s="16">
        <f ca="1">--TRIM(RIGHT(SUBSTITUTE(LEFT(C111,_xlfn.AGGREGATE(16,6,FIND({0,1,2,3,4,5,6,7,8,9},C111,ROW(INDIRECT("1:"&amp;LEN(C111)))),1))," ",REPT(" ",LEN(C111))),LEN(C111)))</f>
        <v>4</v>
      </c>
      <c r="I112" s="44" t="str">
        <f ca="1">IF(D116=100%,"Excavation","")&amp;IF(D117=100%,", Plinth","")&amp;IF(D118=100%,", RCC Slab","")&amp;IF(D119=100%,", Brickwork","")&amp;IF(D120=100%,", Internal Plaster","")&amp;IF(D121=100%,", External Plaster","")&amp;IF(D122=100%,", Flooring","")&amp;IF(D123=100%,", Painting","")&amp;IF(D124=100%,", Building common Amenities","")</f>
        <v>Excavation, Plinth, RCC Slab, Brickwork, Internal Plaster, External Plaster, Flooring, Painting, Building common Amenities</v>
      </c>
      <c r="J112" s="45" t="str">
        <f ca="1">(IF(C116=0,"Work not yet Started.",IF(D116=25%,"Piling work in process",IF(D116=50%,"Excavation work in process",IF(D116=100%,"","0")))))&amp;(IF(C117=0%,"",IF(C117=J118,", Footing work is process",IF(C117=J119,", Footing work Completed",IF(C117=J120,", 1st Basement Completed",IF(C117=J121,", 1st &amp; 2nd Basement Completed",IF(C117=J122,", 1st to 3rd Basement Completed",IF(C117=J123,", 1st to 4th Basement Completed",IF(C117=J124,", Plinth work is process",IF(C117=J125,"","0"))))))))))</f>
        <v/>
      </c>
      <c r="S112"/>
    </row>
    <row r="113" spans="1:19" x14ac:dyDescent="0.35">
      <c r="A113" s="180" t="s">
        <v>87</v>
      </c>
      <c r="B113" s="169"/>
      <c r="C113" s="186" t="str">
        <f ca="1">I111</f>
        <v>All work Completed. Possession granted to the Building.</v>
      </c>
      <c r="D113" s="186"/>
      <c r="E113" s="186"/>
      <c r="F113" s="186"/>
      <c r="G113" s="186"/>
      <c r="H113" s="187"/>
      <c r="I113" s="44" t="str">
        <f ca="1">IF(I112&lt;&gt;""," Completed","")</f>
        <v xml:space="preserve"> Completed</v>
      </c>
      <c r="J113" s="45" t="str">
        <f ca="1">IF(J111&lt;&gt;"","Completed","")</f>
        <v/>
      </c>
      <c r="S113"/>
    </row>
    <row r="114" spans="1:19" ht="31.5" customHeight="1" thickBot="1" x14ac:dyDescent="0.4">
      <c r="A114" s="233" t="s">
        <v>82</v>
      </c>
      <c r="B114" s="234"/>
      <c r="C114" s="235">
        <f ca="1">E116</f>
        <v>1</v>
      </c>
      <c r="D114" s="236"/>
      <c r="E114" s="237" t="s">
        <v>81</v>
      </c>
      <c r="F114" s="236"/>
      <c r="G114" s="235">
        <f ca="1">G116</f>
        <v>1</v>
      </c>
      <c r="H114" s="238"/>
      <c r="I114" s="44"/>
      <c r="J114" s="45" t="str">
        <f ca="1">IF(J112&lt;&gt;"","Completed","")</f>
        <v/>
      </c>
      <c r="S114"/>
    </row>
    <row r="115" spans="1:19" ht="15.75" hidden="1" customHeight="1" x14ac:dyDescent="0.35">
      <c r="A115" s="111" t="s">
        <v>47</v>
      </c>
      <c r="B115" s="112"/>
      <c r="C115" s="92" t="s">
        <v>137</v>
      </c>
      <c r="D115" s="92" t="s">
        <v>80</v>
      </c>
      <c r="E115" s="112" t="s">
        <v>82</v>
      </c>
      <c r="F115" s="112"/>
      <c r="G115" s="112" t="s">
        <v>81</v>
      </c>
      <c r="H115" s="125"/>
      <c r="I115" s="13" t="s">
        <v>139</v>
      </c>
      <c r="J115" s="25">
        <f ca="1">H112*25%</f>
        <v>1</v>
      </c>
      <c r="S115"/>
    </row>
    <row r="116" spans="1:19" hidden="1" x14ac:dyDescent="0.35">
      <c r="A116" s="111" t="s">
        <v>126</v>
      </c>
      <c r="B116" s="112"/>
      <c r="C116" s="92">
        <f ca="1">J117</f>
        <v>4</v>
      </c>
      <c r="D116" s="93">
        <f ca="1">((100/H112)*C116)/100</f>
        <v>1</v>
      </c>
      <c r="E116" s="214">
        <f ca="1">(((C117/H112*10)+(40/(D112+F112+H112)*C118)+(7.5/(H112)*C119)+(7.5/(H112)*C120)+(10/H112*C121)+(10/H112*C122)+(5/H112*C123)+(5/H112*C124)+(5/H112*C125))/100)</f>
        <v>1</v>
      </c>
      <c r="F116" s="220"/>
      <c r="G116" s="214">
        <f ca="1">((((C116/H112)*20)+((C117/H112)*25)+(30/(H112+F112+D112)*C118)+(5/H112*C119)+(5/H112*C120)+(5/H112*C121)+(5/H112*C122)+(0/H112*C123)+(0/H112*C124)+(5/H112*C125))/100)</f>
        <v>1</v>
      </c>
      <c r="H116" s="215"/>
      <c r="I116" s="13" t="s">
        <v>98</v>
      </c>
      <c r="J116" s="26">
        <f ca="1">H112*50%</f>
        <v>2</v>
      </c>
    </row>
    <row r="117" spans="1:19" hidden="1" x14ac:dyDescent="0.35">
      <c r="A117" s="111" t="s">
        <v>48</v>
      </c>
      <c r="B117" s="112"/>
      <c r="C117" s="92">
        <f ca="1">J125</f>
        <v>4</v>
      </c>
      <c r="D117" s="93">
        <f ca="1">((100/H112)*C117)/100</f>
        <v>1</v>
      </c>
      <c r="E117" s="216"/>
      <c r="F117" s="221"/>
      <c r="G117" s="216"/>
      <c r="H117" s="217"/>
      <c r="I117" s="13" t="s">
        <v>99</v>
      </c>
      <c r="J117" s="26">
        <f ca="1">H112</f>
        <v>4</v>
      </c>
      <c r="S117"/>
    </row>
    <row r="118" spans="1:19" ht="15.75" hidden="1" customHeight="1" x14ac:dyDescent="0.35">
      <c r="A118" s="111" t="s">
        <v>127</v>
      </c>
      <c r="B118" s="112"/>
      <c r="C118" s="92">
        <v>5</v>
      </c>
      <c r="D118" s="93">
        <f ca="1">((100/(D112+F112+H112))*C118)/100</f>
        <v>1</v>
      </c>
      <c r="E118" s="216"/>
      <c r="F118" s="221"/>
      <c r="G118" s="216"/>
      <c r="H118" s="217"/>
      <c r="I118" s="13" t="s">
        <v>100</v>
      </c>
      <c r="J118" s="27">
        <f ca="1">(IF(B112&gt;1,(H112/(B112+2)),H112/4))</f>
        <v>1</v>
      </c>
      <c r="S118"/>
    </row>
    <row r="119" spans="1:19" ht="15.75" hidden="1" customHeight="1" x14ac:dyDescent="0.35">
      <c r="A119" s="111" t="s">
        <v>134</v>
      </c>
      <c r="B119" s="112" t="s">
        <v>128</v>
      </c>
      <c r="C119" s="92">
        <v>4</v>
      </c>
      <c r="D119" s="93">
        <f ca="1">((100/H112)*C119)/100</f>
        <v>1</v>
      </c>
      <c r="E119" s="216"/>
      <c r="F119" s="221"/>
      <c r="G119" s="216"/>
      <c r="H119" s="217"/>
      <c r="I119" s="13" t="s">
        <v>101</v>
      </c>
      <c r="J119" s="27">
        <f ca="1">(IF(B112&gt;1,(H112/(B112+2)+J118),H112/4+J118))</f>
        <v>2</v>
      </c>
    </row>
    <row r="120" spans="1:19" ht="15.75" hidden="1" customHeight="1" x14ac:dyDescent="0.35">
      <c r="A120" s="111" t="s">
        <v>135</v>
      </c>
      <c r="B120" s="112" t="s">
        <v>128</v>
      </c>
      <c r="C120" s="92">
        <v>4</v>
      </c>
      <c r="D120" s="93">
        <f ca="1">((100/H112)*C120)/100</f>
        <v>1</v>
      </c>
      <c r="E120" s="216"/>
      <c r="F120" s="221"/>
      <c r="G120" s="216"/>
      <c r="H120" s="217"/>
      <c r="I120" s="13" t="s">
        <v>146</v>
      </c>
      <c r="J120" s="27">
        <f>(IF(B112&gt;1,(H112/(B112+2)+J119),0))</f>
        <v>0</v>
      </c>
    </row>
    <row r="121" spans="1:19" ht="15" hidden="1" customHeight="1" x14ac:dyDescent="0.35">
      <c r="A121" s="111" t="s">
        <v>133</v>
      </c>
      <c r="B121" s="112" t="s">
        <v>130</v>
      </c>
      <c r="C121" s="92">
        <v>4</v>
      </c>
      <c r="D121" s="93">
        <f ca="1">((100/(H112))*C121)/100</f>
        <v>1</v>
      </c>
      <c r="E121" s="216"/>
      <c r="F121" s="221"/>
      <c r="G121" s="216"/>
      <c r="H121" s="217"/>
      <c r="I121" s="13" t="s">
        <v>141</v>
      </c>
      <c r="J121" s="27">
        <f>(IF(B112&gt;2,(H112/(B112+2)+J120),0))</f>
        <v>0</v>
      </c>
    </row>
    <row r="122" spans="1:19" ht="15.75" hidden="1" customHeight="1" x14ac:dyDescent="0.35">
      <c r="A122" s="111" t="s">
        <v>129</v>
      </c>
      <c r="B122" s="112" t="s">
        <v>129</v>
      </c>
      <c r="C122" s="92">
        <v>4</v>
      </c>
      <c r="D122" s="93">
        <f ca="1">((100/H112)*C122)/100</f>
        <v>1</v>
      </c>
      <c r="E122" s="216"/>
      <c r="F122" s="221"/>
      <c r="G122" s="216"/>
      <c r="H122" s="217"/>
      <c r="I122" s="13" t="s">
        <v>142</v>
      </c>
      <c r="J122" s="28">
        <f>(IF(B112&gt;3,(H112/(B112+2)+J121),0))</f>
        <v>0</v>
      </c>
    </row>
    <row r="123" spans="1:19" ht="15.75" hidden="1" customHeight="1" x14ac:dyDescent="0.35">
      <c r="A123" s="111" t="s">
        <v>136</v>
      </c>
      <c r="B123" s="112"/>
      <c r="C123" s="92">
        <v>4</v>
      </c>
      <c r="D123" s="93">
        <f ca="1">((100/H112)*C123)/100</f>
        <v>1</v>
      </c>
      <c r="E123" s="216"/>
      <c r="F123" s="221"/>
      <c r="G123" s="216"/>
      <c r="H123" s="217"/>
      <c r="I123" s="13" t="s">
        <v>143</v>
      </c>
      <c r="J123" s="27">
        <f>(IF(B112&gt;4,(H112/(B112+2)+J122),0))</f>
        <v>0</v>
      </c>
    </row>
    <row r="124" spans="1:19" ht="15.75" hidden="1" customHeight="1" x14ac:dyDescent="0.35">
      <c r="A124" s="111" t="s">
        <v>131</v>
      </c>
      <c r="B124" s="112" t="s">
        <v>131</v>
      </c>
      <c r="C124" s="92">
        <v>4</v>
      </c>
      <c r="D124" s="93">
        <f ca="1">((100/(H112))*C124)/100</f>
        <v>1</v>
      </c>
      <c r="E124" s="216"/>
      <c r="F124" s="221"/>
      <c r="G124" s="216"/>
      <c r="H124" s="217"/>
      <c r="I124" s="13" t="s">
        <v>147</v>
      </c>
      <c r="J124" s="27">
        <f ca="1">(IF(B112=1,(H112/(B112+3)+J119),IF(B112=0,(H112/4+J119),IF(B112&gt;1,0))))</f>
        <v>3</v>
      </c>
    </row>
    <row r="125" spans="1:19" ht="16" hidden="1" thickBot="1" x14ac:dyDescent="0.4">
      <c r="A125" s="126" t="s">
        <v>132</v>
      </c>
      <c r="B125" s="127"/>
      <c r="C125" s="94">
        <v>4</v>
      </c>
      <c r="D125" s="95">
        <f ca="1">((100/(H112))*C125)/100</f>
        <v>1</v>
      </c>
      <c r="E125" s="218"/>
      <c r="F125" s="222"/>
      <c r="G125" s="218"/>
      <c r="H125" s="219"/>
      <c r="I125" s="14" t="s">
        <v>102</v>
      </c>
      <c r="J125" s="29">
        <f ca="1">(IF(B112&gt;1.5,(H112/(B112+2)+J119+MAX(0,J120-J119)+MAX(0,J121-J120)+MAX(0,J122-J121)+MAX(0,J123-J122)+MAX(0,J124-J123)),IF(B112=1,(H112/(B112+3)+J124),IF(B112=0,H112/4+J124))))</f>
        <v>4</v>
      </c>
    </row>
    <row r="126" spans="1:19" ht="15.75" customHeight="1" x14ac:dyDescent="0.35">
      <c r="A126" s="181" t="s">
        <v>138</v>
      </c>
      <c r="B126" s="182"/>
      <c r="C126" s="183" t="str">
        <f>D73</f>
        <v>Building No.4 (A &amp; B wing) = Ground/Stilt + 1st to 7th floor</v>
      </c>
      <c r="D126" s="184"/>
      <c r="E126" s="184"/>
      <c r="F126" s="184"/>
      <c r="G126" s="184"/>
      <c r="H126" s="185"/>
      <c r="I126" s="42" t="str">
        <f ca="1">IF(D139=100%,"All work Completed. Possession granted to the Building.",IF(D138=100%,"All work Completed, Waiting for OC",I127&amp;""&amp;I128&amp;""&amp;J127&amp;""&amp;J126&amp;" "&amp;J128))</f>
        <v>Excavation, Plinth, RCC Slab, Brickwork, Internal Plaster Completed, External Plaster upto 5 Floor, Flooring upto 3 Floor, Painting upto 1 Floor Completed</v>
      </c>
      <c r="J126" s="43" t="str">
        <f ca="1">(IF(C132=(D127+F127+H127),"",IF(C132&gt;0,", RCC upto "&amp;C132&amp;" Slab","")))&amp;(IF(C133=H127,"",IF(C133&gt;0,", Brickwork upto "&amp;C133&amp;" Floor","")))&amp;(IF(C134=H127,"",IF(C134&gt;0,", Internal Plaster upto "&amp;C134&amp;" Floor","")))&amp;(IF(C135=H127,"",IF(C135&gt;0,", External Plaster upto "&amp;C135&amp;" Floor","")))&amp;(IF(C136=H127,"",IF(C136&gt;0,", Flooring upto "&amp;C136&amp;" Floor","")))&amp;(IF(C137=H127,"",IF(C137&gt;0,", Painting upto "&amp;C137&amp;" Floor","")))&amp;(IF(C138=H127,"",IF(C138&gt;0,", Finishing upto "&amp;C138&amp;" Floor","")))&amp;(IF(C139=H127,"",IF(C139&gt;0,", Possession upto "&amp;C139&amp;" Floor","")))</f>
        <v>, External Plaster upto 5 Floor, Flooring upto 3 Floor, Painting upto 1 Floor</v>
      </c>
      <c r="S126"/>
    </row>
    <row r="127" spans="1:19" x14ac:dyDescent="0.35">
      <c r="A127" s="15" t="s">
        <v>140</v>
      </c>
      <c r="B127" s="46">
        <f>IF(AND(ISNUMBER(SEARCH("1B",C126))),1,IF(AND(ISNUMBER(SEARCH("2B",C126))),2,IF(AND(ISNUMBER(SEARCH("3B",C126))),3,IF(AND(ISNUMBER(SEARCH("4B",C126))),4,IF(ISNUMBER(SEARCH("5B",C126)),5,0)))))</f>
        <v>0</v>
      </c>
      <c r="C127" s="46" t="s">
        <v>69</v>
      </c>
      <c r="D127" s="46">
        <v>1</v>
      </c>
      <c r="E127" s="46" t="s">
        <v>68</v>
      </c>
      <c r="F127" s="46">
        <v>0</v>
      </c>
      <c r="G127" s="46" t="s">
        <v>77</v>
      </c>
      <c r="H127" s="16">
        <f ca="1">--TRIM(RIGHT(SUBSTITUTE(LEFT(C126,_xlfn.AGGREGATE(16,6,FIND({0,1,2,3,4,5,6,7,8,9},C126,ROW(INDIRECT("1:"&amp;LEN(C126)))),1))," ",REPT(" ",LEN(C126))),LEN(C126)))</f>
        <v>7</v>
      </c>
      <c r="I127" s="44" t="str">
        <f ca="1">IF(D130=100%,"Excavation","")&amp;IF(D131=100%,", Plinth","")&amp;IF(D132=100%,", RCC Slab","")&amp;IF(D133=100%,", Brickwork","")&amp;IF(D134=100%,", Internal Plaster","")&amp;IF(D135=100%,", External Plaster","")&amp;IF(D136=100%,", Flooring","")&amp;IF(D137=100%,", Painting","")&amp;IF(D138=100%,", Building common Amenities","")</f>
        <v>Excavation, Plinth, RCC Slab, Brickwork, Internal Plaster</v>
      </c>
      <c r="J127" s="45" t="str">
        <f ca="1">(IF(C130=0,"Work not yet Started.",IF(D130=25%,"Piling work in process",IF(D130=50%,"Excavation work in process",IF(D130=100%,"","0")))))&amp;(IF(C131=0%,"",IF(C131=J132,", Footing work is process",IF(C131=J133,", Footing work Completed",IF(C131=J134,", 1st Basement Completed",IF(C131=J135,", 1st &amp; 2nd Basement Completed",IF(C131=J136,", 1st to 3rd Basement Completed",IF(C131=J137,", 1st to 4th Basement Completed",IF(C131=J138,", Plinth work is process",IF(C131=J139,"","0"))))))))))</f>
        <v/>
      </c>
      <c r="S127"/>
    </row>
    <row r="128" spans="1:19" ht="47.5" customHeight="1" x14ac:dyDescent="0.35">
      <c r="A128" s="180" t="s">
        <v>87</v>
      </c>
      <c r="B128" s="169"/>
      <c r="C128" s="186" t="str">
        <f ca="1">I126</f>
        <v>Excavation, Plinth, RCC Slab, Brickwork, Internal Plaster Completed, External Plaster upto 5 Floor, Flooring upto 3 Floor, Painting upto 1 Floor Completed</v>
      </c>
      <c r="D128" s="186"/>
      <c r="E128" s="186"/>
      <c r="F128" s="186"/>
      <c r="G128" s="186"/>
      <c r="H128" s="187"/>
      <c r="I128" s="44" t="str">
        <f ca="1">IF(I127&lt;&gt;""," Completed","")</f>
        <v xml:space="preserve"> Completed</v>
      </c>
      <c r="J128" s="45" t="str">
        <f ca="1">IF(J126&lt;&gt;"","Completed","")</f>
        <v>Completed</v>
      </c>
      <c r="S128"/>
    </row>
    <row r="129" spans="1:19" ht="15.75" customHeight="1" x14ac:dyDescent="0.35">
      <c r="A129" s="111" t="s">
        <v>47</v>
      </c>
      <c r="B129" s="112"/>
      <c r="C129" s="92" t="s">
        <v>137</v>
      </c>
      <c r="D129" s="92" t="s">
        <v>80</v>
      </c>
      <c r="E129" s="112" t="s">
        <v>82</v>
      </c>
      <c r="F129" s="112"/>
      <c r="G129" s="112" t="s">
        <v>81</v>
      </c>
      <c r="H129" s="125"/>
      <c r="I129" s="13" t="s">
        <v>139</v>
      </c>
      <c r="J129" s="25">
        <f ca="1">H127*25%</f>
        <v>1.75</v>
      </c>
      <c r="S129"/>
    </row>
    <row r="130" spans="1:19" x14ac:dyDescent="0.35">
      <c r="A130" s="112" t="s">
        <v>126</v>
      </c>
      <c r="B130" s="112"/>
      <c r="C130" s="97">
        <f ca="1">J131</f>
        <v>7</v>
      </c>
      <c r="D130" s="93">
        <f ca="1">((100/H127)*C130)/100</f>
        <v>1</v>
      </c>
      <c r="E130" s="230">
        <f ca="1">(((C131/H127*10)+(40/(D127+F127+H127)*C132)+(7.5/(H127)*C133)+(7.5/(H127)*C134)+(10/H127*C135)+(10/H127*C136)+(5/H127*C137)+(5/H127*C138)+(5/H127*C139))/100)</f>
        <v>0.77142857142857135</v>
      </c>
      <c r="F130" s="230"/>
      <c r="G130" s="230">
        <f ca="1">((((C130/H127)*20)+((C131/H127)*25)+(30/(H127+F127+D127)*C132)+(5/H127*C133)+(5/H127*C134)+(5/H127*C135)+(5/H127*C136)+(0/H127*C137)+(0/H127*C138)+(5/H127*C139))/100)</f>
        <v>0.90714285714285703</v>
      </c>
      <c r="H130" s="230"/>
      <c r="I130" s="13" t="s">
        <v>98</v>
      </c>
      <c r="J130" s="26">
        <f ca="1">H127*50%</f>
        <v>3.5</v>
      </c>
    </row>
    <row r="131" spans="1:19" x14ac:dyDescent="0.35">
      <c r="A131" s="112" t="s">
        <v>48</v>
      </c>
      <c r="B131" s="112"/>
      <c r="C131" s="97">
        <f ca="1">J139</f>
        <v>7</v>
      </c>
      <c r="D131" s="93">
        <f ca="1">((100/H127)*C131)/100</f>
        <v>1</v>
      </c>
      <c r="E131" s="230"/>
      <c r="F131" s="230"/>
      <c r="G131" s="230"/>
      <c r="H131" s="230"/>
      <c r="I131" s="13" t="s">
        <v>99</v>
      </c>
      <c r="J131" s="26">
        <f ca="1">H127</f>
        <v>7</v>
      </c>
      <c r="S131"/>
    </row>
    <row r="132" spans="1:19" ht="15.75" customHeight="1" x14ac:dyDescent="0.35">
      <c r="A132" s="112" t="s">
        <v>127</v>
      </c>
      <c r="B132" s="112"/>
      <c r="C132" s="97">
        <v>8</v>
      </c>
      <c r="D132" s="93">
        <f ca="1">((100/(D127+F127+H127))*C132)/100</f>
        <v>1</v>
      </c>
      <c r="E132" s="230"/>
      <c r="F132" s="230"/>
      <c r="G132" s="230"/>
      <c r="H132" s="230"/>
      <c r="I132" s="13" t="s">
        <v>100</v>
      </c>
      <c r="J132" s="27">
        <f ca="1">(IF(B127&gt;1,(H127/(B127+2)),H127/4))</f>
        <v>1.75</v>
      </c>
      <c r="S132"/>
    </row>
    <row r="133" spans="1:19" ht="15.75" customHeight="1" x14ac:dyDescent="0.35">
      <c r="A133" s="112" t="s">
        <v>134</v>
      </c>
      <c r="B133" s="112" t="s">
        <v>128</v>
      </c>
      <c r="C133" s="97">
        <v>7</v>
      </c>
      <c r="D133" s="93">
        <f ca="1">((100/H127)*C133)/100</f>
        <v>1</v>
      </c>
      <c r="E133" s="230"/>
      <c r="F133" s="230"/>
      <c r="G133" s="230"/>
      <c r="H133" s="230"/>
      <c r="I133" s="13" t="s">
        <v>101</v>
      </c>
      <c r="J133" s="27">
        <f ca="1">(IF(B127&gt;1,(H127/(B127+2)+J132),H127/4+J132))</f>
        <v>3.5</v>
      </c>
    </row>
    <row r="134" spans="1:19" ht="15.75" customHeight="1" x14ac:dyDescent="0.35">
      <c r="A134" s="112" t="s">
        <v>135</v>
      </c>
      <c r="B134" s="112" t="s">
        <v>128</v>
      </c>
      <c r="C134" s="97">
        <v>7</v>
      </c>
      <c r="D134" s="93">
        <f ca="1">((100/H127)*C134)/100</f>
        <v>1</v>
      </c>
      <c r="E134" s="230"/>
      <c r="F134" s="230"/>
      <c r="G134" s="230"/>
      <c r="H134" s="230"/>
      <c r="I134" s="13" t="s">
        <v>146</v>
      </c>
      <c r="J134" s="27">
        <f>(IF(B127&gt;1,(H127/(B127+2)+J133),0))</f>
        <v>0</v>
      </c>
    </row>
    <row r="135" spans="1:19" ht="15" customHeight="1" x14ac:dyDescent="0.35">
      <c r="A135" s="112" t="s">
        <v>133</v>
      </c>
      <c r="B135" s="112" t="s">
        <v>130</v>
      </c>
      <c r="C135" s="97">
        <v>5</v>
      </c>
      <c r="D135" s="93">
        <f ca="1">((100/(H127))*C135)/100</f>
        <v>0.7142857142857143</v>
      </c>
      <c r="E135" s="230"/>
      <c r="F135" s="230"/>
      <c r="G135" s="230"/>
      <c r="H135" s="230"/>
      <c r="I135" s="13" t="s">
        <v>141</v>
      </c>
      <c r="J135" s="27">
        <f>(IF(B127&gt;2,(H127/(B127+2)+J134),0))</f>
        <v>0</v>
      </c>
    </row>
    <row r="136" spans="1:19" ht="15.75" customHeight="1" x14ac:dyDescent="0.35">
      <c r="A136" s="112" t="s">
        <v>129</v>
      </c>
      <c r="B136" s="112" t="s">
        <v>129</v>
      </c>
      <c r="C136" s="97">
        <v>3</v>
      </c>
      <c r="D136" s="93">
        <f ca="1">((100/H127)*C136)/100</f>
        <v>0.4285714285714286</v>
      </c>
      <c r="E136" s="230"/>
      <c r="F136" s="230"/>
      <c r="G136" s="230"/>
      <c r="H136" s="230"/>
      <c r="I136" s="13" t="s">
        <v>142</v>
      </c>
      <c r="J136" s="28">
        <f>(IF(B127&gt;3,(H127/(B127+2)+J135),0))</f>
        <v>0</v>
      </c>
    </row>
    <row r="137" spans="1:19" ht="15.75" customHeight="1" x14ac:dyDescent="0.35">
      <c r="A137" s="112" t="s">
        <v>136</v>
      </c>
      <c r="B137" s="112"/>
      <c r="C137" s="97">
        <v>1</v>
      </c>
      <c r="D137" s="93">
        <f ca="1">((100/H127)*C137)/100</f>
        <v>0.14285714285714288</v>
      </c>
      <c r="E137" s="230"/>
      <c r="F137" s="230"/>
      <c r="G137" s="230"/>
      <c r="H137" s="230"/>
      <c r="I137" s="13" t="s">
        <v>143</v>
      </c>
      <c r="J137" s="27">
        <f>(IF(B127&gt;4,(H127/(B127+2)+J136),0))</f>
        <v>0</v>
      </c>
    </row>
    <row r="138" spans="1:19" ht="15.75" customHeight="1" x14ac:dyDescent="0.35">
      <c r="A138" s="112" t="s">
        <v>131</v>
      </c>
      <c r="B138" s="112" t="s">
        <v>131</v>
      </c>
      <c r="C138" s="97">
        <v>0</v>
      </c>
      <c r="D138" s="93">
        <f ca="1">((100/(H127))*C138)/100</f>
        <v>0</v>
      </c>
      <c r="E138" s="230"/>
      <c r="F138" s="230"/>
      <c r="G138" s="230"/>
      <c r="H138" s="230"/>
      <c r="I138" s="13" t="s">
        <v>147</v>
      </c>
      <c r="J138" s="27">
        <f ca="1">(IF(B127=1,(H127/(B127+3)+J133),IF(B127=0,(H127/4+J133),IF(B127&gt;1,0))))</f>
        <v>5.25</v>
      </c>
    </row>
    <row r="139" spans="1:19" ht="16" thickBot="1" x14ac:dyDescent="0.4">
      <c r="A139" s="112" t="s">
        <v>132</v>
      </c>
      <c r="B139" s="112"/>
      <c r="C139" s="97">
        <v>0</v>
      </c>
      <c r="D139" s="93">
        <f ca="1">((100/(H127))*C139)/100</f>
        <v>0</v>
      </c>
      <c r="E139" s="230"/>
      <c r="F139" s="230"/>
      <c r="G139" s="230"/>
      <c r="H139" s="230"/>
      <c r="I139" s="14" t="s">
        <v>102</v>
      </c>
      <c r="J139" s="29">
        <f ca="1">(IF(B127&gt;1.5,(H127/(B127+2)+J133+MAX(0,J134-J133)+MAX(0,J135-J134)+MAX(0,J136-J135)+MAX(0,J137-J136)+MAX(0,J138-J137)),IF(B127=1,(H127/(B127+3)+J138),IF(B127=0,H127/4+J138))))</f>
        <v>7</v>
      </c>
    </row>
    <row r="140" spans="1:19" ht="15.75" customHeight="1" x14ac:dyDescent="0.35">
      <c r="A140" s="186" t="s">
        <v>138</v>
      </c>
      <c r="B140" s="186"/>
      <c r="C140" s="186" t="str">
        <f>D74</f>
        <v>Building No.5(A &amp; B wing) = Ground/Stilt + 1st to 7th floor</v>
      </c>
      <c r="D140" s="186"/>
      <c r="E140" s="186"/>
      <c r="F140" s="186"/>
      <c r="G140" s="186"/>
      <c r="H140" s="186"/>
      <c r="I140" s="101" t="str">
        <f ca="1">IF(D153=100%,"All work Completed. Possession granted to the Building.",IF(D152=100%,"All work Completed, Waiting for OC",I141&amp;""&amp;I142&amp;""&amp;J141&amp;""&amp;J140&amp;" "&amp;J142))</f>
        <v>All work Completed. Possession granted to the Building.</v>
      </c>
      <c r="J140" s="43" t="str">
        <f ca="1">(IF(C146=(D141+F141+H141),"",IF(C146&gt;0,", RCC upto "&amp;C146&amp;" Slab","")))&amp;(IF(C147=H141,"",IF(C147&gt;0,", Brickwork upto "&amp;C147&amp;" Floor","")))&amp;(IF(C148=H141,"",IF(C148&gt;0,", Internal Plaster upto "&amp;C148&amp;" Floor","")))&amp;(IF(C149=H141,"",IF(C149&gt;0,", External Plaster upto "&amp;C149&amp;" Floor","")))&amp;(IF(C150=H141,"",IF(C150&gt;0,", Flooring upto "&amp;C150&amp;" Floor","")))&amp;(IF(C151=H141,"",IF(C151&gt;0,", Painting upto "&amp;C151&amp;" Floor","")))&amp;(IF(C152=H141,"",IF(C152&gt;0,", Finishing upto "&amp;C152&amp;" Floor","")))&amp;(IF(C153=H141,"",IF(C153&gt;0,", Possession upto "&amp;C153&amp;" Floor","")))</f>
        <v/>
      </c>
      <c r="S140"/>
    </row>
    <row r="141" spans="1:19" x14ac:dyDescent="0.35">
      <c r="A141" s="46" t="s">
        <v>140</v>
      </c>
      <c r="B141" s="46">
        <f>IF(AND(ISNUMBER(SEARCH("1B",C140))),1,IF(AND(ISNUMBER(SEARCH("2B",C140))),2,IF(AND(ISNUMBER(SEARCH("3B",C140))),3,IF(AND(ISNUMBER(SEARCH("4B",C140))),4,IF(ISNUMBER(SEARCH("5B",C140)),5,0)))))</f>
        <v>0</v>
      </c>
      <c r="C141" s="46" t="s">
        <v>69</v>
      </c>
      <c r="D141" s="46">
        <v>1</v>
      </c>
      <c r="E141" s="46" t="s">
        <v>68</v>
      </c>
      <c r="F141" s="46">
        <v>0</v>
      </c>
      <c r="G141" s="46" t="s">
        <v>77</v>
      </c>
      <c r="H141" s="46">
        <f ca="1">--TRIM(RIGHT(SUBSTITUTE(LEFT(C140,_xlfn.AGGREGATE(16,6,FIND({0,1,2,3,4,5,6,7,8,9},C140,ROW(INDIRECT("1:"&amp;LEN(C140)))),1))," ",REPT(" ",LEN(C140))),LEN(C140)))</f>
        <v>7</v>
      </c>
      <c r="I141" s="102" t="str">
        <f ca="1">IF(D144=100%,"Excavation","")&amp;IF(D145=100%,", Plinth","")&amp;IF(D146=100%,", RCC Slab","")&amp;IF(D147=100%,", Brickwork","")&amp;IF(D148=100%,", Internal Plaster","")&amp;IF(D149=100%,", External Plaster","")&amp;IF(D150=100%,", Flooring","")&amp;IF(D151=100%,", Painting","")&amp;IF(D152=100%,", Building common Amenities","")</f>
        <v>Excavation, Plinth, RCC Slab, Brickwork, Internal Plaster, External Plaster, Flooring, Painting, Building common Amenities</v>
      </c>
      <c r="J141" s="45" t="str">
        <f ca="1">(IF(C144=0,"Work not yet Started.",IF(D144=25%,"Piling work in process",IF(D144=50%,"Excavation work in process",IF(D144=100%,"","0")))))&amp;(IF(C145=0%,"",IF(C145=J146,", Footing work is process",IF(C145=J147,", Footing work Completed",IF(C145=J148,", 1st Basement Completed",IF(C145=J149,", 1st &amp; 2nd Basement Completed",IF(C145=J150,", 1st to 3rd Basement Completed",IF(C145=J151,", 1st to 4th Basement Completed",IF(C145=J152,", Plinth work is process",IF(C145=J153,"","0"))))))))))</f>
        <v/>
      </c>
      <c r="S141"/>
    </row>
    <row r="142" spans="1:19" x14ac:dyDescent="0.35">
      <c r="A142" s="169" t="s">
        <v>87</v>
      </c>
      <c r="B142" s="169"/>
      <c r="C142" s="186" t="str">
        <f ca="1">I140</f>
        <v>All work Completed. Possession granted to the Building.</v>
      </c>
      <c r="D142" s="186"/>
      <c r="E142" s="186"/>
      <c r="F142" s="186"/>
      <c r="G142" s="186"/>
      <c r="H142" s="186"/>
      <c r="I142" s="102" t="str">
        <f ca="1">IF(I141&lt;&gt;""," Completed","")</f>
        <v xml:space="preserve"> Completed</v>
      </c>
      <c r="J142" s="45" t="str">
        <f ca="1">IF(J140&lt;&gt;"","Completed","")</f>
        <v/>
      </c>
      <c r="S142"/>
    </row>
    <row r="143" spans="1:19" ht="15.75" customHeight="1" x14ac:dyDescent="0.35">
      <c r="A143" s="111" t="s">
        <v>47</v>
      </c>
      <c r="B143" s="112"/>
      <c r="C143" s="92" t="s">
        <v>137</v>
      </c>
      <c r="D143" s="92" t="s">
        <v>80</v>
      </c>
      <c r="E143" s="112" t="s">
        <v>82</v>
      </c>
      <c r="F143" s="112"/>
      <c r="G143" s="112" t="s">
        <v>81</v>
      </c>
      <c r="H143" s="125"/>
      <c r="I143" s="13" t="s">
        <v>139</v>
      </c>
      <c r="J143" s="25">
        <f ca="1">H141*25%</f>
        <v>1.75</v>
      </c>
      <c r="S143"/>
    </row>
    <row r="144" spans="1:19" x14ac:dyDescent="0.35">
      <c r="A144" s="111" t="s">
        <v>126</v>
      </c>
      <c r="B144" s="112"/>
      <c r="C144" s="92">
        <f ca="1">J145</f>
        <v>7</v>
      </c>
      <c r="D144" s="93">
        <f ca="1">((100/H141)*C144)/100</f>
        <v>1</v>
      </c>
      <c r="E144" s="214">
        <f ca="1">(((C145/H141*10)+(40/(D141+F141+H141)*C146)+(7.5/(H141)*C147)+(7.5/(H141)*C148)+(10/H141*C149)+(10/H141*C150)+(5/H141*C151)+(5/H141*C152)+(5/H141*C153))/100)</f>
        <v>1</v>
      </c>
      <c r="F144" s="220"/>
      <c r="G144" s="214">
        <f ca="1">((((C144/H141)*20)+((C145/H141)*25)+(30/(H141+F141+D141)*C146)+(5/H141*C147)+(5/H141*C148)+(5/H141*C149)+(5/H141*C150)+(0/H141*C151)+(0/H141*C152)+(5/H141*C153))/100)</f>
        <v>1</v>
      </c>
      <c r="H144" s="215"/>
      <c r="I144" s="13" t="s">
        <v>98</v>
      </c>
      <c r="J144" s="26">
        <f ca="1">H141*50%</f>
        <v>3.5</v>
      </c>
    </row>
    <row r="145" spans="1:19" x14ac:dyDescent="0.35">
      <c r="A145" s="111" t="s">
        <v>48</v>
      </c>
      <c r="B145" s="112"/>
      <c r="C145" s="92">
        <f ca="1">J153</f>
        <v>7</v>
      </c>
      <c r="D145" s="93">
        <f ca="1">((100/H141)*C145)/100</f>
        <v>1</v>
      </c>
      <c r="E145" s="216"/>
      <c r="F145" s="221"/>
      <c r="G145" s="216"/>
      <c r="H145" s="217"/>
      <c r="I145" s="13" t="s">
        <v>99</v>
      </c>
      <c r="J145" s="26">
        <f ca="1">H141</f>
        <v>7</v>
      </c>
      <c r="S145"/>
    </row>
    <row r="146" spans="1:19" ht="15.75" customHeight="1" x14ac:dyDescent="0.35">
      <c r="A146" s="111" t="s">
        <v>127</v>
      </c>
      <c r="B146" s="112"/>
      <c r="C146" s="92">
        <v>8</v>
      </c>
      <c r="D146" s="93">
        <f ca="1">((100/(D141+F141+H141))*C146)/100</f>
        <v>1</v>
      </c>
      <c r="E146" s="216"/>
      <c r="F146" s="221"/>
      <c r="G146" s="216"/>
      <c r="H146" s="217"/>
      <c r="I146" s="13" t="s">
        <v>100</v>
      </c>
      <c r="J146" s="27">
        <f ca="1">(IF(B141&gt;1,(H141/(B141+2)),H141/4))</f>
        <v>1.75</v>
      </c>
      <c r="S146"/>
    </row>
    <row r="147" spans="1:19" ht="15.75" customHeight="1" x14ac:dyDescent="0.35">
      <c r="A147" s="111" t="s">
        <v>134</v>
      </c>
      <c r="B147" s="112" t="s">
        <v>128</v>
      </c>
      <c r="C147" s="92">
        <v>7</v>
      </c>
      <c r="D147" s="93">
        <f ca="1">((100/H141)*C147)/100</f>
        <v>1</v>
      </c>
      <c r="E147" s="216"/>
      <c r="F147" s="221"/>
      <c r="G147" s="216"/>
      <c r="H147" s="217"/>
      <c r="I147" s="13" t="s">
        <v>101</v>
      </c>
      <c r="J147" s="27">
        <f ca="1">(IF(B141&gt;1,(H141/(B141+2)+J146),H141/4+J146))</f>
        <v>3.5</v>
      </c>
    </row>
    <row r="148" spans="1:19" ht="15.75" customHeight="1" x14ac:dyDescent="0.35">
      <c r="A148" s="111" t="s">
        <v>135</v>
      </c>
      <c r="B148" s="112" t="s">
        <v>128</v>
      </c>
      <c r="C148" s="92">
        <v>7</v>
      </c>
      <c r="D148" s="93">
        <f ca="1">((100/H141)*C148)/100</f>
        <v>1</v>
      </c>
      <c r="E148" s="216"/>
      <c r="F148" s="221"/>
      <c r="G148" s="216"/>
      <c r="H148" s="217"/>
      <c r="I148" s="13" t="s">
        <v>146</v>
      </c>
      <c r="J148" s="27">
        <f>(IF(B141&gt;1,(H141/(B141+2)+J147),0))</f>
        <v>0</v>
      </c>
    </row>
    <row r="149" spans="1:19" ht="15" customHeight="1" x14ac:dyDescent="0.35">
      <c r="A149" s="111" t="s">
        <v>133</v>
      </c>
      <c r="B149" s="112" t="s">
        <v>130</v>
      </c>
      <c r="C149" s="92">
        <v>7</v>
      </c>
      <c r="D149" s="93">
        <f ca="1">((100/(H141))*C149)/100</f>
        <v>1</v>
      </c>
      <c r="E149" s="216"/>
      <c r="F149" s="221"/>
      <c r="G149" s="216"/>
      <c r="H149" s="217"/>
      <c r="I149" s="13" t="s">
        <v>141</v>
      </c>
      <c r="J149" s="27">
        <f>(IF(B141&gt;2,(H141/(B141+2)+J148),0))</f>
        <v>0</v>
      </c>
    </row>
    <row r="150" spans="1:19" ht="15.75" customHeight="1" x14ac:dyDescent="0.35">
      <c r="A150" s="111" t="s">
        <v>129</v>
      </c>
      <c r="B150" s="112" t="s">
        <v>129</v>
      </c>
      <c r="C150" s="98">
        <v>7</v>
      </c>
      <c r="D150" s="93">
        <f ca="1">((100/H141)*C150)/100</f>
        <v>1</v>
      </c>
      <c r="E150" s="216"/>
      <c r="F150" s="221"/>
      <c r="G150" s="216"/>
      <c r="H150" s="217"/>
      <c r="I150" s="13" t="s">
        <v>142</v>
      </c>
      <c r="J150" s="28">
        <f>(IF(B141&gt;3,(H141/(B141+2)+J149),0))</f>
        <v>0</v>
      </c>
    </row>
    <row r="151" spans="1:19" ht="15.75" customHeight="1" x14ac:dyDescent="0.35">
      <c r="A151" s="111" t="s">
        <v>136</v>
      </c>
      <c r="B151" s="112"/>
      <c r="C151" s="98">
        <v>7</v>
      </c>
      <c r="D151" s="93">
        <f ca="1">((100/H141)*C151)/100</f>
        <v>1</v>
      </c>
      <c r="E151" s="216"/>
      <c r="F151" s="221"/>
      <c r="G151" s="216"/>
      <c r="H151" s="217"/>
      <c r="I151" s="13" t="s">
        <v>143</v>
      </c>
      <c r="J151" s="27">
        <f>(IF(B141&gt;4,(H141/(B141+2)+J150),0))</f>
        <v>0</v>
      </c>
    </row>
    <row r="152" spans="1:19" ht="15.75" customHeight="1" x14ac:dyDescent="0.35">
      <c r="A152" s="111" t="s">
        <v>131</v>
      </c>
      <c r="B152" s="112" t="s">
        <v>131</v>
      </c>
      <c r="C152" s="98">
        <v>7</v>
      </c>
      <c r="D152" s="93">
        <f ca="1">((100/(H141))*C152)/100</f>
        <v>1</v>
      </c>
      <c r="E152" s="216"/>
      <c r="F152" s="221"/>
      <c r="G152" s="216"/>
      <c r="H152" s="217"/>
      <c r="I152" s="13" t="s">
        <v>147</v>
      </c>
      <c r="J152" s="27">
        <f ca="1">(IF(B141=1,(H141/(B141+3)+J147),IF(B141=0,(H141/4+J147),IF(B141&gt;1,0))))</f>
        <v>5.25</v>
      </c>
    </row>
    <row r="153" spans="1:19" ht="16" thickBot="1" x14ac:dyDescent="0.4">
      <c r="A153" s="126" t="s">
        <v>132</v>
      </c>
      <c r="B153" s="127"/>
      <c r="C153" s="94">
        <v>7</v>
      </c>
      <c r="D153" s="95">
        <f ca="1">((100/(H141))*C153)/100</f>
        <v>1</v>
      </c>
      <c r="E153" s="218"/>
      <c r="F153" s="222"/>
      <c r="G153" s="218"/>
      <c r="H153" s="219"/>
      <c r="I153" s="14" t="s">
        <v>102</v>
      </c>
      <c r="J153" s="29">
        <f ca="1">(IF(B141&gt;1.5,(H141/(B141+2)+J147+MAX(0,J148-J147)+MAX(0,J149-J148)+MAX(0,J150-J149)+MAX(0,J151-J150)+MAX(0,J152-J151)),IF(B141=1,(H141/(B141+3)+J152),IF(B141=0,H141/4+J152))))</f>
        <v>7</v>
      </c>
    </row>
    <row r="154" spans="1:19" ht="15.75" customHeight="1" x14ac:dyDescent="0.35">
      <c r="A154" s="181" t="s">
        <v>138</v>
      </c>
      <c r="B154" s="182"/>
      <c r="C154" s="183" t="str">
        <f>D75</f>
        <v>Building No.6(A &amp; B wing) = Ground/Stilt + 1st to 7th floor</v>
      </c>
      <c r="D154" s="184"/>
      <c r="E154" s="184"/>
      <c r="F154" s="184"/>
      <c r="G154" s="184"/>
      <c r="H154" s="185"/>
      <c r="I154" s="42" t="str">
        <f ca="1">IF(D167=100%,"All work Completed. Possession granted to the Building.",IF(D166=100%,"All work Completed, Waiting for OC",I155&amp;""&amp;I156&amp;""&amp;J155&amp;""&amp;J154&amp;" "&amp;J156))</f>
        <v>Excavation, Plinth, RCC Slab, Brickwork, Internal Plaster, External Plaster, Flooring, Painting Completed, Finishing upto 2 Floor Completed</v>
      </c>
      <c r="J154" s="43" t="str">
        <f ca="1">(IF(C160=(D155+F155+H155),"",IF(C160&gt;0,", RCC upto "&amp;C160&amp;" Slab","")))&amp;(IF(C161=H155,"",IF(C161&gt;0,", Brickwork upto "&amp;C161&amp;" Floor","")))&amp;(IF(C162=H155,"",IF(C162&gt;0,", Internal Plaster upto "&amp;C162&amp;" Floor","")))&amp;(IF(C163=H155,"",IF(C163&gt;0,", External Plaster upto "&amp;C163&amp;" Floor","")))&amp;(IF(C164=H155,"",IF(C164&gt;0,", Flooring upto "&amp;C164&amp;" Floor","")))&amp;(IF(C165=H155,"",IF(C165&gt;0,", Painting upto "&amp;C165&amp;" Floor","")))&amp;(IF(C166=H155,"",IF(C166&gt;0,", Finishing upto "&amp;C166&amp;" Floor","")))&amp;(IF(C167=H155,"",IF(C167&gt;0,", Possession upto "&amp;C167&amp;" Floor","")))</f>
        <v>, Finishing upto 2 Floor</v>
      </c>
      <c r="S154"/>
    </row>
    <row r="155" spans="1:19" x14ac:dyDescent="0.35">
      <c r="A155" s="15" t="s">
        <v>140</v>
      </c>
      <c r="B155" s="46">
        <f>IF(AND(ISNUMBER(SEARCH("1B",C154))),1,IF(AND(ISNUMBER(SEARCH("2B",C154))),2,IF(AND(ISNUMBER(SEARCH("3B",C154))),3,IF(AND(ISNUMBER(SEARCH("4B",C154))),4,IF(ISNUMBER(SEARCH("5B",C154)),5,0)))))</f>
        <v>0</v>
      </c>
      <c r="C155" s="46" t="s">
        <v>69</v>
      </c>
      <c r="D155" s="46">
        <v>1</v>
      </c>
      <c r="E155" s="46" t="s">
        <v>68</v>
      </c>
      <c r="F155" s="46">
        <v>0</v>
      </c>
      <c r="G155" s="46" t="s">
        <v>77</v>
      </c>
      <c r="H155" s="16">
        <f ca="1">--TRIM(RIGHT(SUBSTITUTE(LEFT(C154,_xlfn.AGGREGATE(16,6,FIND({0,1,2,3,4,5,6,7,8,9},C154,ROW(INDIRECT("1:"&amp;LEN(C154)))),1))," ",REPT(" ",LEN(C154))),LEN(C154)))</f>
        <v>7</v>
      </c>
      <c r="I155" s="44" t="str">
        <f ca="1">IF(D158=100%,"Excavation","")&amp;IF(D159=100%,", Plinth","")&amp;IF(D160=100%,", RCC Slab","")&amp;IF(D161=100%,", Brickwork","")&amp;IF(D162=100%,", Internal Plaster","")&amp;IF(D163=100%,", External Plaster","")&amp;IF(D164=100%,", Flooring","")&amp;IF(D165=100%,", Painting","")&amp;IF(D166=100%,", Building common Amenities","")</f>
        <v>Excavation, Plinth, RCC Slab, Brickwork, Internal Plaster, External Plaster, Flooring, Painting</v>
      </c>
      <c r="J155" s="45" t="str">
        <f ca="1">(IF(C158=0,"Work not yet Started.",IF(D158=25%,"Piling work in process",IF(D158=50%,"Excavation work in process",IF(D158=100%,"","0")))))&amp;(IF(C159=0%,"",IF(C159=J160,", Footing work is process",IF(C159=J161,", Footing work Completed",IF(C159=J162,", 1st Basement Completed",IF(C159=J163,", 1st &amp; 2nd Basement Completed",IF(C159=J164,", 1st to 3rd Basement Completed",IF(C159=J165,", 1st to 4th Basement Completed",IF(C159=J166,", Plinth work is process",IF(C159=J167,"","0"))))))))))</f>
        <v/>
      </c>
      <c r="S155"/>
    </row>
    <row r="156" spans="1:19" ht="33" customHeight="1" x14ac:dyDescent="0.35">
      <c r="A156" s="180" t="s">
        <v>87</v>
      </c>
      <c r="B156" s="169"/>
      <c r="C156" s="186" t="str">
        <f ca="1">I154</f>
        <v>Excavation, Plinth, RCC Slab, Brickwork, Internal Plaster, External Plaster, Flooring, Painting Completed, Finishing upto 2 Floor Completed</v>
      </c>
      <c r="D156" s="186"/>
      <c r="E156" s="186"/>
      <c r="F156" s="186"/>
      <c r="G156" s="186"/>
      <c r="H156" s="187"/>
      <c r="I156" s="44" t="str">
        <f ca="1">IF(I155&lt;&gt;""," Completed","")</f>
        <v xml:space="preserve"> Completed</v>
      </c>
      <c r="J156" s="45" t="str">
        <f ca="1">IF(J154&lt;&gt;"","Completed","")</f>
        <v>Completed</v>
      </c>
      <c r="S156"/>
    </row>
    <row r="157" spans="1:19" ht="15.75" customHeight="1" x14ac:dyDescent="0.35">
      <c r="A157" s="111" t="s">
        <v>47</v>
      </c>
      <c r="B157" s="112"/>
      <c r="C157" s="92" t="s">
        <v>137</v>
      </c>
      <c r="D157" s="92" t="s">
        <v>80</v>
      </c>
      <c r="E157" s="112" t="s">
        <v>82</v>
      </c>
      <c r="F157" s="112"/>
      <c r="G157" s="112" t="s">
        <v>81</v>
      </c>
      <c r="H157" s="125"/>
      <c r="I157" s="13" t="s">
        <v>139</v>
      </c>
      <c r="J157" s="25">
        <f ca="1">H155*25%</f>
        <v>1.75</v>
      </c>
      <c r="S157"/>
    </row>
    <row r="158" spans="1:19" x14ac:dyDescent="0.35">
      <c r="A158" s="111" t="s">
        <v>126</v>
      </c>
      <c r="B158" s="112"/>
      <c r="C158" s="92">
        <f ca="1">J159</f>
        <v>7</v>
      </c>
      <c r="D158" s="93">
        <f ca="1">((100/H155)*C158)/100</f>
        <v>1</v>
      </c>
      <c r="E158" s="214">
        <f ca="1">(((C159/H155*10)+(40/(D155+F155+H155)*C160)+(7.5/(H155)*C161)+(7.5/(H155)*C162)+(10/H155*C163)+(10/H155*C164)+(5/H155*C165)+(5/H155*C166)+(5/H155*C167))/100)</f>
        <v>0.91428571428571426</v>
      </c>
      <c r="F158" s="220"/>
      <c r="G158" s="214">
        <f ca="1">((((C158/H155)*20)+((C159/H155)*25)+(30/(H155+F155+D155)*C160)+(5/H155*C161)+(5/H155*C162)+(5/H155*C163)+(5/H155*C164)+(0/H155*C165)+(0/H155*C166)+(5/H155*C167))/100)</f>
        <v>0.95</v>
      </c>
      <c r="H158" s="215"/>
      <c r="I158" s="13" t="s">
        <v>98</v>
      </c>
      <c r="J158" s="26">
        <f ca="1">H155*50%</f>
        <v>3.5</v>
      </c>
    </row>
    <row r="159" spans="1:19" x14ac:dyDescent="0.35">
      <c r="A159" s="111" t="s">
        <v>48</v>
      </c>
      <c r="B159" s="112"/>
      <c r="C159" s="92">
        <f ca="1">J167</f>
        <v>7</v>
      </c>
      <c r="D159" s="93">
        <f ca="1">((100/H155)*C159)/100</f>
        <v>1</v>
      </c>
      <c r="E159" s="216"/>
      <c r="F159" s="221"/>
      <c r="G159" s="216"/>
      <c r="H159" s="217"/>
      <c r="I159" s="13" t="s">
        <v>99</v>
      </c>
      <c r="J159" s="26">
        <f ca="1">H155</f>
        <v>7</v>
      </c>
      <c r="S159"/>
    </row>
    <row r="160" spans="1:19" ht="15.75" customHeight="1" x14ac:dyDescent="0.35">
      <c r="A160" s="111" t="s">
        <v>127</v>
      </c>
      <c r="B160" s="112"/>
      <c r="C160" s="92">
        <v>8</v>
      </c>
      <c r="D160" s="93">
        <f ca="1">((100/(D155+F155+H155))*C160)/100</f>
        <v>1</v>
      </c>
      <c r="E160" s="216"/>
      <c r="F160" s="221"/>
      <c r="G160" s="216"/>
      <c r="H160" s="217"/>
      <c r="I160" s="13" t="s">
        <v>100</v>
      </c>
      <c r="J160" s="27">
        <f ca="1">(IF(B155&gt;1,(H155/(B155+2)),H155/4))</f>
        <v>1.75</v>
      </c>
      <c r="S160"/>
    </row>
    <row r="161" spans="1:22" ht="15.75" customHeight="1" x14ac:dyDescent="0.35">
      <c r="A161" s="111" t="s">
        <v>134</v>
      </c>
      <c r="B161" s="112" t="s">
        <v>128</v>
      </c>
      <c r="C161" s="92">
        <v>7</v>
      </c>
      <c r="D161" s="93">
        <f ca="1">((100/H155)*C161)/100</f>
        <v>1</v>
      </c>
      <c r="E161" s="216"/>
      <c r="F161" s="221"/>
      <c r="G161" s="216"/>
      <c r="H161" s="217"/>
      <c r="I161" s="13" t="s">
        <v>101</v>
      </c>
      <c r="J161" s="27">
        <f ca="1">(IF(B155&gt;1,(H155/(B155+2)+J160),H155/4+J160))</f>
        <v>3.5</v>
      </c>
    </row>
    <row r="162" spans="1:22" ht="15.75" customHeight="1" x14ac:dyDescent="0.35">
      <c r="A162" s="111" t="s">
        <v>135</v>
      </c>
      <c r="B162" s="112" t="s">
        <v>128</v>
      </c>
      <c r="C162" s="92">
        <v>7</v>
      </c>
      <c r="D162" s="93">
        <f ca="1">((100/H155)*C162)/100</f>
        <v>1</v>
      </c>
      <c r="E162" s="216"/>
      <c r="F162" s="221"/>
      <c r="G162" s="216"/>
      <c r="H162" s="217"/>
      <c r="I162" s="13" t="s">
        <v>146</v>
      </c>
      <c r="J162" s="27">
        <f>(IF(B155&gt;1,(H155/(B155+2)+J161),0))</f>
        <v>0</v>
      </c>
    </row>
    <row r="163" spans="1:22" ht="15" customHeight="1" x14ac:dyDescent="0.35">
      <c r="A163" s="111" t="s">
        <v>133</v>
      </c>
      <c r="B163" s="112" t="s">
        <v>130</v>
      </c>
      <c r="C163" s="92">
        <v>7</v>
      </c>
      <c r="D163" s="93">
        <f ca="1">((100/(H155))*C163)/100</f>
        <v>1</v>
      </c>
      <c r="E163" s="216"/>
      <c r="F163" s="221"/>
      <c r="G163" s="216"/>
      <c r="H163" s="217"/>
      <c r="I163" s="13" t="s">
        <v>141</v>
      </c>
      <c r="J163" s="27">
        <f>(IF(B155&gt;2,(H155/(B155+2)+J162),0))</f>
        <v>0</v>
      </c>
    </row>
    <row r="164" spans="1:22" ht="15.75" customHeight="1" x14ac:dyDescent="0.35">
      <c r="A164" s="111" t="s">
        <v>129</v>
      </c>
      <c r="B164" s="112" t="s">
        <v>129</v>
      </c>
      <c r="C164" s="92">
        <v>7</v>
      </c>
      <c r="D164" s="93">
        <f ca="1">((100/H155)*C164)/100</f>
        <v>1</v>
      </c>
      <c r="E164" s="216"/>
      <c r="F164" s="221"/>
      <c r="G164" s="216"/>
      <c r="H164" s="217"/>
      <c r="I164" s="13" t="s">
        <v>142</v>
      </c>
      <c r="J164" s="28">
        <f>(IF(B155&gt;3,(H155/(B155+2)+J163),0))</f>
        <v>0</v>
      </c>
    </row>
    <row r="165" spans="1:22" ht="15.75" customHeight="1" x14ac:dyDescent="0.35">
      <c r="A165" s="111" t="s">
        <v>136</v>
      </c>
      <c r="B165" s="112"/>
      <c r="C165" s="92">
        <v>7</v>
      </c>
      <c r="D165" s="93">
        <f ca="1">((100/H155)*C165)/100</f>
        <v>1</v>
      </c>
      <c r="E165" s="216"/>
      <c r="F165" s="221"/>
      <c r="G165" s="216"/>
      <c r="H165" s="217"/>
      <c r="I165" s="13" t="s">
        <v>143</v>
      </c>
      <c r="J165" s="27">
        <f>(IF(B155&gt;4,(H155/(B155+2)+J164),0))</f>
        <v>0</v>
      </c>
    </row>
    <row r="166" spans="1:22" ht="15.75" customHeight="1" x14ac:dyDescent="0.35">
      <c r="A166" s="111" t="s">
        <v>131</v>
      </c>
      <c r="B166" s="112" t="s">
        <v>131</v>
      </c>
      <c r="C166" s="92">
        <v>2</v>
      </c>
      <c r="D166" s="93">
        <f ca="1">((100/(H155))*C166)/100</f>
        <v>0.28571428571428575</v>
      </c>
      <c r="E166" s="216"/>
      <c r="F166" s="221"/>
      <c r="G166" s="216"/>
      <c r="H166" s="217"/>
      <c r="I166" s="13" t="s">
        <v>147</v>
      </c>
      <c r="J166" s="27">
        <f ca="1">(IF(B155=1,(H155/(B155+3)+J161),IF(B155=0,(H155/4+J161),IF(B155&gt;1,0))))</f>
        <v>5.25</v>
      </c>
    </row>
    <row r="167" spans="1:22" ht="16" thickBot="1" x14ac:dyDescent="0.4">
      <c r="A167" s="126" t="s">
        <v>132</v>
      </c>
      <c r="B167" s="127"/>
      <c r="C167" s="94">
        <v>0</v>
      </c>
      <c r="D167" s="95">
        <f ca="1">((100/(H155))*C167)/100</f>
        <v>0</v>
      </c>
      <c r="E167" s="218"/>
      <c r="F167" s="222"/>
      <c r="G167" s="218"/>
      <c r="H167" s="219"/>
      <c r="I167" s="14" t="s">
        <v>102</v>
      </c>
      <c r="J167" s="29">
        <f ca="1">(IF(B155&gt;1.5,(H155/(B155+2)+J161+MAX(0,J162-J161)+MAX(0,J163-J162)+MAX(0,J164-J163)+MAX(0,J165-J164)+MAX(0,J166-J165)),IF(B155=1,(H155/(B155+3)+J166),IF(B155=0,H155/4+J166))))</f>
        <v>7</v>
      </c>
    </row>
    <row r="168" spans="1:22" x14ac:dyDescent="0.35">
      <c r="A168" s="157" t="s">
        <v>159</v>
      </c>
      <c r="B168" s="157"/>
      <c r="C168" s="157"/>
      <c r="D168" s="157"/>
      <c r="E168" s="157"/>
      <c r="F168" s="158" t="s">
        <v>163</v>
      </c>
      <c r="G168" s="158"/>
      <c r="H168" s="158"/>
      <c r="R168" t="s">
        <v>256</v>
      </c>
      <c r="S168" t="s">
        <v>175</v>
      </c>
      <c r="T168" t="s">
        <v>183</v>
      </c>
      <c r="U168" t="s">
        <v>197</v>
      </c>
      <c r="V168" t="s">
        <v>192</v>
      </c>
    </row>
    <row r="169" spans="1:22" x14ac:dyDescent="0.35">
      <c r="A169" s="110" t="s">
        <v>161</v>
      </c>
      <c r="B169" s="110"/>
      <c r="C169" s="110"/>
      <c r="D169" s="110"/>
      <c r="E169" s="110"/>
      <c r="F169" s="131">
        <v>3500</v>
      </c>
      <c r="G169" s="131"/>
      <c r="H169" s="131"/>
      <c r="R169"/>
      <c r="S169">
        <v>800000</v>
      </c>
      <c r="T169">
        <v>150000</v>
      </c>
      <c r="U169">
        <v>100000</v>
      </c>
      <c r="V169">
        <v>100000</v>
      </c>
    </row>
    <row r="170" spans="1:22" hidden="1" x14ac:dyDescent="0.35">
      <c r="A170" s="110" t="s">
        <v>160</v>
      </c>
      <c r="B170" s="110"/>
      <c r="C170" s="110"/>
      <c r="D170" s="110"/>
      <c r="E170" s="110"/>
      <c r="F170" s="131"/>
      <c r="G170" s="131"/>
      <c r="H170" s="131"/>
      <c r="R170"/>
      <c r="S170">
        <v>900000</v>
      </c>
      <c r="T170">
        <v>200000</v>
      </c>
      <c r="U170">
        <v>150000</v>
      </c>
      <c r="V170">
        <v>150000</v>
      </c>
    </row>
    <row r="171" spans="1:22" hidden="1" x14ac:dyDescent="0.35">
      <c r="A171" s="110" t="s">
        <v>162</v>
      </c>
      <c r="B171" s="110"/>
      <c r="C171" s="110"/>
      <c r="D171" s="110"/>
      <c r="E171" s="110"/>
      <c r="F171" s="131"/>
      <c r="G171" s="131"/>
      <c r="H171" s="131"/>
      <c r="R171"/>
      <c r="S171">
        <v>1000000</v>
      </c>
      <c r="T171">
        <v>250000</v>
      </c>
      <c r="U171">
        <v>200000</v>
      </c>
      <c r="V171">
        <v>200000</v>
      </c>
    </row>
    <row r="172" spans="1:22" s="30" customFormat="1" hidden="1" x14ac:dyDescent="0.35">
      <c r="A172" s="110" t="s">
        <v>178</v>
      </c>
      <c r="B172" s="110"/>
      <c r="C172" s="110"/>
      <c r="D172" s="110"/>
      <c r="E172" s="110"/>
      <c r="F172" s="131"/>
      <c r="G172" s="131"/>
      <c r="H172" s="131"/>
      <c r="R172"/>
      <c r="S172">
        <v>1100000</v>
      </c>
      <c r="T172">
        <v>300000</v>
      </c>
      <c r="U172">
        <v>250000</v>
      </c>
      <c r="V172" s="20">
        <v>250000</v>
      </c>
    </row>
    <row r="173" spans="1:22" s="30" customFormat="1" x14ac:dyDescent="0.35">
      <c r="A173" s="110" t="s">
        <v>92</v>
      </c>
      <c r="B173" s="110"/>
      <c r="C173" s="110"/>
      <c r="D173" s="110"/>
      <c r="E173" s="110"/>
      <c r="F173" s="131">
        <v>250000</v>
      </c>
      <c r="G173" s="131"/>
      <c r="H173" s="131"/>
      <c r="R173"/>
      <c r="S173">
        <v>1200000</v>
      </c>
      <c r="T173">
        <v>350000</v>
      </c>
      <c r="U173">
        <v>300000</v>
      </c>
      <c r="V173">
        <v>300000</v>
      </c>
    </row>
    <row r="174" spans="1:22" s="30" customFormat="1" x14ac:dyDescent="0.35">
      <c r="A174" s="110" t="s">
        <v>409</v>
      </c>
      <c r="B174" s="110"/>
      <c r="C174" s="110"/>
      <c r="D174" s="110"/>
      <c r="E174" s="110"/>
      <c r="F174" s="131">
        <v>15000</v>
      </c>
      <c r="G174" s="131"/>
      <c r="H174" s="131"/>
      <c r="R174"/>
      <c r="S174">
        <v>1300000</v>
      </c>
      <c r="T174">
        <v>400000</v>
      </c>
      <c r="U174">
        <v>350000</v>
      </c>
      <c r="V174" s="20">
        <v>400000</v>
      </c>
    </row>
    <row r="175" spans="1:22" s="30" customFormat="1" hidden="1" x14ac:dyDescent="0.35">
      <c r="A175" s="110" t="s">
        <v>93</v>
      </c>
      <c r="B175" s="110"/>
      <c r="C175" s="110"/>
      <c r="D175" s="110"/>
      <c r="E175" s="110"/>
      <c r="F175" s="131"/>
      <c r="G175" s="131"/>
      <c r="H175" s="131"/>
      <c r="R175"/>
      <c r="S175">
        <v>1300000</v>
      </c>
      <c r="T175">
        <v>400000</v>
      </c>
      <c r="U175">
        <v>350000</v>
      </c>
      <c r="V175" s="20">
        <v>400000</v>
      </c>
    </row>
    <row r="176" spans="1:22" s="30" customFormat="1" hidden="1" x14ac:dyDescent="0.35">
      <c r="A176" s="110" t="s">
        <v>94</v>
      </c>
      <c r="B176" s="110"/>
      <c r="C176" s="110"/>
      <c r="D176" s="110"/>
      <c r="E176" s="110"/>
      <c r="F176" s="131"/>
      <c r="G176" s="131"/>
      <c r="H176" s="131"/>
      <c r="R176"/>
      <c r="S176">
        <v>1400000</v>
      </c>
      <c r="T176">
        <v>500000</v>
      </c>
      <c r="U176">
        <v>400000</v>
      </c>
      <c r="V176"/>
    </row>
    <row r="177" spans="1:22" s="30" customFormat="1" hidden="1" x14ac:dyDescent="0.35">
      <c r="A177" s="110" t="s">
        <v>95</v>
      </c>
      <c r="B177" s="110"/>
      <c r="C177" s="110"/>
      <c r="D177" s="110"/>
      <c r="E177" s="110"/>
      <c r="F177" s="131"/>
      <c r="G177" s="131"/>
      <c r="H177" s="131"/>
      <c r="R177"/>
      <c r="S177">
        <v>1500000</v>
      </c>
      <c r="T177">
        <v>600000</v>
      </c>
      <c r="U177">
        <v>500000</v>
      </c>
      <c r="V177" s="20"/>
    </row>
    <row r="178" spans="1:22" s="30" customFormat="1" hidden="1" x14ac:dyDescent="0.35">
      <c r="A178" s="110" t="s">
        <v>96</v>
      </c>
      <c r="B178" s="110"/>
      <c r="C178" s="110"/>
      <c r="D178" s="110"/>
      <c r="E178" s="110"/>
      <c r="F178" s="131"/>
      <c r="G178" s="131"/>
      <c r="H178" s="131"/>
      <c r="R178"/>
      <c r="S178">
        <v>1600000</v>
      </c>
      <c r="T178">
        <v>700000</v>
      </c>
      <c r="U178">
        <v>600000</v>
      </c>
      <c r="V178"/>
    </row>
    <row r="179" spans="1:22" s="30" customFormat="1" hidden="1" x14ac:dyDescent="0.35">
      <c r="A179" s="110" t="s">
        <v>97</v>
      </c>
      <c r="B179" s="110"/>
      <c r="C179" s="110"/>
      <c r="D179" s="110"/>
      <c r="E179" s="110"/>
      <c r="F179" s="131"/>
      <c r="G179" s="131"/>
      <c r="H179" s="131"/>
      <c r="R179"/>
      <c r="S179">
        <v>1700000</v>
      </c>
      <c r="T179">
        <v>800000</v>
      </c>
      <c r="U179"/>
      <c r="V179" s="20"/>
    </row>
    <row r="180" spans="1:22" x14ac:dyDescent="0.35">
      <c r="A180" s="110" t="s">
        <v>49</v>
      </c>
      <c r="B180" s="110"/>
      <c r="C180" s="110"/>
      <c r="D180" s="110"/>
      <c r="E180" s="110"/>
      <c r="F180" s="131">
        <v>250000</v>
      </c>
      <c r="G180" s="131"/>
      <c r="H180" s="131"/>
      <c r="R180"/>
      <c r="S180">
        <v>1800000</v>
      </c>
      <c r="T180">
        <v>900000</v>
      </c>
      <c r="U180"/>
    </row>
    <row r="181" spans="1:22" s="31" customFormat="1" x14ac:dyDescent="0.35">
      <c r="A181" s="163" t="s">
        <v>50</v>
      </c>
      <c r="B181" s="163"/>
      <c r="C181" s="163"/>
      <c r="D181" s="163"/>
      <c r="E181" s="163"/>
      <c r="F181" s="164">
        <f>F169*0.8</f>
        <v>2800</v>
      </c>
      <c r="G181" s="164"/>
      <c r="H181" s="164"/>
      <c r="R181" s="18"/>
      <c r="S181" s="18"/>
      <c r="T181">
        <v>1000000</v>
      </c>
      <c r="U181"/>
      <c r="V181" s="18"/>
    </row>
    <row r="182" spans="1:22" s="32" customFormat="1" ht="15.75" hidden="1" customHeight="1" x14ac:dyDescent="0.35">
      <c r="A182" s="162" t="s">
        <v>72</v>
      </c>
      <c r="B182" s="162"/>
      <c r="C182" s="162"/>
      <c r="D182" s="162"/>
      <c r="E182" s="162"/>
      <c r="F182" s="162"/>
      <c r="G182" s="162"/>
      <c r="H182" s="162"/>
      <c r="R182"/>
      <c r="S182" s="18"/>
      <c r="T182"/>
      <c r="U182"/>
      <c r="V182" s="18"/>
    </row>
    <row r="183" spans="1:22" s="32" customFormat="1" ht="15.75" hidden="1" customHeight="1" x14ac:dyDescent="0.35">
      <c r="A183" s="133" t="s">
        <v>51</v>
      </c>
      <c r="B183" s="133"/>
      <c r="C183" s="139" t="s">
        <v>75</v>
      </c>
      <c r="D183" s="139"/>
      <c r="E183" s="137" t="s">
        <v>52</v>
      </c>
      <c r="F183" s="137"/>
      <c r="G183" s="133" t="s">
        <v>53</v>
      </c>
      <c r="H183" s="133"/>
      <c r="R183"/>
      <c r="S183" s="18"/>
      <c r="T183"/>
      <c r="U183" s="18"/>
      <c r="V183" s="18"/>
    </row>
    <row r="184" spans="1:22" s="32" customFormat="1" hidden="1" x14ac:dyDescent="0.35">
      <c r="A184" s="138"/>
      <c r="B184" s="138"/>
      <c r="C184" s="209"/>
      <c r="D184" s="209"/>
      <c r="E184" s="210"/>
      <c r="F184" s="210"/>
      <c r="G184" s="147"/>
      <c r="H184" s="147"/>
      <c r="R184"/>
      <c r="S184" s="18"/>
      <c r="T184"/>
      <c r="U184" s="18"/>
      <c r="V184" s="18"/>
    </row>
    <row r="185" spans="1:22" s="32" customFormat="1" hidden="1" x14ac:dyDescent="0.35">
      <c r="A185" s="138"/>
      <c r="B185" s="138"/>
      <c r="C185" s="209"/>
      <c r="D185" s="209"/>
      <c r="E185" s="210"/>
      <c r="F185" s="210"/>
      <c r="G185" s="147"/>
      <c r="H185" s="147"/>
      <c r="R185"/>
      <c r="S185" s="18"/>
      <c r="T185"/>
      <c r="U185" s="18"/>
      <c r="V185" s="18"/>
    </row>
    <row r="186" spans="1:22" s="32" customFormat="1" hidden="1" x14ac:dyDescent="0.35">
      <c r="A186" s="162" t="s">
        <v>151</v>
      </c>
      <c r="B186" s="162"/>
      <c r="C186" s="139"/>
      <c r="D186" s="139"/>
      <c r="E186" s="137"/>
      <c r="F186" s="137"/>
      <c r="G186" s="133"/>
      <c r="H186" s="133"/>
      <c r="R186"/>
      <c r="S186" s="18"/>
      <c r="T186"/>
      <c r="U186" s="18"/>
      <c r="V186" s="18"/>
    </row>
    <row r="187" spans="1:22" s="32" customFormat="1" x14ac:dyDescent="0.35">
      <c r="A187" s="162" t="s">
        <v>67</v>
      </c>
      <c r="B187" s="162"/>
      <c r="C187" s="162"/>
      <c r="D187" s="162"/>
      <c r="E187" s="162"/>
      <c r="F187" s="162"/>
      <c r="G187" s="162"/>
      <c r="H187" s="162"/>
      <c r="T187"/>
    </row>
    <row r="188" spans="1:22" s="32" customFormat="1" ht="15.75" customHeight="1" x14ac:dyDescent="0.35">
      <c r="A188" s="133" t="s">
        <v>51</v>
      </c>
      <c r="B188" s="133"/>
      <c r="C188" s="139" t="s">
        <v>75</v>
      </c>
      <c r="D188" s="139"/>
      <c r="E188" s="137" t="s">
        <v>52</v>
      </c>
      <c r="F188" s="137"/>
      <c r="G188" s="133" t="s">
        <v>53</v>
      </c>
      <c r="H188" s="133"/>
      <c r="T188"/>
    </row>
    <row r="189" spans="1:22" s="32" customFormat="1" x14ac:dyDescent="0.35">
      <c r="A189" s="138" t="s">
        <v>401</v>
      </c>
      <c r="B189" s="138"/>
      <c r="C189" s="211">
        <f>COUNT(F211:F214)*3+COUNT(F216:F219)*3+COUNT(F221:F224)</f>
        <v>28</v>
      </c>
      <c r="D189" s="211"/>
      <c r="E189" s="211">
        <f>SUM(F211:F214)*3+SUM(F216:F219)*3+SUM(F221:F224)</f>
        <v>10003.448051999998</v>
      </c>
      <c r="F189" s="211"/>
      <c r="G189" s="211">
        <f>SUM(H211:H214)*3+SUM(H216:H219)*3+SUM(H221:H224)</f>
        <v>15881.8094604</v>
      </c>
      <c r="H189" s="211"/>
      <c r="T189"/>
    </row>
    <row r="190" spans="1:22" s="32" customFormat="1" hidden="1" x14ac:dyDescent="0.35">
      <c r="A190" s="138"/>
      <c r="B190" s="138"/>
      <c r="C190" s="209"/>
      <c r="D190" s="209"/>
      <c r="E190" s="210"/>
      <c r="F190" s="210"/>
      <c r="G190" s="147"/>
      <c r="H190" s="147"/>
      <c r="T190"/>
    </row>
    <row r="191" spans="1:22" s="32" customFormat="1" x14ac:dyDescent="0.35">
      <c r="A191" s="162" t="s">
        <v>151</v>
      </c>
      <c r="B191" s="162"/>
      <c r="C191" s="148">
        <f>SUM(C189:C190)</f>
        <v>28</v>
      </c>
      <c r="D191" s="139"/>
      <c r="E191" s="205">
        <f>SUM(E189:E190)</f>
        <v>10003.448051999998</v>
      </c>
      <c r="F191" s="137"/>
      <c r="G191" s="133">
        <f>SUM(G189:G190)</f>
        <v>15881.8094604</v>
      </c>
      <c r="H191" s="133"/>
      <c r="T191"/>
    </row>
    <row r="192" spans="1:22" s="32" customFormat="1" hidden="1" x14ac:dyDescent="0.35">
      <c r="A192" s="162" t="s">
        <v>169</v>
      </c>
      <c r="B192" s="162"/>
      <c r="C192" s="139">
        <f>C186+C191</f>
        <v>28</v>
      </c>
      <c r="D192" s="139"/>
      <c r="E192" s="137">
        <f>E186+E191</f>
        <v>10003.448051999998</v>
      </c>
      <c r="F192" s="137"/>
      <c r="G192" s="133">
        <f>G186+G191</f>
        <v>15881.8094604</v>
      </c>
      <c r="H192" s="133"/>
      <c r="T192"/>
    </row>
    <row r="193" spans="1:20" s="31" customFormat="1" x14ac:dyDescent="0.35">
      <c r="A193" s="132" t="s">
        <v>54</v>
      </c>
      <c r="B193" s="132"/>
      <c r="C193" s="132"/>
      <c r="D193" s="132"/>
      <c r="E193" s="132"/>
      <c r="F193" s="132"/>
      <c r="G193" s="132"/>
      <c r="H193" s="132"/>
      <c r="T193" s="32"/>
    </row>
    <row r="194" spans="1:20" x14ac:dyDescent="0.35">
      <c r="A194" s="132" t="s">
        <v>177</v>
      </c>
      <c r="B194" s="132"/>
      <c r="C194" s="132"/>
      <c r="D194" s="132"/>
      <c r="E194" s="132"/>
      <c r="F194" s="132"/>
      <c r="G194" s="132"/>
      <c r="H194" s="132"/>
      <c r="T194" s="32"/>
    </row>
    <row r="195" spans="1:20" ht="47.25" hidden="1" customHeight="1" x14ac:dyDescent="0.35">
      <c r="A195" s="146" t="s">
        <v>400</v>
      </c>
      <c r="B195" s="146" t="s">
        <v>179</v>
      </c>
      <c r="C195" s="146" t="s">
        <v>55</v>
      </c>
      <c r="D195" s="146" t="s">
        <v>235</v>
      </c>
      <c r="E195" s="159" t="s">
        <v>158</v>
      </c>
      <c r="F195" s="146" t="s">
        <v>56</v>
      </c>
      <c r="G195" s="159" t="s">
        <v>57</v>
      </c>
      <c r="H195" s="103" t="s">
        <v>149</v>
      </c>
      <c r="T195" s="32"/>
    </row>
    <row r="196" spans="1:20" s="34" customFormat="1" hidden="1" x14ac:dyDescent="0.35">
      <c r="A196" s="146"/>
      <c r="B196" s="146"/>
      <c r="C196" s="146"/>
      <c r="D196" s="146"/>
      <c r="E196" s="159"/>
      <c r="F196" s="146"/>
      <c r="G196" s="159"/>
      <c r="H196" s="104">
        <v>0.45</v>
      </c>
      <c r="T196" s="32"/>
    </row>
    <row r="197" spans="1:20" s="34" customFormat="1" hidden="1" x14ac:dyDescent="0.35">
      <c r="A197" s="212" t="s">
        <v>117</v>
      </c>
      <c r="B197" s="212"/>
      <c r="C197" s="212"/>
      <c r="D197" s="212"/>
      <c r="E197" s="212"/>
      <c r="F197" s="212"/>
      <c r="G197" s="212"/>
      <c r="H197" s="212"/>
      <c r="J197" s="33"/>
      <c r="T197" s="32"/>
    </row>
    <row r="198" spans="1:20" s="34" customFormat="1" ht="15.75" hidden="1" customHeight="1" x14ac:dyDescent="0.35">
      <c r="A198" s="128">
        <v>1</v>
      </c>
      <c r="B198" s="128"/>
      <c r="C198" s="105"/>
      <c r="D198" s="105">
        <v>0</v>
      </c>
      <c r="E198" s="105">
        <v>0</v>
      </c>
      <c r="F198" s="105">
        <f>D198+(IF(E198&lt;201,E198,IF(E198&lt;301,E198/2,E198/3)))</f>
        <v>0</v>
      </c>
      <c r="G198" s="90">
        <v>0</v>
      </c>
      <c r="H198" s="105">
        <f>(F198+(IF(G198&lt;101,G198,IF(G198&lt;201,G198/2,IF(G198&lt;=301,G198/3,G198/4)))))*(($H$196)+1)</f>
        <v>0</v>
      </c>
      <c r="I198" s="33"/>
      <c r="L198" s="213"/>
      <c r="M198" s="213"/>
      <c r="N198" s="33"/>
      <c r="T198" s="32"/>
    </row>
    <row r="199" spans="1:20" s="34" customFormat="1" ht="15.75" hidden="1" customHeight="1" x14ac:dyDescent="0.35">
      <c r="A199" s="128">
        <f>A198+1</f>
        <v>2</v>
      </c>
      <c r="B199" s="128"/>
      <c r="C199" s="105"/>
      <c r="D199" s="105"/>
      <c r="E199" s="105">
        <v>0</v>
      </c>
      <c r="F199" s="105">
        <f>D199+(IF(E199&lt;201,E199,IF(E199&lt;301,E199/2,E199/3)))</f>
        <v>0</v>
      </c>
      <c r="G199" s="105">
        <v>0</v>
      </c>
      <c r="H199" s="105">
        <f>(F199+(IF(G199&lt;101,G199,IF(G199&lt;201,G199/2,IF(G199&lt;=301,G199/3,G199/4)))))*(($H$196)+1)</f>
        <v>0</v>
      </c>
      <c r="I199" s="33"/>
      <c r="L199" s="213"/>
      <c r="M199" s="213"/>
      <c r="N199" s="33"/>
      <c r="T199" s="31"/>
    </row>
    <row r="200" spans="1:20" s="34" customFormat="1" ht="15.75" hidden="1" customHeight="1" x14ac:dyDescent="0.35">
      <c r="A200" s="128">
        <f>A199+1</f>
        <v>3</v>
      </c>
      <c r="B200" s="128"/>
      <c r="C200" s="105"/>
      <c r="D200" s="105"/>
      <c r="E200" s="105">
        <v>0</v>
      </c>
      <c r="F200" s="105">
        <f>D200+(IF(E200&lt;201,E200,IF(E200&lt;301,E200/2,E200/3)))</f>
        <v>0</v>
      </c>
      <c r="G200" s="105">
        <v>0</v>
      </c>
      <c r="H200" s="105">
        <f>(F200+(IF(G200&lt;101,G200,IF(G200&lt;201,G200/2,IF(G200&lt;=301,G200/3,G200/4)))))*(($H$196)+1)</f>
        <v>0</v>
      </c>
      <c r="I200" s="33"/>
      <c r="L200" s="213"/>
      <c r="M200" s="213"/>
      <c r="N200" s="33"/>
      <c r="T200" s="18"/>
    </row>
    <row r="201" spans="1:20" s="34" customFormat="1" ht="15.75" hidden="1" customHeight="1" x14ac:dyDescent="0.35">
      <c r="A201" s="128">
        <f>A200+1</f>
        <v>4</v>
      </c>
      <c r="B201" s="128"/>
      <c r="C201" s="105"/>
      <c r="D201" s="105"/>
      <c r="E201" s="105">
        <v>0</v>
      </c>
      <c r="F201" s="105">
        <f>D201+(IF(E201&lt;201,E201,IF(E201&lt;301,E201/2,E201/3)))</f>
        <v>0</v>
      </c>
      <c r="G201" s="105">
        <v>0</v>
      </c>
      <c r="H201" s="105">
        <f>(F201+(IF(G201&lt;101,G201,IF(G201&lt;201,G201/2,IF(G201&lt;=301,G201/3,G201/4)))))*(($H$196)+1)</f>
        <v>0</v>
      </c>
      <c r="I201" s="33"/>
      <c r="L201" s="213"/>
      <c r="M201" s="213"/>
      <c r="N201" s="33"/>
      <c r="T201" s="18"/>
    </row>
    <row r="202" spans="1:20" s="34" customFormat="1" hidden="1" x14ac:dyDescent="0.35">
      <c r="A202" s="128"/>
      <c r="B202" s="128"/>
      <c r="C202" s="128"/>
      <c r="D202" s="128"/>
      <c r="E202" s="128"/>
      <c r="F202" s="128"/>
      <c r="G202" s="128"/>
      <c r="H202" s="128"/>
      <c r="I202" s="33"/>
      <c r="N202" s="33"/>
    </row>
    <row r="203" spans="1:20" ht="47.25" customHeight="1" x14ac:dyDescent="0.35">
      <c r="A203" s="146" t="s">
        <v>399</v>
      </c>
      <c r="B203" s="146" t="s">
        <v>180</v>
      </c>
      <c r="C203" s="146" t="s">
        <v>55</v>
      </c>
      <c r="D203" s="146" t="s">
        <v>235</v>
      </c>
      <c r="E203" s="146" t="s">
        <v>398</v>
      </c>
      <c r="F203" s="146" t="s">
        <v>56</v>
      </c>
      <c r="G203" s="159" t="s">
        <v>57</v>
      </c>
      <c r="H203" s="103" t="s">
        <v>149</v>
      </c>
      <c r="I203" s="33"/>
      <c r="T203" s="34"/>
    </row>
    <row r="204" spans="1:20" s="34" customFormat="1" x14ac:dyDescent="0.35">
      <c r="A204" s="146"/>
      <c r="B204" s="146"/>
      <c r="C204" s="146"/>
      <c r="D204" s="146"/>
      <c r="E204" s="146"/>
      <c r="F204" s="146"/>
      <c r="G204" s="159"/>
      <c r="H204" s="104">
        <v>0.45</v>
      </c>
      <c r="I204" s="33"/>
    </row>
    <row r="205" spans="1:20" s="82" customFormat="1" x14ac:dyDescent="0.35">
      <c r="A205" s="154" t="s">
        <v>388</v>
      </c>
      <c r="B205" s="155"/>
      <c r="C205" s="155"/>
      <c r="D205" s="155"/>
      <c r="E205" s="155"/>
      <c r="F205" s="155"/>
      <c r="G205" s="155"/>
      <c r="H205" s="156"/>
      <c r="J205" s="89">
        <v>10.763999999999999</v>
      </c>
    </row>
    <row r="206" spans="1:20" s="82" customFormat="1" hidden="1" x14ac:dyDescent="0.35">
      <c r="A206" s="154" t="s">
        <v>389</v>
      </c>
      <c r="B206" s="155"/>
      <c r="C206" s="155"/>
      <c r="D206" s="155"/>
      <c r="E206" s="155"/>
      <c r="F206" s="155"/>
      <c r="G206" s="155"/>
      <c r="H206" s="156"/>
      <c r="J206" s="33"/>
    </row>
    <row r="207" spans="1:20" s="82" customFormat="1" hidden="1" x14ac:dyDescent="0.35">
      <c r="A207" s="154" t="s">
        <v>391</v>
      </c>
      <c r="B207" s="155"/>
      <c r="C207" s="155"/>
      <c r="D207" s="155"/>
      <c r="E207" s="155"/>
      <c r="F207" s="155"/>
      <c r="G207" s="155"/>
      <c r="H207" s="156"/>
      <c r="J207" s="33"/>
    </row>
    <row r="208" spans="1:20" s="82" customFormat="1" x14ac:dyDescent="0.35">
      <c r="A208" s="154" t="s">
        <v>390</v>
      </c>
      <c r="B208" s="155"/>
      <c r="C208" s="155"/>
      <c r="D208" s="155"/>
      <c r="E208" s="155"/>
      <c r="F208" s="155"/>
      <c r="G208" s="155"/>
      <c r="H208" s="156"/>
      <c r="J208" s="33"/>
    </row>
    <row r="209" spans="1:20" s="82" customFormat="1" x14ac:dyDescent="0.35">
      <c r="A209" s="154" t="s">
        <v>392</v>
      </c>
      <c r="B209" s="155"/>
      <c r="C209" s="155"/>
      <c r="D209" s="155"/>
      <c r="E209" s="155"/>
      <c r="F209" s="155"/>
      <c r="G209" s="155"/>
      <c r="H209" s="156"/>
      <c r="J209" s="33"/>
    </row>
    <row r="210" spans="1:20" s="82" customFormat="1" x14ac:dyDescent="0.35">
      <c r="A210" s="120" t="s">
        <v>393</v>
      </c>
      <c r="B210" s="121"/>
      <c r="C210" s="121"/>
      <c r="D210" s="121"/>
      <c r="E210" s="121"/>
      <c r="F210" s="121"/>
      <c r="G210" s="121"/>
      <c r="H210" s="122"/>
      <c r="J210" s="33"/>
    </row>
    <row r="211" spans="1:20" s="82" customFormat="1" ht="15.75" customHeight="1" x14ac:dyDescent="0.35">
      <c r="A211" s="118">
        <v>1</v>
      </c>
      <c r="B211" s="119"/>
      <c r="C211" s="83" t="s">
        <v>394</v>
      </c>
      <c r="D211" s="89">
        <f>(19.9)*10.764</f>
        <v>214.20359999999997</v>
      </c>
      <c r="E211" s="89">
        <f>(2.35*2)*10.764</f>
        <v>50.590800000000002</v>
      </c>
      <c r="F211" s="83">
        <f>D211+E211</f>
        <v>264.7944</v>
      </c>
      <c r="G211" s="89">
        <f>(2.9*1.35)*10.764</f>
        <v>42.141059999999996</v>
      </c>
      <c r="H211" s="83">
        <f>F211*(($H$204)+1)+(IF(G211&lt;101,G211,IF(G211&lt;201,G211/2,IF(G211&lt;=301,G211/3,G211/4))))</f>
        <v>426.09293999999994</v>
      </c>
      <c r="I211" s="33">
        <f>2.8*4.15+2.2*1.5+0.9*1.2+1.2*1.2+0.9*2.2</f>
        <v>19.420000000000002</v>
      </c>
      <c r="L211" s="213"/>
      <c r="M211" s="213"/>
      <c r="N211" s="33"/>
    </row>
    <row r="212" spans="1:20" s="82" customFormat="1" ht="15.75" customHeight="1" x14ac:dyDescent="0.35">
      <c r="A212" s="118">
        <f>A211+1</f>
        <v>2</v>
      </c>
      <c r="B212" s="119"/>
      <c r="C212" s="83" t="s">
        <v>395</v>
      </c>
      <c r="D212" s="89">
        <f>(27.931)*10.764</f>
        <v>300.64928399999997</v>
      </c>
      <c r="E212" s="89">
        <f>(2*(2.5+3.05))*10.764</f>
        <v>119.48039999999999</v>
      </c>
      <c r="F212" s="83">
        <f>D212+E212</f>
        <v>420.12968399999994</v>
      </c>
      <c r="G212" s="89">
        <f>(2.775*2.45)*10.764</f>
        <v>73.181744999999992</v>
      </c>
      <c r="H212" s="83">
        <f>F212*(($H$204)+1)+(IF(G212&lt;101,G212,IF(G212&lt;201,G212/2,IF(G212&lt;=301,G212/3,G212/4))))</f>
        <v>682.36978679999993</v>
      </c>
      <c r="I212" s="33"/>
      <c r="L212" s="213"/>
      <c r="M212" s="213"/>
      <c r="N212" s="33"/>
    </row>
    <row r="213" spans="1:20" s="82" customFormat="1" ht="15.75" customHeight="1" x14ac:dyDescent="0.35">
      <c r="A213" s="118">
        <f>A212+1</f>
        <v>3</v>
      </c>
      <c r="B213" s="119"/>
      <c r="C213" s="83" t="s">
        <v>395</v>
      </c>
      <c r="D213" s="89">
        <f>(29.306)*10.764</f>
        <v>315.44978399999997</v>
      </c>
      <c r="E213" s="89">
        <f>(2.5*2)*10.764</f>
        <v>53.819999999999993</v>
      </c>
      <c r="F213" s="83">
        <f>D213+E213</f>
        <v>369.26978399999996</v>
      </c>
      <c r="G213" s="89">
        <f>(2.775*2.45)*10.764</f>
        <v>73.181744999999992</v>
      </c>
      <c r="H213" s="83">
        <f>F213*(($H$204)+1)+(IF(G213&lt;101,G213,IF(G213&lt;201,G213/2,IF(G213&lt;=301,G213/3,G213/4))))</f>
        <v>608.62293179999995</v>
      </c>
      <c r="I213" s="33"/>
      <c r="L213" s="213"/>
      <c r="M213" s="213"/>
      <c r="N213" s="33"/>
    </row>
    <row r="214" spans="1:20" s="82" customFormat="1" ht="15.75" customHeight="1" x14ac:dyDescent="0.35">
      <c r="A214" s="118">
        <f>A213+1</f>
        <v>4</v>
      </c>
      <c r="B214" s="119"/>
      <c r="C214" s="83" t="s">
        <v>395</v>
      </c>
      <c r="D214" s="89">
        <f>(29.306)*10.764</f>
        <v>315.44978399999997</v>
      </c>
      <c r="E214" s="89">
        <f>(2.5*2)*10.764</f>
        <v>53.819999999999993</v>
      </c>
      <c r="F214" s="83">
        <f>D214+E214</f>
        <v>369.26978399999996</v>
      </c>
      <c r="G214" s="89">
        <f>(2.775*2.45)*10.764</f>
        <v>73.181744999999992</v>
      </c>
      <c r="H214" s="83">
        <f>F214*(($H$204)+1)+(IF(G214&lt;101,G214,IF(G214&lt;201,G214/2,IF(G214&lt;=301,G214/3,G214/4))))</f>
        <v>608.62293179999995</v>
      </c>
      <c r="I214" s="33"/>
      <c r="L214" s="213"/>
      <c r="M214" s="213"/>
      <c r="N214" s="33"/>
      <c r="T214" s="18"/>
    </row>
    <row r="215" spans="1:20" s="82" customFormat="1" x14ac:dyDescent="0.35">
      <c r="A215" s="120" t="s">
        <v>396</v>
      </c>
      <c r="B215" s="121"/>
      <c r="C215" s="121"/>
      <c r="D215" s="121"/>
      <c r="E215" s="121"/>
      <c r="F215" s="121"/>
      <c r="G215" s="121"/>
      <c r="H215" s="122"/>
      <c r="J215" s="33"/>
    </row>
    <row r="216" spans="1:20" s="82" customFormat="1" ht="15.75" customHeight="1" x14ac:dyDescent="0.35">
      <c r="A216" s="118">
        <v>1</v>
      </c>
      <c r="B216" s="119"/>
      <c r="C216" s="83" t="s">
        <v>394</v>
      </c>
      <c r="D216" s="89">
        <f>(19.9)*10.764</f>
        <v>214.20359999999997</v>
      </c>
      <c r="E216" s="89">
        <f>(2.35*2)*10.764</f>
        <v>50.590800000000002</v>
      </c>
      <c r="F216" s="83">
        <f>D216+E216</f>
        <v>264.7944</v>
      </c>
      <c r="G216" s="83">
        <v>0</v>
      </c>
      <c r="H216" s="83">
        <f>F216*(($H$204)+1)+(IF(G216&lt;101,G216,IF(G216&lt;201,G216/2,IF(G216&lt;=301,G216/3,G216/4))))</f>
        <v>383.95187999999996</v>
      </c>
      <c r="I216" s="33"/>
      <c r="L216" s="213"/>
      <c r="M216" s="213"/>
      <c r="N216" s="33"/>
    </row>
    <row r="217" spans="1:20" s="82" customFormat="1" ht="15.75" customHeight="1" x14ac:dyDescent="0.35">
      <c r="A217" s="118">
        <f>A216+1</f>
        <v>2</v>
      </c>
      <c r="B217" s="119"/>
      <c r="C217" s="83" t="s">
        <v>395</v>
      </c>
      <c r="D217" s="89">
        <f>(27.931)*10.764</f>
        <v>300.64928399999997</v>
      </c>
      <c r="E217" s="89">
        <f>(2*(2.5+3.05))*10.764</f>
        <v>119.48039999999999</v>
      </c>
      <c r="F217" s="83">
        <f>D217+E217</f>
        <v>420.12968399999994</v>
      </c>
      <c r="G217" s="83">
        <v>0</v>
      </c>
      <c r="H217" s="83">
        <f>F217*(($H$204)+1)+(IF(G217&lt;101,G217,IF(G217&lt;201,G217/2,IF(G217&lt;=301,G217/3,G217/4))))</f>
        <v>609.18804179999995</v>
      </c>
      <c r="I217" s="33"/>
      <c r="L217" s="213"/>
      <c r="M217" s="213"/>
      <c r="N217" s="33"/>
    </row>
    <row r="218" spans="1:20" s="82" customFormat="1" ht="15.75" customHeight="1" x14ac:dyDescent="0.35">
      <c r="A218" s="118">
        <f>A217+1</f>
        <v>3</v>
      </c>
      <c r="B218" s="119"/>
      <c r="C218" s="83" t="s">
        <v>395</v>
      </c>
      <c r="D218" s="89">
        <f>(29.306)*10.764</f>
        <v>315.44978399999997</v>
      </c>
      <c r="E218" s="89">
        <f>(2.5*2)*10.764</f>
        <v>53.819999999999993</v>
      </c>
      <c r="F218" s="83">
        <f>D218+E218</f>
        <v>369.26978399999996</v>
      </c>
      <c r="G218" s="89">
        <f>(2.775*1.85)*10.764</f>
        <v>55.259684999999998</v>
      </c>
      <c r="H218" s="83">
        <f>F218*(($H$204)+1)+(IF(G218&lt;101,G218,IF(G218&lt;201,G218/2,IF(G218&lt;=301,G218/3,G218/4))))</f>
        <v>590.70087179999996</v>
      </c>
      <c r="I218" s="33"/>
      <c r="L218" s="213"/>
      <c r="M218" s="213"/>
      <c r="N218" s="33"/>
    </row>
    <row r="219" spans="1:20" s="82" customFormat="1" ht="15.75" customHeight="1" x14ac:dyDescent="0.35">
      <c r="A219" s="118">
        <f>A218+1</f>
        <v>4</v>
      </c>
      <c r="B219" s="119"/>
      <c r="C219" s="83" t="s">
        <v>395</v>
      </c>
      <c r="D219" s="89">
        <f>(29.306)*10.764</f>
        <v>315.44978399999997</v>
      </c>
      <c r="E219" s="89">
        <f>(2.5*2)*10.764</f>
        <v>53.819999999999993</v>
      </c>
      <c r="F219" s="83">
        <f>D219+E219</f>
        <v>369.26978399999996</v>
      </c>
      <c r="G219" s="89">
        <f>(2.75*1.85)*10.764</f>
        <v>54.761850000000003</v>
      </c>
      <c r="H219" s="83">
        <f>F219*(($H$204)+1)+(IF(G219&lt;101,G219,IF(G219&lt;201,G219/2,IF(G219&lt;=301,G219/3,G219/4))))</f>
        <v>590.20303679999995</v>
      </c>
      <c r="I219" s="33"/>
      <c r="L219" s="213"/>
      <c r="M219" s="213"/>
      <c r="N219" s="33"/>
      <c r="T219" s="18"/>
    </row>
    <row r="220" spans="1:20" s="82" customFormat="1" x14ac:dyDescent="0.35">
      <c r="A220" s="120" t="s">
        <v>397</v>
      </c>
      <c r="B220" s="121"/>
      <c r="C220" s="121"/>
      <c r="D220" s="121"/>
      <c r="E220" s="121"/>
      <c r="F220" s="121"/>
      <c r="G220" s="121"/>
      <c r="H220" s="122"/>
      <c r="J220" s="33"/>
    </row>
    <row r="221" spans="1:20" s="82" customFormat="1" ht="15.75" customHeight="1" x14ac:dyDescent="0.35">
      <c r="A221" s="118">
        <v>1</v>
      </c>
      <c r="B221" s="119"/>
      <c r="C221" s="83" t="s">
        <v>394</v>
      </c>
      <c r="D221" s="89">
        <f>(23.18)*10.764</f>
        <v>249.50951999999998</v>
      </c>
      <c r="E221" s="89">
        <f>(2.35*1)*10.764</f>
        <v>25.295400000000001</v>
      </c>
      <c r="F221" s="83">
        <f>D221+E221</f>
        <v>274.80491999999998</v>
      </c>
      <c r="G221" s="89">
        <f>(2.9*1.35)*10.764</f>
        <v>42.141059999999996</v>
      </c>
      <c r="H221" s="83">
        <f>F221*(($H$204)+1)+(IF(G221&lt;101,G221,IF(G221&lt;201,G221/2,IF(G221&lt;=301,G221/3,G221/4))))</f>
        <v>440.60819399999997</v>
      </c>
      <c r="I221" s="33"/>
      <c r="L221" s="213"/>
      <c r="M221" s="213"/>
      <c r="N221" s="33"/>
    </row>
    <row r="222" spans="1:20" s="82" customFormat="1" ht="15.75" customHeight="1" x14ac:dyDescent="0.35">
      <c r="A222" s="118">
        <f>A221+1</f>
        <v>2</v>
      </c>
      <c r="B222" s="119"/>
      <c r="C222" s="83" t="s">
        <v>395</v>
      </c>
      <c r="D222" s="89">
        <f>(34.245)*10.764</f>
        <v>368.61317999999994</v>
      </c>
      <c r="E222" s="89">
        <f>(1*(2.5+2.75))*10.764</f>
        <v>56.510999999999996</v>
      </c>
      <c r="F222" s="83">
        <f>D222+E222</f>
        <v>425.12417999999991</v>
      </c>
      <c r="G222" s="89">
        <f>(2.775*2.45)*10.764</f>
        <v>73.181744999999992</v>
      </c>
      <c r="H222" s="83">
        <f>F222*(($H$204)+1)+(IF(G222&lt;101,G222,IF(G222&lt;201,G222/2,IF(G222&lt;=301,G222/3,G222/4))))</f>
        <v>689.61180599999977</v>
      </c>
      <c r="I222" s="33"/>
      <c r="L222" s="213"/>
      <c r="M222" s="213"/>
      <c r="N222" s="33"/>
    </row>
    <row r="223" spans="1:20" s="82" customFormat="1" ht="15.75" customHeight="1" x14ac:dyDescent="0.35">
      <c r="A223" s="118">
        <f>A222+1</f>
        <v>3</v>
      </c>
      <c r="B223" s="119"/>
      <c r="C223" s="83" t="s">
        <v>395</v>
      </c>
      <c r="D223" s="89">
        <f>(32.93)*10.764</f>
        <v>354.45851999999996</v>
      </c>
      <c r="E223" s="89">
        <f>(2.5*1)*10.764</f>
        <v>26.909999999999997</v>
      </c>
      <c r="F223" s="83">
        <f>D223+E223</f>
        <v>381.36851999999999</v>
      </c>
      <c r="G223" s="89">
        <f>(2.775*2.45)*10.764</f>
        <v>73.181744999999992</v>
      </c>
      <c r="H223" s="83">
        <f>F223*(($H$204)+1)+(IF(G223&lt;101,G223,IF(G223&lt;201,G223/2,IF(G223&lt;=301,G223/3,G223/4))))</f>
        <v>626.16609899999992</v>
      </c>
      <c r="I223" s="33"/>
      <c r="L223" s="213"/>
      <c r="M223" s="213"/>
      <c r="N223" s="33"/>
    </row>
    <row r="224" spans="1:20" s="82" customFormat="1" ht="15.75" customHeight="1" x14ac:dyDescent="0.35">
      <c r="A224" s="118">
        <f>A223+1</f>
        <v>4</v>
      </c>
      <c r="B224" s="119"/>
      <c r="C224" s="83" t="s">
        <v>395</v>
      </c>
      <c r="D224" s="89">
        <f>(32.93)*10.764</f>
        <v>354.45851999999996</v>
      </c>
      <c r="E224" s="89">
        <f>(2.5*1)*10.764</f>
        <v>26.909999999999997</v>
      </c>
      <c r="F224" s="83">
        <f>D224+E224</f>
        <v>381.36851999999999</v>
      </c>
      <c r="G224" s="89">
        <f>(2.775*2.45)*10.764</f>
        <v>73.181744999999992</v>
      </c>
      <c r="H224" s="83">
        <f>F224*(($H$204)+1)+(IF(G224&lt;101,G224,IF(G224&lt;201,G224/2,IF(G224&lt;=301,G224/3,G224/4))))</f>
        <v>626.16609899999992</v>
      </c>
      <c r="I224" s="33"/>
      <c r="L224" s="213"/>
      <c r="M224" s="213"/>
      <c r="N224" s="33"/>
      <c r="T224" s="18"/>
    </row>
    <row r="225" spans="1:20" s="34" customFormat="1" hidden="1" x14ac:dyDescent="0.35">
      <c r="A225" s="120" t="s">
        <v>117</v>
      </c>
      <c r="B225" s="121"/>
      <c r="C225" s="121"/>
      <c r="D225" s="121"/>
      <c r="E225" s="121"/>
      <c r="F225" s="121"/>
      <c r="G225" s="121"/>
      <c r="H225" s="122"/>
      <c r="J225" s="33"/>
    </row>
    <row r="226" spans="1:20" s="34" customFormat="1" ht="15.75" hidden="1" customHeight="1" x14ac:dyDescent="0.35">
      <c r="A226" s="118">
        <v>1</v>
      </c>
      <c r="B226" s="119"/>
      <c r="C226" s="39"/>
      <c r="D226" s="39"/>
      <c r="E226" s="39">
        <v>0</v>
      </c>
      <c r="F226" s="39">
        <f>D226+E226</f>
        <v>0</v>
      </c>
      <c r="G226" s="50">
        <v>0</v>
      </c>
      <c r="H226" s="50">
        <f>F226*(($H$204)+1)+(IF(G226&lt;101,G226,IF(G226&lt;201,G226/2,IF(G226&lt;=301,G226/3,G226/4))))</f>
        <v>0</v>
      </c>
      <c r="I226" s="33"/>
      <c r="L226" s="213"/>
      <c r="M226" s="213"/>
      <c r="N226" s="33"/>
    </row>
    <row r="227" spans="1:20" s="34" customFormat="1" ht="15.75" hidden="1" customHeight="1" x14ac:dyDescent="0.35">
      <c r="A227" s="118">
        <f>A226+1</f>
        <v>2</v>
      </c>
      <c r="B227" s="119"/>
      <c r="C227" s="39"/>
      <c r="D227" s="39"/>
      <c r="E227" s="39">
        <v>0</v>
      </c>
      <c r="F227" s="50">
        <f>D227+E227</f>
        <v>0</v>
      </c>
      <c r="G227" s="50">
        <v>0</v>
      </c>
      <c r="H227" s="50">
        <f>F227*(($H$204)+1)+(IF(G227&lt;101,G227,IF(G227&lt;201,G227/2,IF(G227&lt;=301,G227/3,G227/4))))</f>
        <v>0</v>
      </c>
      <c r="I227" s="33"/>
      <c r="L227" s="213"/>
      <c r="M227" s="213"/>
      <c r="N227" s="33"/>
    </row>
    <row r="228" spans="1:20" s="34" customFormat="1" ht="15.75" hidden="1" customHeight="1" x14ac:dyDescent="0.35">
      <c r="A228" s="118">
        <f>A227+1</f>
        <v>3</v>
      </c>
      <c r="B228" s="119"/>
      <c r="C228" s="39"/>
      <c r="D228" s="39"/>
      <c r="E228" s="39">
        <v>0</v>
      </c>
      <c r="F228" s="50">
        <f>D228+E228</f>
        <v>0</v>
      </c>
      <c r="G228" s="50">
        <v>0</v>
      </c>
      <c r="H228" s="50">
        <f>F228*(($H$204)+1)+(IF(G228&lt;101,G228,IF(G228&lt;201,G228/2,IF(G228&lt;=301,G228/3,G228/4))))</f>
        <v>0</v>
      </c>
      <c r="I228" s="33"/>
      <c r="L228" s="213"/>
      <c r="M228" s="213"/>
      <c r="N228" s="33"/>
    </row>
    <row r="229" spans="1:20" s="34" customFormat="1" ht="15.75" hidden="1" customHeight="1" x14ac:dyDescent="0.35">
      <c r="A229" s="118">
        <f>A228+1</f>
        <v>4</v>
      </c>
      <c r="B229" s="119"/>
      <c r="C229" s="39"/>
      <c r="D229" s="39"/>
      <c r="E229" s="39">
        <v>0</v>
      </c>
      <c r="F229" s="50">
        <f>D229+E229</f>
        <v>0</v>
      </c>
      <c r="G229" s="50">
        <v>0</v>
      </c>
      <c r="H229" s="50">
        <f>F229*(($H$204)+1)+(IF(G229&lt;101,G229,IF(G229&lt;201,G229/2,IF(G229&lt;=301,G229/3,G229/4))))</f>
        <v>0</v>
      </c>
      <c r="I229" s="33"/>
      <c r="L229" s="213"/>
      <c r="M229" s="213"/>
      <c r="N229" s="33"/>
      <c r="T229" s="18"/>
    </row>
    <row r="230" spans="1:20" s="34" customFormat="1" hidden="1" x14ac:dyDescent="0.35">
      <c r="A230" s="165" t="s">
        <v>118</v>
      </c>
      <c r="B230" s="165"/>
      <c r="C230" s="165"/>
      <c r="D230" s="165"/>
      <c r="E230" s="165"/>
      <c r="F230" s="165"/>
      <c r="G230" s="165"/>
      <c r="H230" s="165"/>
      <c r="I230" s="33"/>
      <c r="L230" s="213"/>
      <c r="M230" s="213"/>
    </row>
    <row r="231" spans="1:20" s="34" customFormat="1" hidden="1" x14ac:dyDescent="0.35">
      <c r="A231" s="145">
        <f>LEFT(A230,SUM(LEN(A230)-LEN(SUBSTITUTE(A230,{"0","1","2","3","4","5","6","7","8","9"},""))))*100+1</f>
        <v>201</v>
      </c>
      <c r="B231" s="145"/>
      <c r="C231" s="39"/>
      <c r="D231" s="39"/>
      <c r="E231" s="50">
        <v>0</v>
      </c>
      <c r="F231" s="50">
        <f>D231+E231</f>
        <v>0</v>
      </c>
      <c r="G231" s="50">
        <v>0</v>
      </c>
      <c r="H231" s="50">
        <f>F231*(($H$204)+1)+(IF(G231&lt;101,G231,IF(G231&lt;201,G231/2,IF(G231&lt;=301,G231/3,G231/4))))</f>
        <v>0</v>
      </c>
      <c r="I231" s="33"/>
      <c r="N231" s="33"/>
    </row>
    <row r="232" spans="1:20" s="34" customFormat="1" hidden="1" x14ac:dyDescent="0.35">
      <c r="A232" s="145">
        <f>A231+1</f>
        <v>202</v>
      </c>
      <c r="B232" s="145"/>
      <c r="C232" s="39"/>
      <c r="D232" s="39"/>
      <c r="E232" s="50">
        <v>0</v>
      </c>
      <c r="F232" s="50">
        <f>D232+E232</f>
        <v>0</v>
      </c>
      <c r="G232" s="50">
        <v>0</v>
      </c>
      <c r="H232" s="50">
        <f>F232*(($H$204)+1)+(IF(G232&lt;101,G232,IF(G232&lt;201,G232/2,IF(G232&lt;=301,G232/3,G232/4))))</f>
        <v>0</v>
      </c>
      <c r="I232" s="33"/>
      <c r="N232" s="33"/>
    </row>
    <row r="233" spans="1:20" s="34" customFormat="1" hidden="1" x14ac:dyDescent="0.35">
      <c r="A233" s="145">
        <f>A232+1</f>
        <v>203</v>
      </c>
      <c r="B233" s="145"/>
      <c r="C233" s="39"/>
      <c r="D233" s="39"/>
      <c r="E233" s="50">
        <v>0</v>
      </c>
      <c r="F233" s="50">
        <f>D233+E233</f>
        <v>0</v>
      </c>
      <c r="G233" s="50">
        <v>0</v>
      </c>
      <c r="H233" s="50">
        <f>F233*(($H$204)+1)+(IF(G233&lt;101,G233,IF(G233&lt;201,G233/2,IF(G233&lt;=301,G233/3,G233/4))))</f>
        <v>0</v>
      </c>
      <c r="I233" s="33"/>
      <c r="N233" s="33"/>
    </row>
    <row r="234" spans="1:20" s="34" customFormat="1" hidden="1" x14ac:dyDescent="0.35">
      <c r="A234" s="145">
        <f>A233+1</f>
        <v>204</v>
      </c>
      <c r="B234" s="145"/>
      <c r="C234" s="39"/>
      <c r="D234" s="39"/>
      <c r="E234" s="50">
        <v>0</v>
      </c>
      <c r="F234" s="50">
        <f>D234+E234</f>
        <v>0</v>
      </c>
      <c r="G234" s="50">
        <v>0</v>
      </c>
      <c r="H234" s="50">
        <f>F234*(($H$204)+1)+(IF(G234&lt;101,G234,IF(G234&lt;201,G234/2,IF(G234&lt;=301,G234/3,G234/4))))</f>
        <v>0</v>
      </c>
      <c r="I234" s="33"/>
      <c r="N234" s="33"/>
    </row>
    <row r="235" spans="1:20" s="34" customFormat="1" hidden="1" x14ac:dyDescent="0.35">
      <c r="A235" s="145">
        <f>A234+1</f>
        <v>205</v>
      </c>
      <c r="B235" s="145"/>
      <c r="C235" s="39"/>
      <c r="D235" s="39"/>
      <c r="E235" s="50">
        <v>0</v>
      </c>
      <c r="F235" s="50">
        <f>D235+E235</f>
        <v>0</v>
      </c>
      <c r="G235" s="50">
        <v>0</v>
      </c>
      <c r="H235" s="50">
        <f>F235*(($H$204)+1)+(IF(G235&lt;101,G235,IF(G235&lt;201,G235/2,IF(G235&lt;=301,G235/3,G235/4))))</f>
        <v>0</v>
      </c>
      <c r="I235" s="33"/>
      <c r="N235" s="33"/>
    </row>
    <row r="236" spans="1:20" s="34" customFormat="1" ht="15.75" hidden="1" customHeight="1" x14ac:dyDescent="0.35">
      <c r="A236" s="120" t="s">
        <v>150</v>
      </c>
      <c r="B236" s="121"/>
      <c r="C236" s="121"/>
      <c r="D236" s="121"/>
      <c r="E236" s="121"/>
      <c r="F236" s="121"/>
      <c r="G236" s="121"/>
      <c r="H236" s="122"/>
      <c r="I236" s="33"/>
    </row>
    <row r="237" spans="1:20" s="34" customFormat="1" ht="15.75" hidden="1" customHeight="1" x14ac:dyDescent="0.35">
      <c r="A237" s="118" t="str">
        <f ca="1">(SUMPRODUCT(MID(0&amp;(LEFT(A236,SUM(LEN(A236)-LEN(SUBSTITUTE(A236,{"0","1","2"},""))))), LARGE(INDEX(ISNUMBER(--MID((LEFT(A236,SUM(LEN(A236)-LEN(SUBSTITUTE(A236,{"0","1","2"},""))))), ROW(INDIRECT("1:"&amp;LEN((LEFT(A236,SUM(LEN(A236)-LEN(SUBSTITUTE(A236,{"0","1","2"},"")))))))), 1)) * ROW(INDIRECT("1:"&amp;LEN((LEFT(A236,SUM(LEN(A236)-LEN(SUBSTITUTE(A236,{"0","1","2"},"")))))))), 0), ROW(INDIRECT("1:"&amp;LEN((LEFT(A236,SUM(LEN(A236)-LEN(SUBSTITUTE(A236,{"0","1","2"},"")))))))))+1, 1) * 10^ROW(INDIRECT("1:"&amp;LEN((LEFT(A236,SUM(LEN(A236)-LEN(SUBSTITUTE(A236,{"0","1","2"},""))))))))/10))*100+1&amp;""&amp;" ,.., "&amp;""&amp;(SUMPRODUCT(MID(0&amp;(--TRIM(RIGHT(SUBSTITUTE(LEFT(A236,_xlfn.AGGREGATE(16,6,FIND({0,1,2,3,4,5,6,7,8,9},A236,ROW(INDIRECT("1:"&amp;LEN(A236)))),1))," ",REPT(" ",LEN(A236))),LEN(A236)))), LARGE(INDEX(ISNUMBER(--MID((--TRIM(RIGHT(SUBSTITUTE(LEFT(A236,_xlfn.AGGREGATE(16,6,FIND({0,1,2,3,4,5,6,7,8,9},A236,ROW(INDIRECT("1:"&amp;LEN(A236)))),1))," ",REPT(" ",LEN(A236))),LEN(A236)))), ROW(INDIRECT("1:"&amp;LEN((--TRIM(RIGHT(SUBSTITUTE(LEFT(A236,_xlfn.AGGREGATE(16,6,FIND({0,1,2,3,4,5,6,7,8,9},A236,ROW(INDIRECT("1:"&amp;LEN(A236)))),1))," ",REPT(" ",LEN(A236))),LEN(A236))))))), 1)) * ROW(INDIRECT("1:"&amp;LEN((--TRIM(RIGHT(SUBSTITUTE(LEFT(A236,_xlfn.AGGREGATE(16,6,FIND({0,1,2,3,4,5,6,7,8,9},A236,ROW(INDIRECT("1:"&amp;LEN(A236)))),1))," ",REPT(" ",LEN(A236))),LEN(A236))))))), 0), ROW(INDIRECT("1:"&amp;LEN((--TRIM(RIGHT(SUBSTITUTE(LEFT(A236,_xlfn.AGGREGATE(16,6,FIND({0,1,2,3,4,5,6,7,8,9},A236,ROW(INDIRECT("1:"&amp;LEN(A236)))),1))," ",REPT(" ",LEN(A236))),LEN(A236))))))))+1, 1) * 10^ROW(INDIRECT("1:"&amp;LEN((--TRIM(RIGHT(SUBSTITUTE(LEFT(A236,_xlfn.AGGREGATE(16,6,FIND({0,1,2,3,4,5,6,7,8,9},A236,ROW(INDIRECT("1:"&amp;LEN(A236)))),1))," ",REPT(" ",LEN(A236))),LEN(A236)))))))/10))*100+1</f>
        <v>301 ,.., 1501</v>
      </c>
      <c r="B237" s="119"/>
      <c r="C237" s="39"/>
      <c r="D237" s="39"/>
      <c r="E237" s="50">
        <v>0</v>
      </c>
      <c r="F237" s="50">
        <f>D237+E237</f>
        <v>0</v>
      </c>
      <c r="G237" s="50">
        <v>0</v>
      </c>
      <c r="H237" s="50">
        <f>F237*(($H$204)+1)+(IF(G237&lt;101,G237,IF(G237&lt;201,G237/2,IF(G237&lt;=301,G237/3,G237/4))))</f>
        <v>0</v>
      </c>
      <c r="I237" s="33"/>
    </row>
    <row r="238" spans="1:20" s="34" customFormat="1" ht="15.75" hidden="1" customHeight="1" x14ac:dyDescent="0.35">
      <c r="A238" s="118" t="str">
        <f ca="1">(SUMPRODUCT(MID(0&amp;(LEFT(A237,SUM(LEN(A237)-LEN(SUBSTITUTE(A237,{"0","1","2"},""))))), LARGE(INDEX(ISNUMBER(--MID((LEFT(A237,SUM(LEN(A237)-LEN(SUBSTITUTE(A237,{"0","1","2"},""))))), ROW(INDIRECT("1:"&amp;LEN((LEFT(A237,SUM(LEN(A237)-LEN(SUBSTITUTE(A237,{"0","1","2"},"")))))))), 1)) * ROW(INDIRECT("1:"&amp;LEN((LEFT(A237,SUM(LEN(A237)-LEN(SUBSTITUTE(A237,{"0","1","2"},"")))))))), 0), ROW(INDIRECT("1:"&amp;LEN((LEFT(A237,SUM(LEN(A237)-LEN(SUBSTITUTE(A237,{"0","1","2"},"")))))))))+1, 1) * 10^ROW(INDIRECT("1:"&amp;LEN((LEFT(A237,SUM(LEN(A237)-LEN(SUBSTITUTE(A237,{"0","1","2"},""))))))))/10))*1+1&amp;""&amp;" ,.., "&amp;""&amp;(SUMPRODUCT(MID(0&amp;(--TRIM(RIGHT(SUBSTITUTE(LEFT(A237,_xlfn.AGGREGATE(16,6,FIND({0,1,2,3,4,5,6,7,8,9},A237,ROW(INDIRECT("1:"&amp;LEN(A237)))),1))," ",REPT(" ",LEN(A237))),LEN(A237)))), LARGE(INDEX(ISNUMBER(--MID((--TRIM(RIGHT(SUBSTITUTE(LEFT(A237,_xlfn.AGGREGATE(16,6,FIND({0,1,2,3,4,5,6,7,8,9},A237,ROW(INDIRECT("1:"&amp;LEN(A237)))),1))," ",REPT(" ",LEN(A237))),LEN(A237)))), ROW(INDIRECT("1:"&amp;LEN((--TRIM(RIGHT(SUBSTITUTE(LEFT(A237,_xlfn.AGGREGATE(16,6,FIND({0,1,2,3,4,5,6,7,8,9},A237,ROW(INDIRECT("1:"&amp;LEN(A237)))),1))," ",REPT(" ",LEN(A237))),LEN(A237))))))), 1)) * ROW(INDIRECT("1:"&amp;LEN((--TRIM(RIGHT(SUBSTITUTE(LEFT(A237,_xlfn.AGGREGATE(16,6,FIND({0,1,2,3,4,5,6,7,8,9},A237,ROW(INDIRECT("1:"&amp;LEN(A237)))),1))," ",REPT(" ",LEN(A237))),LEN(A237))))))), 0), ROW(INDIRECT("1:"&amp;LEN((--TRIM(RIGHT(SUBSTITUTE(LEFT(A237,_xlfn.AGGREGATE(16,6,FIND({0,1,2,3,4,5,6,7,8,9},A237,ROW(INDIRECT("1:"&amp;LEN(A237)))),1))," ",REPT(" ",LEN(A237))),LEN(A237))))))))+1, 1) * 10^ROW(INDIRECT("1:"&amp;LEN((--TRIM(RIGHT(SUBSTITUTE(LEFT(A237,_xlfn.AGGREGATE(16,6,FIND({0,1,2,3,4,5,6,7,8,9},A237,ROW(INDIRECT("1:"&amp;LEN(A237)))),1))," ",REPT(" ",LEN(A237))),LEN(A237)))))))/10))*1+1</f>
        <v>302 ,.., 1502</v>
      </c>
      <c r="B238" s="119"/>
      <c r="C238" s="39"/>
      <c r="D238" s="39"/>
      <c r="E238" s="50">
        <v>0</v>
      </c>
      <c r="F238" s="50">
        <f>D238+E238</f>
        <v>0</v>
      </c>
      <c r="G238" s="50">
        <v>0</v>
      </c>
      <c r="H238" s="50">
        <f>F238*(($H$204)+1)+(IF(G238&lt;101,G238,IF(G238&lt;201,G238/2,IF(G238&lt;=301,G238/3,G238/4))))</f>
        <v>0</v>
      </c>
      <c r="I238" s="33"/>
    </row>
    <row r="239" spans="1:20" s="34" customFormat="1" ht="15.75" hidden="1" customHeight="1" x14ac:dyDescent="0.35">
      <c r="A239" s="118" t="str">
        <f ca="1">(SUMPRODUCT(MID(0&amp;(LEFT(A238,SUM(LEN(A238)-LEN(SUBSTITUTE(A238,{"0","1","2"},""))))), LARGE(INDEX(ISNUMBER(--MID((LEFT(A238,SUM(LEN(A238)-LEN(SUBSTITUTE(A238,{"0","1","2"},""))))), ROW(INDIRECT("1:"&amp;LEN((LEFT(A238,SUM(LEN(A238)-LEN(SUBSTITUTE(A238,{"0","1","2"},"")))))))), 1)) * ROW(INDIRECT("1:"&amp;LEN((LEFT(A238,SUM(LEN(A238)-LEN(SUBSTITUTE(A238,{"0","1","2"},"")))))))), 0), ROW(INDIRECT("1:"&amp;LEN((LEFT(A238,SUM(LEN(A238)-LEN(SUBSTITUTE(A238,{"0","1","2"},"")))))))))+1, 1) * 10^ROW(INDIRECT("1:"&amp;LEN((LEFT(A238,SUM(LEN(A238)-LEN(SUBSTITUTE(A238,{"0","1","2"},""))))))))/10))*1+1&amp;""&amp;" ,.., "&amp;""&amp;(SUMPRODUCT(MID(0&amp;(--TRIM(RIGHT(SUBSTITUTE(LEFT(A238,_xlfn.AGGREGATE(16,6,FIND({0,1,2,3,4,5,6,7,8,9},A238,ROW(INDIRECT("1:"&amp;LEN(A238)))),1))," ",REPT(" ",LEN(A238))),LEN(A238)))), LARGE(INDEX(ISNUMBER(--MID((--TRIM(RIGHT(SUBSTITUTE(LEFT(A238,_xlfn.AGGREGATE(16,6,FIND({0,1,2,3,4,5,6,7,8,9},A238,ROW(INDIRECT("1:"&amp;LEN(A238)))),1))," ",REPT(" ",LEN(A238))),LEN(A238)))), ROW(INDIRECT("1:"&amp;LEN((--TRIM(RIGHT(SUBSTITUTE(LEFT(A238,_xlfn.AGGREGATE(16,6,FIND({0,1,2,3,4,5,6,7,8,9},A238,ROW(INDIRECT("1:"&amp;LEN(A238)))),1))," ",REPT(" ",LEN(A238))),LEN(A238))))))), 1)) * ROW(INDIRECT("1:"&amp;LEN((--TRIM(RIGHT(SUBSTITUTE(LEFT(A238,_xlfn.AGGREGATE(16,6,FIND({0,1,2,3,4,5,6,7,8,9},A238,ROW(INDIRECT("1:"&amp;LEN(A238)))),1))," ",REPT(" ",LEN(A238))),LEN(A238))))))), 0), ROW(INDIRECT("1:"&amp;LEN((--TRIM(RIGHT(SUBSTITUTE(LEFT(A238,_xlfn.AGGREGATE(16,6,FIND({0,1,2,3,4,5,6,7,8,9},A238,ROW(INDIRECT("1:"&amp;LEN(A238)))),1))," ",REPT(" ",LEN(A238))),LEN(A238))))))))+1, 1) * 10^ROW(INDIRECT("1:"&amp;LEN((--TRIM(RIGHT(SUBSTITUTE(LEFT(A238,_xlfn.AGGREGATE(16,6,FIND({0,1,2,3,4,5,6,7,8,9},A238,ROW(INDIRECT("1:"&amp;LEN(A238)))),1))," ",REPT(" ",LEN(A238))),LEN(A238)))))))/10))*1+1</f>
        <v>303 ,.., 1503</v>
      </c>
      <c r="B239" s="119"/>
      <c r="C239" s="39"/>
      <c r="D239" s="39"/>
      <c r="E239" s="50">
        <v>0</v>
      </c>
      <c r="F239" s="50">
        <f>D239+E239</f>
        <v>0</v>
      </c>
      <c r="G239" s="50">
        <v>0</v>
      </c>
      <c r="H239" s="50">
        <f>F239*(($H$204)+1)+(IF(G239&lt;101,G239,IF(G239&lt;201,G239/2,IF(G239&lt;=301,G239/3,G239/4))))</f>
        <v>0</v>
      </c>
      <c r="I239" s="33"/>
    </row>
    <row r="240" spans="1:20" s="34" customFormat="1" ht="15.75" hidden="1" customHeight="1" x14ac:dyDescent="0.35">
      <c r="A240" s="118" t="str">
        <f ca="1">(SUMPRODUCT(MID(0&amp;(LEFT(A239,SUM(LEN(A239)-LEN(SUBSTITUTE(A239,{"0","1","2"},""))))), LARGE(INDEX(ISNUMBER(--MID((LEFT(A239,SUM(LEN(A239)-LEN(SUBSTITUTE(A239,{"0","1","2"},""))))), ROW(INDIRECT("1:"&amp;LEN((LEFT(A239,SUM(LEN(A239)-LEN(SUBSTITUTE(A239,{"0","1","2"},"")))))))), 1)) * ROW(INDIRECT("1:"&amp;LEN((LEFT(A239,SUM(LEN(A239)-LEN(SUBSTITUTE(A239,{"0","1","2"},"")))))))), 0), ROW(INDIRECT("1:"&amp;LEN((LEFT(A239,SUM(LEN(A239)-LEN(SUBSTITUTE(A239,{"0","1","2"},"")))))))))+1, 1) * 10^ROW(INDIRECT("1:"&amp;LEN((LEFT(A239,SUM(LEN(A239)-LEN(SUBSTITUTE(A239,{"0","1","2"},""))))))))/10))*1+1&amp;""&amp;" ,.., "&amp;""&amp;(SUMPRODUCT(MID(0&amp;(--TRIM(RIGHT(SUBSTITUTE(LEFT(A239,_xlfn.AGGREGATE(16,6,FIND({0,1,2,3,4,5,6,7,8,9},A239,ROW(INDIRECT("1:"&amp;LEN(A239)))),1))," ",REPT(" ",LEN(A239))),LEN(A239)))), LARGE(INDEX(ISNUMBER(--MID((--TRIM(RIGHT(SUBSTITUTE(LEFT(A239,_xlfn.AGGREGATE(16,6,FIND({0,1,2,3,4,5,6,7,8,9},A239,ROW(INDIRECT("1:"&amp;LEN(A239)))),1))," ",REPT(" ",LEN(A239))),LEN(A239)))), ROW(INDIRECT("1:"&amp;LEN((--TRIM(RIGHT(SUBSTITUTE(LEFT(A239,_xlfn.AGGREGATE(16,6,FIND({0,1,2,3,4,5,6,7,8,9},A239,ROW(INDIRECT("1:"&amp;LEN(A239)))),1))," ",REPT(" ",LEN(A239))),LEN(A239))))))), 1)) * ROW(INDIRECT("1:"&amp;LEN((--TRIM(RIGHT(SUBSTITUTE(LEFT(A239,_xlfn.AGGREGATE(16,6,FIND({0,1,2,3,4,5,6,7,8,9},A239,ROW(INDIRECT("1:"&amp;LEN(A239)))),1))," ",REPT(" ",LEN(A239))),LEN(A239))))))), 0), ROW(INDIRECT("1:"&amp;LEN((--TRIM(RIGHT(SUBSTITUTE(LEFT(A239,_xlfn.AGGREGATE(16,6,FIND({0,1,2,3,4,5,6,7,8,9},A239,ROW(INDIRECT("1:"&amp;LEN(A239)))),1))," ",REPT(" ",LEN(A239))),LEN(A239))))))))+1, 1) * 10^ROW(INDIRECT("1:"&amp;LEN((--TRIM(RIGHT(SUBSTITUTE(LEFT(A239,_xlfn.AGGREGATE(16,6,FIND({0,1,2,3,4,5,6,7,8,9},A239,ROW(INDIRECT("1:"&amp;LEN(A239)))),1))," ",REPT(" ",LEN(A239))),LEN(A239)))))))/10))*1+1</f>
        <v>304 ,.., 1504</v>
      </c>
      <c r="B240" s="119"/>
      <c r="C240" s="39"/>
      <c r="D240" s="39"/>
      <c r="E240" s="50">
        <v>0</v>
      </c>
      <c r="F240" s="50">
        <f>D240+E240</f>
        <v>0</v>
      </c>
      <c r="G240" s="50">
        <v>0</v>
      </c>
      <c r="H240" s="50">
        <f>F240*(($H$204)+1)+(IF(G240&lt;101,G240,IF(G240&lt;201,G240/2,IF(G240&lt;=301,G240/3,G240/4))))</f>
        <v>0</v>
      </c>
      <c r="I240" s="33"/>
    </row>
    <row r="241" spans="1:20" s="34" customFormat="1" ht="15.75" hidden="1" customHeight="1" x14ac:dyDescent="0.35">
      <c r="A241" s="118" t="str">
        <f ca="1">(SUMPRODUCT(MID(0&amp;(LEFT(A240,SUM(LEN(A240)-LEN(SUBSTITUTE(A240,{"0","1","2"},""))))), LARGE(INDEX(ISNUMBER(--MID((LEFT(A240,SUM(LEN(A240)-LEN(SUBSTITUTE(A240,{"0","1","2"},""))))), ROW(INDIRECT("1:"&amp;LEN((LEFT(A240,SUM(LEN(A240)-LEN(SUBSTITUTE(A240,{"0","1","2"},"")))))))), 1)) * ROW(INDIRECT("1:"&amp;LEN((LEFT(A240,SUM(LEN(A240)-LEN(SUBSTITUTE(A240,{"0","1","2"},"")))))))), 0), ROW(INDIRECT("1:"&amp;LEN((LEFT(A240,SUM(LEN(A240)-LEN(SUBSTITUTE(A240,{"0","1","2"},"")))))))))+1, 1) * 10^ROW(INDIRECT("1:"&amp;LEN((LEFT(A240,SUM(LEN(A240)-LEN(SUBSTITUTE(A240,{"0","1","2"},""))))))))/10))*1+1&amp;""&amp;" ,.., "&amp;""&amp;(SUMPRODUCT(MID(0&amp;(--TRIM(RIGHT(SUBSTITUTE(LEFT(A240,_xlfn.AGGREGATE(16,6,FIND({0,1,2,3,4,5,6,7,8,9},A240,ROW(INDIRECT("1:"&amp;LEN(A240)))),1))," ",REPT(" ",LEN(A240))),LEN(A240)))), LARGE(INDEX(ISNUMBER(--MID((--TRIM(RIGHT(SUBSTITUTE(LEFT(A240,_xlfn.AGGREGATE(16,6,FIND({0,1,2,3,4,5,6,7,8,9},A240,ROW(INDIRECT("1:"&amp;LEN(A240)))),1))," ",REPT(" ",LEN(A240))),LEN(A240)))), ROW(INDIRECT("1:"&amp;LEN((--TRIM(RIGHT(SUBSTITUTE(LEFT(A240,_xlfn.AGGREGATE(16,6,FIND({0,1,2,3,4,5,6,7,8,9},A240,ROW(INDIRECT("1:"&amp;LEN(A240)))),1))," ",REPT(" ",LEN(A240))),LEN(A240))))))), 1)) * ROW(INDIRECT("1:"&amp;LEN((--TRIM(RIGHT(SUBSTITUTE(LEFT(A240,_xlfn.AGGREGATE(16,6,FIND({0,1,2,3,4,5,6,7,8,9},A240,ROW(INDIRECT("1:"&amp;LEN(A240)))),1))," ",REPT(" ",LEN(A240))),LEN(A240))))))), 0), ROW(INDIRECT("1:"&amp;LEN((--TRIM(RIGHT(SUBSTITUTE(LEFT(A240,_xlfn.AGGREGATE(16,6,FIND({0,1,2,3,4,5,6,7,8,9},A240,ROW(INDIRECT("1:"&amp;LEN(A240)))),1))," ",REPT(" ",LEN(A240))),LEN(A240))))))))+1, 1) * 10^ROW(INDIRECT("1:"&amp;LEN((--TRIM(RIGHT(SUBSTITUTE(LEFT(A240,_xlfn.AGGREGATE(16,6,FIND({0,1,2,3,4,5,6,7,8,9},A240,ROW(INDIRECT("1:"&amp;LEN(A240)))),1))," ",REPT(" ",LEN(A240))),LEN(A240)))))))/10))*1+1</f>
        <v>305 ,.., 1505</v>
      </c>
      <c r="B241" s="119"/>
      <c r="C241" s="39"/>
      <c r="D241" s="39"/>
      <c r="E241" s="50">
        <v>0</v>
      </c>
      <c r="F241" s="50">
        <f>D241+E241</f>
        <v>0</v>
      </c>
      <c r="G241" s="50">
        <v>0</v>
      </c>
      <c r="H241" s="50">
        <f>F241*(($H$204)+1)+(IF(G241&lt;101,G241,IF(G241&lt;201,G241/2,IF(G241&lt;=301,G241/3,G241/4))))</f>
        <v>0</v>
      </c>
      <c r="I241" s="33"/>
    </row>
    <row r="242" spans="1:20" s="34" customFormat="1" hidden="1" x14ac:dyDescent="0.35">
      <c r="A242" s="120" t="s">
        <v>144</v>
      </c>
      <c r="B242" s="121"/>
      <c r="C242" s="121"/>
      <c r="D242" s="121"/>
      <c r="E242" s="121"/>
      <c r="F242" s="121"/>
      <c r="G242" s="121"/>
      <c r="H242" s="122"/>
      <c r="I242" s="33"/>
    </row>
    <row r="243" spans="1:20" s="34" customFormat="1" ht="15.75" hidden="1" customHeight="1" x14ac:dyDescent="0.35">
      <c r="A243" s="118" t="str">
        <f ca="1">(SUMPRODUCT(MID(0&amp;(LEFT(A242,SUM(LEN(A242)-LEN(SUBSTITUTE(A242,{"0","1","2"},""))))), LARGE(INDEX(ISNUMBER(--MID((LEFT(A242,SUM(LEN(A242)-LEN(SUBSTITUTE(A242,{"0","1","2"},""))))), ROW(INDIRECT("1:"&amp;LEN((LEFT(A242,SUM(LEN(A242)-LEN(SUBSTITUTE(A242,{"0","1","2"},"")))))))), 1)) * ROW(INDIRECT("1:"&amp;LEN((LEFT(A242,SUM(LEN(A242)-LEN(SUBSTITUTE(A242,{"0","1","2"},"")))))))), 0), ROW(INDIRECT("1:"&amp;LEN((LEFT(A242,SUM(LEN(A242)-LEN(SUBSTITUTE(A242,{"0","1","2"},"")))))))))+1, 1) * 10^ROW(INDIRECT("1:"&amp;LEN((LEFT(A242,SUM(LEN(A242)-LEN(SUBSTITUTE(A242,{"0","1","2"},""))))))))/10))*100+1&amp;""&amp;" to "&amp;""&amp;(SUMPRODUCT(MID(0&amp;(--TRIM(RIGHT(SUBSTITUTE(LEFT(A242,_xlfn.AGGREGATE(16,6,FIND({0,1,2,3,4,5,6,7,8,9},A242,ROW(INDIRECT("1:"&amp;LEN(A242)))),1))," ",REPT(" ",LEN(A242))),LEN(A242)))), LARGE(INDEX(ISNUMBER(--MID((--TRIM(RIGHT(SUBSTITUTE(LEFT(A242,_xlfn.AGGREGATE(16,6,FIND({0,1,2,3,4,5,6,7,8,9},A242,ROW(INDIRECT("1:"&amp;LEN(A242)))),1))," ",REPT(" ",LEN(A242))),LEN(A242)))), ROW(INDIRECT("1:"&amp;LEN((--TRIM(RIGHT(SUBSTITUTE(LEFT(A242,_xlfn.AGGREGATE(16,6,FIND({0,1,2,3,4,5,6,7,8,9},A242,ROW(INDIRECT("1:"&amp;LEN(A242)))),1))," ",REPT(" ",LEN(A242))),LEN(A242))))))), 1)) * ROW(INDIRECT("1:"&amp;LEN((--TRIM(RIGHT(SUBSTITUTE(LEFT(A242,_xlfn.AGGREGATE(16,6,FIND({0,1,2,3,4,5,6,7,8,9},A242,ROW(INDIRECT("1:"&amp;LEN(A242)))),1))," ",REPT(" ",LEN(A242))),LEN(A242))))))), 0), ROW(INDIRECT("1:"&amp;LEN((--TRIM(RIGHT(SUBSTITUTE(LEFT(A242,_xlfn.AGGREGATE(16,6,FIND({0,1,2,3,4,5,6,7,8,9},A242,ROW(INDIRECT("1:"&amp;LEN(A242)))),1))," ",REPT(" ",LEN(A242))),LEN(A242))))))))+1, 1) * 10^ROW(INDIRECT("1:"&amp;LEN((--TRIM(RIGHT(SUBSTITUTE(LEFT(A242,_xlfn.AGGREGATE(16,6,FIND({0,1,2,3,4,5,6,7,8,9},A242,ROW(INDIRECT("1:"&amp;LEN(A242)))),1))," ",REPT(" ",LEN(A242))),LEN(A242)))))))/10))*100+1</f>
        <v>201 to 501</v>
      </c>
      <c r="B243" s="119"/>
      <c r="C243" s="39"/>
      <c r="D243" s="39"/>
      <c r="E243" s="50">
        <v>0</v>
      </c>
      <c r="F243" s="50">
        <f>D243+E243</f>
        <v>0</v>
      </c>
      <c r="G243" s="50">
        <v>0</v>
      </c>
      <c r="H243" s="50">
        <f>F243*(($H$204)+1)+(IF(G243&lt;101,G243,IF(G243&lt;201,G243/2,IF(G243&lt;=301,G243/3,G243/4))))</f>
        <v>0</v>
      </c>
      <c r="I243" s="33"/>
    </row>
    <row r="244" spans="1:20" s="34" customFormat="1" ht="15.75" hidden="1" customHeight="1" x14ac:dyDescent="0.35">
      <c r="A244" s="118" t="str">
        <f ca="1">(SUMPRODUCT(MID(0&amp;(LEFT(A243,SUM(LEN(A243)-LEN(SUBSTITUTE(A243,{"0","1","2"},""))))), LARGE(INDEX(ISNUMBER(--MID((LEFT(A243,SUM(LEN(A243)-LEN(SUBSTITUTE(A243,{"0","1","2"},""))))), ROW(INDIRECT("1:"&amp;LEN((LEFT(A243,SUM(LEN(A243)-LEN(SUBSTITUTE(A243,{"0","1","2"},"")))))))), 1)) * ROW(INDIRECT("1:"&amp;LEN((LEFT(A243,SUM(LEN(A243)-LEN(SUBSTITUTE(A243,{"0","1","2"},"")))))))), 0), ROW(INDIRECT("1:"&amp;LEN((LEFT(A243,SUM(LEN(A243)-LEN(SUBSTITUTE(A243,{"0","1","2"},"")))))))))+1, 1) * 10^ROW(INDIRECT("1:"&amp;LEN((LEFT(A243,SUM(LEN(A243)-LEN(SUBSTITUTE(A243,{"0","1","2"},""))))))))/10))*1+1&amp;""&amp;" to "&amp;""&amp;(SUMPRODUCT(MID(0&amp;(--TRIM(RIGHT(SUBSTITUTE(LEFT(A243,_xlfn.AGGREGATE(16,6,FIND({0,1,2,3,4,5,6,7,8,9},A243,ROW(INDIRECT("1:"&amp;LEN(A243)))),1))," ",REPT(" ",LEN(A243))),LEN(A243)))), LARGE(INDEX(ISNUMBER(--MID((--TRIM(RIGHT(SUBSTITUTE(LEFT(A243,_xlfn.AGGREGATE(16,6,FIND({0,1,2,3,4,5,6,7,8,9},A243,ROW(INDIRECT("1:"&amp;LEN(A243)))),1))," ",REPT(" ",LEN(A243))),LEN(A243)))), ROW(INDIRECT("1:"&amp;LEN((--TRIM(RIGHT(SUBSTITUTE(LEFT(A243,_xlfn.AGGREGATE(16,6,FIND({0,1,2,3,4,5,6,7,8,9},A243,ROW(INDIRECT("1:"&amp;LEN(A243)))),1))," ",REPT(" ",LEN(A243))),LEN(A243))))))), 1)) * ROW(INDIRECT("1:"&amp;LEN((--TRIM(RIGHT(SUBSTITUTE(LEFT(A243,_xlfn.AGGREGATE(16,6,FIND({0,1,2,3,4,5,6,7,8,9},A243,ROW(INDIRECT("1:"&amp;LEN(A243)))),1))," ",REPT(" ",LEN(A243))),LEN(A243))))))), 0), ROW(INDIRECT("1:"&amp;LEN((--TRIM(RIGHT(SUBSTITUTE(LEFT(A243,_xlfn.AGGREGATE(16,6,FIND({0,1,2,3,4,5,6,7,8,9},A243,ROW(INDIRECT("1:"&amp;LEN(A243)))),1))," ",REPT(" ",LEN(A243))),LEN(A243))))))))+1, 1) * 10^ROW(INDIRECT("1:"&amp;LEN((--TRIM(RIGHT(SUBSTITUTE(LEFT(A243,_xlfn.AGGREGATE(16,6,FIND({0,1,2,3,4,5,6,7,8,9},A243,ROW(INDIRECT("1:"&amp;LEN(A243)))),1))," ",REPT(" ",LEN(A243))),LEN(A243)))))))/10))*1+1</f>
        <v>202 to 502</v>
      </c>
      <c r="B244" s="119"/>
      <c r="C244" s="39"/>
      <c r="D244" s="39"/>
      <c r="E244" s="50">
        <v>0</v>
      </c>
      <c r="F244" s="50">
        <f>D244+E244</f>
        <v>0</v>
      </c>
      <c r="G244" s="50">
        <v>0</v>
      </c>
      <c r="H244" s="50">
        <f>F244*(($H$204)+1)+(IF(G244&lt;101,G244,IF(G244&lt;201,G244/2,IF(G244&lt;=301,G244/3,G244/4))))</f>
        <v>0</v>
      </c>
      <c r="I244" s="33"/>
    </row>
    <row r="245" spans="1:20" s="34" customFormat="1" ht="15.75" hidden="1" customHeight="1" x14ac:dyDescent="0.35">
      <c r="A245" s="118" t="str">
        <f ca="1">(SUMPRODUCT(MID(0&amp;(LEFT(A244,SUM(LEN(A244)-LEN(SUBSTITUTE(A244,{"0","1","2"},""))))), LARGE(INDEX(ISNUMBER(--MID((LEFT(A244,SUM(LEN(A244)-LEN(SUBSTITUTE(A244,{"0","1","2"},""))))), ROW(INDIRECT("1:"&amp;LEN((LEFT(A244,SUM(LEN(A244)-LEN(SUBSTITUTE(A244,{"0","1","2"},"")))))))), 1)) * ROW(INDIRECT("1:"&amp;LEN((LEFT(A244,SUM(LEN(A244)-LEN(SUBSTITUTE(A244,{"0","1","2"},"")))))))), 0), ROW(INDIRECT("1:"&amp;LEN((LEFT(A244,SUM(LEN(A244)-LEN(SUBSTITUTE(A244,{"0","1","2"},"")))))))))+1, 1) * 10^ROW(INDIRECT("1:"&amp;LEN((LEFT(A244,SUM(LEN(A244)-LEN(SUBSTITUTE(A244,{"0","1","2"},""))))))))/10))*1+1&amp;""&amp;" to "&amp;""&amp;(SUMPRODUCT(MID(0&amp;(--TRIM(RIGHT(SUBSTITUTE(LEFT(A244,_xlfn.AGGREGATE(16,6,FIND({0,1,2,3,4,5,6,7,8,9},A244,ROW(INDIRECT("1:"&amp;LEN(A244)))),1))," ",REPT(" ",LEN(A244))),LEN(A244)))), LARGE(INDEX(ISNUMBER(--MID((--TRIM(RIGHT(SUBSTITUTE(LEFT(A244,_xlfn.AGGREGATE(16,6,FIND({0,1,2,3,4,5,6,7,8,9},A244,ROW(INDIRECT("1:"&amp;LEN(A244)))),1))," ",REPT(" ",LEN(A244))),LEN(A244)))), ROW(INDIRECT("1:"&amp;LEN((--TRIM(RIGHT(SUBSTITUTE(LEFT(A244,_xlfn.AGGREGATE(16,6,FIND({0,1,2,3,4,5,6,7,8,9},A244,ROW(INDIRECT("1:"&amp;LEN(A244)))),1))," ",REPT(" ",LEN(A244))),LEN(A244))))))), 1)) * ROW(INDIRECT("1:"&amp;LEN((--TRIM(RIGHT(SUBSTITUTE(LEFT(A244,_xlfn.AGGREGATE(16,6,FIND({0,1,2,3,4,5,6,7,8,9},A244,ROW(INDIRECT("1:"&amp;LEN(A244)))),1))," ",REPT(" ",LEN(A244))),LEN(A244))))))), 0), ROW(INDIRECT("1:"&amp;LEN((--TRIM(RIGHT(SUBSTITUTE(LEFT(A244,_xlfn.AGGREGATE(16,6,FIND({0,1,2,3,4,5,6,7,8,9},A244,ROW(INDIRECT("1:"&amp;LEN(A244)))),1))," ",REPT(" ",LEN(A244))),LEN(A244))))))))+1, 1) * 10^ROW(INDIRECT("1:"&amp;LEN((--TRIM(RIGHT(SUBSTITUTE(LEFT(A244,_xlfn.AGGREGATE(16,6,FIND({0,1,2,3,4,5,6,7,8,9},A244,ROW(INDIRECT("1:"&amp;LEN(A244)))),1))," ",REPT(" ",LEN(A244))),LEN(A244)))))))/10))*1+1</f>
        <v>203 to 503</v>
      </c>
      <c r="B245" s="119"/>
      <c r="C245" s="39"/>
      <c r="D245" s="39"/>
      <c r="E245" s="50">
        <v>0</v>
      </c>
      <c r="F245" s="50">
        <f>D245+E245</f>
        <v>0</v>
      </c>
      <c r="G245" s="50">
        <v>0</v>
      </c>
      <c r="H245" s="50">
        <f>F245*(($H$204)+1)+(IF(G245&lt;101,G245,IF(G245&lt;201,G245/2,IF(G245&lt;=301,G245/3,G245/4))))</f>
        <v>0</v>
      </c>
      <c r="I245" s="33"/>
    </row>
    <row r="246" spans="1:20" s="34" customFormat="1" ht="15.75" hidden="1" customHeight="1" x14ac:dyDescent="0.35">
      <c r="A246" s="118" t="str">
        <f ca="1">(SUMPRODUCT(MID(0&amp;(LEFT(A245,SUM(LEN(A245)-LEN(SUBSTITUTE(A245,{"0","1","2"},""))))), LARGE(INDEX(ISNUMBER(--MID((LEFT(A245,SUM(LEN(A245)-LEN(SUBSTITUTE(A245,{"0","1","2"},""))))), ROW(INDIRECT("1:"&amp;LEN((LEFT(A245,SUM(LEN(A245)-LEN(SUBSTITUTE(A245,{"0","1","2"},"")))))))), 1)) * ROW(INDIRECT("1:"&amp;LEN((LEFT(A245,SUM(LEN(A245)-LEN(SUBSTITUTE(A245,{"0","1","2"},"")))))))), 0), ROW(INDIRECT("1:"&amp;LEN((LEFT(A245,SUM(LEN(A245)-LEN(SUBSTITUTE(A245,{"0","1","2"},"")))))))))+1, 1) * 10^ROW(INDIRECT("1:"&amp;LEN((LEFT(A245,SUM(LEN(A245)-LEN(SUBSTITUTE(A245,{"0","1","2"},""))))))))/10))*1+1&amp;""&amp;" to "&amp;""&amp;(SUMPRODUCT(MID(0&amp;(--TRIM(RIGHT(SUBSTITUTE(LEFT(A245,_xlfn.AGGREGATE(16,6,FIND({0,1,2,3,4,5,6,7,8,9},A245,ROW(INDIRECT("1:"&amp;LEN(A245)))),1))," ",REPT(" ",LEN(A245))),LEN(A245)))), LARGE(INDEX(ISNUMBER(--MID((--TRIM(RIGHT(SUBSTITUTE(LEFT(A245,_xlfn.AGGREGATE(16,6,FIND({0,1,2,3,4,5,6,7,8,9},A245,ROW(INDIRECT("1:"&amp;LEN(A245)))),1))," ",REPT(" ",LEN(A245))),LEN(A245)))), ROW(INDIRECT("1:"&amp;LEN((--TRIM(RIGHT(SUBSTITUTE(LEFT(A245,_xlfn.AGGREGATE(16,6,FIND({0,1,2,3,4,5,6,7,8,9},A245,ROW(INDIRECT("1:"&amp;LEN(A245)))),1))," ",REPT(" ",LEN(A245))),LEN(A245))))))), 1)) * ROW(INDIRECT("1:"&amp;LEN((--TRIM(RIGHT(SUBSTITUTE(LEFT(A245,_xlfn.AGGREGATE(16,6,FIND({0,1,2,3,4,5,6,7,8,9},A245,ROW(INDIRECT("1:"&amp;LEN(A245)))),1))," ",REPT(" ",LEN(A245))),LEN(A245))))))), 0), ROW(INDIRECT("1:"&amp;LEN((--TRIM(RIGHT(SUBSTITUTE(LEFT(A245,_xlfn.AGGREGATE(16,6,FIND({0,1,2,3,4,5,6,7,8,9},A245,ROW(INDIRECT("1:"&amp;LEN(A245)))),1))," ",REPT(" ",LEN(A245))),LEN(A245))))))))+1, 1) * 10^ROW(INDIRECT("1:"&amp;LEN((--TRIM(RIGHT(SUBSTITUTE(LEFT(A245,_xlfn.AGGREGATE(16,6,FIND({0,1,2,3,4,5,6,7,8,9},A245,ROW(INDIRECT("1:"&amp;LEN(A245)))),1))," ",REPT(" ",LEN(A245))),LEN(A245)))))))/10))*1+1</f>
        <v>204 to 504</v>
      </c>
      <c r="B246" s="119"/>
      <c r="C246" s="39"/>
      <c r="D246" s="39"/>
      <c r="E246" s="50">
        <v>0</v>
      </c>
      <c r="F246" s="50">
        <f>D246+E246</f>
        <v>0</v>
      </c>
      <c r="G246" s="50">
        <v>0</v>
      </c>
      <c r="H246" s="50">
        <f>F246*(($H$204)+1)+(IF(G246&lt;101,G246,IF(G246&lt;201,G246/2,IF(G246&lt;=301,G246/3,G246/4))))</f>
        <v>0</v>
      </c>
      <c r="I246" s="33"/>
    </row>
    <row r="247" spans="1:20" s="34" customFormat="1" ht="15.75" hidden="1" customHeight="1" x14ac:dyDescent="0.35">
      <c r="A247" s="118" t="str">
        <f ca="1">(SUMPRODUCT(MID(0&amp;(LEFT(A246,SUM(LEN(A246)-LEN(SUBSTITUTE(A246,{"0","1","2"},""))))), LARGE(INDEX(ISNUMBER(--MID((LEFT(A246,SUM(LEN(A246)-LEN(SUBSTITUTE(A246,{"0","1","2"},""))))), ROW(INDIRECT("1:"&amp;LEN((LEFT(A246,SUM(LEN(A246)-LEN(SUBSTITUTE(A246,{"0","1","2"},"")))))))), 1)) * ROW(INDIRECT("1:"&amp;LEN((LEFT(A246,SUM(LEN(A246)-LEN(SUBSTITUTE(A246,{"0","1","2"},"")))))))), 0), ROW(INDIRECT("1:"&amp;LEN((LEFT(A246,SUM(LEN(A246)-LEN(SUBSTITUTE(A246,{"0","1","2"},"")))))))))+1, 1) * 10^ROW(INDIRECT("1:"&amp;LEN((LEFT(A246,SUM(LEN(A246)-LEN(SUBSTITUTE(A246,{"0","1","2"},""))))))))/10))*1+1&amp;""&amp;" to "&amp;""&amp;(SUMPRODUCT(MID(0&amp;(--TRIM(RIGHT(SUBSTITUTE(LEFT(A246,_xlfn.AGGREGATE(16,6,FIND({0,1,2,3,4,5,6,7,8,9},A246,ROW(INDIRECT("1:"&amp;LEN(A246)))),1))," ",REPT(" ",LEN(A246))),LEN(A246)))), LARGE(INDEX(ISNUMBER(--MID((--TRIM(RIGHT(SUBSTITUTE(LEFT(A246,_xlfn.AGGREGATE(16,6,FIND({0,1,2,3,4,5,6,7,8,9},A246,ROW(INDIRECT("1:"&amp;LEN(A246)))),1))," ",REPT(" ",LEN(A246))),LEN(A246)))), ROW(INDIRECT("1:"&amp;LEN((--TRIM(RIGHT(SUBSTITUTE(LEFT(A246,_xlfn.AGGREGATE(16,6,FIND({0,1,2,3,4,5,6,7,8,9},A246,ROW(INDIRECT("1:"&amp;LEN(A246)))),1))," ",REPT(" ",LEN(A246))),LEN(A246))))))), 1)) * ROW(INDIRECT("1:"&amp;LEN((--TRIM(RIGHT(SUBSTITUTE(LEFT(A246,_xlfn.AGGREGATE(16,6,FIND({0,1,2,3,4,5,6,7,8,9},A246,ROW(INDIRECT("1:"&amp;LEN(A246)))),1))," ",REPT(" ",LEN(A246))),LEN(A246))))))), 0), ROW(INDIRECT("1:"&amp;LEN((--TRIM(RIGHT(SUBSTITUTE(LEFT(A246,_xlfn.AGGREGATE(16,6,FIND({0,1,2,3,4,5,6,7,8,9},A246,ROW(INDIRECT("1:"&amp;LEN(A246)))),1))," ",REPT(" ",LEN(A246))),LEN(A246))))))))+1, 1) * 10^ROW(INDIRECT("1:"&amp;LEN((--TRIM(RIGHT(SUBSTITUTE(LEFT(A246,_xlfn.AGGREGATE(16,6,FIND({0,1,2,3,4,5,6,7,8,9},A246,ROW(INDIRECT("1:"&amp;LEN(A246)))),1))," ",REPT(" ",LEN(A246))),LEN(A246)))))))/10))*1+1</f>
        <v>205 to 505</v>
      </c>
      <c r="B247" s="119"/>
      <c r="C247" s="39"/>
      <c r="D247" s="39"/>
      <c r="E247" s="50">
        <v>0</v>
      </c>
      <c r="F247" s="50">
        <f>D247+E247</f>
        <v>0</v>
      </c>
      <c r="G247" s="50">
        <v>0</v>
      </c>
      <c r="H247" s="50">
        <f>F247*(($H$204)+1)+(IF(G247&lt;101,G247,IF(G247&lt;201,G247/2,IF(G247&lt;=301,G247/3,G247/4))))</f>
        <v>0</v>
      </c>
      <c r="I247" s="33"/>
    </row>
    <row r="248" spans="1:20" s="34" customFormat="1" hidden="1" x14ac:dyDescent="0.35">
      <c r="A248" s="120" t="s">
        <v>145</v>
      </c>
      <c r="B248" s="121"/>
      <c r="C248" s="121"/>
      <c r="D248" s="121"/>
      <c r="E248" s="121"/>
      <c r="F248" s="121"/>
      <c r="G248" s="121"/>
      <c r="H248" s="122"/>
      <c r="I248" s="33"/>
    </row>
    <row r="249" spans="1:20" s="34" customFormat="1" ht="15.75" hidden="1" customHeight="1" x14ac:dyDescent="0.35">
      <c r="A249" s="118" t="str">
        <f ca="1">(SUMPRODUCT(MID(0&amp;(LEFT(A248,SUM(LEN(A248)-LEN(SUBSTITUTE(A248,{"0","1","2"},""))))), LARGE(INDEX(ISNUMBER(--MID((LEFT(A248,SUM(LEN(A248)-LEN(SUBSTITUTE(A248,{"0","1","2"},""))))), ROW(INDIRECT("1:"&amp;LEN((LEFT(A248,SUM(LEN(A248)-LEN(SUBSTITUTE(A248,{"0","1","2"},"")))))))), 1)) * ROW(INDIRECT("1:"&amp;LEN((LEFT(A248,SUM(LEN(A248)-LEN(SUBSTITUTE(A248,{"0","1","2"},"")))))))), 0), ROW(INDIRECT("1:"&amp;LEN((LEFT(A248,SUM(LEN(A248)-LEN(SUBSTITUTE(A248,{"0","1","2"},"")))))))))+1, 1) * 10^ROW(INDIRECT("1:"&amp;LEN((LEFT(A248,SUM(LEN(A248)-LEN(SUBSTITUTE(A248,{"0","1","2"},""))))))))/10))*100+1&amp;""&amp;" &amp; "&amp;""&amp;(SUMPRODUCT(MID(0&amp;(--TRIM(RIGHT(SUBSTITUTE(LEFT(A248,_xlfn.AGGREGATE(16,6,FIND({0,1,2,3,4,5,6,7,8,9},A248,ROW(INDIRECT("1:"&amp;LEN(A248)))),1))," ",REPT(" ",LEN(A248))),LEN(A248)))), LARGE(INDEX(ISNUMBER(--MID((--TRIM(RIGHT(SUBSTITUTE(LEFT(A248,_xlfn.AGGREGATE(16,6,FIND({0,1,2,3,4,5,6,7,8,9},A248,ROW(INDIRECT("1:"&amp;LEN(A248)))),1))," ",REPT(" ",LEN(A248))),LEN(A248)))), ROW(INDIRECT("1:"&amp;LEN((--TRIM(RIGHT(SUBSTITUTE(LEFT(A248,_xlfn.AGGREGATE(16,6,FIND({0,1,2,3,4,5,6,7,8,9},A248,ROW(INDIRECT("1:"&amp;LEN(A248)))),1))," ",REPT(" ",LEN(A248))),LEN(A248))))))), 1)) * ROW(INDIRECT("1:"&amp;LEN((--TRIM(RIGHT(SUBSTITUTE(LEFT(A248,_xlfn.AGGREGATE(16,6,FIND({0,1,2,3,4,5,6,7,8,9},A248,ROW(INDIRECT("1:"&amp;LEN(A248)))),1))," ",REPT(" ",LEN(A248))),LEN(A248))))))), 0), ROW(INDIRECT("1:"&amp;LEN((--TRIM(RIGHT(SUBSTITUTE(LEFT(A248,_xlfn.AGGREGATE(16,6,FIND({0,1,2,3,4,5,6,7,8,9},A248,ROW(INDIRECT("1:"&amp;LEN(A248)))),1))," ",REPT(" ",LEN(A248))),LEN(A248))))))))+1, 1) * 10^ROW(INDIRECT("1:"&amp;LEN((--TRIM(RIGHT(SUBSTITUTE(LEFT(A248,_xlfn.AGGREGATE(16,6,FIND({0,1,2,3,4,5,6,7,8,9},A248,ROW(INDIRECT("1:"&amp;LEN(A248)))),1))," ",REPT(" ",LEN(A248))),LEN(A248)))))))/10))*100+1</f>
        <v>201 &amp; 501</v>
      </c>
      <c r="B249" s="119"/>
      <c r="C249" s="39"/>
      <c r="D249" s="39"/>
      <c r="E249" s="50">
        <v>0</v>
      </c>
      <c r="F249" s="50">
        <f>D249+E249</f>
        <v>0</v>
      </c>
      <c r="G249" s="50">
        <v>0</v>
      </c>
      <c r="H249" s="50">
        <f>F249*(($H$204)+1)+(IF(G249&lt;101,G249,IF(G249&lt;201,G249/2,IF(G249&lt;=301,G249/3,G249/4))))</f>
        <v>0</v>
      </c>
      <c r="I249" s="33"/>
    </row>
    <row r="250" spans="1:20" s="34" customFormat="1" ht="15.75" hidden="1" customHeight="1" x14ac:dyDescent="0.35">
      <c r="A250" s="118" t="str">
        <f ca="1">(SUMPRODUCT(MID(0&amp;(LEFT(A249,SUM(LEN(A249)-LEN(SUBSTITUTE(A249,{"0","1","2"},""))))), LARGE(INDEX(ISNUMBER(--MID((LEFT(A249,SUM(LEN(A249)-LEN(SUBSTITUTE(A249,{"0","1","2"},""))))), ROW(INDIRECT("1:"&amp;LEN((LEFT(A249,SUM(LEN(A249)-LEN(SUBSTITUTE(A249,{"0","1","2"},"")))))))), 1)) * ROW(INDIRECT("1:"&amp;LEN((LEFT(A249,SUM(LEN(A249)-LEN(SUBSTITUTE(A249,{"0","1","2"},"")))))))), 0), ROW(INDIRECT("1:"&amp;LEN((LEFT(A249,SUM(LEN(A249)-LEN(SUBSTITUTE(A249,{"0","1","2"},"")))))))))+1, 1) * 10^ROW(INDIRECT("1:"&amp;LEN((LEFT(A249,SUM(LEN(A249)-LEN(SUBSTITUTE(A249,{"0","1","2"},""))))))))/10))*1+1&amp;""&amp;" &amp; "&amp;""&amp;(SUMPRODUCT(MID(0&amp;(--TRIM(RIGHT(SUBSTITUTE(LEFT(A249,_xlfn.AGGREGATE(16,6,FIND({0,1,2,3,4,5,6,7,8,9},A249,ROW(INDIRECT("1:"&amp;LEN(A249)))),1))," ",REPT(" ",LEN(A249))),LEN(A249)))), LARGE(INDEX(ISNUMBER(--MID((--TRIM(RIGHT(SUBSTITUTE(LEFT(A249,_xlfn.AGGREGATE(16,6,FIND({0,1,2,3,4,5,6,7,8,9},A249,ROW(INDIRECT("1:"&amp;LEN(A249)))),1))," ",REPT(" ",LEN(A249))),LEN(A249)))), ROW(INDIRECT("1:"&amp;LEN((--TRIM(RIGHT(SUBSTITUTE(LEFT(A249,_xlfn.AGGREGATE(16,6,FIND({0,1,2,3,4,5,6,7,8,9},A249,ROW(INDIRECT("1:"&amp;LEN(A249)))),1))," ",REPT(" ",LEN(A249))),LEN(A249))))))), 1)) * ROW(INDIRECT("1:"&amp;LEN((--TRIM(RIGHT(SUBSTITUTE(LEFT(A249,_xlfn.AGGREGATE(16,6,FIND({0,1,2,3,4,5,6,7,8,9},A249,ROW(INDIRECT("1:"&amp;LEN(A249)))),1))," ",REPT(" ",LEN(A249))),LEN(A249))))))), 0), ROW(INDIRECT("1:"&amp;LEN((--TRIM(RIGHT(SUBSTITUTE(LEFT(A249,_xlfn.AGGREGATE(16,6,FIND({0,1,2,3,4,5,6,7,8,9},A249,ROW(INDIRECT("1:"&amp;LEN(A249)))),1))," ",REPT(" ",LEN(A249))),LEN(A249))))))))+1, 1) * 10^ROW(INDIRECT("1:"&amp;LEN((--TRIM(RIGHT(SUBSTITUTE(LEFT(A249,_xlfn.AGGREGATE(16,6,FIND({0,1,2,3,4,5,6,7,8,9},A249,ROW(INDIRECT("1:"&amp;LEN(A249)))),1))," ",REPT(" ",LEN(A249))),LEN(A249)))))))/10))*1+1</f>
        <v>202 &amp; 502</v>
      </c>
      <c r="B250" s="119"/>
      <c r="C250" s="39"/>
      <c r="D250" s="39"/>
      <c r="E250" s="50">
        <v>0</v>
      </c>
      <c r="F250" s="50">
        <f>D250+E250</f>
        <v>0</v>
      </c>
      <c r="G250" s="50">
        <v>0</v>
      </c>
      <c r="H250" s="50">
        <f>F250*(($H$204)+1)+(IF(G250&lt;101,G250,IF(G250&lt;201,G250/2,IF(G250&lt;=301,G250/3,G250/4))))</f>
        <v>0</v>
      </c>
      <c r="I250" s="33"/>
    </row>
    <row r="251" spans="1:20" s="34" customFormat="1" ht="15.75" hidden="1" customHeight="1" x14ac:dyDescent="0.35">
      <c r="A251" s="118" t="str">
        <f ca="1">(SUMPRODUCT(MID(0&amp;(LEFT(A250,SUM(LEN(A250)-LEN(SUBSTITUTE(A250,{"0","1","2"},""))))), LARGE(INDEX(ISNUMBER(--MID((LEFT(A250,SUM(LEN(A250)-LEN(SUBSTITUTE(A250,{"0","1","2"},""))))), ROW(INDIRECT("1:"&amp;LEN((LEFT(A250,SUM(LEN(A250)-LEN(SUBSTITUTE(A250,{"0","1","2"},"")))))))), 1)) * ROW(INDIRECT("1:"&amp;LEN((LEFT(A250,SUM(LEN(A250)-LEN(SUBSTITUTE(A250,{"0","1","2"},"")))))))), 0), ROW(INDIRECT("1:"&amp;LEN((LEFT(A250,SUM(LEN(A250)-LEN(SUBSTITUTE(A250,{"0","1","2"},"")))))))))+1, 1) * 10^ROW(INDIRECT("1:"&amp;LEN((LEFT(A250,SUM(LEN(A250)-LEN(SUBSTITUTE(A250,{"0","1","2"},""))))))))/10))*1+1&amp;""&amp;" &amp; "&amp;""&amp;(SUMPRODUCT(MID(0&amp;(--TRIM(RIGHT(SUBSTITUTE(LEFT(A250,_xlfn.AGGREGATE(16,6,FIND({0,1,2,3,4,5,6,7,8,9},A250,ROW(INDIRECT("1:"&amp;LEN(A250)))),1))," ",REPT(" ",LEN(A250))),LEN(A250)))), LARGE(INDEX(ISNUMBER(--MID((--TRIM(RIGHT(SUBSTITUTE(LEFT(A250,_xlfn.AGGREGATE(16,6,FIND({0,1,2,3,4,5,6,7,8,9},A250,ROW(INDIRECT("1:"&amp;LEN(A250)))),1))," ",REPT(" ",LEN(A250))),LEN(A250)))), ROW(INDIRECT("1:"&amp;LEN((--TRIM(RIGHT(SUBSTITUTE(LEFT(A250,_xlfn.AGGREGATE(16,6,FIND({0,1,2,3,4,5,6,7,8,9},A250,ROW(INDIRECT("1:"&amp;LEN(A250)))),1))," ",REPT(" ",LEN(A250))),LEN(A250))))))), 1)) * ROW(INDIRECT("1:"&amp;LEN((--TRIM(RIGHT(SUBSTITUTE(LEFT(A250,_xlfn.AGGREGATE(16,6,FIND({0,1,2,3,4,5,6,7,8,9},A250,ROW(INDIRECT("1:"&amp;LEN(A250)))),1))," ",REPT(" ",LEN(A250))),LEN(A250))))))), 0), ROW(INDIRECT("1:"&amp;LEN((--TRIM(RIGHT(SUBSTITUTE(LEFT(A250,_xlfn.AGGREGATE(16,6,FIND({0,1,2,3,4,5,6,7,8,9},A250,ROW(INDIRECT("1:"&amp;LEN(A250)))),1))," ",REPT(" ",LEN(A250))),LEN(A250))))))))+1, 1) * 10^ROW(INDIRECT("1:"&amp;LEN((--TRIM(RIGHT(SUBSTITUTE(LEFT(A250,_xlfn.AGGREGATE(16,6,FIND({0,1,2,3,4,5,6,7,8,9},A250,ROW(INDIRECT("1:"&amp;LEN(A250)))),1))," ",REPT(" ",LEN(A250))),LEN(A250)))))))/10))*1+1</f>
        <v>203 &amp; 503</v>
      </c>
      <c r="B251" s="119"/>
      <c r="C251" s="39"/>
      <c r="D251" s="39"/>
      <c r="E251" s="50">
        <v>0</v>
      </c>
      <c r="F251" s="50">
        <f>D251+E251</f>
        <v>0</v>
      </c>
      <c r="G251" s="50">
        <v>0</v>
      </c>
      <c r="H251" s="50">
        <f>F251*(($H$204)+1)+(IF(G251&lt;101,G251,IF(G251&lt;201,G251/2,IF(G251&lt;=301,G251/3,G251/4))))</f>
        <v>0</v>
      </c>
      <c r="I251" s="33"/>
    </row>
    <row r="252" spans="1:20" s="34" customFormat="1" ht="15.75" hidden="1" customHeight="1" x14ac:dyDescent="0.35">
      <c r="A252" s="118" t="str">
        <f ca="1">(SUMPRODUCT(MID(0&amp;(LEFT(A251,SUM(LEN(A251)-LEN(SUBSTITUTE(A251,{"0","1","2"},""))))), LARGE(INDEX(ISNUMBER(--MID((LEFT(A251,SUM(LEN(A251)-LEN(SUBSTITUTE(A251,{"0","1","2"},""))))), ROW(INDIRECT("1:"&amp;LEN((LEFT(A251,SUM(LEN(A251)-LEN(SUBSTITUTE(A251,{"0","1","2"},"")))))))), 1)) * ROW(INDIRECT("1:"&amp;LEN((LEFT(A251,SUM(LEN(A251)-LEN(SUBSTITUTE(A251,{"0","1","2"},"")))))))), 0), ROW(INDIRECT("1:"&amp;LEN((LEFT(A251,SUM(LEN(A251)-LEN(SUBSTITUTE(A251,{"0","1","2"},"")))))))))+1, 1) * 10^ROW(INDIRECT("1:"&amp;LEN((LEFT(A251,SUM(LEN(A251)-LEN(SUBSTITUTE(A251,{"0","1","2"},""))))))))/10))*1+1&amp;""&amp;" &amp; "&amp;""&amp;(SUMPRODUCT(MID(0&amp;(--TRIM(RIGHT(SUBSTITUTE(LEFT(A251,_xlfn.AGGREGATE(16,6,FIND({0,1,2,3,4,5,6,7,8,9},A251,ROW(INDIRECT("1:"&amp;LEN(A251)))),1))," ",REPT(" ",LEN(A251))),LEN(A251)))), LARGE(INDEX(ISNUMBER(--MID((--TRIM(RIGHT(SUBSTITUTE(LEFT(A251,_xlfn.AGGREGATE(16,6,FIND({0,1,2,3,4,5,6,7,8,9},A251,ROW(INDIRECT("1:"&amp;LEN(A251)))),1))," ",REPT(" ",LEN(A251))),LEN(A251)))), ROW(INDIRECT("1:"&amp;LEN((--TRIM(RIGHT(SUBSTITUTE(LEFT(A251,_xlfn.AGGREGATE(16,6,FIND({0,1,2,3,4,5,6,7,8,9},A251,ROW(INDIRECT("1:"&amp;LEN(A251)))),1))," ",REPT(" ",LEN(A251))),LEN(A251))))))), 1)) * ROW(INDIRECT("1:"&amp;LEN((--TRIM(RIGHT(SUBSTITUTE(LEFT(A251,_xlfn.AGGREGATE(16,6,FIND({0,1,2,3,4,5,6,7,8,9},A251,ROW(INDIRECT("1:"&amp;LEN(A251)))),1))," ",REPT(" ",LEN(A251))),LEN(A251))))))), 0), ROW(INDIRECT("1:"&amp;LEN((--TRIM(RIGHT(SUBSTITUTE(LEFT(A251,_xlfn.AGGREGATE(16,6,FIND({0,1,2,3,4,5,6,7,8,9},A251,ROW(INDIRECT("1:"&amp;LEN(A251)))),1))," ",REPT(" ",LEN(A251))),LEN(A251))))))))+1, 1) * 10^ROW(INDIRECT("1:"&amp;LEN((--TRIM(RIGHT(SUBSTITUTE(LEFT(A251,_xlfn.AGGREGATE(16,6,FIND({0,1,2,3,4,5,6,7,8,9},A251,ROW(INDIRECT("1:"&amp;LEN(A251)))),1))," ",REPT(" ",LEN(A251))),LEN(A251)))))))/10))*1+1</f>
        <v>204 &amp; 504</v>
      </c>
      <c r="B252" s="119"/>
      <c r="C252" s="39"/>
      <c r="D252" s="39"/>
      <c r="E252" s="50">
        <v>0</v>
      </c>
      <c r="F252" s="50">
        <f>D252+E252</f>
        <v>0</v>
      </c>
      <c r="G252" s="50">
        <v>0</v>
      </c>
      <c r="H252" s="50">
        <f>F252*(($H$204)+1)+(IF(G252&lt;101,G252,IF(G252&lt;201,G252/2,IF(G252&lt;=301,G252/3,G252/4))))</f>
        <v>0</v>
      </c>
      <c r="I252" s="33"/>
    </row>
    <row r="253" spans="1:20" s="34" customFormat="1" ht="15.75" hidden="1" customHeight="1" x14ac:dyDescent="0.35">
      <c r="A253" s="118" t="str">
        <f ca="1">(SUMPRODUCT(MID(0&amp;(LEFT(A252,SUM(LEN(A252)-LEN(SUBSTITUTE(A252,{"0","1","2"},""))))), LARGE(INDEX(ISNUMBER(--MID((LEFT(A252,SUM(LEN(A252)-LEN(SUBSTITUTE(A252,{"0","1","2"},""))))), ROW(INDIRECT("1:"&amp;LEN((LEFT(A252,SUM(LEN(A252)-LEN(SUBSTITUTE(A252,{"0","1","2"},"")))))))), 1)) * ROW(INDIRECT("1:"&amp;LEN((LEFT(A252,SUM(LEN(A252)-LEN(SUBSTITUTE(A252,{"0","1","2"},"")))))))), 0), ROW(INDIRECT("1:"&amp;LEN((LEFT(A252,SUM(LEN(A252)-LEN(SUBSTITUTE(A252,{"0","1","2"},"")))))))))+1, 1) * 10^ROW(INDIRECT("1:"&amp;LEN((LEFT(A252,SUM(LEN(A252)-LEN(SUBSTITUTE(A252,{"0","1","2"},""))))))))/10))*1+1&amp;""&amp;" &amp; "&amp;""&amp;(SUMPRODUCT(MID(0&amp;(--TRIM(RIGHT(SUBSTITUTE(LEFT(A252,_xlfn.AGGREGATE(16,6,FIND({0,1,2,3,4,5,6,7,8,9},A252,ROW(INDIRECT("1:"&amp;LEN(A252)))),1))," ",REPT(" ",LEN(A252))),LEN(A252)))), LARGE(INDEX(ISNUMBER(--MID((--TRIM(RIGHT(SUBSTITUTE(LEFT(A252,_xlfn.AGGREGATE(16,6,FIND({0,1,2,3,4,5,6,7,8,9},A252,ROW(INDIRECT("1:"&amp;LEN(A252)))),1))," ",REPT(" ",LEN(A252))),LEN(A252)))), ROW(INDIRECT("1:"&amp;LEN((--TRIM(RIGHT(SUBSTITUTE(LEFT(A252,_xlfn.AGGREGATE(16,6,FIND({0,1,2,3,4,5,6,7,8,9},A252,ROW(INDIRECT("1:"&amp;LEN(A252)))),1))," ",REPT(" ",LEN(A252))),LEN(A252))))))), 1)) * ROW(INDIRECT("1:"&amp;LEN((--TRIM(RIGHT(SUBSTITUTE(LEFT(A252,_xlfn.AGGREGATE(16,6,FIND({0,1,2,3,4,5,6,7,8,9},A252,ROW(INDIRECT("1:"&amp;LEN(A252)))),1))," ",REPT(" ",LEN(A252))),LEN(A252))))))), 0), ROW(INDIRECT("1:"&amp;LEN((--TRIM(RIGHT(SUBSTITUTE(LEFT(A252,_xlfn.AGGREGATE(16,6,FIND({0,1,2,3,4,5,6,7,8,9},A252,ROW(INDIRECT("1:"&amp;LEN(A252)))),1))," ",REPT(" ",LEN(A252))),LEN(A252))))))))+1, 1) * 10^ROW(INDIRECT("1:"&amp;LEN((--TRIM(RIGHT(SUBSTITUTE(LEFT(A252,_xlfn.AGGREGATE(16,6,FIND({0,1,2,3,4,5,6,7,8,9},A252,ROW(INDIRECT("1:"&amp;LEN(A252)))),1))," ",REPT(" ",LEN(A252))),LEN(A252)))))))/10))*1+1</f>
        <v>205 &amp; 505</v>
      </c>
      <c r="B253" s="119"/>
      <c r="C253" s="39"/>
      <c r="D253" s="39"/>
      <c r="E253" s="50">
        <v>0</v>
      </c>
      <c r="F253" s="50">
        <f>D253+E253</f>
        <v>0</v>
      </c>
      <c r="G253" s="50">
        <v>0</v>
      </c>
      <c r="H253" s="50">
        <f>F253*(($H$204)+1)+(IF(G253&lt;101,G253,IF(G253&lt;201,G253/2,IF(G253&lt;=301,G253/3,G253/4))))</f>
        <v>0</v>
      </c>
      <c r="I253" s="33"/>
    </row>
    <row r="254" spans="1:20" s="32" customFormat="1" x14ac:dyDescent="0.35">
      <c r="A254" s="117" t="s">
        <v>65</v>
      </c>
      <c r="B254" s="117"/>
      <c r="C254" s="117"/>
      <c r="D254" s="117"/>
      <c r="E254" s="117"/>
      <c r="F254" s="117"/>
      <c r="G254" s="117"/>
      <c r="H254" s="117"/>
      <c r="T254" s="34"/>
    </row>
    <row r="255" spans="1:20" s="32" customFormat="1" ht="96" customHeight="1" x14ac:dyDescent="0.35">
      <c r="A255" s="41" t="s">
        <v>155</v>
      </c>
      <c r="B255" s="149" t="s">
        <v>420</v>
      </c>
      <c r="C255" s="150"/>
      <c r="D255" s="150"/>
      <c r="E255" s="150"/>
      <c r="F255" s="150"/>
      <c r="G255" s="150"/>
      <c r="H255" s="151"/>
      <c r="T255" s="34"/>
    </row>
    <row r="256" spans="1:20" s="32" customFormat="1" x14ac:dyDescent="0.35">
      <c r="A256" s="41" t="s">
        <v>155</v>
      </c>
      <c r="B256" s="149" t="str">
        <f>(IF(H203="Saleable area Loading :","We have considered Saleable area of Flats as per our Calculation.","We considered Saleable area of Flat as per Builder area Sheet."))</f>
        <v>We have considered Saleable area of Flats as per our Calculation.</v>
      </c>
      <c r="C256" s="150"/>
      <c r="D256" s="150"/>
      <c r="E256" s="150"/>
      <c r="F256" s="150"/>
      <c r="G256" s="150"/>
      <c r="H256" s="151"/>
      <c r="T256" s="34"/>
    </row>
    <row r="257" spans="1:20" s="32" customFormat="1" hidden="1" x14ac:dyDescent="0.35">
      <c r="A257" s="41" t="s">
        <v>155</v>
      </c>
      <c r="B257" s="106" t="str">
        <f>(IF(H195="Saleable area Loading :","We have considered Saleable area of Commercial as per our Calculation.","We considered Saleable area of Commercial as per Builder area Sheet."))</f>
        <v>We have considered Saleable area of Commercial as per our Calculation.</v>
      </c>
      <c r="C257" s="152"/>
      <c r="D257" s="152"/>
      <c r="E257" s="152"/>
      <c r="F257" s="152"/>
      <c r="G257" s="152"/>
      <c r="H257" s="153"/>
      <c r="T257" s="34"/>
    </row>
    <row r="258" spans="1:20" s="32" customFormat="1" x14ac:dyDescent="0.35">
      <c r="A258" s="41" t="s">
        <v>155</v>
      </c>
      <c r="B258" s="167" t="s">
        <v>121</v>
      </c>
      <c r="C258" s="107"/>
      <c r="D258" s="107"/>
      <c r="E258" s="107"/>
      <c r="F258" s="107"/>
      <c r="G258" s="107"/>
      <c r="H258" s="108"/>
      <c r="T258" s="34"/>
    </row>
    <row r="259" spans="1:20" s="32" customFormat="1" x14ac:dyDescent="0.35">
      <c r="A259" s="41" t="s">
        <v>155</v>
      </c>
      <c r="B259" s="149" t="s">
        <v>405</v>
      </c>
      <c r="C259" s="150"/>
      <c r="D259" s="150"/>
      <c r="E259" s="150"/>
      <c r="F259" s="150"/>
      <c r="G259" s="150"/>
      <c r="H259" s="151"/>
      <c r="T259" s="34"/>
    </row>
    <row r="260" spans="1:20" s="32" customFormat="1" x14ac:dyDescent="0.35">
      <c r="A260" s="41" t="s">
        <v>155</v>
      </c>
      <c r="B260" s="167" t="s">
        <v>154</v>
      </c>
      <c r="C260" s="107"/>
      <c r="D260" s="107"/>
      <c r="E260" s="107"/>
      <c r="F260" s="107"/>
      <c r="G260" s="107"/>
      <c r="H260" s="108"/>
    </row>
    <row r="261" spans="1:20" s="32" customFormat="1" x14ac:dyDescent="0.35">
      <c r="A261" s="41" t="s">
        <v>155</v>
      </c>
      <c r="B261" s="167" t="s">
        <v>122</v>
      </c>
      <c r="C261" s="107"/>
      <c r="D261" s="107"/>
      <c r="E261" s="107"/>
      <c r="F261" s="107"/>
      <c r="G261" s="107"/>
      <c r="H261" s="108"/>
    </row>
    <row r="262" spans="1:20" s="32" customFormat="1" ht="34.5" customHeight="1" x14ac:dyDescent="0.35">
      <c r="A262" s="41" t="s">
        <v>155</v>
      </c>
      <c r="B262" s="149" t="s">
        <v>156</v>
      </c>
      <c r="C262" s="150"/>
      <c r="D262" s="150"/>
      <c r="E262" s="150"/>
      <c r="F262" s="150"/>
      <c r="G262" s="150"/>
      <c r="H262" s="151"/>
    </row>
    <row r="263" spans="1:20" s="32" customFormat="1" x14ac:dyDescent="0.35">
      <c r="A263" s="41" t="s">
        <v>155</v>
      </c>
      <c r="B263" s="167" t="s">
        <v>123</v>
      </c>
      <c r="C263" s="107"/>
      <c r="D263" s="107"/>
      <c r="E263" s="107"/>
      <c r="F263" s="107"/>
      <c r="G263" s="107"/>
      <c r="H263" s="108"/>
    </row>
    <row r="264" spans="1:20" s="32" customFormat="1" ht="32.25" hidden="1" customHeight="1" x14ac:dyDescent="0.35">
      <c r="A264" s="47" t="s">
        <v>155</v>
      </c>
      <c r="B264" s="106" t="s">
        <v>181</v>
      </c>
      <c r="C264" s="152"/>
      <c r="D264" s="152"/>
      <c r="E264" s="152"/>
      <c r="F264" s="152"/>
      <c r="G264" s="152"/>
      <c r="H264" s="153"/>
    </row>
    <row r="265" spans="1:20" s="32" customFormat="1" ht="38.25" hidden="1" customHeight="1" x14ac:dyDescent="0.35">
      <c r="A265" s="51" t="s">
        <v>155</v>
      </c>
      <c r="B265" s="106" t="s">
        <v>353</v>
      </c>
      <c r="C265" s="152"/>
      <c r="D265" s="152"/>
      <c r="E265" s="152"/>
      <c r="F265" s="152"/>
      <c r="G265" s="152"/>
      <c r="H265" s="153"/>
    </row>
    <row r="266" spans="1:20" s="32" customFormat="1" hidden="1" x14ac:dyDescent="0.35">
      <c r="A266" s="76" t="s">
        <v>155</v>
      </c>
      <c r="B266" s="106" t="s">
        <v>355</v>
      </c>
      <c r="C266" s="152"/>
      <c r="D266" s="152"/>
      <c r="E266" s="152"/>
      <c r="F266" s="152"/>
      <c r="G266" s="152"/>
      <c r="H266" s="153"/>
    </row>
    <row r="267" spans="1:20" s="32" customFormat="1" hidden="1" x14ac:dyDescent="0.35">
      <c r="A267" s="76" t="s">
        <v>155</v>
      </c>
      <c r="B267" s="106" t="str">
        <f ca="1">IF(G56&gt;EDATE(E3,-48),"NO REMARK FOR CC","REMARK FOR CC")</f>
        <v>REMARK FOR CC</v>
      </c>
      <c r="C267" s="152"/>
      <c r="D267" s="152"/>
      <c r="E267" s="152"/>
      <c r="F267" s="152"/>
      <c r="G267" s="152"/>
      <c r="H267" s="153"/>
    </row>
    <row r="268" spans="1:20" s="32" customFormat="1" ht="81.75" hidden="1" customHeight="1" x14ac:dyDescent="0.35">
      <c r="A268" s="77" t="s">
        <v>155</v>
      </c>
      <c r="B268" s="106" t="s">
        <v>356</v>
      </c>
      <c r="C268" s="152"/>
      <c r="D268" s="152"/>
      <c r="E268" s="152"/>
      <c r="F268" s="152"/>
      <c r="G268" s="152"/>
      <c r="H268" s="153"/>
    </row>
    <row r="269" spans="1:20" s="32" customFormat="1" x14ac:dyDescent="0.35">
      <c r="A269" s="96" t="s">
        <v>155</v>
      </c>
      <c r="B269" s="167" t="s">
        <v>413</v>
      </c>
      <c r="C269" s="107"/>
      <c r="D269" s="107"/>
      <c r="E269" s="107"/>
      <c r="F269" s="107"/>
      <c r="G269" s="107"/>
      <c r="H269" s="108"/>
    </row>
    <row r="270" spans="1:20" s="32" customFormat="1" x14ac:dyDescent="0.35">
      <c r="A270" s="96" t="s">
        <v>155</v>
      </c>
      <c r="B270" s="167" t="s">
        <v>407</v>
      </c>
      <c r="C270" s="107"/>
      <c r="D270" s="107"/>
      <c r="E270" s="107"/>
      <c r="F270" s="107"/>
      <c r="G270" s="107"/>
      <c r="H270" s="108"/>
    </row>
    <row r="271" spans="1:20" s="32" customFormat="1" ht="33" customHeight="1" x14ac:dyDescent="0.35">
      <c r="A271" s="81" t="s">
        <v>155</v>
      </c>
      <c r="B271" s="167" t="s">
        <v>415</v>
      </c>
      <c r="C271" s="107"/>
      <c r="D271" s="107"/>
      <c r="E271" s="107"/>
      <c r="F271" s="107"/>
      <c r="G271" s="107"/>
      <c r="H271" s="108"/>
    </row>
    <row r="272" spans="1:20" s="32" customFormat="1" ht="30.75" customHeight="1" x14ac:dyDescent="0.35">
      <c r="A272" s="81" t="s">
        <v>155</v>
      </c>
      <c r="B272" s="106" t="s">
        <v>418</v>
      </c>
      <c r="C272" s="107"/>
      <c r="D272" s="107"/>
      <c r="E272" s="107"/>
      <c r="F272" s="107"/>
      <c r="G272" s="107"/>
      <c r="H272" s="108"/>
    </row>
    <row r="273" spans="1:20" s="32" customFormat="1" hidden="1" x14ac:dyDescent="0.35">
      <c r="A273" s="81" t="s">
        <v>155</v>
      </c>
      <c r="B273" s="167" t="s">
        <v>411</v>
      </c>
      <c r="C273" s="107"/>
      <c r="D273" s="107"/>
      <c r="E273" s="107"/>
      <c r="F273" s="107"/>
      <c r="G273" s="107"/>
      <c r="H273" s="108"/>
    </row>
    <row r="274" spans="1:20" s="32" customFormat="1" ht="30.75" customHeight="1" x14ac:dyDescent="0.35">
      <c r="A274" s="99" t="s">
        <v>155</v>
      </c>
      <c r="B274" s="106" t="s">
        <v>419</v>
      </c>
      <c r="C274" s="107"/>
      <c r="D274" s="107"/>
      <c r="E274" s="107"/>
      <c r="F274" s="107"/>
      <c r="G274" s="107"/>
      <c r="H274" s="108"/>
    </row>
    <row r="275" spans="1:20" x14ac:dyDescent="0.35">
      <c r="A275" s="166" t="s">
        <v>58</v>
      </c>
      <c r="B275" s="166"/>
      <c r="C275" s="166"/>
      <c r="D275" s="166"/>
      <c r="E275" s="166"/>
      <c r="F275" s="166"/>
      <c r="G275" s="166"/>
      <c r="H275" s="166"/>
      <c r="T275" s="32"/>
    </row>
    <row r="276" spans="1:20" x14ac:dyDescent="0.35">
      <c r="A276" s="110" t="s">
        <v>59</v>
      </c>
      <c r="B276" s="110"/>
      <c r="C276" s="110"/>
      <c r="D276" s="110"/>
      <c r="E276" s="110"/>
      <c r="F276" s="110"/>
      <c r="G276" s="110"/>
      <c r="H276" s="110"/>
      <c r="T276" s="32"/>
    </row>
    <row r="277" spans="1:20" ht="15.75" customHeight="1" x14ac:dyDescent="0.35">
      <c r="A277" s="144" t="s">
        <v>60</v>
      </c>
      <c r="B277" s="144"/>
      <c r="C277" s="144"/>
      <c r="D277" s="144"/>
      <c r="E277" s="144"/>
      <c r="F277" s="144"/>
      <c r="G277" s="144"/>
      <c r="H277" s="144"/>
      <c r="T277" s="32"/>
    </row>
    <row r="278" spans="1:20" x14ac:dyDescent="0.35">
      <c r="A278" s="110" t="s">
        <v>61</v>
      </c>
      <c r="B278" s="110"/>
      <c r="C278" s="110"/>
      <c r="D278" s="110"/>
      <c r="E278" s="110"/>
      <c r="F278" s="110"/>
      <c r="G278" s="110"/>
      <c r="H278" s="110"/>
      <c r="T278" s="32"/>
    </row>
    <row r="279" spans="1:20" x14ac:dyDescent="0.35">
      <c r="A279" s="110" t="s">
        <v>62</v>
      </c>
      <c r="B279" s="110"/>
      <c r="C279" s="110"/>
      <c r="D279" s="110"/>
      <c r="E279" s="110"/>
      <c r="F279" s="110"/>
      <c r="G279" s="110"/>
      <c r="H279" s="110"/>
      <c r="T279" s="32"/>
    </row>
    <row r="280" spans="1:20" x14ac:dyDescent="0.35">
      <c r="A280" s="110" t="s">
        <v>124</v>
      </c>
      <c r="B280" s="110"/>
      <c r="C280" s="110"/>
      <c r="D280" s="110"/>
      <c r="E280" s="110"/>
      <c r="F280" s="110"/>
      <c r="G280" s="110"/>
      <c r="H280" s="110"/>
      <c r="T280" s="32"/>
    </row>
    <row r="281" spans="1:20" ht="34" customHeight="1" x14ac:dyDescent="0.35">
      <c r="A281" s="123" t="s">
        <v>125</v>
      </c>
      <c r="B281" s="123"/>
      <c r="C281" s="123"/>
      <c r="D281" s="123"/>
      <c r="E281" s="123"/>
      <c r="F281" s="123"/>
      <c r="G281" s="123"/>
      <c r="H281" s="123"/>
    </row>
    <row r="282" spans="1:20" x14ac:dyDescent="0.35">
      <c r="A282" s="161" t="s">
        <v>74</v>
      </c>
      <c r="B282" s="161"/>
      <c r="C282" s="161" t="s">
        <v>416</v>
      </c>
      <c r="D282" s="161"/>
      <c r="E282" s="161" t="s">
        <v>104</v>
      </c>
      <c r="F282" s="161"/>
      <c r="G282" s="161" t="s">
        <v>406</v>
      </c>
      <c r="H282" s="161"/>
    </row>
    <row r="283" spans="1:20" x14ac:dyDescent="0.35">
      <c r="A283" s="160" t="s">
        <v>76</v>
      </c>
      <c r="B283" s="160"/>
      <c r="C283" s="160"/>
      <c r="D283" s="160"/>
      <c r="E283" s="160"/>
      <c r="F283" s="160"/>
      <c r="G283" s="160"/>
      <c r="H283" s="160"/>
    </row>
    <row r="284" spans="1:20" x14ac:dyDescent="0.35">
      <c r="A284" s="160"/>
      <c r="B284" s="160"/>
      <c r="C284" s="160"/>
      <c r="D284" s="160"/>
      <c r="E284" s="160"/>
      <c r="F284" s="160"/>
      <c r="G284" s="160"/>
      <c r="H284" s="160"/>
    </row>
    <row r="285" spans="1:20" x14ac:dyDescent="0.35">
      <c r="A285" s="160"/>
      <c r="B285" s="160"/>
      <c r="C285" s="160"/>
      <c r="D285" s="160"/>
      <c r="E285" s="160"/>
      <c r="F285" s="160"/>
      <c r="G285" s="160"/>
      <c r="H285" s="160"/>
    </row>
    <row r="286" spans="1:20" x14ac:dyDescent="0.35">
      <c r="A286" s="160"/>
      <c r="B286" s="160"/>
      <c r="C286" s="160"/>
      <c r="D286" s="160"/>
      <c r="E286" s="160"/>
      <c r="F286" s="160"/>
      <c r="G286" s="160"/>
      <c r="H286" s="160"/>
    </row>
    <row r="287" spans="1:20" x14ac:dyDescent="0.35">
      <c r="A287" s="35" t="s">
        <v>63</v>
      </c>
      <c r="B287" s="36"/>
      <c r="C287" s="36"/>
      <c r="D287" s="35" t="str">
        <f>E9</f>
        <v>Sparsh Housing Project</v>
      </c>
      <c r="F287" s="36"/>
      <c r="G287" s="36"/>
      <c r="H287" s="36"/>
    </row>
    <row r="288" spans="1:20" x14ac:dyDescent="0.35">
      <c r="A288" s="36"/>
      <c r="B288" s="36"/>
      <c r="C288" s="36"/>
      <c r="D288" s="36"/>
      <c r="E288" s="36"/>
      <c r="F288" s="36"/>
      <c r="G288" s="36"/>
      <c r="H288" s="36"/>
    </row>
    <row r="289" spans="1:8" x14ac:dyDescent="0.35">
      <c r="A289" s="36"/>
      <c r="B289" s="36"/>
      <c r="C289" s="36"/>
      <c r="D289" s="36"/>
      <c r="E289" s="36"/>
      <c r="F289" s="36"/>
      <c r="G289" s="36"/>
      <c r="H289" s="36"/>
    </row>
    <row r="290" spans="1:8" ht="15" customHeight="1" x14ac:dyDescent="0.35"/>
    <row r="330" spans="1:8" x14ac:dyDescent="0.35">
      <c r="A330" s="35" t="s">
        <v>63</v>
      </c>
      <c r="B330" s="36"/>
      <c r="C330" s="36"/>
      <c r="D330" s="35" t="str">
        <f>E9</f>
        <v>Sparsh Housing Project</v>
      </c>
      <c r="F330" s="36"/>
      <c r="G330" s="36"/>
      <c r="H330" s="36"/>
    </row>
    <row r="331" spans="1:8" x14ac:dyDescent="0.35">
      <c r="A331" s="36"/>
      <c r="B331" s="36"/>
      <c r="C331" s="36"/>
      <c r="D331" s="36"/>
      <c r="E331" s="36"/>
      <c r="F331" s="36"/>
      <c r="G331" s="36"/>
      <c r="H331" s="36"/>
    </row>
    <row r="332" spans="1:8" x14ac:dyDescent="0.35">
      <c r="A332" s="36"/>
      <c r="B332" s="36"/>
      <c r="C332" s="36"/>
      <c r="D332" s="36"/>
      <c r="E332" s="36"/>
      <c r="F332" s="36"/>
      <c r="G332" s="36"/>
      <c r="H332" s="36"/>
    </row>
    <row r="333" spans="1:8" ht="15" customHeight="1" x14ac:dyDescent="0.35"/>
    <row r="373" spans="1:1" x14ac:dyDescent="0.35">
      <c r="A373" s="38" t="s">
        <v>166</v>
      </c>
    </row>
    <row r="416" spans="1:1" x14ac:dyDescent="0.35">
      <c r="A416" s="38" t="s">
        <v>64</v>
      </c>
    </row>
  </sheetData>
  <mergeCells count="479">
    <mergeCell ref="B269:H269"/>
    <mergeCell ref="E157:F157"/>
    <mergeCell ref="G157:H157"/>
    <mergeCell ref="A158:B158"/>
    <mergeCell ref="E158:F167"/>
    <mergeCell ref="G158:H167"/>
    <mergeCell ref="A159:B159"/>
    <mergeCell ref="A160:B160"/>
    <mergeCell ref="A161:B161"/>
    <mergeCell ref="A162:B162"/>
    <mergeCell ref="A163:B163"/>
    <mergeCell ref="A164:B164"/>
    <mergeCell ref="A165:B165"/>
    <mergeCell ref="A166:B166"/>
    <mergeCell ref="A167:B167"/>
    <mergeCell ref="A220:H220"/>
    <mergeCell ref="A221:B221"/>
    <mergeCell ref="A179:E179"/>
    <mergeCell ref="G191:H191"/>
    <mergeCell ref="C185:D185"/>
    <mergeCell ref="E185:F185"/>
    <mergeCell ref="G185:H185"/>
    <mergeCell ref="A186:B186"/>
    <mergeCell ref="B271:H271"/>
    <mergeCell ref="B272:H272"/>
    <mergeCell ref="B273:H273"/>
    <mergeCell ref="A64:B64"/>
    <mergeCell ref="C64:F64"/>
    <mergeCell ref="A114:B114"/>
    <mergeCell ref="C114:D114"/>
    <mergeCell ref="E114:F114"/>
    <mergeCell ref="G114:H114"/>
    <mergeCell ref="A126:B126"/>
    <mergeCell ref="C126:H126"/>
    <mergeCell ref="A128:B128"/>
    <mergeCell ref="C128:H128"/>
    <mergeCell ref="A129:B129"/>
    <mergeCell ref="E129:F129"/>
    <mergeCell ref="G129:H129"/>
    <mergeCell ref="A130:B130"/>
    <mergeCell ref="A143:B143"/>
    <mergeCell ref="E143:F143"/>
    <mergeCell ref="G143:H143"/>
    <mergeCell ref="A144:B144"/>
    <mergeCell ref="E144:F153"/>
    <mergeCell ref="G144:H153"/>
    <mergeCell ref="B270:H270"/>
    <mergeCell ref="L221:M221"/>
    <mergeCell ref="A222:B222"/>
    <mergeCell ref="L222:M222"/>
    <mergeCell ref="L223:M223"/>
    <mergeCell ref="A224:B224"/>
    <mergeCell ref="L224:M224"/>
    <mergeCell ref="B265:H265"/>
    <mergeCell ref="B264:H264"/>
    <mergeCell ref="A214:B214"/>
    <mergeCell ref="L214:M214"/>
    <mergeCell ref="A215:H215"/>
    <mergeCell ref="A216:B216"/>
    <mergeCell ref="L216:M216"/>
    <mergeCell ref="A218:B218"/>
    <mergeCell ref="L218:M218"/>
    <mergeCell ref="A219:B219"/>
    <mergeCell ref="L219:M219"/>
    <mergeCell ref="L217:M217"/>
    <mergeCell ref="B262:H262"/>
    <mergeCell ref="A244:B244"/>
    <mergeCell ref="A252:B252"/>
    <mergeCell ref="B255:H255"/>
    <mergeCell ref="B256:H256"/>
    <mergeCell ref="B258:H258"/>
    <mergeCell ref="A140:B140"/>
    <mergeCell ref="C140:H140"/>
    <mergeCell ref="A142:B142"/>
    <mergeCell ref="C142:H142"/>
    <mergeCell ref="E116:F125"/>
    <mergeCell ref="L211:M211"/>
    <mergeCell ref="A212:B212"/>
    <mergeCell ref="L212:M212"/>
    <mergeCell ref="A213:B213"/>
    <mergeCell ref="L213:M213"/>
    <mergeCell ref="A145:B145"/>
    <mergeCell ref="A146:B146"/>
    <mergeCell ref="A147:B147"/>
    <mergeCell ref="A148:B148"/>
    <mergeCell ref="A149:B149"/>
    <mergeCell ref="A150:B150"/>
    <mergeCell ref="A151:B151"/>
    <mergeCell ref="A152:B152"/>
    <mergeCell ref="A153:B153"/>
    <mergeCell ref="A154:B154"/>
    <mergeCell ref="C154:H154"/>
    <mergeCell ref="A156:B156"/>
    <mergeCell ref="C156:H156"/>
    <mergeCell ref="A157:B157"/>
    <mergeCell ref="E130:F139"/>
    <mergeCell ref="G130:H139"/>
    <mergeCell ref="A131:B131"/>
    <mergeCell ref="A132:B132"/>
    <mergeCell ref="A133:B133"/>
    <mergeCell ref="A134:B134"/>
    <mergeCell ref="A135:B135"/>
    <mergeCell ref="A136:B136"/>
    <mergeCell ref="A137:B137"/>
    <mergeCell ref="A138:B138"/>
    <mergeCell ref="A139:B139"/>
    <mergeCell ref="A54:B55"/>
    <mergeCell ref="C54:E54"/>
    <mergeCell ref="G54:H54"/>
    <mergeCell ref="C55:H55"/>
    <mergeCell ref="A53:B53"/>
    <mergeCell ref="C53:E53"/>
    <mergeCell ref="G53:H53"/>
    <mergeCell ref="B268:H268"/>
    <mergeCell ref="A125:B125"/>
    <mergeCell ref="C195:C196"/>
    <mergeCell ref="B203:B204"/>
    <mergeCell ref="B257:H257"/>
    <mergeCell ref="A100:B100"/>
    <mergeCell ref="E100:F100"/>
    <mergeCell ref="E101:F110"/>
    <mergeCell ref="A111:B111"/>
    <mergeCell ref="C111:H111"/>
    <mergeCell ref="A113:B113"/>
    <mergeCell ref="C113:H113"/>
    <mergeCell ref="A115:B115"/>
    <mergeCell ref="E115:F115"/>
    <mergeCell ref="G115:H115"/>
    <mergeCell ref="A116:B116"/>
    <mergeCell ref="D73:H73"/>
    <mergeCell ref="G116:H125"/>
    <mergeCell ref="A117:B117"/>
    <mergeCell ref="A118:B118"/>
    <mergeCell ref="A119:B119"/>
    <mergeCell ref="A120:B120"/>
    <mergeCell ref="A121:B121"/>
    <mergeCell ref="A122:B122"/>
    <mergeCell ref="A89:B89"/>
    <mergeCell ref="E87:F96"/>
    <mergeCell ref="G87:H96"/>
    <mergeCell ref="A106:B106"/>
    <mergeCell ref="G100:H100"/>
    <mergeCell ref="G101:H110"/>
    <mergeCell ref="A104:B104"/>
    <mergeCell ref="A108:B108"/>
    <mergeCell ref="A109:B109"/>
    <mergeCell ref="A123:B123"/>
    <mergeCell ref="A124:B124"/>
    <mergeCell ref="A88:B88"/>
    <mergeCell ref="C186:D186"/>
    <mergeCell ref="E186:F186"/>
    <mergeCell ref="G186:H186"/>
    <mergeCell ref="A190:B190"/>
    <mergeCell ref="C190:D190"/>
    <mergeCell ref="E190:F190"/>
    <mergeCell ref="B263:H263"/>
    <mergeCell ref="B261:H261"/>
    <mergeCell ref="L230:M230"/>
    <mergeCell ref="A235:B235"/>
    <mergeCell ref="A232:B232"/>
    <mergeCell ref="A233:B233"/>
    <mergeCell ref="A243:B243"/>
    <mergeCell ref="L229:M229"/>
    <mergeCell ref="L226:M226"/>
    <mergeCell ref="A227:B227"/>
    <mergeCell ref="L227:M227"/>
    <mergeCell ref="A228:B228"/>
    <mergeCell ref="L228:M228"/>
    <mergeCell ref="L201:M201"/>
    <mergeCell ref="L200:M200"/>
    <mergeCell ref="L199:M199"/>
    <mergeCell ref="L198:M198"/>
    <mergeCell ref="A192:B192"/>
    <mergeCell ref="A40:B40"/>
    <mergeCell ref="C40:H40"/>
    <mergeCell ref="F195:F196"/>
    <mergeCell ref="C184:D184"/>
    <mergeCell ref="E184:F184"/>
    <mergeCell ref="B195:B196"/>
    <mergeCell ref="A195:A196"/>
    <mergeCell ref="C203:C204"/>
    <mergeCell ref="G203:G204"/>
    <mergeCell ref="G192:H192"/>
    <mergeCell ref="A173:E173"/>
    <mergeCell ref="A94:B94"/>
    <mergeCell ref="C189:D189"/>
    <mergeCell ref="E189:F189"/>
    <mergeCell ref="G189:H189"/>
    <mergeCell ref="A169:E169"/>
    <mergeCell ref="A97:B97"/>
    <mergeCell ref="C97:H97"/>
    <mergeCell ref="A197:H197"/>
    <mergeCell ref="E195:E196"/>
    <mergeCell ref="A101:B101"/>
    <mergeCell ref="C99:H99"/>
    <mergeCell ref="A102:B102"/>
    <mergeCell ref="A103:B103"/>
    <mergeCell ref="F170:H170"/>
    <mergeCell ref="A170:E170"/>
    <mergeCell ref="E192:F192"/>
    <mergeCell ref="A191:B191"/>
    <mergeCell ref="E191:F191"/>
    <mergeCell ref="A99:B99"/>
    <mergeCell ref="A38:H38"/>
    <mergeCell ref="A37:B37"/>
    <mergeCell ref="C37:E37"/>
    <mergeCell ref="A42:D42"/>
    <mergeCell ref="E42:H42"/>
    <mergeCell ref="A41:H41"/>
    <mergeCell ref="A76:C76"/>
    <mergeCell ref="A77:C77"/>
    <mergeCell ref="D76:H76"/>
    <mergeCell ref="F37:H37"/>
    <mergeCell ref="C52:E52"/>
    <mergeCell ref="C51:E51"/>
    <mergeCell ref="G51:H51"/>
    <mergeCell ref="A52:B52"/>
    <mergeCell ref="G60:H60"/>
    <mergeCell ref="A62:B63"/>
    <mergeCell ref="C62:E62"/>
    <mergeCell ref="G62:H62"/>
    <mergeCell ref="G52:H52"/>
    <mergeCell ref="A56:B57"/>
    <mergeCell ref="A39:B39"/>
    <mergeCell ref="C59:H59"/>
    <mergeCell ref="A49:H49"/>
    <mergeCell ref="C39:H39"/>
    <mergeCell ref="A68:C68"/>
    <mergeCell ref="C58:E58"/>
    <mergeCell ref="A86:B86"/>
    <mergeCell ref="A46:D46"/>
    <mergeCell ref="A47:D47"/>
    <mergeCell ref="D77:H77"/>
    <mergeCell ref="A44:D44"/>
    <mergeCell ref="E44:H44"/>
    <mergeCell ref="E45:H45"/>
    <mergeCell ref="E46:H46"/>
    <mergeCell ref="E47:H47"/>
    <mergeCell ref="C61:H61"/>
    <mergeCell ref="A48:H48"/>
    <mergeCell ref="D69:H69"/>
    <mergeCell ref="A69:C69"/>
    <mergeCell ref="A45:D45"/>
    <mergeCell ref="A50:B50"/>
    <mergeCell ref="C50:H50"/>
    <mergeCell ref="D70:H70"/>
    <mergeCell ref="D71:H71"/>
    <mergeCell ref="C57:E57"/>
    <mergeCell ref="G57:H57"/>
    <mergeCell ref="G56:H56"/>
    <mergeCell ref="A66:H66"/>
    <mergeCell ref="A67:C67"/>
    <mergeCell ref="A85:B85"/>
    <mergeCell ref="A83:B83"/>
    <mergeCell ref="C83:H83"/>
    <mergeCell ref="A78:C78"/>
    <mergeCell ref="D78:H78"/>
    <mergeCell ref="C85:H85"/>
    <mergeCell ref="A79:C79"/>
    <mergeCell ref="D79:H79"/>
    <mergeCell ref="A82:C82"/>
    <mergeCell ref="D82:H82"/>
    <mergeCell ref="A81:C81"/>
    <mergeCell ref="D74:H74"/>
    <mergeCell ref="D75:H75"/>
    <mergeCell ref="A70:C75"/>
    <mergeCell ref="A60:B61"/>
    <mergeCell ref="C60:E60"/>
    <mergeCell ref="G63:H63"/>
    <mergeCell ref="A36:B36"/>
    <mergeCell ref="C36:E36"/>
    <mergeCell ref="A31:D31"/>
    <mergeCell ref="E31:H31"/>
    <mergeCell ref="A32:D32"/>
    <mergeCell ref="E32:H32"/>
    <mergeCell ref="A28:D28"/>
    <mergeCell ref="E28:H28"/>
    <mergeCell ref="C33:E33"/>
    <mergeCell ref="F36:H36"/>
    <mergeCell ref="F33:H33"/>
    <mergeCell ref="A34:B34"/>
    <mergeCell ref="A33:B33"/>
    <mergeCell ref="C34:E34"/>
    <mergeCell ref="A35:B35"/>
    <mergeCell ref="C35:E35"/>
    <mergeCell ref="F34:H34"/>
    <mergeCell ref="F35:H35"/>
    <mergeCell ref="E27:H27"/>
    <mergeCell ref="A29:D29"/>
    <mergeCell ref="E29:H29"/>
    <mergeCell ref="A26:D26"/>
    <mergeCell ref="E26:H26"/>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14:H14"/>
    <mergeCell ref="A15:D15"/>
    <mergeCell ref="A11:D11"/>
    <mergeCell ref="E11:H11"/>
    <mergeCell ref="A23:D24"/>
    <mergeCell ref="E23:H24"/>
    <mergeCell ref="E15:H15"/>
    <mergeCell ref="A16:B16"/>
    <mergeCell ref="C16:H16"/>
    <mergeCell ref="C17:H17"/>
    <mergeCell ref="A18:B18"/>
    <mergeCell ref="C18:H18"/>
    <mergeCell ref="A13:D13"/>
    <mergeCell ref="E13:H13"/>
    <mergeCell ref="A12:D12"/>
    <mergeCell ref="E12:H12"/>
    <mergeCell ref="A17:B17"/>
    <mergeCell ref="A14:D14"/>
    <mergeCell ref="A19:B19"/>
    <mergeCell ref="C19:D19"/>
    <mergeCell ref="E19:F19"/>
    <mergeCell ref="G19:H19"/>
    <mergeCell ref="A20:B20"/>
    <mergeCell ref="C20:D20"/>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283:H286"/>
    <mergeCell ref="A282:B282"/>
    <mergeCell ref="E282:F282"/>
    <mergeCell ref="C282:D282"/>
    <mergeCell ref="G282:H282"/>
    <mergeCell ref="A182:H182"/>
    <mergeCell ref="A180:E180"/>
    <mergeCell ref="F180:H180"/>
    <mergeCell ref="A181:E181"/>
    <mergeCell ref="F181:H181"/>
    <mergeCell ref="A230:H230"/>
    <mergeCell ref="A189:B189"/>
    <mergeCell ref="A239:B239"/>
    <mergeCell ref="A184:B184"/>
    <mergeCell ref="A278:H278"/>
    <mergeCell ref="A187:H187"/>
    <mergeCell ref="A281:H281"/>
    <mergeCell ref="A279:H279"/>
    <mergeCell ref="A275:H275"/>
    <mergeCell ref="G188:H188"/>
    <mergeCell ref="B260:H260"/>
    <mergeCell ref="A245:B245"/>
    <mergeCell ref="A234:B234"/>
    <mergeCell ref="C192:D192"/>
    <mergeCell ref="A171:E171"/>
    <mergeCell ref="A168:E168"/>
    <mergeCell ref="F172:H172"/>
    <mergeCell ref="A241:B241"/>
    <mergeCell ref="A172:E172"/>
    <mergeCell ref="A229:B229"/>
    <mergeCell ref="F168:H168"/>
    <mergeCell ref="F173:H173"/>
    <mergeCell ref="A175:E175"/>
    <mergeCell ref="F175:H175"/>
    <mergeCell ref="A177:E177"/>
    <mergeCell ref="F171:H171"/>
    <mergeCell ref="A176:E176"/>
    <mergeCell ref="E188:F188"/>
    <mergeCell ref="A193:H193"/>
    <mergeCell ref="A174:E174"/>
    <mergeCell ref="F174:H174"/>
    <mergeCell ref="D195:D196"/>
    <mergeCell ref="G190:H190"/>
    <mergeCell ref="G195:G196"/>
    <mergeCell ref="A209:H209"/>
    <mergeCell ref="A210:H210"/>
    <mergeCell ref="A211:B211"/>
    <mergeCell ref="A217:B217"/>
    <mergeCell ref="A223:B223"/>
    <mergeCell ref="A202:H202"/>
    <mergeCell ref="A203:A204"/>
    <mergeCell ref="F203:F204"/>
    <mergeCell ref="A237:B237"/>
    <mergeCell ref="A198:B198"/>
    <mergeCell ref="A205:H205"/>
    <mergeCell ref="A206:H206"/>
    <mergeCell ref="A208:H208"/>
    <mergeCell ref="A207:H207"/>
    <mergeCell ref="A201:B201"/>
    <mergeCell ref="A280:H280"/>
    <mergeCell ref="A277:H277"/>
    <mergeCell ref="A231:B231"/>
    <mergeCell ref="A188:B188"/>
    <mergeCell ref="D203:D204"/>
    <mergeCell ref="E203:E204"/>
    <mergeCell ref="A105:B105"/>
    <mergeCell ref="A107:B107"/>
    <mergeCell ref="F169:H169"/>
    <mergeCell ref="G184:H184"/>
    <mergeCell ref="A110:B110"/>
    <mergeCell ref="F176:H176"/>
    <mergeCell ref="C183:D183"/>
    <mergeCell ref="C191:D191"/>
    <mergeCell ref="A225:H225"/>
    <mergeCell ref="A240:B240"/>
    <mergeCell ref="B259:H259"/>
    <mergeCell ref="A249:B249"/>
    <mergeCell ref="A250:B250"/>
    <mergeCell ref="A253:B253"/>
    <mergeCell ref="A276:H276"/>
    <mergeCell ref="B267:H267"/>
    <mergeCell ref="B266:H266"/>
    <mergeCell ref="A200:B200"/>
    <mergeCell ref="I15:P15"/>
    <mergeCell ref="F179:H179"/>
    <mergeCell ref="F177:H177"/>
    <mergeCell ref="A238:B238"/>
    <mergeCell ref="A194:H194"/>
    <mergeCell ref="G183:H183"/>
    <mergeCell ref="A178:E178"/>
    <mergeCell ref="A199:B199"/>
    <mergeCell ref="A65:B65"/>
    <mergeCell ref="C65:E65"/>
    <mergeCell ref="D67:H67"/>
    <mergeCell ref="F178:H178"/>
    <mergeCell ref="E183:F183"/>
    <mergeCell ref="A183:B183"/>
    <mergeCell ref="A185:B185"/>
    <mergeCell ref="C188:D188"/>
    <mergeCell ref="D80:H80"/>
    <mergeCell ref="D68:H68"/>
    <mergeCell ref="G65:H65"/>
    <mergeCell ref="A58:B59"/>
    <mergeCell ref="C63:E63"/>
    <mergeCell ref="G58:H58"/>
    <mergeCell ref="A226:B226"/>
    <mergeCell ref="B274:H274"/>
    <mergeCell ref="E43:H43"/>
    <mergeCell ref="A43:D43"/>
    <mergeCell ref="A92:B92"/>
    <mergeCell ref="A51:B51"/>
    <mergeCell ref="D72:H72"/>
    <mergeCell ref="C56:E56"/>
    <mergeCell ref="A254:H254"/>
    <mergeCell ref="A246:B246"/>
    <mergeCell ref="A247:B247"/>
    <mergeCell ref="A242:H242"/>
    <mergeCell ref="A236:H236"/>
    <mergeCell ref="A251:B251"/>
    <mergeCell ref="A248:H248"/>
    <mergeCell ref="A80:C80"/>
    <mergeCell ref="D81:H81"/>
    <mergeCell ref="A87:B87"/>
    <mergeCell ref="G86:H86"/>
    <mergeCell ref="A95:B95"/>
    <mergeCell ref="A96:B96"/>
    <mergeCell ref="A91:B91"/>
    <mergeCell ref="A90:B90"/>
    <mergeCell ref="E86:F86"/>
    <mergeCell ref="A93:B93"/>
  </mergeCells>
  <dataValidations count="17">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95:E196">
      <formula1>"Attached Loft area,Attached Otla area,Attached Mezzanine area"</formula1>
    </dataValidation>
    <dataValidation type="list" allowBlank="1" showInputMessage="1" showErrorMessage="1" sqref="G282:H282">
      <formula1>"Kunal Kadam,Pranita Mhatre,Shruti Fule,Pooja Kawale,Gaurav Panchal,Shruti Tathare, Hitakshi Mhatre, Sachin Sawant"</formula1>
    </dataValidation>
    <dataValidation type="list" allowBlank="1" showInputMessage="1" showErrorMessage="1" sqref="F168:H168">
      <formula1>"On Saleable Area,On Builtup Area,On Carpet Area,On Plot Area"</formula1>
    </dataValidation>
    <dataValidation type="list" allowBlank="1" showInputMessage="1" showErrorMessage="1" sqref="B195:B196">
      <formula1>"Shop No. (Sale Plan),Sale / Rehab,Sale / Mhada"</formula1>
    </dataValidation>
    <dataValidation type="list" allowBlank="1" showInputMessage="1" showErrorMessage="1" sqref="B203:B204">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203:E204">
      <formula1>"Fungible area,Balcony Area,Chajja Area,Cornice Area,AP Area,WS Area"</formula1>
    </dataValidation>
    <dataValidation type="list" allowBlank="1" showInputMessage="1" showErrorMessage="1" sqref="H196 H204">
      <formula1>".45,.50,.55,.60"</formula1>
    </dataValidation>
    <dataValidation type="list" allowBlank="1" showInputMessage="1" showErrorMessage="1" sqref="E4:H4">
      <formula1>$L$3:$P$3</formula1>
    </dataValidation>
    <dataValidation type="list" allowBlank="1" showInputMessage="1" showErrorMessage="1" sqref="C50:H50">
      <formula1>OFFSET($S$50,1,MATCH($G20,$S$50:$W$50,0)-1,15,1)</formula1>
    </dataValidation>
    <dataValidation type="list" allowBlank="1" showInputMessage="1" showErrorMessage="1" sqref="H195 H203">
      <formula1>"Saleable area Loading :,Builder Saleable Area"</formula1>
    </dataValidation>
    <dataValidation type="list" allowBlank="1" showInputMessage="1" showErrorMessage="1" sqref="D195:D196 D203:D204">
      <formula1>"Carpet area,RERA Carpet area"</formula1>
    </dataValidation>
    <dataValidation type="list" allowBlank="1" showInputMessage="1" showErrorMessage="1" sqref="F180:H180">
      <formula1>OFFSET($S$168,1,MATCH($G20,$S$168:$W$168,0)-1,15,1)</formula1>
    </dataValidation>
  </dataValidations>
  <hyperlinks>
    <hyperlink ref="C40" r:id="rId1"/>
  </hyperlinks>
  <printOptions horizontalCentered="1"/>
  <pageMargins left="0.39370078740157483" right="0.39370078740157483" top="0.82677165354330717" bottom="0.78740157480314965" header="0.15748031496062992" footer="0.19685039370078741"/>
  <pageSetup paperSize="2" fitToHeight="0" orientation="portrait" r:id="rId2"/>
  <headerFooter>
    <oddHeader>&amp;C&amp;G</oddHeader>
    <oddFooter>&amp;L&amp;"Times New Roman,Bold"&amp;12Ref No: &amp;F&amp;C&amp;G&amp;R&amp;"Times New Roman,Bold"&amp;12&amp;P</oddFooter>
  </headerFooter>
  <rowBreaks count="7" manualBreakCount="7">
    <brk id="96" max="7" man="1"/>
    <brk id="139" max="16383" man="1"/>
    <brk id="192" max="7" man="1"/>
    <brk id="286" max="16383" man="1"/>
    <brk id="329" max="16383" man="1"/>
    <brk id="372" max="16383" man="1"/>
    <brk id="415"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7265625" defaultRowHeight="14.5" x14ac:dyDescent="0.35"/>
  <cols>
    <col min="1" max="1" width="8.7265625" style="1"/>
    <col min="2" max="2" width="22.1796875" style="1" customWidth="1"/>
    <col min="3" max="3" width="37" style="1" customWidth="1"/>
    <col min="4" max="5" width="11.453125" style="1" customWidth="1"/>
    <col min="6" max="6" width="14" style="1" customWidth="1"/>
    <col min="7" max="7" width="20" style="1" customWidth="1"/>
    <col min="8" max="8" width="16.453125" style="1" customWidth="1"/>
    <col min="9" max="16384" width="8.7265625" style="1"/>
  </cols>
  <sheetData>
    <row r="1" spans="1:9" ht="15" customHeight="1" x14ac:dyDescent="0.35"/>
    <row r="2" spans="1:9" ht="15" customHeight="1" x14ac:dyDescent="0.35">
      <c r="A2" s="2"/>
      <c r="B2" s="2"/>
      <c r="C2" s="2"/>
      <c r="D2" s="2"/>
      <c r="E2" s="2"/>
      <c r="F2" s="2"/>
      <c r="G2" s="2"/>
      <c r="H2" s="2"/>
    </row>
    <row r="3" spans="1:9" ht="15.75" customHeight="1" x14ac:dyDescent="0.35">
      <c r="A3" s="2"/>
      <c r="B3" s="239" t="s">
        <v>105</v>
      </c>
      <c r="C3" s="239"/>
      <c r="D3" s="239"/>
      <c r="E3" s="239"/>
      <c r="F3" s="239"/>
      <c r="G3" s="239"/>
      <c r="H3" s="239"/>
    </row>
    <row r="4" spans="1:9" x14ac:dyDescent="0.35">
      <c r="A4" s="2"/>
      <c r="B4" s="3" t="s">
        <v>106</v>
      </c>
      <c r="C4" s="3" t="s">
        <v>107</v>
      </c>
      <c r="D4" s="3" t="s">
        <v>66</v>
      </c>
      <c r="E4" s="3" t="s">
        <v>108</v>
      </c>
      <c r="F4" s="3" t="s">
        <v>114</v>
      </c>
      <c r="G4" s="3" t="s">
        <v>115</v>
      </c>
      <c r="H4" s="3" t="s">
        <v>109</v>
      </c>
    </row>
    <row r="5" spans="1:9" ht="15" customHeight="1" x14ac:dyDescent="0.35">
      <c r="A5" s="2"/>
      <c r="B5" s="5" t="s">
        <v>110</v>
      </c>
      <c r="C5" s="6"/>
      <c r="D5" s="5"/>
      <c r="E5" s="5"/>
      <c r="F5" s="7">
        <f>E5*1.6</f>
        <v>0</v>
      </c>
      <c r="G5" s="7" t="e">
        <f>H5/F5</f>
        <v>#DIV/0!</v>
      </c>
      <c r="H5" s="8"/>
    </row>
    <row r="6" spans="1:9" x14ac:dyDescent="0.35">
      <c r="A6" s="2"/>
      <c r="B6" s="5" t="s">
        <v>110</v>
      </c>
      <c r="C6" s="9"/>
      <c r="D6" s="5"/>
      <c r="E6" s="5"/>
      <c r="F6" s="7">
        <f t="shared" ref="F6:F11" si="0">E6*1.6</f>
        <v>0</v>
      </c>
      <c r="G6" s="7" t="e">
        <f t="shared" ref="G6:G11" si="1">H6/F6</f>
        <v>#DIV/0!</v>
      </c>
      <c r="H6" s="8"/>
    </row>
    <row r="7" spans="1:9" ht="15" customHeight="1" x14ac:dyDescent="0.35">
      <c r="A7" s="2"/>
      <c r="B7" s="5" t="s">
        <v>110</v>
      </c>
      <c r="C7" s="6"/>
      <c r="D7" s="5"/>
      <c r="E7" s="5"/>
      <c r="F7" s="7">
        <f t="shared" si="0"/>
        <v>0</v>
      </c>
      <c r="G7" s="7" t="e">
        <f t="shared" si="1"/>
        <v>#DIV/0!</v>
      </c>
      <c r="H7" s="8"/>
    </row>
    <row r="8" spans="1:9" x14ac:dyDescent="0.35">
      <c r="A8" s="2"/>
      <c r="B8" s="5" t="s">
        <v>110</v>
      </c>
      <c r="C8" s="9"/>
      <c r="D8" s="5"/>
      <c r="E8" s="5"/>
      <c r="F8" s="7">
        <f t="shared" si="0"/>
        <v>0</v>
      </c>
      <c r="G8" s="7" t="e">
        <f t="shared" si="1"/>
        <v>#DIV/0!</v>
      </c>
      <c r="H8" s="8"/>
    </row>
    <row r="9" spans="1:9" ht="15" customHeight="1" x14ac:dyDescent="0.35">
      <c r="A9" s="2"/>
      <c r="B9" s="5" t="s">
        <v>110</v>
      </c>
      <c r="C9" s="9"/>
      <c r="D9" s="5"/>
      <c r="E9" s="5"/>
      <c r="F9" s="7">
        <f t="shared" si="0"/>
        <v>0</v>
      </c>
      <c r="G9" s="7" t="e">
        <f t="shared" si="1"/>
        <v>#DIV/0!</v>
      </c>
      <c r="H9" s="8"/>
    </row>
    <row r="10" spans="1:9" ht="15" customHeight="1" x14ac:dyDescent="0.35">
      <c r="A10" s="2"/>
      <c r="B10" s="5" t="s">
        <v>111</v>
      </c>
      <c r="C10" s="6"/>
      <c r="D10" s="5"/>
      <c r="E10" s="5"/>
      <c r="F10" s="7">
        <f t="shared" si="0"/>
        <v>0</v>
      </c>
      <c r="G10" s="7" t="e">
        <f t="shared" si="1"/>
        <v>#DIV/0!</v>
      </c>
      <c r="H10" s="8"/>
    </row>
    <row r="11" spans="1:9" ht="15" customHeight="1" x14ac:dyDescent="0.35">
      <c r="A11" s="2"/>
      <c r="B11" s="5" t="s">
        <v>111</v>
      </c>
      <c r="C11" s="6"/>
      <c r="D11" s="5"/>
      <c r="E11" s="5"/>
      <c r="F11" s="7">
        <f t="shared" si="0"/>
        <v>0</v>
      </c>
      <c r="G11" s="7" t="e">
        <f t="shared" si="1"/>
        <v>#DIV/0!</v>
      </c>
      <c r="H11" s="8"/>
    </row>
    <row r="12" spans="1:9" ht="15" customHeight="1" x14ac:dyDescent="0.35">
      <c r="A12" s="2"/>
      <c r="B12" s="10" t="s">
        <v>112</v>
      </c>
      <c r="C12" s="5"/>
      <c r="D12" s="5"/>
      <c r="E12" s="5"/>
      <c r="F12" s="5"/>
      <c r="G12" s="11" t="e">
        <f>AVERAGE(G5:G11)</f>
        <v>#DIV/0!</v>
      </c>
      <c r="H12" s="5"/>
    </row>
    <row r="13" spans="1:9" ht="15" customHeight="1" x14ac:dyDescent="0.35">
      <c r="B13" s="10" t="s">
        <v>113</v>
      </c>
      <c r="C13" s="5"/>
      <c r="D13" s="5"/>
      <c r="E13" s="5"/>
      <c r="F13" s="12"/>
      <c r="G13" s="10"/>
      <c r="H13" s="10"/>
      <c r="I13" s="4"/>
    </row>
    <row r="14" spans="1:9" ht="15" customHeight="1" x14ac:dyDescent="0.35"/>
    <row r="15" spans="1:9" ht="15" customHeight="1" x14ac:dyDescent="0.35"/>
    <row r="16" spans="1:9" ht="15" customHeight="1" x14ac:dyDescent="0.3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4.5" x14ac:dyDescent="0.35"/>
  <cols>
    <col min="4" max="4" width="13.81640625" bestFit="1" customWidth="1"/>
    <col min="5" max="5" width="10.453125" bestFit="1" customWidth="1"/>
    <col min="6" max="6" width="12.453125" bestFit="1" customWidth="1"/>
    <col min="7" max="7" width="18.1796875" customWidth="1"/>
    <col min="8" max="8" width="10.54296875" bestFit="1" customWidth="1"/>
  </cols>
  <sheetData>
    <row r="3" spans="2:11" x14ac:dyDescent="0.35">
      <c r="J3">
        <v>1</v>
      </c>
      <c r="K3">
        <v>2</v>
      </c>
    </row>
    <row r="4" spans="2:11" x14ac:dyDescent="0.35">
      <c r="B4" s="48"/>
      <c r="C4" s="48" t="s">
        <v>11</v>
      </c>
      <c r="D4" s="49" t="s">
        <v>182</v>
      </c>
      <c r="E4" s="49" t="s">
        <v>192</v>
      </c>
      <c r="F4" s="49" t="s">
        <v>175</v>
      </c>
      <c r="G4" s="49" t="s">
        <v>197</v>
      </c>
      <c r="H4" s="49" t="s">
        <v>215</v>
      </c>
      <c r="J4" t="s">
        <v>197</v>
      </c>
      <c r="K4" t="s">
        <v>213</v>
      </c>
    </row>
    <row r="5" spans="2:11" x14ac:dyDescent="0.35">
      <c r="B5" s="48"/>
      <c r="C5" s="48"/>
      <c r="D5" s="49" t="s">
        <v>183</v>
      </c>
      <c r="E5" s="49" t="s">
        <v>190</v>
      </c>
      <c r="F5" s="49" t="s">
        <v>212</v>
      </c>
      <c r="G5" s="49" t="s">
        <v>198</v>
      </c>
      <c r="H5" s="49" t="s">
        <v>216</v>
      </c>
    </row>
    <row r="6" spans="2:11" x14ac:dyDescent="0.35">
      <c r="B6" s="48"/>
      <c r="C6" s="48"/>
      <c r="D6" s="49" t="s">
        <v>184</v>
      </c>
      <c r="E6" s="49" t="s">
        <v>191</v>
      </c>
      <c r="F6" s="49" t="s">
        <v>213</v>
      </c>
      <c r="G6" s="49" t="s">
        <v>199</v>
      </c>
      <c r="H6" s="49" t="s">
        <v>229</v>
      </c>
    </row>
    <row r="7" spans="2:11" x14ac:dyDescent="0.35">
      <c r="B7" s="48"/>
      <c r="C7" s="48"/>
      <c r="D7" s="49" t="s">
        <v>185</v>
      </c>
      <c r="E7" s="49" t="s">
        <v>193</v>
      </c>
      <c r="F7" s="49" t="s">
        <v>214</v>
      </c>
      <c r="G7" s="49" t="s">
        <v>200</v>
      </c>
      <c r="H7" s="49" t="s">
        <v>217</v>
      </c>
    </row>
    <row r="8" spans="2:11" x14ac:dyDescent="0.35">
      <c r="B8" s="48"/>
      <c r="C8" s="48"/>
      <c r="D8" s="49" t="s">
        <v>186</v>
      </c>
      <c r="E8" s="49" t="s">
        <v>194</v>
      </c>
      <c r="F8" s="49"/>
      <c r="G8" s="49" t="s">
        <v>201</v>
      </c>
      <c r="H8" s="49" t="s">
        <v>218</v>
      </c>
    </row>
    <row r="9" spans="2:11" x14ac:dyDescent="0.35">
      <c r="B9" s="48"/>
      <c r="C9" s="48"/>
      <c r="D9" s="49" t="s">
        <v>187</v>
      </c>
      <c r="E9" s="49" t="s">
        <v>192</v>
      </c>
      <c r="F9" s="49"/>
      <c r="G9" s="49" t="s">
        <v>202</v>
      </c>
      <c r="H9" s="49" t="s">
        <v>219</v>
      </c>
    </row>
    <row r="10" spans="2:11" x14ac:dyDescent="0.35">
      <c r="B10" s="48"/>
      <c r="C10" s="48"/>
      <c r="D10" s="49" t="s">
        <v>188</v>
      </c>
      <c r="E10" s="49" t="s">
        <v>195</v>
      </c>
      <c r="F10" s="49"/>
      <c r="G10" s="49" t="s">
        <v>203</v>
      </c>
      <c r="H10" s="49" t="s">
        <v>220</v>
      </c>
    </row>
    <row r="11" spans="2:11" x14ac:dyDescent="0.35">
      <c r="B11" s="48"/>
      <c r="C11" s="48"/>
      <c r="D11" s="49" t="s">
        <v>189</v>
      </c>
      <c r="E11" s="49" t="s">
        <v>196</v>
      </c>
      <c r="F11" s="49"/>
      <c r="G11" s="49" t="s">
        <v>204</v>
      </c>
      <c r="H11" s="49" t="s">
        <v>221</v>
      </c>
    </row>
    <row r="12" spans="2:11" x14ac:dyDescent="0.35">
      <c r="B12" s="48"/>
      <c r="C12" s="48"/>
      <c r="D12" s="49"/>
      <c r="E12" s="49"/>
      <c r="F12" s="49"/>
      <c r="G12" s="49" t="s">
        <v>205</v>
      </c>
      <c r="H12" s="49" t="s">
        <v>222</v>
      </c>
    </row>
    <row r="13" spans="2:11" x14ac:dyDescent="0.35">
      <c r="B13" s="48"/>
      <c r="C13" s="48"/>
      <c r="D13" s="49"/>
      <c r="E13" s="49"/>
      <c r="F13" s="49"/>
      <c r="G13" s="49" t="s">
        <v>206</v>
      </c>
      <c r="H13" s="49" t="s">
        <v>223</v>
      </c>
    </row>
    <row r="14" spans="2:11" x14ac:dyDescent="0.35">
      <c r="B14" s="48"/>
      <c r="C14" s="48"/>
      <c r="D14" s="49"/>
      <c r="E14" s="49"/>
      <c r="F14" s="49"/>
      <c r="G14" s="49" t="s">
        <v>207</v>
      </c>
      <c r="H14" s="49" t="s">
        <v>224</v>
      </c>
    </row>
    <row r="15" spans="2:11" x14ac:dyDescent="0.35">
      <c r="B15" s="48"/>
      <c r="C15" s="48"/>
      <c r="D15" s="49"/>
      <c r="E15" s="49"/>
      <c r="F15" s="49"/>
      <c r="G15" s="49" t="s">
        <v>208</v>
      </c>
      <c r="H15" s="49" t="s">
        <v>225</v>
      </c>
    </row>
    <row r="16" spans="2:11" x14ac:dyDescent="0.35">
      <c r="B16" s="48"/>
      <c r="C16" s="48"/>
      <c r="D16" s="49"/>
      <c r="E16" s="49"/>
      <c r="F16" s="49"/>
      <c r="G16" s="49" t="s">
        <v>209</v>
      </c>
      <c r="H16" s="49" t="s">
        <v>226</v>
      </c>
    </row>
    <row r="17" spans="2:8" x14ac:dyDescent="0.35">
      <c r="B17" s="48"/>
      <c r="C17" s="48"/>
      <c r="D17" s="49"/>
      <c r="E17" s="49"/>
      <c r="F17" s="49"/>
      <c r="G17" s="49" t="s">
        <v>210</v>
      </c>
      <c r="H17" s="49" t="s">
        <v>227</v>
      </c>
    </row>
    <row r="18" spans="2:8" x14ac:dyDescent="0.35">
      <c r="B18" s="48"/>
      <c r="C18" s="48"/>
      <c r="D18" s="49"/>
      <c r="E18" s="49"/>
      <c r="F18" s="49"/>
      <c r="G18" s="49" t="s">
        <v>211</v>
      </c>
      <c r="H18" s="49" t="s">
        <v>228</v>
      </c>
    </row>
    <row r="24" spans="2:8" x14ac:dyDescent="0.35">
      <c r="C24" t="s">
        <v>172</v>
      </c>
    </row>
    <row r="25" spans="2:8" x14ac:dyDescent="0.35">
      <c r="C25" t="s">
        <v>230</v>
      </c>
    </row>
    <row r="26" spans="2:8" x14ac:dyDescent="0.35">
      <c r="C26" t="s">
        <v>231</v>
      </c>
    </row>
    <row r="27" spans="2:8" x14ac:dyDescent="0.35">
      <c r="C27" t="s">
        <v>232</v>
      </c>
    </row>
    <row r="28" spans="2:8" x14ac:dyDescent="0.35">
      <c r="C28" t="s">
        <v>233</v>
      </c>
    </row>
    <row r="29" spans="2:8" x14ac:dyDescent="0.35">
      <c r="C29" t="s">
        <v>234</v>
      </c>
    </row>
    <row r="30" spans="2:8" x14ac:dyDescent="0.35">
      <c r="C30" t="s">
        <v>172</v>
      </c>
    </row>
    <row r="33" spans="3:11" x14ac:dyDescent="0.35">
      <c r="J33">
        <v>1</v>
      </c>
      <c r="K33">
        <v>2</v>
      </c>
    </row>
    <row r="34" spans="3:11" x14ac:dyDescent="0.35">
      <c r="C34" s="52" t="s">
        <v>239</v>
      </c>
      <c r="D34" s="49" t="s">
        <v>237</v>
      </c>
      <c r="E34" s="49" t="s">
        <v>242</v>
      </c>
      <c r="F34" s="49" t="s">
        <v>240</v>
      </c>
      <c r="G34" s="49" t="s">
        <v>241</v>
      </c>
      <c r="H34" s="49" t="s">
        <v>243</v>
      </c>
      <c r="J34" t="s">
        <v>197</v>
      </c>
      <c r="K34" t="s">
        <v>213</v>
      </c>
    </row>
    <row r="35" spans="3:11" x14ac:dyDescent="0.35">
      <c r="C35" s="48" t="s">
        <v>238</v>
      </c>
      <c r="D35" s="49" t="s">
        <v>173</v>
      </c>
      <c r="E35" s="49" t="s">
        <v>247</v>
      </c>
      <c r="F35" s="49" t="s">
        <v>249</v>
      </c>
      <c r="G35" s="49" t="s">
        <v>251</v>
      </c>
      <c r="H35" s="49"/>
    </row>
    <row r="36" spans="3:11" x14ac:dyDescent="0.35">
      <c r="C36" s="48"/>
      <c r="D36" s="49" t="s">
        <v>244</v>
      </c>
      <c r="E36" s="49" t="s">
        <v>248</v>
      </c>
      <c r="F36" s="49" t="s">
        <v>250</v>
      </c>
      <c r="G36" s="49" t="s">
        <v>252</v>
      </c>
      <c r="H36" s="49"/>
    </row>
    <row r="37" spans="3:11" x14ac:dyDescent="0.35">
      <c r="C37" s="48"/>
      <c r="D37" s="49" t="s">
        <v>245</v>
      </c>
      <c r="E37" s="49"/>
      <c r="F37" s="49"/>
      <c r="G37" s="49" t="s">
        <v>253</v>
      </c>
      <c r="H37" s="49"/>
    </row>
    <row r="38" spans="3:11" x14ac:dyDescent="0.35">
      <c r="C38" s="48"/>
      <c r="D38" s="49" t="s">
        <v>246</v>
      </c>
      <c r="E38" s="49"/>
      <c r="F38" s="49"/>
      <c r="G38" s="49" t="s">
        <v>253</v>
      </c>
      <c r="H38" s="49"/>
    </row>
    <row r="39" spans="3:11" x14ac:dyDescent="0.35">
      <c r="C39" s="48"/>
      <c r="D39" s="49"/>
      <c r="E39" s="49"/>
      <c r="F39" s="49"/>
      <c r="G39" s="49" t="s">
        <v>254</v>
      </c>
      <c r="H39" s="49"/>
    </row>
    <row r="40" spans="3:11" x14ac:dyDescent="0.35">
      <c r="C40" s="48"/>
      <c r="D40" s="49"/>
      <c r="E40" s="49"/>
      <c r="F40" s="49"/>
      <c r="G40" s="49" t="s">
        <v>255</v>
      </c>
      <c r="H40" s="49"/>
    </row>
    <row r="41" spans="3:11" x14ac:dyDescent="0.35">
      <c r="C41" s="48"/>
      <c r="D41" s="49"/>
      <c r="E41" s="49"/>
      <c r="F41" s="49"/>
      <c r="G41" s="49"/>
      <c r="H41" s="49"/>
    </row>
    <row r="43" spans="3:11" x14ac:dyDescent="0.35">
      <c r="C43" t="s">
        <v>256</v>
      </c>
    </row>
    <row r="44" spans="3:11" x14ac:dyDescent="0.35">
      <c r="C44" t="s">
        <v>175</v>
      </c>
      <c r="D44" t="s">
        <v>257</v>
      </c>
    </row>
    <row r="45" spans="3:11" x14ac:dyDescent="0.35">
      <c r="D45" t="s">
        <v>258</v>
      </c>
    </row>
    <row r="46" spans="3:11" x14ac:dyDescent="0.35">
      <c r="D46" t="s">
        <v>259</v>
      </c>
    </row>
    <row r="47" spans="3:11" x14ac:dyDescent="0.35">
      <c r="D47" t="s">
        <v>260</v>
      </c>
    </row>
    <row r="48" spans="3:11" x14ac:dyDescent="0.35">
      <c r="D48" t="s">
        <v>261</v>
      </c>
    </row>
    <row r="49" spans="3:4" x14ac:dyDescent="0.35">
      <c r="C49" t="s">
        <v>182</v>
      </c>
      <c r="D49" t="s">
        <v>262</v>
      </c>
    </row>
    <row r="50" spans="3:4" x14ac:dyDescent="0.35">
      <c r="D50" t="s">
        <v>263</v>
      </c>
    </row>
    <row r="51" spans="3:4" x14ac:dyDescent="0.35">
      <c r="D51" t="s">
        <v>264</v>
      </c>
    </row>
    <row r="52" spans="3:4" x14ac:dyDescent="0.35">
      <c r="D52" t="s">
        <v>267</v>
      </c>
    </row>
    <row r="53" spans="3:4" x14ac:dyDescent="0.35">
      <c r="D53" t="s">
        <v>265</v>
      </c>
    </row>
    <row r="54" spans="3:4" x14ac:dyDescent="0.35">
      <c r="D54" t="s">
        <v>266</v>
      </c>
    </row>
    <row r="55" spans="3:4" x14ac:dyDescent="0.35">
      <c r="D55" t="s">
        <v>268</v>
      </c>
    </row>
    <row r="56" spans="3:4" x14ac:dyDescent="0.35">
      <c r="D56" t="s">
        <v>269</v>
      </c>
    </row>
    <row r="57" spans="3:4" x14ac:dyDescent="0.35">
      <c r="D57" t="s">
        <v>270</v>
      </c>
    </row>
    <row r="58" spans="3:4" x14ac:dyDescent="0.35">
      <c r="D58" t="s">
        <v>272</v>
      </c>
    </row>
    <row r="59" spans="3:4" x14ac:dyDescent="0.35">
      <c r="D59" t="s">
        <v>281</v>
      </c>
    </row>
    <row r="60" spans="3:4" x14ac:dyDescent="0.35">
      <c r="C60" t="s">
        <v>197</v>
      </c>
      <c r="D60" t="s">
        <v>273</v>
      </c>
    </row>
    <row r="61" spans="3:4" x14ac:dyDescent="0.35">
      <c r="D61" t="s">
        <v>271</v>
      </c>
    </row>
    <row r="62" spans="3:4" x14ac:dyDescent="0.35">
      <c r="D62" t="s">
        <v>261</v>
      </c>
    </row>
    <row r="63" spans="3:4" x14ac:dyDescent="0.35">
      <c r="D63" t="s">
        <v>274</v>
      </c>
    </row>
    <row r="64" spans="3:4" x14ac:dyDescent="0.35">
      <c r="D64" t="s">
        <v>275</v>
      </c>
    </row>
    <row r="65" spans="3:4" x14ac:dyDescent="0.35">
      <c r="D65" t="s">
        <v>276</v>
      </c>
    </row>
    <row r="66" spans="3:4" x14ac:dyDescent="0.35">
      <c r="D66" t="s">
        <v>277</v>
      </c>
    </row>
    <row r="67" spans="3:4" x14ac:dyDescent="0.35">
      <c r="C67" t="s">
        <v>192</v>
      </c>
      <c r="D67" t="s">
        <v>278</v>
      </c>
    </row>
    <row r="68" spans="3:4" x14ac:dyDescent="0.35">
      <c r="D68" t="s">
        <v>279</v>
      </c>
    </row>
    <row r="69" spans="3:4" x14ac:dyDescent="0.35">
      <c r="D69" t="s">
        <v>280</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C44"/>
  <sheetViews>
    <sheetView workbookViewId="0">
      <selection sqref="A1:XFD1048576"/>
    </sheetView>
  </sheetViews>
  <sheetFormatPr defaultRowHeight="14.5" x14ac:dyDescent="0.35"/>
  <cols>
    <col min="2" max="2" width="3" bestFit="1" customWidth="1"/>
    <col min="3" max="3" width="155.26953125" customWidth="1"/>
  </cols>
  <sheetData>
    <row r="2" spans="2:3" ht="15" customHeight="1" x14ac:dyDescent="0.35">
      <c r="B2" s="53">
        <v>1</v>
      </c>
      <c r="C2" s="56" t="s">
        <v>286</v>
      </c>
    </row>
    <row r="3" spans="2:3" x14ac:dyDescent="0.35">
      <c r="B3" s="53">
        <v>2</v>
      </c>
      <c r="C3" s="54" t="s">
        <v>287</v>
      </c>
    </row>
    <row r="4" spans="2:3" x14ac:dyDescent="0.35">
      <c r="B4" s="53">
        <v>3</v>
      </c>
      <c r="C4" s="55" t="s">
        <v>288</v>
      </c>
    </row>
    <row r="5" spans="2:3" x14ac:dyDescent="0.35">
      <c r="B5" s="53">
        <v>4</v>
      </c>
      <c r="C5" s="54" t="s">
        <v>289</v>
      </c>
    </row>
    <row r="6" spans="2:3" x14ac:dyDescent="0.35">
      <c r="B6" s="53">
        <v>5</v>
      </c>
      <c r="C6" s="55" t="s">
        <v>290</v>
      </c>
    </row>
    <row r="7" spans="2:3" ht="29" x14ac:dyDescent="0.35">
      <c r="B7" s="53">
        <v>6</v>
      </c>
      <c r="C7" s="54" t="s">
        <v>291</v>
      </c>
    </row>
    <row r="8" spans="2:3" ht="72.5" x14ac:dyDescent="0.35">
      <c r="B8" s="53">
        <v>7</v>
      </c>
      <c r="C8" s="54" t="s">
        <v>292</v>
      </c>
    </row>
    <row r="9" spans="2:3" x14ac:dyDescent="0.35">
      <c r="B9" s="53">
        <v>8</v>
      </c>
      <c r="C9" s="55" t="s">
        <v>293</v>
      </c>
    </row>
    <row r="10" spans="2:3" x14ac:dyDescent="0.35">
      <c r="B10" s="53">
        <v>9</v>
      </c>
      <c r="C10" s="55" t="s">
        <v>294</v>
      </c>
    </row>
    <row r="11" spans="2:3" x14ac:dyDescent="0.35">
      <c r="B11" s="53">
        <v>10</v>
      </c>
      <c r="C11" s="55" t="s">
        <v>295</v>
      </c>
    </row>
    <row r="12" spans="2:3" x14ac:dyDescent="0.35">
      <c r="B12" s="53">
        <v>11</v>
      </c>
      <c r="C12" s="55" t="s">
        <v>296</v>
      </c>
    </row>
    <row r="13" spans="2:3" x14ac:dyDescent="0.35">
      <c r="B13" s="53">
        <v>12</v>
      </c>
      <c r="C13" s="55" t="s">
        <v>297</v>
      </c>
    </row>
    <row r="14" spans="2:3" x14ac:dyDescent="0.35">
      <c r="B14" s="53">
        <v>13</v>
      </c>
      <c r="C14" s="55" t="s">
        <v>298</v>
      </c>
    </row>
    <row r="15" spans="2:3" x14ac:dyDescent="0.35">
      <c r="B15" s="53">
        <v>14</v>
      </c>
      <c r="C15" s="55" t="s">
        <v>288</v>
      </c>
    </row>
    <row r="16" spans="2:3" x14ac:dyDescent="0.35">
      <c r="B16" s="53">
        <v>15</v>
      </c>
      <c r="C16" s="55" t="s">
        <v>300</v>
      </c>
    </row>
    <row r="17" spans="2:3" x14ac:dyDescent="0.35">
      <c r="B17" s="74">
        <v>16</v>
      </c>
      <c r="C17" s="59" t="s">
        <v>301</v>
      </c>
    </row>
    <row r="18" spans="2:3" x14ac:dyDescent="0.35">
      <c r="B18" s="58">
        <v>17</v>
      </c>
      <c r="C18" s="59" t="s">
        <v>302</v>
      </c>
    </row>
    <row r="19" spans="2:3" x14ac:dyDescent="0.35">
      <c r="B19" s="57">
        <v>18</v>
      </c>
      <c r="C19" s="53" t="s">
        <v>303</v>
      </c>
    </row>
    <row r="20" spans="2:3" x14ac:dyDescent="0.35">
      <c r="B20" s="58">
        <v>19</v>
      </c>
      <c r="C20" s="53" t="s">
        <v>339</v>
      </c>
    </row>
    <row r="21" spans="2:3" x14ac:dyDescent="0.35">
      <c r="B21" s="60">
        <v>20</v>
      </c>
      <c r="C21" s="53" t="s">
        <v>304</v>
      </c>
    </row>
    <row r="22" spans="2:3" x14ac:dyDescent="0.35">
      <c r="B22" s="58">
        <v>21</v>
      </c>
      <c r="C22" s="53" t="s">
        <v>303</v>
      </c>
    </row>
    <row r="23" spans="2:3" s="68" customFormat="1" ht="29.25" customHeight="1" x14ac:dyDescent="0.35">
      <c r="B23" s="67">
        <v>22</v>
      </c>
      <c r="C23" s="56" t="s">
        <v>331</v>
      </c>
    </row>
    <row r="24" spans="2:3" s="68" customFormat="1" ht="30.75" customHeight="1" x14ac:dyDescent="0.35">
      <c r="B24" s="69">
        <v>23</v>
      </c>
      <c r="C24" s="56" t="s">
        <v>332</v>
      </c>
    </row>
    <row r="25" spans="2:3" x14ac:dyDescent="0.35">
      <c r="B25" s="60">
        <v>24</v>
      </c>
      <c r="C25" s="53" t="s">
        <v>335</v>
      </c>
    </row>
    <row r="26" spans="2:3" x14ac:dyDescent="0.35">
      <c r="B26" s="58">
        <v>25</v>
      </c>
      <c r="C26" s="53" t="s">
        <v>333</v>
      </c>
    </row>
    <row r="27" spans="2:3" x14ac:dyDescent="0.35">
      <c r="B27" s="69">
        <v>26</v>
      </c>
      <c r="C27" s="60" t="s">
        <v>334</v>
      </c>
    </row>
    <row r="28" spans="2:3" x14ac:dyDescent="0.35">
      <c r="B28" s="70">
        <v>27</v>
      </c>
      <c r="C28" s="53" t="s">
        <v>336</v>
      </c>
    </row>
    <row r="29" spans="2:3" ht="43.5" x14ac:dyDescent="0.35">
      <c r="B29" s="73">
        <v>28</v>
      </c>
      <c r="C29" s="54" t="s">
        <v>337</v>
      </c>
    </row>
    <row r="30" spans="2:3" x14ac:dyDescent="0.35">
      <c r="B30" s="69">
        <v>29</v>
      </c>
      <c r="C30" s="53" t="s">
        <v>338</v>
      </c>
    </row>
    <row r="31" spans="2:3" ht="29" x14ac:dyDescent="0.35">
      <c r="B31" s="75">
        <v>30</v>
      </c>
      <c r="C31" s="54" t="s">
        <v>340</v>
      </c>
    </row>
    <row r="32" spans="2:3" x14ac:dyDescent="0.35">
      <c r="B32" s="69">
        <v>31</v>
      </c>
      <c r="C32" s="53" t="s">
        <v>341</v>
      </c>
    </row>
    <row r="33" spans="2:3" x14ac:dyDescent="0.35">
      <c r="B33" s="69">
        <v>32</v>
      </c>
      <c r="C33" s="53" t="s">
        <v>342</v>
      </c>
    </row>
    <row r="34" spans="2:3" ht="36.75" customHeight="1" x14ac:dyDescent="0.35">
      <c r="B34" s="75">
        <v>33</v>
      </c>
      <c r="C34" s="59" t="s">
        <v>343</v>
      </c>
    </row>
    <row r="35" spans="2:3" x14ac:dyDescent="0.35">
      <c r="B35" s="80">
        <v>34</v>
      </c>
      <c r="C35" s="53" t="s">
        <v>352</v>
      </c>
    </row>
    <row r="36" spans="2:3" ht="58" x14ac:dyDescent="0.35">
      <c r="B36" s="67">
        <v>35</v>
      </c>
      <c r="C36" s="54" t="s">
        <v>356</v>
      </c>
    </row>
    <row r="37" spans="2:3" x14ac:dyDescent="0.35">
      <c r="B37" s="53"/>
      <c r="C37" s="53"/>
    </row>
    <row r="38" spans="2:3" x14ac:dyDescent="0.35">
      <c r="B38" s="53"/>
      <c r="C38" s="53"/>
    </row>
    <row r="39" spans="2:3" x14ac:dyDescent="0.35">
      <c r="B39" s="53"/>
      <c r="C39" s="53"/>
    </row>
    <row r="40" spans="2:3" x14ac:dyDescent="0.35">
      <c r="B40" s="53"/>
      <c r="C40" s="53"/>
    </row>
    <row r="41" spans="2:3" x14ac:dyDescent="0.35">
      <c r="B41" s="53"/>
      <c r="C41" s="53"/>
    </row>
    <row r="42" spans="2:3" x14ac:dyDescent="0.35">
      <c r="B42" s="53"/>
      <c r="C42" s="53"/>
    </row>
    <row r="43" spans="2:3" x14ac:dyDescent="0.35">
      <c r="B43" s="53"/>
      <c r="C43" s="53"/>
    </row>
    <row r="44" spans="2:3" x14ac:dyDescent="0.35">
      <c r="B44" s="53"/>
      <c r="C44" s="53"/>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ColWidth="9.1796875" defaultRowHeight="14.5" x14ac:dyDescent="0.35"/>
  <cols>
    <col min="1" max="1" width="9.1796875" style="48"/>
    <col min="2" max="2" width="12.26953125" style="48" customWidth="1"/>
    <col min="3" max="16384" width="9.1796875" style="48"/>
  </cols>
  <sheetData>
    <row r="2" spans="1:12" x14ac:dyDescent="0.35">
      <c r="B2" s="61" t="s">
        <v>305</v>
      </c>
      <c r="C2" s="240"/>
      <c r="D2" s="240"/>
    </row>
    <row r="3" spans="1:12" x14ac:dyDescent="0.35">
      <c r="D3" s="62"/>
      <c r="E3" s="62"/>
      <c r="F3" s="62"/>
      <c r="G3" s="62"/>
      <c r="H3" s="62"/>
      <c r="I3" s="62"/>
    </row>
    <row r="4" spans="1:12" x14ac:dyDescent="0.35">
      <c r="A4" s="61" t="s">
        <v>66</v>
      </c>
      <c r="B4" s="63" t="s">
        <v>306</v>
      </c>
      <c r="C4" s="241" t="s">
        <v>307</v>
      </c>
      <c r="D4" s="241"/>
      <c r="E4" s="241"/>
      <c r="F4" s="63"/>
      <c r="G4" s="242" t="s">
        <v>308</v>
      </c>
      <c r="H4" s="242"/>
      <c r="I4" s="242"/>
      <c r="J4" s="243" t="s">
        <v>309</v>
      </c>
      <c r="K4" s="243"/>
      <c r="L4" s="243"/>
    </row>
    <row r="5" spans="1:12" x14ac:dyDescent="0.35">
      <c r="A5" s="61"/>
      <c r="B5" s="63"/>
      <c r="C5" s="63" t="s">
        <v>310</v>
      </c>
      <c r="D5" s="63" t="s">
        <v>311</v>
      </c>
      <c r="E5" s="63" t="s">
        <v>312</v>
      </c>
      <c r="F5" s="63"/>
      <c r="G5" s="63" t="s">
        <v>310</v>
      </c>
      <c r="H5" s="63" t="s">
        <v>311</v>
      </c>
      <c r="I5" s="63" t="s">
        <v>312</v>
      </c>
      <c r="J5" s="63" t="s">
        <v>310</v>
      </c>
      <c r="K5" s="63" t="s">
        <v>311</v>
      </c>
      <c r="L5" s="63" t="s">
        <v>312</v>
      </c>
    </row>
    <row r="6" spans="1:12" x14ac:dyDescent="0.35">
      <c r="B6" s="49" t="s">
        <v>313</v>
      </c>
      <c r="C6" s="49"/>
      <c r="D6" s="49"/>
      <c r="E6" s="49">
        <f>C6*D6</f>
        <v>0</v>
      </c>
      <c r="F6" s="49" t="s">
        <v>330</v>
      </c>
      <c r="G6" s="49"/>
      <c r="H6" s="49"/>
      <c r="I6" s="49">
        <f>G6*H6</f>
        <v>0</v>
      </c>
      <c r="J6" s="49"/>
      <c r="K6" s="49"/>
      <c r="L6" s="49">
        <f>J6*K6</f>
        <v>0</v>
      </c>
    </row>
    <row r="7" spans="1:12" x14ac:dyDescent="0.35">
      <c r="B7" s="49"/>
      <c r="C7" s="49"/>
      <c r="D7" s="49"/>
      <c r="E7" s="49">
        <f t="shared" ref="E7:E41" si="0">C7*D7</f>
        <v>0</v>
      </c>
      <c r="F7" s="49" t="s">
        <v>330</v>
      </c>
      <c r="G7" s="49"/>
      <c r="H7" s="49"/>
      <c r="I7" s="49">
        <f t="shared" ref="I7:I35" si="1">G7*H7</f>
        <v>0</v>
      </c>
      <c r="J7" s="49"/>
      <c r="K7" s="49"/>
      <c r="L7" s="49">
        <f t="shared" ref="L7:L35" si="2">J7*K7</f>
        <v>0</v>
      </c>
    </row>
    <row r="8" spans="1:12" x14ac:dyDescent="0.35">
      <c r="B8" s="49"/>
      <c r="C8" s="49"/>
      <c r="D8" s="49"/>
      <c r="E8" s="49">
        <f t="shared" si="0"/>
        <v>0</v>
      </c>
      <c r="F8" s="49"/>
      <c r="G8" s="49"/>
      <c r="H8" s="49"/>
      <c r="I8" s="49">
        <f t="shared" si="1"/>
        <v>0</v>
      </c>
      <c r="J8" s="49"/>
      <c r="K8" s="49"/>
      <c r="L8" s="49">
        <f t="shared" si="2"/>
        <v>0</v>
      </c>
    </row>
    <row r="9" spans="1:12" x14ac:dyDescent="0.35">
      <c r="B9" s="49"/>
      <c r="C9" s="49"/>
      <c r="D9" s="49"/>
      <c r="E9" s="49">
        <f t="shared" si="0"/>
        <v>0</v>
      </c>
      <c r="F9" s="49" t="s">
        <v>314</v>
      </c>
      <c r="G9" s="49"/>
      <c r="H9" s="49"/>
      <c r="I9" s="49">
        <f t="shared" si="1"/>
        <v>0</v>
      </c>
      <c r="J9" s="49"/>
      <c r="K9" s="49"/>
      <c r="L9" s="49">
        <f t="shared" si="2"/>
        <v>0</v>
      </c>
    </row>
    <row r="10" spans="1:12" x14ac:dyDescent="0.35">
      <c r="B10" s="49" t="s">
        <v>315</v>
      </c>
      <c r="C10" s="49"/>
      <c r="D10" s="49"/>
      <c r="E10" s="49">
        <f t="shared" si="0"/>
        <v>0</v>
      </c>
      <c r="F10" s="49" t="s">
        <v>314</v>
      </c>
      <c r="G10" s="49"/>
      <c r="H10" s="49"/>
      <c r="I10" s="49">
        <f t="shared" si="1"/>
        <v>0</v>
      </c>
      <c r="J10" s="49"/>
      <c r="K10" s="49"/>
      <c r="L10" s="49">
        <f t="shared" si="2"/>
        <v>0</v>
      </c>
    </row>
    <row r="11" spans="1:12" x14ac:dyDescent="0.35">
      <c r="B11" s="49"/>
      <c r="C11" s="49"/>
      <c r="D11" s="49"/>
      <c r="E11" s="49">
        <f t="shared" si="0"/>
        <v>0</v>
      </c>
      <c r="F11" s="49" t="s">
        <v>316</v>
      </c>
      <c r="G11" s="49"/>
      <c r="H11" s="49"/>
      <c r="I11" s="49">
        <f t="shared" si="1"/>
        <v>0</v>
      </c>
      <c r="J11" s="49"/>
      <c r="K11" s="49"/>
      <c r="L11" s="49">
        <f t="shared" si="2"/>
        <v>0</v>
      </c>
    </row>
    <row r="12" spans="1:12" x14ac:dyDescent="0.35">
      <c r="B12" s="49"/>
      <c r="C12" s="49"/>
      <c r="D12" s="49"/>
      <c r="E12" s="49">
        <f t="shared" si="0"/>
        <v>0</v>
      </c>
      <c r="F12" s="49"/>
      <c r="G12" s="49"/>
      <c r="H12" s="49"/>
      <c r="I12" s="49">
        <f t="shared" si="1"/>
        <v>0</v>
      </c>
      <c r="J12" s="49"/>
      <c r="K12" s="49"/>
      <c r="L12" s="49">
        <f t="shared" si="2"/>
        <v>0</v>
      </c>
    </row>
    <row r="13" spans="1:12" x14ac:dyDescent="0.35">
      <c r="B13" s="49"/>
      <c r="C13" s="49"/>
      <c r="D13" s="49"/>
      <c r="E13" s="49">
        <f t="shared" si="0"/>
        <v>0</v>
      </c>
      <c r="F13" s="49"/>
      <c r="G13" s="49"/>
      <c r="H13" s="49"/>
      <c r="I13" s="49">
        <f t="shared" si="1"/>
        <v>0</v>
      </c>
      <c r="J13" s="49"/>
      <c r="K13" s="49"/>
      <c r="L13" s="49">
        <f t="shared" si="2"/>
        <v>0</v>
      </c>
    </row>
    <row r="14" spans="1:12" x14ac:dyDescent="0.35">
      <c r="B14" s="49" t="s">
        <v>317</v>
      </c>
      <c r="C14" s="49"/>
      <c r="D14" s="49"/>
      <c r="E14" s="49">
        <f t="shared" si="0"/>
        <v>0</v>
      </c>
      <c r="F14" s="49" t="s">
        <v>314</v>
      </c>
      <c r="G14" s="49"/>
      <c r="H14" s="49"/>
      <c r="I14" s="49">
        <f t="shared" si="1"/>
        <v>0</v>
      </c>
      <c r="J14" s="49"/>
      <c r="K14" s="49"/>
      <c r="L14" s="49">
        <f t="shared" si="2"/>
        <v>0</v>
      </c>
    </row>
    <row r="15" spans="1:12" x14ac:dyDescent="0.35">
      <c r="B15" s="49"/>
      <c r="C15" s="49"/>
      <c r="D15" s="49"/>
      <c r="E15" s="49">
        <f t="shared" si="0"/>
        <v>0</v>
      </c>
      <c r="F15" s="49" t="s">
        <v>316</v>
      </c>
      <c r="G15" s="49"/>
      <c r="H15" s="49"/>
      <c r="I15" s="49">
        <f t="shared" si="1"/>
        <v>0</v>
      </c>
      <c r="J15" s="49"/>
      <c r="K15" s="49"/>
      <c r="L15" s="49">
        <f t="shared" si="2"/>
        <v>0</v>
      </c>
    </row>
    <row r="16" spans="1:12" x14ac:dyDescent="0.35">
      <c r="B16" s="49"/>
      <c r="C16" s="49"/>
      <c r="D16" s="49"/>
      <c r="E16" s="49">
        <f t="shared" si="0"/>
        <v>0</v>
      </c>
      <c r="F16" s="49"/>
      <c r="G16" s="49"/>
      <c r="H16" s="49"/>
      <c r="I16" s="49">
        <f t="shared" si="1"/>
        <v>0</v>
      </c>
      <c r="J16" s="49"/>
      <c r="K16" s="49"/>
      <c r="L16" s="49">
        <f t="shared" si="2"/>
        <v>0</v>
      </c>
    </row>
    <row r="17" spans="2:12" x14ac:dyDescent="0.35">
      <c r="B17" s="49"/>
      <c r="C17" s="49"/>
      <c r="D17" s="49"/>
      <c r="E17" s="49">
        <f t="shared" si="0"/>
        <v>0</v>
      </c>
      <c r="F17" s="49"/>
      <c r="G17" s="49"/>
      <c r="H17" s="49"/>
      <c r="I17" s="49">
        <f t="shared" si="1"/>
        <v>0</v>
      </c>
      <c r="J17" s="49"/>
      <c r="K17" s="49"/>
      <c r="L17" s="49">
        <f t="shared" si="2"/>
        <v>0</v>
      </c>
    </row>
    <row r="18" spans="2:12" x14ac:dyDescent="0.35">
      <c r="B18" s="49" t="s">
        <v>318</v>
      </c>
      <c r="C18" s="49"/>
      <c r="D18" s="49"/>
      <c r="E18" s="49">
        <f t="shared" si="0"/>
        <v>0</v>
      </c>
      <c r="F18" s="49" t="s">
        <v>314</v>
      </c>
      <c r="G18" s="49"/>
      <c r="H18" s="49"/>
      <c r="I18" s="49">
        <f t="shared" si="1"/>
        <v>0</v>
      </c>
      <c r="J18" s="49"/>
      <c r="K18" s="49"/>
      <c r="L18" s="49">
        <f t="shared" si="2"/>
        <v>0</v>
      </c>
    </row>
    <row r="19" spans="2:12" x14ac:dyDescent="0.35">
      <c r="B19" s="49"/>
      <c r="C19" s="49"/>
      <c r="D19" s="49"/>
      <c r="E19" s="49">
        <f t="shared" si="0"/>
        <v>0</v>
      </c>
      <c r="F19" s="49" t="s">
        <v>316</v>
      </c>
      <c r="G19" s="49"/>
      <c r="H19" s="49"/>
      <c r="I19" s="49">
        <f t="shared" si="1"/>
        <v>0</v>
      </c>
      <c r="J19" s="49"/>
      <c r="K19" s="49"/>
      <c r="L19" s="49">
        <f t="shared" si="2"/>
        <v>0</v>
      </c>
    </row>
    <row r="20" spans="2:12" x14ac:dyDescent="0.35">
      <c r="B20" s="49"/>
      <c r="C20" s="49"/>
      <c r="D20" s="49"/>
      <c r="E20" s="49">
        <f t="shared" si="0"/>
        <v>0</v>
      </c>
      <c r="F20" s="49"/>
      <c r="G20" s="49"/>
      <c r="H20" s="49"/>
      <c r="I20" s="49">
        <f t="shared" si="1"/>
        <v>0</v>
      </c>
      <c r="J20" s="49"/>
      <c r="K20" s="49"/>
      <c r="L20" s="49">
        <f t="shared" si="2"/>
        <v>0</v>
      </c>
    </row>
    <row r="21" spans="2:12" x14ac:dyDescent="0.35">
      <c r="B21" s="49" t="s">
        <v>319</v>
      </c>
      <c r="C21" s="49"/>
      <c r="D21" s="49"/>
      <c r="E21" s="49">
        <f t="shared" si="0"/>
        <v>0</v>
      </c>
      <c r="F21" s="49" t="s">
        <v>314</v>
      </c>
      <c r="G21" s="49"/>
      <c r="H21" s="49"/>
      <c r="I21" s="49">
        <f t="shared" si="1"/>
        <v>0</v>
      </c>
      <c r="J21" s="49"/>
      <c r="K21" s="49"/>
      <c r="L21" s="49">
        <f t="shared" si="2"/>
        <v>0</v>
      </c>
    </row>
    <row r="22" spans="2:12" x14ac:dyDescent="0.35">
      <c r="B22" s="49"/>
      <c r="C22" s="49"/>
      <c r="D22" s="49"/>
      <c r="E22" s="49">
        <f t="shared" si="0"/>
        <v>0</v>
      </c>
      <c r="F22" s="49" t="s">
        <v>316</v>
      </c>
      <c r="G22" s="49"/>
      <c r="H22" s="49"/>
      <c r="I22" s="49">
        <f t="shared" si="1"/>
        <v>0</v>
      </c>
      <c r="J22" s="49"/>
      <c r="K22" s="49"/>
      <c r="L22" s="49">
        <f t="shared" si="2"/>
        <v>0</v>
      </c>
    </row>
    <row r="23" spans="2:12" x14ac:dyDescent="0.35">
      <c r="B23" s="49"/>
      <c r="C23" s="49"/>
      <c r="D23" s="49"/>
      <c r="E23" s="49">
        <f t="shared" si="0"/>
        <v>0</v>
      </c>
      <c r="F23" s="49"/>
      <c r="G23" s="49"/>
      <c r="H23" s="49"/>
      <c r="I23" s="49">
        <f t="shared" si="1"/>
        <v>0</v>
      </c>
      <c r="J23" s="49"/>
      <c r="K23" s="49"/>
      <c r="L23" s="49">
        <f t="shared" si="2"/>
        <v>0</v>
      </c>
    </row>
    <row r="24" spans="2:12" x14ac:dyDescent="0.35">
      <c r="B24" s="49" t="s">
        <v>320</v>
      </c>
      <c r="C24" s="49"/>
      <c r="D24" s="49"/>
      <c r="E24" s="49">
        <f t="shared" si="0"/>
        <v>0</v>
      </c>
      <c r="F24" s="49" t="s">
        <v>321</v>
      </c>
      <c r="G24" s="49"/>
      <c r="H24" s="49"/>
      <c r="I24" s="49">
        <f t="shared" si="1"/>
        <v>0</v>
      </c>
      <c r="J24" s="49"/>
      <c r="K24" s="49"/>
      <c r="L24" s="49">
        <f t="shared" si="2"/>
        <v>0</v>
      </c>
    </row>
    <row r="25" spans="2:12" x14ac:dyDescent="0.35">
      <c r="B25" s="49"/>
      <c r="C25" s="49"/>
      <c r="D25" s="49"/>
      <c r="E25" s="49">
        <f>C25*D25</f>
        <v>0</v>
      </c>
      <c r="F25" s="49" t="s">
        <v>321</v>
      </c>
      <c r="G25" s="49"/>
      <c r="H25" s="49"/>
      <c r="I25" s="49">
        <f>G25*H25</f>
        <v>0</v>
      </c>
      <c r="J25" s="49"/>
      <c r="K25" s="49"/>
      <c r="L25" s="49">
        <f>J25*K25</f>
        <v>0</v>
      </c>
    </row>
    <row r="26" spans="2:12" x14ac:dyDescent="0.35">
      <c r="B26" s="49"/>
      <c r="C26" s="49"/>
      <c r="D26" s="49"/>
      <c r="E26" s="49">
        <f>C26*D26</f>
        <v>0</v>
      </c>
      <c r="F26" s="49" t="s">
        <v>321</v>
      </c>
      <c r="G26" s="49"/>
      <c r="H26" s="49"/>
      <c r="I26" s="49">
        <f>G26*H26</f>
        <v>0</v>
      </c>
      <c r="J26" s="49"/>
      <c r="K26" s="49"/>
      <c r="L26" s="49">
        <f>J26*K26</f>
        <v>0</v>
      </c>
    </row>
    <row r="27" spans="2:12" x14ac:dyDescent="0.35">
      <c r="B27" s="49"/>
      <c r="C27" s="49"/>
      <c r="D27" s="49"/>
      <c r="E27" s="49">
        <f>C27*D27</f>
        <v>0</v>
      </c>
      <c r="F27" s="49" t="s">
        <v>321</v>
      </c>
      <c r="G27" s="49"/>
      <c r="H27" s="49"/>
      <c r="I27" s="49">
        <f>G27*H27</f>
        <v>0</v>
      </c>
      <c r="J27" s="49"/>
      <c r="K27" s="49"/>
      <c r="L27" s="49">
        <f>J27*K27</f>
        <v>0</v>
      </c>
    </row>
    <row r="28" spans="2:12" x14ac:dyDescent="0.35">
      <c r="B28" s="49" t="s">
        <v>322</v>
      </c>
      <c r="C28" s="49"/>
      <c r="D28" s="49"/>
      <c r="E28" s="49">
        <f t="shared" si="0"/>
        <v>0</v>
      </c>
      <c r="F28" s="49" t="s">
        <v>321</v>
      </c>
      <c r="G28" s="49"/>
      <c r="H28" s="49"/>
      <c r="I28" s="49">
        <f t="shared" si="1"/>
        <v>0</v>
      </c>
      <c r="J28" s="49"/>
      <c r="K28" s="49"/>
      <c r="L28" s="49">
        <f t="shared" si="2"/>
        <v>0</v>
      </c>
    </row>
    <row r="29" spans="2:12" x14ac:dyDescent="0.35">
      <c r="B29" s="49" t="s">
        <v>323</v>
      </c>
      <c r="C29" s="49"/>
      <c r="D29" s="49"/>
      <c r="E29" s="49">
        <f t="shared" si="0"/>
        <v>0</v>
      </c>
      <c r="F29" s="49" t="s">
        <v>321</v>
      </c>
      <c r="G29" s="49"/>
      <c r="H29" s="49"/>
      <c r="I29" s="49">
        <f t="shared" si="1"/>
        <v>0</v>
      </c>
      <c r="J29" s="49"/>
      <c r="K29" s="49"/>
      <c r="L29" s="49">
        <f t="shared" si="2"/>
        <v>0</v>
      </c>
    </row>
    <row r="30" spans="2:12" x14ac:dyDescent="0.35">
      <c r="B30" s="49" t="s">
        <v>327</v>
      </c>
      <c r="C30" s="49"/>
      <c r="D30" s="49"/>
      <c r="E30" s="49">
        <f t="shared" si="0"/>
        <v>0</v>
      </c>
      <c r="F30" s="49"/>
      <c r="G30" s="49"/>
      <c r="H30" s="49"/>
      <c r="I30" s="49">
        <f t="shared" si="1"/>
        <v>0</v>
      </c>
      <c r="J30" s="49"/>
      <c r="K30" s="49"/>
      <c r="L30" s="49">
        <f t="shared" si="2"/>
        <v>0</v>
      </c>
    </row>
    <row r="31" spans="2:12" x14ac:dyDescent="0.35">
      <c r="B31" s="49"/>
      <c r="C31" s="49"/>
      <c r="D31" s="49"/>
      <c r="E31" s="49">
        <f>C31*D31</f>
        <v>0</v>
      </c>
      <c r="F31" s="49"/>
      <c r="G31" s="49"/>
      <c r="H31" s="49"/>
      <c r="I31" s="49">
        <f>G31*H31</f>
        <v>0</v>
      </c>
      <c r="J31" s="49"/>
      <c r="K31" s="49"/>
      <c r="L31" s="49">
        <f>J31*K31</f>
        <v>0</v>
      </c>
    </row>
    <row r="32" spans="2:12" x14ac:dyDescent="0.35">
      <c r="B32" s="49"/>
      <c r="C32" s="49"/>
      <c r="D32" s="49"/>
      <c r="E32" s="49">
        <f>C32*D32</f>
        <v>0</v>
      </c>
      <c r="F32" s="49"/>
      <c r="G32" s="49"/>
      <c r="H32" s="49"/>
      <c r="I32" s="49">
        <f>G32*H32</f>
        <v>0</v>
      </c>
      <c r="J32" s="49"/>
      <c r="K32" s="49"/>
      <c r="L32" s="49">
        <f>J32*K32</f>
        <v>0</v>
      </c>
    </row>
    <row r="33" spans="2:12" x14ac:dyDescent="0.35">
      <c r="B33" s="49" t="s">
        <v>324</v>
      </c>
      <c r="C33" s="49"/>
      <c r="D33" s="49"/>
      <c r="E33" s="49">
        <f t="shared" si="0"/>
        <v>0</v>
      </c>
      <c r="F33" s="49"/>
      <c r="G33" s="49"/>
      <c r="H33" s="49"/>
      <c r="I33" s="49">
        <f t="shared" si="1"/>
        <v>0</v>
      </c>
      <c r="J33" s="49"/>
      <c r="K33" s="49"/>
      <c r="L33" s="49">
        <f t="shared" si="2"/>
        <v>0</v>
      </c>
    </row>
    <row r="34" spans="2:12" x14ac:dyDescent="0.35">
      <c r="B34" s="49" t="s">
        <v>328</v>
      </c>
      <c r="C34" s="49"/>
      <c r="D34" s="49"/>
      <c r="E34" s="49">
        <f t="shared" si="0"/>
        <v>0</v>
      </c>
      <c r="F34" s="49"/>
      <c r="G34" s="49"/>
      <c r="H34" s="49"/>
      <c r="I34" s="49">
        <f t="shared" si="1"/>
        <v>0</v>
      </c>
      <c r="J34" s="49"/>
      <c r="K34" s="49"/>
      <c r="L34" s="49">
        <f t="shared" si="2"/>
        <v>0</v>
      </c>
    </row>
    <row r="35" spans="2:12" x14ac:dyDescent="0.35">
      <c r="B35" s="49" t="s">
        <v>325</v>
      </c>
      <c r="C35" s="49"/>
      <c r="D35" s="49"/>
      <c r="E35" s="49">
        <f t="shared" si="0"/>
        <v>0</v>
      </c>
      <c r="F35" s="49"/>
      <c r="G35" s="49"/>
      <c r="H35" s="49"/>
      <c r="I35" s="49">
        <f t="shared" si="1"/>
        <v>0</v>
      </c>
      <c r="J35" s="49"/>
      <c r="K35" s="49"/>
      <c r="L35" s="49">
        <f t="shared" si="2"/>
        <v>0</v>
      </c>
    </row>
    <row r="36" spans="2:12" x14ac:dyDescent="0.35">
      <c r="B36" s="49" t="s">
        <v>326</v>
      </c>
      <c r="C36" s="49"/>
      <c r="D36" s="49"/>
      <c r="E36" s="49">
        <f t="shared" si="0"/>
        <v>0</v>
      </c>
      <c r="F36" s="49"/>
      <c r="G36" s="49"/>
      <c r="H36" s="49"/>
      <c r="I36" s="49">
        <f t="shared" ref="I36:I41" si="3">G36*H36</f>
        <v>0</v>
      </c>
      <c r="J36" s="49"/>
      <c r="K36" s="49"/>
      <c r="L36" s="49">
        <f t="shared" ref="L36:L41" si="4">J36*K36</f>
        <v>0</v>
      </c>
    </row>
    <row r="37" spans="2:12" x14ac:dyDescent="0.35">
      <c r="B37" s="49"/>
      <c r="C37" s="49"/>
      <c r="D37" s="49"/>
      <c r="E37" s="49">
        <f>C37*D37</f>
        <v>0</v>
      </c>
      <c r="F37" s="49"/>
      <c r="G37" s="49"/>
      <c r="H37" s="49"/>
      <c r="I37" s="49">
        <f t="shared" si="3"/>
        <v>0</v>
      </c>
      <c r="J37" s="49"/>
      <c r="K37" s="49"/>
      <c r="L37" s="49">
        <f t="shared" si="4"/>
        <v>0</v>
      </c>
    </row>
    <row r="38" spans="2:12" x14ac:dyDescent="0.35">
      <c r="B38" s="49" t="s">
        <v>329</v>
      </c>
      <c r="C38" s="49"/>
      <c r="D38" s="49"/>
      <c r="E38" s="49">
        <f>C38*D38</f>
        <v>0</v>
      </c>
      <c r="F38" s="49"/>
      <c r="G38" s="49"/>
      <c r="H38" s="49"/>
      <c r="I38" s="49">
        <f t="shared" si="3"/>
        <v>0</v>
      </c>
      <c r="J38" s="49"/>
      <c r="K38" s="49"/>
      <c r="L38" s="49">
        <f t="shared" si="4"/>
        <v>0</v>
      </c>
    </row>
    <row r="39" spans="2:12" x14ac:dyDescent="0.35">
      <c r="B39" s="49"/>
      <c r="C39" s="49"/>
      <c r="D39" s="49"/>
      <c r="E39" s="49">
        <f t="shared" si="0"/>
        <v>0</v>
      </c>
      <c r="F39" s="49"/>
      <c r="G39" s="49"/>
      <c r="H39" s="49"/>
      <c r="I39" s="49">
        <f t="shared" si="3"/>
        <v>0</v>
      </c>
      <c r="J39" s="49"/>
      <c r="K39" s="49"/>
      <c r="L39" s="49">
        <f t="shared" si="4"/>
        <v>0</v>
      </c>
    </row>
    <row r="40" spans="2:12" x14ac:dyDescent="0.35">
      <c r="B40" s="49"/>
      <c r="C40" s="49"/>
      <c r="D40" s="49"/>
      <c r="E40" s="49">
        <f t="shared" si="0"/>
        <v>0</v>
      </c>
      <c r="F40" s="49"/>
      <c r="G40" s="49"/>
      <c r="H40" s="49"/>
      <c r="I40" s="49">
        <f t="shared" si="3"/>
        <v>0</v>
      </c>
      <c r="J40" s="49"/>
      <c r="K40" s="49"/>
      <c r="L40" s="49">
        <f t="shared" si="4"/>
        <v>0</v>
      </c>
    </row>
    <row r="41" spans="2:12" x14ac:dyDescent="0.35">
      <c r="B41" s="49"/>
      <c r="C41" s="49"/>
      <c r="D41" s="49"/>
      <c r="E41" s="49">
        <f t="shared" si="0"/>
        <v>0</v>
      </c>
      <c r="F41" s="49"/>
      <c r="G41" s="49"/>
      <c r="H41" s="49"/>
      <c r="I41" s="49">
        <f t="shared" si="3"/>
        <v>0</v>
      </c>
      <c r="J41" s="49"/>
      <c r="K41" s="49"/>
      <c r="L41" s="49">
        <f t="shared" si="4"/>
        <v>0</v>
      </c>
    </row>
    <row r="42" spans="2:12" x14ac:dyDescent="0.35">
      <c r="B42" s="49" t="s">
        <v>151</v>
      </c>
      <c r="C42" s="49"/>
      <c r="D42" s="49">
        <f>E42*10.764</f>
        <v>0</v>
      </c>
      <c r="E42" s="66">
        <f>SUM(E6:E41)</f>
        <v>0</v>
      </c>
      <c r="F42" s="49"/>
      <c r="G42" s="49"/>
      <c r="H42" s="49">
        <f>I42*10.764</f>
        <v>0</v>
      </c>
      <c r="I42" s="65">
        <f>SUM(I6:I41)</f>
        <v>0</v>
      </c>
      <c r="J42" s="49"/>
      <c r="K42" s="49">
        <f>L42*10.764</f>
        <v>0</v>
      </c>
      <c r="L42" s="64">
        <f>SUM(L6:L41)</f>
        <v>0</v>
      </c>
    </row>
    <row r="44" spans="2:12" x14ac:dyDescent="0.35">
      <c r="D44" s="48">
        <f>D42+H42</f>
        <v>0</v>
      </c>
      <c r="E44" s="48">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2025-07-11T13:07:18Z</cp:lastPrinted>
  <dcterms:created xsi:type="dcterms:W3CDTF">2019-07-16T09:29:46Z</dcterms:created>
  <dcterms:modified xsi:type="dcterms:W3CDTF">2025-07-11T13:07:45Z</dcterms:modified>
</cp:coreProperties>
</file>