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
    </mc:Choice>
  </mc:AlternateContent>
  <bookViews>
    <workbookView xWindow="0" yWindow="0" windowWidth="20490" windowHeight="6555" tabRatio="725"/>
  </bookViews>
  <sheets>
    <sheet name="Report" sheetId="1" r:id="rId1"/>
    <sheet name="Construction %" sheetId="7" r:id="rId2"/>
    <sheet name="valuation" sheetId="5" r:id="rId3"/>
    <sheet name="Research" sheetId="4" r:id="rId4"/>
    <sheet name="Remarks" sheetId="6" r:id="rId5"/>
  </sheets>
  <definedNames>
    <definedName name="_xlnm.Print_Area" localSheetId="0">Report!$A$1:$H$436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2" i="1" l="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161" i="1"/>
  <c r="C148" i="1" l="1"/>
  <c r="E148" i="1"/>
  <c r="C147" i="1"/>
  <c r="G147" i="1"/>
  <c r="G148" i="1" s="1"/>
  <c r="E147"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C161" i="1"/>
  <c r="A191" i="1"/>
  <c r="A192" i="1"/>
  <c r="A189" i="1"/>
  <c r="A190" i="1"/>
  <c r="A195" i="1" l="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C82" i="1"/>
  <c r="B82" i="1"/>
  <c r="A78" i="1"/>
  <c r="A79" i="1"/>
  <c r="A80" i="1"/>
  <c r="A81" i="1"/>
  <c r="A82" i="1"/>
  <c r="A83" i="1"/>
  <c r="A84" i="1"/>
  <c r="A85" i="1"/>
  <c r="A86" i="1"/>
  <c r="A87" i="1"/>
  <c r="A88" i="1"/>
  <c r="A89" i="1"/>
  <c r="A77" i="1"/>
  <c r="AM69" i="7"/>
  <c r="AL69" i="7"/>
  <c r="AI69" i="7"/>
  <c r="AH69" i="7"/>
  <c r="AG69" i="7"/>
  <c r="AF69" i="7"/>
  <c r="AM68" i="7"/>
  <c r="AL68" i="7"/>
  <c r="AI68" i="7"/>
  <c r="AH68" i="7"/>
  <c r="AG68" i="7"/>
  <c r="AF68" i="7"/>
  <c r="AM67" i="7"/>
  <c r="AL67" i="7"/>
  <c r="AI67" i="7"/>
  <c r="AH67" i="7"/>
  <c r="AG67" i="7"/>
  <c r="AF67" i="7"/>
  <c r="AM66" i="7"/>
  <c r="AL66" i="7"/>
  <c r="AI66" i="7"/>
  <c r="AH66" i="7"/>
  <c r="AG66" i="7"/>
  <c r="AF66" i="7"/>
  <c r="AL65" i="7"/>
  <c r="AI65" i="7"/>
  <c r="AH65" i="7"/>
  <c r="AG65" i="7"/>
  <c r="AF65" i="7"/>
  <c r="AL64" i="7"/>
  <c r="AI64" i="7"/>
  <c r="AH64" i="7"/>
  <c r="AG64" i="7"/>
  <c r="AF64" i="7"/>
  <c r="AL63" i="7"/>
  <c r="AI63" i="7"/>
  <c r="AH63" i="7"/>
  <c r="AG63" i="7"/>
  <c r="AF63" i="7"/>
  <c r="AL62" i="7"/>
  <c r="AI62" i="7"/>
  <c r="AH62" i="7"/>
  <c r="AG62" i="7"/>
  <c r="AF62" i="7"/>
  <c r="AL61" i="7"/>
  <c r="AI61" i="7"/>
  <c r="AH61" i="7"/>
  <c r="AG61" i="7"/>
  <c r="AF61" i="7"/>
  <c r="AL60" i="7"/>
  <c r="AI60" i="7"/>
  <c r="AH60" i="7"/>
  <c r="AG60" i="7"/>
  <c r="AF60" i="7"/>
  <c r="AL59" i="7"/>
  <c r="AI59" i="7"/>
  <c r="AH59" i="7"/>
  <c r="AG59" i="7"/>
  <c r="AF59" i="7"/>
  <c r="AL58" i="7"/>
  <c r="AI58" i="7"/>
  <c r="AH58" i="7"/>
  <c r="AG58" i="7"/>
  <c r="AF58" i="7"/>
  <c r="AL57" i="7"/>
  <c r="AI57" i="7"/>
  <c r="AH57" i="7"/>
  <c r="AG57" i="7"/>
  <c r="AF57" i="7"/>
  <c r="AM56" i="7"/>
  <c r="AL56" i="7"/>
  <c r="AI56" i="7"/>
  <c r="AH56" i="7"/>
  <c r="AG56" i="7"/>
  <c r="AF56" i="7"/>
  <c r="AM55" i="7"/>
  <c r="AL55" i="7"/>
  <c r="AI55" i="7"/>
  <c r="AH55" i="7"/>
  <c r="AG55" i="7"/>
  <c r="AF55" i="7"/>
  <c r="AM54" i="7"/>
  <c r="AL54" i="7"/>
  <c r="AI54" i="7"/>
  <c r="AH54" i="7"/>
  <c r="AG54" i="7"/>
  <c r="AF54" i="7"/>
  <c r="AL53" i="7"/>
  <c r="AI53" i="7"/>
  <c r="AH53" i="7"/>
  <c r="AG53" i="7"/>
  <c r="AF53" i="7"/>
  <c r="AL52" i="7"/>
  <c r="AI52" i="7"/>
  <c r="AH52" i="7"/>
  <c r="AG52" i="7"/>
  <c r="AF52" i="7"/>
  <c r="AL51" i="7"/>
  <c r="AI51" i="7"/>
  <c r="AH51" i="7"/>
  <c r="AG51" i="7"/>
  <c r="AF51" i="7"/>
  <c r="AL50" i="7"/>
  <c r="AI50" i="7"/>
  <c r="AH50" i="7"/>
  <c r="AG50" i="7"/>
  <c r="AF50" i="7"/>
  <c r="AL49" i="7"/>
  <c r="AI49" i="7"/>
  <c r="AH49" i="7"/>
  <c r="AG49" i="7"/>
  <c r="AF49" i="7"/>
  <c r="AL48" i="7"/>
  <c r="AI48" i="7"/>
  <c r="AH48" i="7"/>
  <c r="AG48" i="7"/>
  <c r="AF48" i="7"/>
  <c r="AL47" i="7"/>
  <c r="AI47" i="7"/>
  <c r="AH47" i="7"/>
  <c r="AG47" i="7"/>
  <c r="AF47" i="7"/>
  <c r="AL46" i="7"/>
  <c r="AI46" i="7"/>
  <c r="AH46" i="7"/>
  <c r="AG46" i="7"/>
  <c r="AF46" i="7"/>
  <c r="AL45" i="7"/>
  <c r="AI45" i="7"/>
  <c r="AH45" i="7"/>
  <c r="AG45" i="7"/>
  <c r="AF45" i="7"/>
  <c r="AL44" i="7"/>
  <c r="AI44" i="7"/>
  <c r="AH44" i="7"/>
  <c r="AG44" i="7"/>
  <c r="AF44" i="7"/>
  <c r="AL43" i="7"/>
  <c r="AI43" i="7"/>
  <c r="AH43" i="7"/>
  <c r="AG43" i="7"/>
  <c r="AF43" i="7"/>
  <c r="AL42" i="7"/>
  <c r="AI42" i="7"/>
  <c r="AH42" i="7"/>
  <c r="AG42" i="7"/>
  <c r="AF42" i="7"/>
  <c r="AL41" i="7"/>
  <c r="AI41" i="7"/>
  <c r="AH41" i="7"/>
  <c r="AG41" i="7"/>
  <c r="AF41" i="7"/>
  <c r="AL40" i="7"/>
  <c r="AI40" i="7"/>
  <c r="AH40" i="7"/>
  <c r="AG40" i="7"/>
  <c r="AF40" i="7"/>
  <c r="AL39" i="7"/>
  <c r="AI39" i="7"/>
  <c r="AH39" i="7"/>
  <c r="AG39" i="7"/>
  <c r="AF39" i="7"/>
  <c r="AL38" i="7"/>
  <c r="AI38" i="7"/>
  <c r="AH38" i="7"/>
  <c r="AG38" i="7"/>
  <c r="AF38" i="7"/>
  <c r="AL37" i="7"/>
  <c r="AI37" i="7"/>
  <c r="AH37" i="7"/>
  <c r="AG37" i="7"/>
  <c r="AF37" i="7"/>
  <c r="AL36" i="7"/>
  <c r="AI36" i="7"/>
  <c r="AH36" i="7"/>
  <c r="AG36" i="7"/>
  <c r="AF36" i="7"/>
  <c r="AL35" i="7"/>
  <c r="AI35" i="7"/>
  <c r="AH35" i="7"/>
  <c r="AG35" i="7"/>
  <c r="AF35" i="7"/>
  <c r="AL34" i="7"/>
  <c r="AI34" i="7"/>
  <c r="AH34" i="7"/>
  <c r="AG34" i="7"/>
  <c r="AF34" i="7"/>
  <c r="AL33" i="7"/>
  <c r="AI33" i="7"/>
  <c r="AH33" i="7"/>
  <c r="AG33" i="7"/>
  <c r="AF33" i="7"/>
  <c r="AL32" i="7"/>
  <c r="AI32" i="7"/>
  <c r="AH32" i="7"/>
  <c r="AG32" i="7"/>
  <c r="AF32" i="7"/>
  <c r="AL31" i="7"/>
  <c r="AI31" i="7"/>
  <c r="AH31" i="7"/>
  <c r="AG31" i="7"/>
  <c r="AF31" i="7"/>
  <c r="AL30" i="7"/>
  <c r="AI30" i="7"/>
  <c r="AH30" i="7"/>
  <c r="AG30" i="7"/>
  <c r="AF30" i="7"/>
  <c r="AL29" i="7"/>
  <c r="AI29" i="7"/>
  <c r="AH29" i="7"/>
  <c r="AG29" i="7"/>
  <c r="AF29" i="7"/>
  <c r="AL28" i="7"/>
  <c r="AI28" i="7"/>
  <c r="AH28" i="7"/>
  <c r="AG28" i="7"/>
  <c r="AF28" i="7"/>
  <c r="AL27" i="7"/>
  <c r="AI27" i="7"/>
  <c r="AH27" i="7"/>
  <c r="AG27" i="7"/>
  <c r="AF27" i="7"/>
  <c r="AL26" i="7"/>
  <c r="AI26" i="7"/>
  <c r="AH26" i="7"/>
  <c r="AG26" i="7"/>
  <c r="AF26" i="7"/>
  <c r="AL25" i="7"/>
  <c r="AI25" i="7"/>
  <c r="AH25" i="7"/>
  <c r="AG25" i="7"/>
  <c r="AF25" i="7"/>
  <c r="AN24" i="7"/>
  <c r="AQ24" i="7" s="1"/>
  <c r="AL24" i="7"/>
  <c r="AI24" i="7"/>
  <c r="AH24" i="7"/>
  <c r="AG24" i="7"/>
  <c r="AF24" i="7"/>
  <c r="AD24" i="7"/>
  <c r="AE24" i="7" s="1"/>
  <c r="AJ24" i="7" s="1"/>
  <c r="AK24" i="7" s="1"/>
  <c r="AC24" i="7"/>
  <c r="AB24" i="7"/>
  <c r="AA24" i="7"/>
  <c r="Z24" i="7"/>
  <c r="Y24" i="7"/>
  <c r="X24" i="7"/>
  <c r="W24" i="7"/>
  <c r="V24" i="7"/>
  <c r="U24" i="7"/>
  <c r="T24" i="7"/>
  <c r="S24" i="7"/>
  <c r="R24" i="7"/>
  <c r="Q24" i="7"/>
  <c r="AL23" i="7"/>
  <c r="AI23" i="7"/>
  <c r="AH23" i="7"/>
  <c r="AG23" i="7"/>
  <c r="AF23" i="7"/>
  <c r="AL22" i="7"/>
  <c r="AI22" i="7"/>
  <c r="AH22" i="7"/>
  <c r="AG22" i="7"/>
  <c r="AF22" i="7"/>
  <c r="AM21" i="7"/>
  <c r="AL21" i="7"/>
  <c r="AI21" i="7"/>
  <c r="AH21" i="7"/>
  <c r="AG21" i="7"/>
  <c r="AF21" i="7"/>
  <c r="AM20" i="7"/>
  <c r="AL20" i="7"/>
  <c r="AI20" i="7"/>
  <c r="AH20" i="7"/>
  <c r="AG20" i="7"/>
  <c r="AF20" i="7"/>
  <c r="AM19" i="7"/>
  <c r="AL19" i="7"/>
  <c r="AI19" i="7"/>
  <c r="AH19" i="7"/>
  <c r="AG19" i="7"/>
  <c r="AF19" i="7"/>
  <c r="AL18" i="7"/>
  <c r="AI18" i="7"/>
  <c r="AH18" i="7"/>
  <c r="AG18" i="7"/>
  <c r="AF18" i="7"/>
  <c r="AL17" i="7"/>
  <c r="AI17" i="7"/>
  <c r="AH17" i="7"/>
  <c r="AG17" i="7"/>
  <c r="AF17" i="7"/>
  <c r="J12" i="7"/>
  <c r="J11" i="7"/>
  <c r="J10" i="7"/>
  <c r="J9" i="7"/>
  <c r="C3" i="7"/>
  <c r="H2" i="7"/>
  <c r="C22" i="7"/>
  <c r="C32" i="7"/>
  <c r="C31" i="7"/>
  <c r="C29" i="7"/>
  <c r="C35" i="7"/>
  <c r="C20" i="7"/>
  <c r="C21" i="7"/>
  <c r="C26" i="7"/>
  <c r="C38" i="7"/>
  <c r="C25" i="7"/>
  <c r="C34" i="7"/>
  <c r="C36" i="7"/>
  <c r="C23" i="7"/>
  <c r="C28" i="7"/>
  <c r="C19" i="7"/>
  <c r="C27" i="7"/>
  <c r="C33" i="7"/>
  <c r="C18" i="7"/>
  <c r="C30" i="7"/>
  <c r="C37" i="7"/>
  <c r="C17" i="7"/>
  <c r="AO24" i="7" l="1"/>
  <c r="AP24" i="7" s="1"/>
  <c r="AA35" i="7"/>
  <c r="S35" i="7"/>
  <c r="Z35" i="7"/>
  <c r="R35" i="7"/>
  <c r="Y35" i="7"/>
  <c r="Q35" i="7"/>
  <c r="W35" i="7"/>
  <c r="O35" i="7"/>
  <c r="AN35" i="7"/>
  <c r="AQ35" i="7" s="1"/>
  <c r="AD35" i="7"/>
  <c r="AE35" i="7" s="1"/>
  <c r="AJ35" i="7" s="1"/>
  <c r="AK35" i="7" s="1"/>
  <c r="N35" i="7"/>
  <c r="AB35" i="7"/>
  <c r="X35" i="7"/>
  <c r="V35" i="7"/>
  <c r="T35" i="7"/>
  <c r="U35" i="7"/>
  <c r="AC35" i="7"/>
  <c r="AB18" i="7"/>
  <c r="T18" i="7"/>
  <c r="Y18" i="7"/>
  <c r="AA18" i="7"/>
  <c r="S18" i="7"/>
  <c r="R18" i="7"/>
  <c r="Q18" i="7"/>
  <c r="Z18" i="7"/>
  <c r="W18" i="7"/>
  <c r="U18" i="7"/>
  <c r="X18" i="7"/>
  <c r="AN18" i="7"/>
  <c r="AQ18" i="7" s="1"/>
  <c r="O18" i="7"/>
  <c r="V18" i="7"/>
  <c r="AD18" i="7"/>
  <c r="AE18" i="7" s="1"/>
  <c r="AJ18" i="7" s="1"/>
  <c r="AK18" i="7" s="1"/>
  <c r="N18" i="7"/>
  <c r="AC18" i="7"/>
  <c r="AB29" i="7"/>
  <c r="T29" i="7"/>
  <c r="AA29" i="7"/>
  <c r="S29" i="7"/>
  <c r="Y29" i="7"/>
  <c r="Q29" i="7"/>
  <c r="W29" i="7"/>
  <c r="U29" i="7"/>
  <c r="AN29" i="7"/>
  <c r="AQ29" i="7" s="1"/>
  <c r="R29" i="7"/>
  <c r="N29" i="7"/>
  <c r="B87" i="1" s="1"/>
  <c r="AD29" i="7"/>
  <c r="AE29" i="7" s="1"/>
  <c r="AJ29" i="7" s="1"/>
  <c r="AK29" i="7" s="1"/>
  <c r="Z29" i="7"/>
  <c r="AC29" i="7"/>
  <c r="O29" i="7"/>
  <c r="C87" i="1" s="1"/>
  <c r="V29" i="7"/>
  <c r="X29" i="7"/>
  <c r="D14" i="7"/>
  <c r="D10" i="7"/>
  <c r="J6" i="7"/>
  <c r="C5" i="7" s="1"/>
  <c r="D5" i="7" s="1"/>
  <c r="J4" i="7"/>
  <c r="D9" i="7"/>
  <c r="D13" i="7"/>
  <c r="J5" i="7"/>
  <c r="J7" i="7"/>
  <c r="J8" i="7" s="1"/>
  <c r="J13" i="7" s="1"/>
  <c r="J14" i="7" s="1"/>
  <c r="C6" i="7" s="1"/>
  <c r="C7" i="7"/>
  <c r="J1" i="7" s="1"/>
  <c r="J3" i="7" s="1"/>
  <c r="D12" i="7"/>
  <c r="D8" i="7"/>
  <c r="D11" i="7"/>
  <c r="AB23" i="7"/>
  <c r="T23" i="7"/>
  <c r="Y23" i="7"/>
  <c r="Q23" i="7"/>
  <c r="AN23" i="7"/>
  <c r="AQ23" i="7" s="1"/>
  <c r="X23" i="7"/>
  <c r="AD23" i="7"/>
  <c r="AE23" i="7" s="1"/>
  <c r="AJ23" i="7" s="1"/>
  <c r="AK23" i="7" s="1"/>
  <c r="V23" i="7"/>
  <c r="N23" i="7"/>
  <c r="B81" i="1" s="1"/>
  <c r="W23" i="7"/>
  <c r="O23" i="7"/>
  <c r="C81" i="1" s="1"/>
  <c r="U23" i="7"/>
  <c r="S23" i="7"/>
  <c r="R23" i="7"/>
  <c r="AC23" i="7"/>
  <c r="AA23" i="7"/>
  <c r="Z23" i="7"/>
  <c r="AA17" i="7"/>
  <c r="S17" i="7"/>
  <c r="Q17" i="7"/>
  <c r="AN17" i="7"/>
  <c r="AQ17" i="7" s="1"/>
  <c r="Z17" i="7"/>
  <c r="P17" i="7" s="1"/>
  <c r="R17" i="7"/>
  <c r="Y17" i="7"/>
  <c r="X17" i="7"/>
  <c r="AD17" i="7"/>
  <c r="AE17" i="7" s="1"/>
  <c r="AJ17" i="7" s="1"/>
  <c r="AK17" i="7" s="1"/>
  <c r="N17" i="7"/>
  <c r="AC17" i="7"/>
  <c r="AB17" i="7"/>
  <c r="W17" i="7"/>
  <c r="V17" i="7"/>
  <c r="U17" i="7"/>
  <c r="T17" i="7"/>
  <c r="O17" i="7"/>
  <c r="Z21" i="7"/>
  <c r="R21" i="7"/>
  <c r="W21" i="7"/>
  <c r="O21" i="7"/>
  <c r="C79" i="1" s="1"/>
  <c r="AB21" i="7"/>
  <c r="T21" i="7"/>
  <c r="AD21" i="7"/>
  <c r="AE21" i="7" s="1"/>
  <c r="AJ21" i="7" s="1"/>
  <c r="AK21" i="7" s="1"/>
  <c r="V21" i="7"/>
  <c r="N21" i="7"/>
  <c r="B79" i="1" s="1"/>
  <c r="AC21" i="7"/>
  <c r="U21" i="7"/>
  <c r="Q21" i="7"/>
  <c r="AA21" i="7"/>
  <c r="AN21" i="7"/>
  <c r="AQ21" i="7" s="1"/>
  <c r="Y21" i="7"/>
  <c r="X21" i="7"/>
  <c r="S21" i="7"/>
  <c r="AA28" i="7"/>
  <c r="S28" i="7"/>
  <c r="Z28" i="7"/>
  <c r="R28" i="7"/>
  <c r="AN28" i="7"/>
  <c r="AQ28" i="7" s="1"/>
  <c r="X28" i="7"/>
  <c r="U28" i="7"/>
  <c r="AD28" i="7"/>
  <c r="AE28" i="7" s="1"/>
  <c r="AJ28" i="7" s="1"/>
  <c r="AK28" i="7" s="1"/>
  <c r="Q28" i="7"/>
  <c r="AC28" i="7"/>
  <c r="O28" i="7"/>
  <c r="C86" i="1" s="1"/>
  <c r="AB28" i="7"/>
  <c r="N28" i="7"/>
  <c r="B86" i="1" s="1"/>
  <c r="W28" i="7"/>
  <c r="Y28" i="7"/>
  <c r="T28" i="7"/>
  <c r="V28" i="7"/>
  <c r="AA22" i="7"/>
  <c r="S22" i="7"/>
  <c r="AN22" i="7"/>
  <c r="AQ22" i="7" s="1"/>
  <c r="X22" i="7"/>
  <c r="W22" i="7"/>
  <c r="O22" i="7"/>
  <c r="C80" i="1" s="1"/>
  <c r="AC22" i="7"/>
  <c r="U22" i="7"/>
  <c r="AD22" i="7"/>
  <c r="AE22" i="7" s="1"/>
  <c r="AJ22" i="7" s="1"/>
  <c r="AK22" i="7" s="1"/>
  <c r="V22" i="7"/>
  <c r="N22" i="7"/>
  <c r="B80" i="1" s="1"/>
  <c r="R22" i="7"/>
  <c r="Q22" i="7"/>
  <c r="Z22" i="7"/>
  <c r="T22" i="7"/>
  <c r="AB22" i="7"/>
  <c r="Y22" i="7"/>
  <c r="Y34" i="7"/>
  <c r="Q34" i="7"/>
  <c r="AN34" i="7"/>
  <c r="AQ34" i="7" s="1"/>
  <c r="X34" i="7"/>
  <c r="AD34" i="7"/>
  <c r="AE34" i="7" s="1"/>
  <c r="AJ34" i="7" s="1"/>
  <c r="AK34" i="7" s="1"/>
  <c r="V34" i="7"/>
  <c r="N34" i="7"/>
  <c r="W34" i="7"/>
  <c r="T34" i="7"/>
  <c r="S34" i="7"/>
  <c r="AC34" i="7"/>
  <c r="R34" i="7"/>
  <c r="AA34" i="7"/>
  <c r="Z34" i="7"/>
  <c r="AB34" i="7"/>
  <c r="O34" i="7"/>
  <c r="U34" i="7"/>
  <c r="AD20" i="7"/>
  <c r="AE20" i="7" s="1"/>
  <c r="AJ20" i="7" s="1"/>
  <c r="AK20" i="7" s="1"/>
  <c r="V20" i="7"/>
  <c r="N20" i="7"/>
  <c r="B78" i="1" s="1"/>
  <c r="AC20" i="7"/>
  <c r="U20" i="7"/>
  <c r="AA20" i="7"/>
  <c r="AB20" i="7"/>
  <c r="T20" i="7"/>
  <c r="S20" i="7"/>
  <c r="AN20" i="7"/>
  <c r="AQ20" i="7" s="1"/>
  <c r="Z20" i="7"/>
  <c r="Y20" i="7"/>
  <c r="O20" i="7"/>
  <c r="C78" i="1" s="1"/>
  <c r="X20" i="7"/>
  <c r="W20" i="7"/>
  <c r="R20" i="7"/>
  <c r="Q20" i="7"/>
  <c r="AB42" i="7"/>
  <c r="T42" i="7"/>
  <c r="Z42" i="7"/>
  <c r="R42" i="7"/>
  <c r="Y42" i="7"/>
  <c r="Q42" i="7"/>
  <c r="AN42" i="7"/>
  <c r="AQ42" i="7" s="1"/>
  <c r="X42" i="7"/>
  <c r="AD42" i="7"/>
  <c r="AE42" i="7" s="1"/>
  <c r="AJ42" i="7" s="1"/>
  <c r="AK42" i="7" s="1"/>
  <c r="V42" i="7"/>
  <c r="AA42" i="7"/>
  <c r="W42" i="7"/>
  <c r="U42" i="7"/>
  <c r="S42" i="7"/>
  <c r="AC42" i="7"/>
  <c r="AB47" i="7"/>
  <c r="T47" i="7"/>
  <c r="AN47" i="7"/>
  <c r="AQ47" i="7" s="1"/>
  <c r="X47" i="7"/>
  <c r="W47" i="7"/>
  <c r="AD47" i="7"/>
  <c r="AE47" i="7" s="1"/>
  <c r="AJ47" i="7" s="1"/>
  <c r="AK47" i="7" s="1"/>
  <c r="V47" i="7"/>
  <c r="Y47" i="7"/>
  <c r="U47" i="7"/>
  <c r="S47" i="7"/>
  <c r="R47" i="7"/>
  <c r="Q47" i="7"/>
  <c r="AC47" i="7"/>
  <c r="AA47" i="7"/>
  <c r="Z47" i="7"/>
  <c r="AN25" i="7"/>
  <c r="AQ25" i="7" s="1"/>
  <c r="X25" i="7"/>
  <c r="W25" i="7"/>
  <c r="O25" i="7"/>
  <c r="C83" i="1" s="1"/>
  <c r="AC25" i="7"/>
  <c r="U25" i="7"/>
  <c r="AD25" i="7"/>
  <c r="AE25" i="7" s="1"/>
  <c r="AJ25" i="7" s="1"/>
  <c r="AK25" i="7" s="1"/>
  <c r="S25" i="7"/>
  <c r="AB25" i="7"/>
  <c r="R25" i="7"/>
  <c r="AA25" i="7"/>
  <c r="Q25" i="7"/>
  <c r="Y25" i="7"/>
  <c r="Z25" i="7"/>
  <c r="N25" i="7"/>
  <c r="B83" i="1" s="1"/>
  <c r="V25" i="7"/>
  <c r="T25" i="7"/>
  <c r="AC19" i="7"/>
  <c r="U19" i="7"/>
  <c r="R19" i="7"/>
  <c r="AB19" i="7"/>
  <c r="T19" i="7"/>
  <c r="AA19" i="7"/>
  <c r="S19" i="7"/>
  <c r="Z19" i="7"/>
  <c r="Q19" i="7"/>
  <c r="O19" i="7"/>
  <c r="C77" i="1" s="1"/>
  <c r="D73" i="1" s="1"/>
  <c r="AN19" i="7"/>
  <c r="AQ19" i="7" s="1"/>
  <c r="AD19" i="7"/>
  <c r="AE19" i="7" s="1"/>
  <c r="AJ19" i="7" s="1"/>
  <c r="AK19" i="7" s="1"/>
  <c r="N19" i="7"/>
  <c r="B77" i="1" s="1"/>
  <c r="Y19" i="7"/>
  <c r="V19" i="7"/>
  <c r="X19" i="7"/>
  <c r="W19" i="7"/>
  <c r="Z27" i="7"/>
  <c r="R27" i="7"/>
  <c r="Y27" i="7"/>
  <c r="Q27" i="7"/>
  <c r="W27" i="7"/>
  <c r="O27" i="7"/>
  <c r="C85" i="1" s="1"/>
  <c r="AC27" i="7"/>
  <c r="AA27" i="7"/>
  <c r="X27" i="7"/>
  <c r="V27" i="7"/>
  <c r="T27" i="7"/>
  <c r="U27" i="7"/>
  <c r="AD27" i="7"/>
  <c r="AE27" i="7" s="1"/>
  <c r="AJ27" i="7" s="1"/>
  <c r="AK27" i="7" s="1"/>
  <c r="AN27" i="7"/>
  <c r="AQ27" i="7" s="1"/>
  <c r="AB27" i="7"/>
  <c r="N27" i="7"/>
  <c r="B85" i="1" s="1"/>
  <c r="S27" i="7"/>
  <c r="Z40" i="7"/>
  <c r="R40" i="7"/>
  <c r="AN40" i="7"/>
  <c r="AQ40" i="7" s="1"/>
  <c r="X40" i="7"/>
  <c r="W40" i="7"/>
  <c r="AD40" i="7"/>
  <c r="AE40" i="7" s="1"/>
  <c r="AJ40" i="7" s="1"/>
  <c r="AK40" i="7" s="1"/>
  <c r="V40" i="7"/>
  <c r="AB40" i="7"/>
  <c r="T40" i="7"/>
  <c r="S40" i="7"/>
  <c r="Q40" i="7"/>
  <c r="AC40" i="7"/>
  <c r="AA40" i="7"/>
  <c r="U40" i="7"/>
  <c r="Y40" i="7"/>
  <c r="Y26" i="7"/>
  <c r="Q26" i="7"/>
  <c r="AN26" i="7"/>
  <c r="AQ26" i="7" s="1"/>
  <c r="X26" i="7"/>
  <c r="AD26" i="7"/>
  <c r="AE26" i="7" s="1"/>
  <c r="AJ26" i="7" s="1"/>
  <c r="AK26" i="7" s="1"/>
  <c r="V26" i="7"/>
  <c r="N26" i="7"/>
  <c r="B84" i="1" s="1"/>
  <c r="AA26" i="7"/>
  <c r="W26" i="7"/>
  <c r="U26" i="7"/>
  <c r="T26" i="7"/>
  <c r="AC26" i="7"/>
  <c r="R26" i="7"/>
  <c r="S26" i="7"/>
  <c r="Z26" i="7"/>
  <c r="AB26" i="7"/>
  <c r="O26" i="7"/>
  <c r="C84" i="1" s="1"/>
  <c r="W32" i="7"/>
  <c r="O32" i="7"/>
  <c r="AD32" i="7"/>
  <c r="AE32" i="7" s="1"/>
  <c r="AJ32" i="7" s="1"/>
  <c r="AK32" i="7" s="1"/>
  <c r="V32" i="7"/>
  <c r="N32" i="7"/>
  <c r="AB32" i="7"/>
  <c r="T32" i="7"/>
  <c r="Z32" i="7"/>
  <c r="Y32" i="7"/>
  <c r="U32" i="7"/>
  <c r="S32" i="7"/>
  <c r="AN32" i="7"/>
  <c r="AQ32" i="7" s="1"/>
  <c r="R32" i="7"/>
  <c r="AC32" i="7"/>
  <c r="Q32" i="7"/>
  <c r="AA32" i="7"/>
  <c r="X32" i="7"/>
  <c r="AB36" i="7"/>
  <c r="T36" i="7"/>
  <c r="AA36" i="7"/>
  <c r="S36" i="7"/>
  <c r="Z36" i="7"/>
  <c r="R36" i="7"/>
  <c r="AN36" i="7"/>
  <c r="AQ36" i="7" s="1"/>
  <c r="X36" i="7"/>
  <c r="AC36" i="7"/>
  <c r="Y36" i="7"/>
  <c r="V36" i="7"/>
  <c r="U36" i="7"/>
  <c r="Q36" i="7"/>
  <c r="AD36" i="7"/>
  <c r="AE36" i="7" s="1"/>
  <c r="AJ36" i="7" s="1"/>
  <c r="AK36" i="7" s="1"/>
  <c r="O36" i="7"/>
  <c r="N36" i="7"/>
  <c r="W36" i="7"/>
  <c r="AN33" i="7"/>
  <c r="AQ33" i="7" s="1"/>
  <c r="X33" i="7"/>
  <c r="W33" i="7"/>
  <c r="O33" i="7"/>
  <c r="AC33" i="7"/>
  <c r="U33" i="7"/>
  <c r="S33" i="7"/>
  <c r="AD33" i="7"/>
  <c r="AE33" i="7" s="1"/>
  <c r="AJ33" i="7" s="1"/>
  <c r="AK33" i="7" s="1"/>
  <c r="R33" i="7"/>
  <c r="AA33" i="7"/>
  <c r="N33" i="7"/>
  <c r="Z33" i="7"/>
  <c r="Y33" i="7"/>
  <c r="V33" i="7"/>
  <c r="T33" i="7"/>
  <c r="AB33" i="7"/>
  <c r="Q33" i="7"/>
  <c r="AA41" i="7"/>
  <c r="S41" i="7"/>
  <c r="Y41" i="7"/>
  <c r="Q41" i="7"/>
  <c r="AN41" i="7"/>
  <c r="AQ41" i="7" s="1"/>
  <c r="X41" i="7"/>
  <c r="W41" i="7"/>
  <c r="AC41" i="7"/>
  <c r="U41" i="7"/>
  <c r="V41" i="7"/>
  <c r="T41" i="7"/>
  <c r="R41" i="7"/>
  <c r="AD41" i="7"/>
  <c r="AE41" i="7" s="1"/>
  <c r="AJ41" i="7" s="1"/>
  <c r="AK41" i="7" s="1"/>
  <c r="Z41" i="7"/>
  <c r="AB41" i="7"/>
  <c r="AN51" i="7"/>
  <c r="AQ51" i="7" s="1"/>
  <c r="X51" i="7"/>
  <c r="AD51" i="7"/>
  <c r="AE51" i="7" s="1"/>
  <c r="AJ51" i="7" s="1"/>
  <c r="AK51" i="7" s="1"/>
  <c r="V51" i="7"/>
  <c r="AB51" i="7"/>
  <c r="T51" i="7"/>
  <c r="AA51" i="7"/>
  <c r="S51" i="7"/>
  <c r="Z51" i="7"/>
  <c r="R51" i="7"/>
  <c r="AC51" i="7"/>
  <c r="Y51" i="7"/>
  <c r="W51" i="7"/>
  <c r="U51" i="7"/>
  <c r="Q51" i="7"/>
  <c r="AB63" i="7"/>
  <c r="T63" i="7"/>
  <c r="AA63" i="7"/>
  <c r="S63" i="7"/>
  <c r="Z63" i="7"/>
  <c r="R63" i="7"/>
  <c r="Y63" i="7"/>
  <c r="Q63" i="7"/>
  <c r="AN63" i="7"/>
  <c r="AQ63" i="7" s="1"/>
  <c r="X63" i="7"/>
  <c r="W63" i="7"/>
  <c r="AD63" i="7"/>
  <c r="AE63" i="7" s="1"/>
  <c r="AJ63" i="7" s="1"/>
  <c r="AK63" i="7" s="1"/>
  <c r="V63" i="7"/>
  <c r="AC63" i="7"/>
  <c r="U63" i="7"/>
  <c r="AD31" i="7"/>
  <c r="AE31" i="7" s="1"/>
  <c r="AJ31" i="7" s="1"/>
  <c r="AK31" i="7" s="1"/>
  <c r="V31" i="7"/>
  <c r="N31" i="7"/>
  <c r="B89" i="1" s="1"/>
  <c r="AC31" i="7"/>
  <c r="U31" i="7"/>
  <c r="AA31" i="7"/>
  <c r="S31" i="7"/>
  <c r="T31" i="7"/>
  <c r="AN31" i="7"/>
  <c r="AQ31" i="7" s="1"/>
  <c r="Q31" i="7"/>
  <c r="AB31" i="7"/>
  <c r="Z31" i="7"/>
  <c r="O31" i="7"/>
  <c r="C89" i="1" s="1"/>
  <c r="X31" i="7"/>
  <c r="Y31" i="7"/>
  <c r="W31" i="7"/>
  <c r="R31" i="7"/>
  <c r="Y39" i="7"/>
  <c r="Q39" i="7"/>
  <c r="W39" i="7"/>
  <c r="AD39" i="7"/>
  <c r="AE39" i="7" s="1"/>
  <c r="AJ39" i="7" s="1"/>
  <c r="AK39" i="7" s="1"/>
  <c r="V39" i="7"/>
  <c r="AC39" i="7"/>
  <c r="U39" i="7"/>
  <c r="AA39" i="7"/>
  <c r="S39" i="7"/>
  <c r="AB39" i="7"/>
  <c r="AN39" i="7"/>
  <c r="AQ39" i="7" s="1"/>
  <c r="Z39" i="7"/>
  <c r="X39" i="7"/>
  <c r="R39" i="7"/>
  <c r="T39" i="7"/>
  <c r="AD49" i="7"/>
  <c r="AE49" i="7" s="1"/>
  <c r="AJ49" i="7" s="1"/>
  <c r="AK49" i="7" s="1"/>
  <c r="V49" i="7"/>
  <c r="AB49" i="7"/>
  <c r="T49" i="7"/>
  <c r="Z49" i="7"/>
  <c r="R49" i="7"/>
  <c r="Y49" i="7"/>
  <c r="Q49" i="7"/>
  <c r="AN49" i="7"/>
  <c r="AQ49" i="7" s="1"/>
  <c r="X49" i="7"/>
  <c r="W49" i="7"/>
  <c r="U49" i="7"/>
  <c r="S49" i="7"/>
  <c r="AC49" i="7"/>
  <c r="AA49" i="7"/>
  <c r="AC30" i="7"/>
  <c r="U30" i="7"/>
  <c r="AB30" i="7"/>
  <c r="T30" i="7"/>
  <c r="Z30" i="7"/>
  <c r="R30" i="7"/>
  <c r="AA30" i="7"/>
  <c r="O30" i="7"/>
  <c r="C88" i="1" s="1"/>
  <c r="X30" i="7"/>
  <c r="W30" i="7"/>
  <c r="AN30" i="7"/>
  <c r="AQ30" i="7" s="1"/>
  <c r="V30" i="7"/>
  <c r="S30" i="7"/>
  <c r="Q30" i="7"/>
  <c r="AD30" i="7"/>
  <c r="AE30" i="7" s="1"/>
  <c r="AJ30" i="7" s="1"/>
  <c r="AK30" i="7" s="1"/>
  <c r="Y30" i="7"/>
  <c r="N30" i="7"/>
  <c r="B88" i="1" s="1"/>
  <c r="AN38" i="7"/>
  <c r="AQ38" i="7" s="1"/>
  <c r="X38" i="7"/>
  <c r="AD38" i="7"/>
  <c r="AE38" i="7" s="1"/>
  <c r="AJ38" i="7" s="1"/>
  <c r="AK38" i="7" s="1"/>
  <c r="V38" i="7"/>
  <c r="N38" i="7"/>
  <c r="AC38" i="7"/>
  <c r="U38" i="7"/>
  <c r="AB38" i="7"/>
  <c r="T38" i="7"/>
  <c r="Z38" i="7"/>
  <c r="R38" i="7"/>
  <c r="AA38" i="7"/>
  <c r="Y38" i="7"/>
  <c r="W38" i="7"/>
  <c r="S38" i="7"/>
  <c r="O38" i="7"/>
  <c r="Q38" i="7"/>
  <c r="AB55" i="7"/>
  <c r="T55" i="7"/>
  <c r="AA55" i="7"/>
  <c r="S55" i="7"/>
  <c r="Z55" i="7"/>
  <c r="R55" i="7"/>
  <c r="AN55" i="7"/>
  <c r="AQ55" i="7" s="1"/>
  <c r="X55" i="7"/>
  <c r="W55" i="7"/>
  <c r="AD55" i="7"/>
  <c r="AE55" i="7" s="1"/>
  <c r="AJ55" i="7" s="1"/>
  <c r="AK55" i="7" s="1"/>
  <c r="V55" i="7"/>
  <c r="Y55" i="7"/>
  <c r="U55" i="7"/>
  <c r="Q55" i="7"/>
  <c r="AC55" i="7"/>
  <c r="W37" i="7"/>
  <c r="O37" i="7"/>
  <c r="AC37" i="7"/>
  <c r="U37" i="7"/>
  <c r="AB37" i="7"/>
  <c r="T37" i="7"/>
  <c r="AA37" i="7"/>
  <c r="S37" i="7"/>
  <c r="Y37" i="7"/>
  <c r="Q37" i="7"/>
  <c r="Z37" i="7"/>
  <c r="AN37" i="7"/>
  <c r="AQ37" i="7" s="1"/>
  <c r="X37" i="7"/>
  <c r="R37" i="7"/>
  <c r="N37" i="7"/>
  <c r="AD37" i="7"/>
  <c r="AE37" i="7" s="1"/>
  <c r="AJ37" i="7" s="1"/>
  <c r="AK37" i="7" s="1"/>
  <c r="V37" i="7"/>
  <c r="AB44" i="7"/>
  <c r="V44" i="7"/>
  <c r="AN44" i="7"/>
  <c r="AQ44" i="7" s="1"/>
  <c r="AD44" i="7"/>
  <c r="AE44" i="7" s="1"/>
  <c r="AJ44" i="7" s="1"/>
  <c r="AK44" i="7" s="1"/>
  <c r="U44" i="7"/>
  <c r="AC44" i="7"/>
  <c r="T44" i="7"/>
  <c r="AA44" i="7"/>
  <c r="S44" i="7"/>
  <c r="Z44" i="7"/>
  <c r="R44" i="7"/>
  <c r="X44" i="7"/>
  <c r="Q44" i="7"/>
  <c r="Y44" i="7"/>
  <c r="W44" i="7"/>
  <c r="AC43" i="7"/>
  <c r="U43" i="7"/>
  <c r="AA43" i="7"/>
  <c r="S43" i="7"/>
  <c r="Z43" i="7"/>
  <c r="R43" i="7"/>
  <c r="Y43" i="7"/>
  <c r="Q43" i="7"/>
  <c r="W43" i="7"/>
  <c r="AB43" i="7"/>
  <c r="AN43" i="7"/>
  <c r="AQ43" i="7" s="1"/>
  <c r="X43" i="7"/>
  <c r="V43" i="7"/>
  <c r="T43" i="7"/>
  <c r="AD43" i="7"/>
  <c r="AE43" i="7" s="1"/>
  <c r="AJ43" i="7" s="1"/>
  <c r="AK43" i="7" s="1"/>
  <c r="W46" i="7"/>
  <c r="AD46" i="7"/>
  <c r="AE46" i="7" s="1"/>
  <c r="AJ46" i="7" s="1"/>
  <c r="AK46" i="7" s="1"/>
  <c r="V46" i="7"/>
  <c r="AC46" i="7"/>
  <c r="U46" i="7"/>
  <c r="AB46" i="7"/>
  <c r="Q46" i="7"/>
  <c r="AN46" i="7"/>
  <c r="AQ46" i="7" s="1"/>
  <c r="AA46" i="7"/>
  <c r="Z46" i="7"/>
  <c r="Y46" i="7"/>
  <c r="X46" i="7"/>
  <c r="S46" i="7"/>
  <c r="T46" i="7"/>
  <c r="R46" i="7"/>
  <c r="AA54" i="7"/>
  <c r="S54" i="7"/>
  <c r="Y54" i="7"/>
  <c r="Q54" i="7"/>
  <c r="W54" i="7"/>
  <c r="AD54" i="7"/>
  <c r="AE54" i="7" s="1"/>
  <c r="AJ54" i="7" s="1"/>
  <c r="AK54" i="7" s="1"/>
  <c r="V54" i="7"/>
  <c r="AC54" i="7"/>
  <c r="U54" i="7"/>
  <c r="R54" i="7"/>
  <c r="AN54" i="7"/>
  <c r="AQ54" i="7" s="1"/>
  <c r="AB54" i="7"/>
  <c r="Z54" i="7"/>
  <c r="X54" i="7"/>
  <c r="T54" i="7"/>
  <c r="AA62" i="7"/>
  <c r="S62" i="7"/>
  <c r="Z62" i="7"/>
  <c r="R62" i="7"/>
  <c r="Y62" i="7"/>
  <c r="Q62" i="7"/>
  <c r="AN62" i="7"/>
  <c r="AQ62" i="7" s="1"/>
  <c r="X62" i="7"/>
  <c r="W62" i="7"/>
  <c r="AD62" i="7"/>
  <c r="AE62" i="7" s="1"/>
  <c r="AJ62" i="7" s="1"/>
  <c r="AK62" i="7" s="1"/>
  <c r="V62" i="7"/>
  <c r="AC62" i="7"/>
  <c r="U62" i="7"/>
  <c r="AB62" i="7"/>
  <c r="T62" i="7"/>
  <c r="AD45" i="7"/>
  <c r="AE45" i="7" s="1"/>
  <c r="AJ45" i="7" s="1"/>
  <c r="AK45" i="7" s="1"/>
  <c r="V45" i="7"/>
  <c r="AC45" i="7"/>
  <c r="U45" i="7"/>
  <c r="AB45" i="7"/>
  <c r="T45" i="7"/>
  <c r="X45" i="7"/>
  <c r="W45" i="7"/>
  <c r="S45" i="7"/>
  <c r="R45" i="7"/>
  <c r="Q45" i="7"/>
  <c r="Z45" i="7"/>
  <c r="AA45" i="7"/>
  <c r="Y45" i="7"/>
  <c r="AN45" i="7"/>
  <c r="AQ45" i="7" s="1"/>
  <c r="Z53" i="7"/>
  <c r="R53" i="7"/>
  <c r="AN53" i="7"/>
  <c r="AQ53" i="7" s="1"/>
  <c r="X53" i="7"/>
  <c r="AD53" i="7"/>
  <c r="AE53" i="7" s="1"/>
  <c r="AJ53" i="7" s="1"/>
  <c r="AK53" i="7" s="1"/>
  <c r="V53" i="7"/>
  <c r="AC53" i="7"/>
  <c r="U53" i="7"/>
  <c r="AB53" i="7"/>
  <c r="T53" i="7"/>
  <c r="AA53" i="7"/>
  <c r="Y53" i="7"/>
  <c r="W53" i="7"/>
  <c r="S53" i="7"/>
  <c r="Q53" i="7"/>
  <c r="Z61" i="7"/>
  <c r="R61" i="7"/>
  <c r="Y61" i="7"/>
  <c r="Q61" i="7"/>
  <c r="AN61" i="7"/>
  <c r="AQ61" i="7" s="1"/>
  <c r="X61" i="7"/>
  <c r="W61" i="7"/>
  <c r="AD61" i="7"/>
  <c r="AE61" i="7" s="1"/>
  <c r="AJ61" i="7" s="1"/>
  <c r="AK61" i="7" s="1"/>
  <c r="V61" i="7"/>
  <c r="AC61" i="7"/>
  <c r="U61" i="7"/>
  <c r="AB61" i="7"/>
  <c r="T61" i="7"/>
  <c r="AA61" i="7"/>
  <c r="S61" i="7"/>
  <c r="Z69" i="7"/>
  <c r="R69" i="7"/>
  <c r="Y69" i="7"/>
  <c r="Q69" i="7"/>
  <c r="AN69" i="7"/>
  <c r="AQ69" i="7" s="1"/>
  <c r="X69" i="7"/>
  <c r="W69" i="7"/>
  <c r="AD69" i="7"/>
  <c r="AE69" i="7" s="1"/>
  <c r="AJ69" i="7" s="1"/>
  <c r="AK69" i="7" s="1"/>
  <c r="V69" i="7"/>
  <c r="AC69" i="7"/>
  <c r="U69" i="7"/>
  <c r="AB69" i="7"/>
  <c r="T69" i="7"/>
  <c r="AA69" i="7"/>
  <c r="S69" i="7"/>
  <c r="Y52" i="7"/>
  <c r="Q52" i="7"/>
  <c r="W52" i="7"/>
  <c r="AC52" i="7"/>
  <c r="U52" i="7"/>
  <c r="AB52" i="7"/>
  <c r="T52" i="7"/>
  <c r="AA52" i="7"/>
  <c r="S52" i="7"/>
  <c r="AD52" i="7"/>
  <c r="AE52" i="7" s="1"/>
  <c r="AJ52" i="7" s="1"/>
  <c r="AK52" i="7" s="1"/>
  <c r="Z52" i="7"/>
  <c r="AN52" i="7"/>
  <c r="AQ52" i="7" s="1"/>
  <c r="X52" i="7"/>
  <c r="V52" i="7"/>
  <c r="R52" i="7"/>
  <c r="Y60" i="7"/>
  <c r="Q60" i="7"/>
  <c r="AN60" i="7"/>
  <c r="AQ60" i="7" s="1"/>
  <c r="X60" i="7"/>
  <c r="W60" i="7"/>
  <c r="AD60" i="7"/>
  <c r="AE60" i="7" s="1"/>
  <c r="AJ60" i="7" s="1"/>
  <c r="AK60" i="7" s="1"/>
  <c r="V60" i="7"/>
  <c r="AC60" i="7"/>
  <c r="U60" i="7"/>
  <c r="AB60" i="7"/>
  <c r="T60" i="7"/>
  <c r="AA60" i="7"/>
  <c r="S60" i="7"/>
  <c r="Z60" i="7"/>
  <c r="R60" i="7"/>
  <c r="Y68" i="7"/>
  <c r="Q68" i="7"/>
  <c r="AN68" i="7"/>
  <c r="AQ68" i="7" s="1"/>
  <c r="X68" i="7"/>
  <c r="W68" i="7"/>
  <c r="AD68" i="7"/>
  <c r="AE68" i="7" s="1"/>
  <c r="AJ68" i="7" s="1"/>
  <c r="AK68" i="7" s="1"/>
  <c r="V68" i="7"/>
  <c r="AC68" i="7"/>
  <c r="U68" i="7"/>
  <c r="AB68" i="7"/>
  <c r="T68" i="7"/>
  <c r="AA68" i="7"/>
  <c r="S68" i="7"/>
  <c r="Z68" i="7"/>
  <c r="R68" i="7"/>
  <c r="AN59" i="7"/>
  <c r="AQ59" i="7" s="1"/>
  <c r="X59" i="7"/>
  <c r="W59" i="7"/>
  <c r="AD59" i="7"/>
  <c r="AE59" i="7" s="1"/>
  <c r="AJ59" i="7" s="1"/>
  <c r="AK59" i="7" s="1"/>
  <c r="V59" i="7"/>
  <c r="AC59" i="7"/>
  <c r="U59" i="7"/>
  <c r="AB59" i="7"/>
  <c r="T59" i="7"/>
  <c r="AA59" i="7"/>
  <c r="S59" i="7"/>
  <c r="Z59" i="7"/>
  <c r="R59" i="7"/>
  <c r="Y59" i="7"/>
  <c r="Q59" i="7"/>
  <c r="AN67" i="7"/>
  <c r="AQ67" i="7" s="1"/>
  <c r="X67" i="7"/>
  <c r="W67" i="7"/>
  <c r="AD67" i="7"/>
  <c r="AE67" i="7" s="1"/>
  <c r="AJ67" i="7" s="1"/>
  <c r="AK67" i="7" s="1"/>
  <c r="V67" i="7"/>
  <c r="AC67" i="7"/>
  <c r="U67" i="7"/>
  <c r="AB67" i="7"/>
  <c r="T67" i="7"/>
  <c r="AA67" i="7"/>
  <c r="S67" i="7"/>
  <c r="Z67" i="7"/>
  <c r="R67" i="7"/>
  <c r="Y67" i="7"/>
  <c r="Q67" i="7"/>
  <c r="W50" i="7"/>
  <c r="AC50" i="7"/>
  <c r="U50" i="7"/>
  <c r="AA50" i="7"/>
  <c r="S50" i="7"/>
  <c r="Z50" i="7"/>
  <c r="R50" i="7"/>
  <c r="Y50" i="7"/>
  <c r="Q50" i="7"/>
  <c r="X50" i="7"/>
  <c r="V50" i="7"/>
  <c r="T50" i="7"/>
  <c r="AD50" i="7"/>
  <c r="AE50" i="7" s="1"/>
  <c r="AJ50" i="7" s="1"/>
  <c r="AK50" i="7" s="1"/>
  <c r="AB50" i="7"/>
  <c r="AN50" i="7"/>
  <c r="AQ50" i="7" s="1"/>
  <c r="W58" i="7"/>
  <c r="AD58" i="7"/>
  <c r="AE58" i="7" s="1"/>
  <c r="AJ58" i="7" s="1"/>
  <c r="AK58" i="7" s="1"/>
  <c r="V58" i="7"/>
  <c r="AC58" i="7"/>
  <c r="U58" i="7"/>
  <c r="AB58" i="7"/>
  <c r="T58" i="7"/>
  <c r="AA58" i="7"/>
  <c r="S58" i="7"/>
  <c r="Z58" i="7"/>
  <c r="R58" i="7"/>
  <c r="Y58" i="7"/>
  <c r="Q58" i="7"/>
  <c r="X58" i="7"/>
  <c r="AN58" i="7"/>
  <c r="AQ58" i="7" s="1"/>
  <c r="W66" i="7"/>
  <c r="AD66" i="7"/>
  <c r="AE66" i="7" s="1"/>
  <c r="AJ66" i="7" s="1"/>
  <c r="AK66" i="7" s="1"/>
  <c r="V66" i="7"/>
  <c r="AC66" i="7"/>
  <c r="U66" i="7"/>
  <c r="AB66" i="7"/>
  <c r="T66" i="7"/>
  <c r="AA66" i="7"/>
  <c r="S66" i="7"/>
  <c r="Z66" i="7"/>
  <c r="R66" i="7"/>
  <c r="Y66" i="7"/>
  <c r="Q66" i="7"/>
  <c r="X66" i="7"/>
  <c r="AN66" i="7"/>
  <c r="AQ66" i="7" s="1"/>
  <c r="AD57" i="7"/>
  <c r="AE57" i="7" s="1"/>
  <c r="AJ57" i="7" s="1"/>
  <c r="AK57" i="7" s="1"/>
  <c r="V57" i="7"/>
  <c r="AC57" i="7"/>
  <c r="U57" i="7"/>
  <c r="AB57" i="7"/>
  <c r="T57" i="7"/>
  <c r="Z57" i="7"/>
  <c r="R57" i="7"/>
  <c r="Y57" i="7"/>
  <c r="Q57" i="7"/>
  <c r="AN57" i="7"/>
  <c r="AQ57" i="7" s="1"/>
  <c r="X57" i="7"/>
  <c r="W57" i="7"/>
  <c r="S57" i="7"/>
  <c r="AA57" i="7"/>
  <c r="AD65" i="7"/>
  <c r="AE65" i="7" s="1"/>
  <c r="AJ65" i="7" s="1"/>
  <c r="AK65" i="7" s="1"/>
  <c r="V65" i="7"/>
  <c r="AC65" i="7"/>
  <c r="U65" i="7"/>
  <c r="AB65" i="7"/>
  <c r="T65" i="7"/>
  <c r="AA65" i="7"/>
  <c r="S65" i="7"/>
  <c r="Z65" i="7"/>
  <c r="R65" i="7"/>
  <c r="Y65" i="7"/>
  <c r="Q65" i="7"/>
  <c r="AN65" i="7"/>
  <c r="AQ65" i="7" s="1"/>
  <c r="X65" i="7"/>
  <c r="W65" i="7"/>
  <c r="AC48" i="7"/>
  <c r="U48" i="7"/>
  <c r="AA48" i="7"/>
  <c r="Y48" i="7"/>
  <c r="Q48" i="7"/>
  <c r="AN48" i="7"/>
  <c r="AQ48" i="7" s="1"/>
  <c r="X48" i="7"/>
  <c r="W48" i="7"/>
  <c r="T48" i="7"/>
  <c r="S48" i="7"/>
  <c r="R48" i="7"/>
  <c r="AD48" i="7"/>
  <c r="AE48" i="7" s="1"/>
  <c r="AJ48" i="7" s="1"/>
  <c r="AK48" i="7" s="1"/>
  <c r="AB48" i="7"/>
  <c r="Z48" i="7"/>
  <c r="V48" i="7"/>
  <c r="AC56" i="7"/>
  <c r="U56" i="7"/>
  <c r="AB56" i="7"/>
  <c r="T56" i="7"/>
  <c r="AA56" i="7"/>
  <c r="S56" i="7"/>
  <c r="Y56" i="7"/>
  <c r="Q56" i="7"/>
  <c r="AN56" i="7"/>
  <c r="AQ56" i="7" s="1"/>
  <c r="X56" i="7"/>
  <c r="W56" i="7"/>
  <c r="AD56" i="7"/>
  <c r="AE56" i="7" s="1"/>
  <c r="AJ56" i="7" s="1"/>
  <c r="AK56" i="7" s="1"/>
  <c r="Z56" i="7"/>
  <c r="V56" i="7"/>
  <c r="R56" i="7"/>
  <c r="AC64" i="7"/>
  <c r="U64" i="7"/>
  <c r="AB64" i="7"/>
  <c r="T64" i="7"/>
  <c r="AA64" i="7"/>
  <c r="S64" i="7"/>
  <c r="Z64" i="7"/>
  <c r="R64" i="7"/>
  <c r="Y64" i="7"/>
  <c r="Q64" i="7"/>
  <c r="AN64" i="7"/>
  <c r="AQ64" i="7" s="1"/>
  <c r="X64" i="7"/>
  <c r="W64" i="7"/>
  <c r="AD64" i="7"/>
  <c r="AE64" i="7" s="1"/>
  <c r="AJ64" i="7" s="1"/>
  <c r="AK64" i="7" s="1"/>
  <c r="V64" i="7"/>
  <c r="AM24" i="7"/>
  <c r="P24" i="7" s="1"/>
  <c r="D82" i="1" s="1"/>
  <c r="AO67" i="7" l="1"/>
  <c r="AP67" i="7" s="1"/>
  <c r="AO54" i="7"/>
  <c r="AP54" i="7" s="1"/>
  <c r="AO20" i="7"/>
  <c r="AP20" i="7" s="1"/>
  <c r="E5" i="7"/>
  <c r="D6" i="7"/>
  <c r="AO56" i="7"/>
  <c r="AP56" i="7" s="1"/>
  <c r="AO48" i="7"/>
  <c r="AP48" i="7" s="1"/>
  <c r="AM48" i="7"/>
  <c r="AO66" i="7"/>
  <c r="AP66" i="7" s="1"/>
  <c r="AO60" i="7"/>
  <c r="AP60" i="7" s="1"/>
  <c r="AM60" i="7"/>
  <c r="AO62" i="7"/>
  <c r="AP62" i="7" s="1"/>
  <c r="AM62" i="7"/>
  <c r="AO43" i="7"/>
  <c r="AP43" i="7" s="1"/>
  <c r="AM43" i="7"/>
  <c r="AO49" i="7"/>
  <c r="AP49" i="7" s="1"/>
  <c r="AM49" i="7"/>
  <c r="AM51" i="7"/>
  <c r="AO51" i="7"/>
  <c r="AP51" i="7" s="1"/>
  <c r="AM32" i="7"/>
  <c r="AO32" i="7"/>
  <c r="AP32" i="7" s="1"/>
  <c r="AM25" i="7"/>
  <c r="AO25" i="7"/>
  <c r="AP25" i="7" s="1"/>
  <c r="AO57" i="7"/>
  <c r="AP57" i="7" s="1"/>
  <c r="AM57" i="7"/>
  <c r="AM47" i="7"/>
  <c r="AO47" i="7"/>
  <c r="AP47" i="7" s="1"/>
  <c r="J2" i="7"/>
  <c r="G5" i="7"/>
  <c r="AO29" i="7"/>
  <c r="AP29" i="7" s="1"/>
  <c r="AM29" i="7"/>
  <c r="AM46" i="7"/>
  <c r="AO46" i="7"/>
  <c r="AP46" i="7" s="1"/>
  <c r="AO55" i="7"/>
  <c r="AP55" i="7" s="1"/>
  <c r="AM40" i="7"/>
  <c r="AO40" i="7"/>
  <c r="AP40" i="7" s="1"/>
  <c r="AM22" i="7"/>
  <c r="AO22" i="7"/>
  <c r="AP22" i="7" s="1"/>
  <c r="AO21" i="7"/>
  <c r="AP21" i="7" s="1"/>
  <c r="AO17" i="7"/>
  <c r="AP17" i="7" s="1"/>
  <c r="AM17" i="7"/>
  <c r="AO64" i="7"/>
  <c r="AP64" i="7" s="1"/>
  <c r="AM64" i="7"/>
  <c r="AO35" i="7"/>
  <c r="AP35" i="7" s="1"/>
  <c r="AM35" i="7"/>
  <c r="AO65" i="7"/>
  <c r="AP65" i="7" s="1"/>
  <c r="AM65" i="7"/>
  <c r="AM58" i="7"/>
  <c r="AO58" i="7"/>
  <c r="AP58" i="7" s="1"/>
  <c r="AO68" i="7"/>
  <c r="AP68" i="7" s="1"/>
  <c r="AO52" i="7"/>
  <c r="AP52" i="7" s="1"/>
  <c r="AM52" i="7"/>
  <c r="AO44" i="7"/>
  <c r="AP44" i="7" s="1"/>
  <c r="AM44" i="7"/>
  <c r="AO39" i="7"/>
  <c r="AP39" i="7" s="1"/>
  <c r="AM39" i="7"/>
  <c r="AO26" i="7"/>
  <c r="AP26" i="7" s="1"/>
  <c r="AM26" i="7"/>
  <c r="AO34" i="7"/>
  <c r="AP34" i="7" s="1"/>
  <c r="AM34" i="7"/>
  <c r="AO18" i="7"/>
  <c r="AP18" i="7" s="1"/>
  <c r="AM18" i="7"/>
  <c r="AO41" i="7"/>
  <c r="AP41" i="7" s="1"/>
  <c r="AM41" i="7"/>
  <c r="AO27" i="7"/>
  <c r="AP27" i="7" s="1"/>
  <c r="AM27" i="7"/>
  <c r="AM37" i="7"/>
  <c r="AO37" i="7"/>
  <c r="AP37" i="7" s="1"/>
  <c r="AM30" i="7"/>
  <c r="AO30" i="7"/>
  <c r="AP30" i="7" s="1"/>
  <c r="AO63" i="7"/>
  <c r="AP63" i="7" s="1"/>
  <c r="AM63" i="7"/>
  <c r="AO28" i="7"/>
  <c r="AP28" i="7" s="1"/>
  <c r="AM28" i="7"/>
  <c r="AO23" i="7"/>
  <c r="AP23" i="7" s="1"/>
  <c r="AM23" i="7"/>
  <c r="AO61" i="7"/>
  <c r="AP61" i="7" s="1"/>
  <c r="AM61" i="7"/>
  <c r="AM50" i="7"/>
  <c r="AO50" i="7"/>
  <c r="AP50" i="7" s="1"/>
  <c r="AM59" i="7"/>
  <c r="AO59" i="7"/>
  <c r="AP59" i="7" s="1"/>
  <c r="AO69" i="7"/>
  <c r="AP69" i="7" s="1"/>
  <c r="AO53" i="7"/>
  <c r="AP53" i="7" s="1"/>
  <c r="AM53" i="7"/>
  <c r="AO38" i="7"/>
  <c r="AP38" i="7" s="1"/>
  <c r="AM38" i="7"/>
  <c r="AM31" i="7"/>
  <c r="AO31" i="7"/>
  <c r="AP31" i="7" s="1"/>
  <c r="AM33" i="7"/>
  <c r="AO33" i="7"/>
  <c r="AP33" i="7" s="1"/>
  <c r="AO45" i="7"/>
  <c r="AP45" i="7" s="1"/>
  <c r="AM45" i="7"/>
  <c r="AO36" i="7"/>
  <c r="AP36" i="7" s="1"/>
  <c r="AM36" i="7"/>
  <c r="AO19" i="7"/>
  <c r="AP19" i="7" s="1"/>
  <c r="AO42" i="7"/>
  <c r="AP42" i="7" s="1"/>
  <c r="AM42" i="7"/>
  <c r="D7" i="7"/>
  <c r="I2" i="7" l="1"/>
  <c r="I3" i="7" s="1"/>
  <c r="I1" i="7" s="1"/>
  <c r="P23" i="7"/>
  <c r="D81" i="1" s="1"/>
  <c r="P32" i="7"/>
  <c r="P20" i="7"/>
  <c r="D78" i="1" s="1"/>
  <c r="P34" i="7"/>
  <c r="P33" i="7"/>
  <c r="P38" i="7"/>
  <c r="P25" i="7"/>
  <c r="D83" i="1" s="1"/>
  <c r="P22" i="7"/>
  <c r="D80" i="1" s="1"/>
  <c r="P30" i="7"/>
  <c r="D88" i="1" s="1"/>
  <c r="P31" i="7"/>
  <c r="D89" i="1" s="1"/>
  <c r="P36" i="7"/>
  <c r="P27" i="7"/>
  <c r="D85" i="1" s="1"/>
  <c r="P26" i="7"/>
  <c r="D84" i="1" s="1"/>
  <c r="P28" i="7"/>
  <c r="D86" i="1" s="1"/>
  <c r="P35" i="7"/>
  <c r="P37" i="7"/>
  <c r="P29" i="7"/>
  <c r="D87" i="1" s="1"/>
  <c r="P19" i="7"/>
  <c r="D77" i="1" s="1"/>
  <c r="P18" i="7"/>
  <c r="P21" i="7"/>
  <c r="D79" i="1" s="1"/>
  <c r="I31" i="1" l="1"/>
  <c r="E43" i="1" l="1"/>
  <c r="I45" i="1"/>
  <c r="B283" i="1" l="1"/>
  <c r="F155" i="1" l="1"/>
  <c r="H155" i="1" s="1"/>
  <c r="F156" i="1"/>
  <c r="H156" i="1" s="1"/>
  <c r="F157" i="1"/>
  <c r="H157" i="1" s="1"/>
  <c r="F154" i="1"/>
  <c r="H154" i="1" s="1"/>
  <c r="G58" i="1" l="1"/>
  <c r="C58" i="1"/>
  <c r="G56" i="1"/>
  <c r="C56" i="1"/>
  <c r="S33" i="1" l="1"/>
  <c r="F11" i="5" l="1"/>
  <c r="G11" i="5" s="1"/>
  <c r="F10" i="5"/>
  <c r="G10" i="5" s="1"/>
  <c r="F9" i="5"/>
  <c r="G9" i="5" s="1"/>
  <c r="G8" i="5"/>
  <c r="F8" i="5"/>
  <c r="F7" i="5"/>
  <c r="G7" i="5" s="1"/>
  <c r="F6" i="5"/>
  <c r="G6" i="5" s="1"/>
  <c r="F5" i="5"/>
  <c r="G5" i="5" s="1"/>
  <c r="G12" i="5" s="1"/>
  <c r="D305" i="1"/>
  <c r="B284" i="1"/>
  <c r="A162" i="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55" i="1"/>
  <c r="A156" i="1" s="1"/>
  <c r="A157" i="1" s="1"/>
  <c r="F144" i="1"/>
  <c r="C118" i="1"/>
  <c r="C104" i="1"/>
  <c r="C90" i="1"/>
  <c r="D69" i="1"/>
  <c r="D62" i="1"/>
  <c r="G51" i="1"/>
  <c r="C51" i="1"/>
  <c r="E44" i="1"/>
  <c r="E45" i="1" s="1"/>
  <c r="E28" i="1"/>
  <c r="E26" i="1"/>
  <c r="C16" i="1"/>
  <c r="I15" i="1"/>
  <c r="Z13" i="1"/>
  <c r="E8" i="1"/>
  <c r="E3" i="1"/>
  <c r="H91" i="1"/>
  <c r="H119" i="1"/>
  <c r="H105" i="1"/>
  <c r="J90" i="1" l="1"/>
  <c r="J92" i="1" s="1"/>
  <c r="J93" i="1"/>
  <c r="J94" i="1"/>
  <c r="J95" i="1"/>
  <c r="C94" i="1" s="1"/>
  <c r="J109" i="1"/>
  <c r="E108" i="1"/>
  <c r="D113" i="1"/>
  <c r="D115" i="1"/>
  <c r="D109" i="1"/>
  <c r="J108" i="1"/>
  <c r="D114" i="1"/>
  <c r="J104" i="1"/>
  <c r="J106" i="1" s="1"/>
  <c r="D112" i="1"/>
  <c r="J107" i="1"/>
  <c r="D111" i="1"/>
  <c r="D117" i="1"/>
  <c r="D116" i="1"/>
  <c r="D110" i="1"/>
  <c r="D98" i="1"/>
  <c r="D100" i="1"/>
  <c r="D99" i="1"/>
  <c r="D103" i="1"/>
  <c r="D97" i="1"/>
  <c r="D102" i="1"/>
  <c r="D96" i="1"/>
  <c r="D101" i="1"/>
  <c r="C124" i="1"/>
  <c r="J118" i="1" s="1"/>
  <c r="J120" i="1" s="1"/>
  <c r="D127" i="1"/>
  <c r="D129" i="1"/>
  <c r="J123" i="1"/>
  <c r="C122" i="1" s="1"/>
  <c r="D122" i="1" s="1"/>
  <c r="D128" i="1"/>
  <c r="J122" i="1"/>
  <c r="D126" i="1"/>
  <c r="J121" i="1"/>
  <c r="D125" i="1"/>
  <c r="D131" i="1"/>
  <c r="D130" i="1"/>
  <c r="B119" i="1"/>
  <c r="B105" i="1"/>
  <c r="B91" i="1"/>
  <c r="J96" i="1" s="1"/>
  <c r="C108" i="1" l="1"/>
  <c r="D108" i="1" s="1"/>
  <c r="I105" i="1" s="1"/>
  <c r="I106" i="1" s="1"/>
  <c r="D94" i="1"/>
  <c r="D124" i="1"/>
  <c r="J129" i="1"/>
  <c r="J126" i="1"/>
  <c r="J128" i="1"/>
  <c r="J127" i="1"/>
  <c r="J124" i="1"/>
  <c r="J125" i="1" s="1"/>
  <c r="J130" i="1" s="1"/>
  <c r="J131" i="1" s="1"/>
  <c r="C123" i="1" s="1"/>
  <c r="E122" i="1" s="1"/>
  <c r="J115" i="1"/>
  <c r="J112" i="1"/>
  <c r="J114" i="1"/>
  <c r="J113" i="1"/>
  <c r="J110" i="1"/>
  <c r="J111" i="1" s="1"/>
  <c r="J100" i="1"/>
  <c r="J98" i="1"/>
  <c r="J99" i="1"/>
  <c r="J97" i="1"/>
  <c r="J102" i="1" s="1"/>
  <c r="J103" i="1" s="1"/>
  <c r="C95" i="1" s="1"/>
  <c r="J101" i="1"/>
  <c r="G108" i="1" l="1"/>
  <c r="J91" i="1"/>
  <c r="J116" i="1"/>
  <c r="J117" i="1" s="1"/>
  <c r="J105" i="1" s="1"/>
  <c r="I104" i="1" s="1"/>
  <c r="C106" i="1" s="1"/>
  <c r="D123" i="1"/>
  <c r="I119" i="1" s="1"/>
  <c r="J119" i="1"/>
  <c r="G122" i="1"/>
  <c r="E94" i="1"/>
  <c r="D95" i="1"/>
  <c r="I91" i="1" s="1"/>
  <c r="G94" i="1"/>
  <c r="F74" i="1" l="1"/>
  <c r="D74" i="1"/>
  <c r="I120" i="1"/>
  <c r="I118" i="1" s="1"/>
  <c r="C120" i="1" s="1"/>
  <c r="I92" i="1"/>
  <c r="I90" i="1" s="1"/>
  <c r="C92"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<sst xmlns="http://schemas.openxmlformats.org/spreadsheetml/2006/main" count="933" uniqueCount="356">
  <si>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</si>
  <si>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</si>
  <si>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</si>
  <si>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</si>
  <si>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</si>
  <si>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</si>
  <si>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</si>
  <si>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</si>
  <si>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</si>
  <si>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</si>
  <si>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</si>
  <si>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</si>
  <si>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</si>
  <si>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</si>
  <si>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</si>
  <si>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</si>
  <si>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</si>
  <si>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</si>
  <si>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</si>
  <si>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</si>
  <si>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</si>
  <si>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</si>
  <si>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</si>
  <si>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</si>
  <si>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</si>
  <si>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</si>
  <si>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</si>
  <si>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</si>
  <si>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</si>
  <si>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</si>
  <si>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</si>
  <si>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</si>
  <si>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</si>
  <si>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</si>
  <si>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</si>
  <si>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</si>
  <si>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</si>
  <si>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</si>
  <si>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</si>
  <si>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</si>
  <si>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</si>
  <si>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</si>
  <si>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</si>
  <si>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</si>
  <si>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</si>
  <si>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</si>
  <si>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</si>
  <si>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</si>
  <si>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</si>
  <si>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</si>
  <si>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</si>
  <si>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</si>
  <si>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</si>
  <si>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</si>
  <si>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</si>
  <si>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</si>
  <si>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</si>
  <si>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</si>
  <si>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</si>
  <si>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</si>
  <si>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</si>
  <si>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</si>
  <si>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</si>
  <si>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</si>
  <si>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</si>
  <si>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</si>
  <si>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</si>
  <si>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</si>
  <si>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</si>
  <si>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</si>
  <si>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</si>
  <si>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</si>
  <si>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</si>
  <si>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</si>
  <si>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</si>
  <si>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</si>
  <si>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</si>
  <si>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</si>
  <si>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</si>
  <si>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</si>
  <si>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</si>
  <si>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</si>
  <si>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</si>
  <si>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</si>
  <si>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</si>
  <si>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</si>
  <si>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</si>
  <si>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</si>
  <si>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</si>
  <si>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</si>
  <si>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</si>
  <si>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</si>
  <si>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</si>
  <si>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</si>
  <si>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</si>
  <si>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</si>
  <si>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</si>
  <si>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</si>
  <si>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</si>
  <si>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</si>
  <si>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</si>
  <si>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</si>
  <si>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</si>
  <si>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</si>
  <si>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</si>
  <si>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</si>
  <si>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</si>
  <si>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</si>
  <si>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</si>
  <si>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</si>
  <si>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</si>
  <si>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</si>
  <si>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</si>
  <si>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t>Nearby Landmark</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</si>
  <si>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</si>
  <si>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</si>
  <si>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</si>
  <si>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</si>
  <si>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</si>
  <si>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</si>
  <si>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</si>
  <si>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</si>
  <si>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</si>
  <si>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</si>
  <si>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</si>
  <si>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</si>
  <si>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</si>
  <si>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</si>
  <si>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</si>
  <si>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</si>
  <si>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</si>
  <si>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</si>
  <si>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</si>
  <si>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</si>
  <si>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</si>
  <si>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</si>
  <si>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</si>
  <si>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</si>
  <si>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</si>
  <si>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</si>
  <si>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</si>
  <si>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</si>
  <si>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</si>
  <si>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</si>
  <si>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</si>
  <si>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</si>
  <si>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</si>
  <si>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</si>
  <si>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</si>
  <si>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</si>
  <si>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</si>
  <si>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</si>
  <si>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</si>
  <si>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</si>
  <si>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</si>
  <si>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Building No.1 (A Wing) = 1B + G + 1st to 20th Floor</t>
  </si>
  <si>
    <t>C Wing = 1B + G + 1st to 20th Floor</t>
  </si>
  <si>
    <t>A Wing = 1B + G + 1st to 20th Floor
B Wing = 1B + G + 1st to 20th Floor
C Wing = 1B + G + 1st to 20th Floor</t>
  </si>
  <si>
    <t>Approved Plans, CC, Sale Plans, Builder Saleable Area, Cost Sheet, Airport Noc, Railway Noc, OC</t>
  </si>
  <si>
    <t>Axis Goregaon</t>
  </si>
  <si>
    <t>Name / No of the Existing Building</t>
  </si>
  <si>
    <t>Mumbai</t>
  </si>
  <si>
    <t>As per Layout</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</si>
  <si>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</si>
  <si>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</si>
  <si>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</si>
  <si>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</si>
  <si>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</si>
  <si>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</si>
  <si>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</si>
  <si>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</si>
  <si>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</si>
  <si>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</si>
  <si>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</si>
  <si>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</si>
  <si>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</si>
  <si>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</si>
  <si>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</si>
  <si>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</si>
  <si>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</si>
  <si>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</si>
  <si>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</si>
  <si>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</si>
  <si>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</si>
  <si>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</si>
  <si>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</si>
  <si>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</si>
  <si>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</si>
  <si>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</si>
  <si>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</si>
  <si>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</si>
  <si>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</si>
  <si>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</si>
  <si>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</si>
  <si>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</si>
  <si>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</si>
  <si>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</si>
  <si>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</si>
  <si>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</si>
  <si>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</si>
  <si>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</si>
  <si>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</si>
  <si>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</si>
  <si>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</si>
  <si>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</si>
  <si>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</si>
  <si>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</si>
  <si>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</si>
  <si>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</si>
  <si>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</si>
  <si>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</si>
  <si>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</si>
  <si>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</si>
  <si>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</si>
  <si>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</si>
  <si>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</si>
  <si>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</si>
  <si>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</si>
  <si>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</si>
  <si>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</si>
  <si>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</si>
  <si>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</si>
  <si>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</si>
  <si>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</si>
  <si>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</si>
  <si>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</si>
  <si>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</si>
  <si>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</si>
  <si>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</si>
  <si>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</si>
  <si>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</si>
  <si>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</si>
  <si>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</si>
  <si>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</si>
  <si>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</si>
  <si>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</si>
  <si>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</si>
  <si>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</si>
  <si>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</si>
  <si>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</si>
  <si>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</si>
  <si>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</si>
  <si>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</si>
  <si>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</si>
  <si>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</si>
  <si>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</si>
  <si>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</si>
  <si>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</si>
  <si>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</si>
  <si>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</si>
  <si>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</si>
  <si>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</si>
  <si>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</si>
  <si>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</si>
  <si>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</si>
  <si>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</si>
  <si>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</si>
  <si>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</si>
  <si>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</si>
  <si>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</si>
  <si>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</si>
  <si>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</si>
  <si>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</si>
  <si>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</si>
  <si>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</si>
  <si>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</si>
  <si>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</si>
  <si>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</si>
  <si>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</si>
  <si>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</si>
  <si>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</si>
  <si>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</si>
  <si>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</si>
  <si>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</si>
  <si>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</si>
  <si>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</si>
  <si>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</si>
  <si>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</si>
  <si>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</si>
  <si>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</si>
  <si>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</si>
  <si>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</si>
  <si>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</si>
  <si>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</si>
  <si>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</si>
  <si>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</si>
  <si>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</si>
  <si>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</si>
  <si>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Residential</t>
  </si>
  <si>
    <t>Plot Area Details :</t>
  </si>
  <si>
    <t>Details of Plot Area</t>
  </si>
  <si>
    <t>Plot/
Bunglow
No</t>
  </si>
  <si>
    <t>Plot Area
(Sq.Mt.)</t>
  </si>
  <si>
    <t>Plot Area
(Sq.Ft.)</t>
  </si>
  <si>
    <t>Permissible Built
up Area on Basic
FSI
(In Sq.ft)</t>
  </si>
  <si>
    <t>Carpet Area</t>
  </si>
  <si>
    <t xml:space="preserve">Demarkation
Status
</t>
  </si>
  <si>
    <t>G + 1</t>
  </si>
  <si>
    <t>Plot/ Banglow no</t>
  </si>
  <si>
    <t>Floor</t>
  </si>
  <si>
    <t>RCC</t>
  </si>
  <si>
    <t>Brick work</t>
  </si>
  <si>
    <t>Ext. Plaster</t>
  </si>
  <si>
    <t>Flooring</t>
  </si>
  <si>
    <t>Painting</t>
  </si>
  <si>
    <t>Finishing</t>
  </si>
  <si>
    <t>Plot/ Banglow No</t>
  </si>
  <si>
    <t>Disburse-ment %</t>
  </si>
  <si>
    <t>Total Builtup Area</t>
  </si>
  <si>
    <t>M/s. Godrej Hillside Properties Private Limited</t>
  </si>
  <si>
    <t>Godrej Golf Side Estate II</t>
  </si>
  <si>
    <t>Not Provided</t>
  </si>
  <si>
    <t>Mr. Sandip 9271808528</t>
  </si>
  <si>
    <t>Plot = 120</t>
  </si>
  <si>
    <t>P52000079895</t>
  </si>
  <si>
    <t>Plot No</t>
  </si>
  <si>
    <t>Plot No. 1/2, 1/2, 1/3, 2/4, 23/2, 55/1, 55/2</t>
  </si>
  <si>
    <t>Talegaon</t>
  </si>
  <si>
    <t>Infinity Icon</t>
  </si>
  <si>
    <t>4.3 KM from Mohope Railway Station</t>
  </si>
  <si>
    <t>Internal Road</t>
  </si>
  <si>
    <t>9.00 Mtr Wide Road</t>
  </si>
  <si>
    <t>Reservation For Park</t>
  </si>
  <si>
    <t>Open Plot</t>
  </si>
  <si>
    <t>Plot No. 12, 13, 14, 15, 16, 17, 18, 19, 20</t>
  </si>
  <si>
    <t>18.923723,73.184402</t>
  </si>
  <si>
    <t>https://maps.app.goo.gl/GxY8RT6TQo4q9pte8</t>
  </si>
  <si>
    <t>120 Plots</t>
  </si>
  <si>
    <t xml:space="preserve">MSRDC/385/2025/0002/AutoDCR/1 </t>
  </si>
  <si>
    <t xml:space="preserve">NA Order No
Valid Up to: </t>
  </si>
  <si>
    <t>Plot - 120</t>
  </si>
  <si>
    <t>As per RERA - 31/12/2028</t>
  </si>
  <si>
    <t>Health Club, Golf Club, Curated Gardens, Vitrified tiles flooring, Granite Kitchen Platform, Decorative Entrance, Landscaping &amp; Garden etc.</t>
  </si>
  <si>
    <r>
      <t xml:space="preserve">Proposed Amenities :                                                                                                                                                                                                                         </t>
    </r>
    <r>
      <rPr>
        <b/>
        <sz val="12"/>
        <rFont val="Times New Roman"/>
        <family val="1"/>
      </rPr>
      <t xml:space="preserve">                                               </t>
    </r>
  </si>
  <si>
    <t>Plots</t>
  </si>
  <si>
    <t>33 (Services)</t>
  </si>
  <si>
    <t>Terrace Area</t>
  </si>
  <si>
    <t>Work not yet Started.</t>
  </si>
  <si>
    <t>Mr. Nitesh Patil</t>
  </si>
  <si>
    <t>Shedung</t>
  </si>
  <si>
    <t>OK</t>
  </si>
  <si>
    <t>Permissible Built
up Area on Basic
FSI = Plot Area * 1.554 *1.1</t>
  </si>
  <si>
    <t>Recommended Rate of Plot Per Sq. Ft.</t>
  </si>
  <si>
    <t>We considered Plot area as per approved plan.</t>
  </si>
  <si>
    <t>m</t>
  </si>
  <si>
    <t>Common area amenities and facilities development charges Per Sq. Ft.</t>
  </si>
  <si>
    <t>Basic Infrastructure Charges Per Sq. Ft.</t>
  </si>
  <si>
    <t>Corpus Fund</t>
  </si>
  <si>
    <t>On Plot Area</t>
  </si>
  <si>
    <t>Please check for NA order before any disbursement.</t>
  </si>
  <si>
    <t>Tax Paid for conversion of land to Non Agriculture use letter No.
Valid Up to:</t>
  </si>
  <si>
    <t>MSA/JAMNBAB/KT.1/10307/KDP/YR/TALEGAON/2024/8250</t>
  </si>
  <si>
    <t>Survey No. 1/2, 1/2, 1/3, 2/4, 23/2, 55/1, 55/2 = 38500sqmt</t>
  </si>
  <si>
    <t>Approved Layout Plan, Tax Paid for conversion of land to Non Agriculture use letter</t>
  </si>
  <si>
    <t>Total Plot Area</t>
  </si>
  <si>
    <t>Shruti Fule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</si>
</sst>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sz val="11"/>
      <color theme="1"/>
      <name val="Calibri"/>
      <family val="2"/>
    </font>
    <font>
      <sz val="1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1" fontId="15" fillId="0" borderId="1" xfId="1" applyNumberFormat="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164" fontId="7" fillId="0" borderId="0" xfId="1" applyNumberFormat="1" applyFont="1"/>
    <xf numFmtId="1" fontId="8" fillId="0" borderId="3"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6" fillId="0" borderId="17"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0" fontId="8" fillId="0" borderId="0" xfId="1" applyFont="1" applyAlignment="1" applyProtection="1">
      <alignment horizontal="center" vertical="top" wrapText="1"/>
      <protection locked="0"/>
    </xf>
    <xf numFmtId="0" fontId="25" fillId="0" borderId="0" xfId="0" applyFont="1"/>
    <xf numFmtId="0" fontId="12" fillId="0" borderId="0" xfId="1" applyFont="1" applyAlignment="1" applyProtection="1">
      <alignment horizontal="center" vertical="top"/>
      <protection locked="0"/>
    </xf>
    <xf numFmtId="0" fontId="15" fillId="0" borderId="0" xfId="1" applyFont="1" applyAlignment="1" applyProtection="1">
      <alignment horizontal="center" vertical="top"/>
      <protection locked="0"/>
    </xf>
    <xf numFmtId="0" fontId="6" fillId="0" borderId="0" xfId="1" applyFont="1" applyAlignment="1" applyProtection="1">
      <alignment horizontal="center" vertical="top"/>
      <protection locked="0"/>
    </xf>
    <xf numFmtId="0" fontId="13" fillId="0" borderId="0" xfId="1" applyFont="1" applyAlignment="1" applyProtection="1">
      <alignment vertical="top"/>
      <protection locked="0"/>
    </xf>
    <xf numFmtId="0" fontId="13" fillId="0" borderId="0" xfId="1" applyFont="1" applyAlignment="1" applyProtection="1">
      <alignment horizontal="center" vertical="top" wrapText="1"/>
      <protection locked="0"/>
    </xf>
    <xf numFmtId="0" fontId="13" fillId="0" borderId="0" xfId="1" applyFont="1" applyAlignment="1" applyProtection="1">
      <alignment vertical="top" wrapText="1"/>
      <protection locked="0"/>
    </xf>
    <xf numFmtId="0" fontId="7" fillId="0" borderId="0" xfId="1" applyFont="1" applyAlignment="1" applyProtection="1">
      <alignment vertical="top" wrapText="1"/>
      <protection locked="0"/>
    </xf>
    <xf numFmtId="0" fontId="7" fillId="0" borderId="0" xfId="1" applyFont="1" applyAlignment="1" applyProtection="1">
      <alignment horizontal="center" vertical="top" wrapText="1"/>
      <protection locked="0"/>
    </xf>
    <xf numFmtId="9" fontId="7" fillId="0" borderId="0" xfId="8" applyFont="1" applyFill="1" applyBorder="1" applyAlignment="1" applyProtection="1">
      <alignment vertical="center" wrapText="1"/>
      <protection locked="0"/>
    </xf>
    <xf numFmtId="0" fontId="16" fillId="0" borderId="3" xfId="0" applyFont="1" applyBorder="1" applyAlignment="1">
      <alignment horizontal="center" vertical="top" wrapText="1"/>
    </xf>
    <xf numFmtId="0" fontId="16" fillId="0" borderId="3" xfId="0" applyFont="1" applyBorder="1" applyAlignment="1">
      <alignment horizontal="left" vertical="top" wrapText="1"/>
    </xf>
    <xf numFmtId="0" fontId="7" fillId="0" borderId="32" xfId="1" applyFont="1" applyBorder="1" applyAlignment="1" applyProtection="1">
      <alignment vertical="top" wrapText="1"/>
      <protection locked="0"/>
    </xf>
    <xf numFmtId="0" fontId="7" fillId="0" borderId="33" xfId="1" applyFont="1" applyBorder="1" applyAlignment="1" applyProtection="1">
      <alignment vertical="top" wrapText="1"/>
      <protection locked="0"/>
    </xf>
    <xf numFmtId="0" fontId="7" fillId="0" borderId="3" xfId="1" applyFont="1" applyBorder="1" applyAlignment="1" applyProtection="1">
      <alignment vertical="top" wrapText="1"/>
      <protection locked="0"/>
    </xf>
    <xf numFmtId="0" fontId="16" fillId="0" borderId="1" xfId="0" applyFont="1" applyBorder="1" applyAlignment="1">
      <alignment horizontal="center" vertical="top" wrapText="1"/>
    </xf>
    <xf numFmtId="9" fontId="7" fillId="0" borderId="1" xfId="8" applyFont="1" applyFill="1" applyBorder="1" applyAlignment="1" applyProtection="1">
      <alignment horizontal="center" vertical="center" wrapText="1"/>
      <protection locked="0"/>
    </xf>
    <xf numFmtId="0" fontId="25" fillId="2" borderId="1" xfId="0" applyFont="1" applyFill="1" applyBorder="1"/>
    <xf numFmtId="0" fontId="7" fillId="0" borderId="1" xfId="1" applyFont="1" applyBorder="1"/>
    <xf numFmtId="0" fontId="18" fillId="0" borderId="1" xfId="0" applyFont="1" applyBorder="1" applyProtection="1">
      <protection hidden="1"/>
    </xf>
    <xf numFmtId="1" fontId="0" fillId="0" borderId="1" xfId="0" applyNumberFormat="1" applyBorder="1"/>
    <xf numFmtId="1" fontId="0" fillId="0" borderId="1" xfId="0" applyNumberFormat="1" applyBorder="1" applyAlignment="1">
      <alignment horizontal="right"/>
    </xf>
    <xf numFmtId="0" fontId="25" fillId="0" borderId="1" xfId="0" applyFont="1" applyBorder="1"/>
    <xf numFmtId="0" fontId="30" fillId="0" borderId="1" xfId="0" applyFont="1" applyBorder="1" applyAlignment="1">
      <alignment horizontal="center" vertical="top" wrapText="1"/>
    </xf>
    <xf numFmtId="0" fontId="4" fillId="0" borderId="8" xfId="1" applyFont="1" applyBorder="1" applyAlignment="1" applyProtection="1">
      <alignment horizontal="center" vertical="top" wrapText="1"/>
      <protection locked="0"/>
    </xf>
    <xf numFmtId="0" fontId="4" fillId="0" borderId="16" xfId="1" applyFont="1" applyBorder="1" applyAlignment="1" applyProtection="1">
      <alignment horizontal="center" vertical="top" wrapText="1"/>
      <protection locked="0"/>
    </xf>
    <xf numFmtId="0" fontId="6" fillId="0" borderId="16" xfId="1" applyFont="1" applyBorder="1" applyAlignment="1" applyProtection="1">
      <alignment horizontal="center" vertical="top" wrapText="1"/>
      <protection locked="0"/>
    </xf>
    <xf numFmtId="9" fontId="12" fillId="0" borderId="16" xfId="1" applyNumberFormat="1" applyFont="1" applyBorder="1" applyAlignment="1" applyProtection="1">
      <alignment horizontal="center" vertical="top" wrapText="1"/>
      <protection locked="0"/>
    </xf>
    <xf numFmtId="0" fontId="20" fillId="0" borderId="1" xfId="0" applyFont="1" applyBorder="1"/>
    <xf numFmtId="0" fontId="32" fillId="0" borderId="1" xfId="0" applyFont="1" applyBorder="1"/>
    <xf numFmtId="0" fontId="7" fillId="0" borderId="0" xfId="1" applyFont="1" applyAlignment="1">
      <alignment horizontal="center" vertical="center"/>
    </xf>
    <xf numFmtId="1" fontId="8" fillId="0" borderId="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15" fillId="0" borderId="0" xfId="1" applyNumberFormat="1" applyFont="1" applyAlignment="1">
      <alignment horizontal="left" vertical="center" wrapText="1"/>
    </xf>
    <xf numFmtId="0" fontId="7" fillId="0" borderId="1" xfId="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4" fillId="0" borderId="8" xfId="1" applyNumberFormat="1" applyFont="1" applyBorder="1" applyAlignment="1" applyProtection="1">
      <alignment horizontal="center" vertical="center" wrapText="1"/>
      <protection locked="0"/>
    </xf>
    <xf numFmtId="1" fontId="4" fillId="0" borderId="9"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0" fillId="0" borderId="1" xfId="1" applyFont="1" applyBorder="1" applyAlignment="1">
      <alignment horizontal="left" vertical="top"/>
    </xf>
    <xf numFmtId="0" fontId="33" fillId="0" borderId="8" xfId="1" applyFont="1" applyBorder="1" applyAlignment="1" applyProtection="1">
      <alignment horizontal="left" vertical="top" wrapText="1"/>
      <protection locked="0"/>
    </xf>
    <xf numFmtId="0" fontId="33" fillId="0" borderId="21" xfId="1" applyFont="1" applyBorder="1" applyAlignment="1" applyProtection="1">
      <alignment horizontal="left" vertical="top" wrapText="1"/>
      <protection locked="0"/>
    </xf>
    <xf numFmtId="0" fontId="33" fillId="0" borderId="9"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7" fillId="0" borderId="8" xfId="1" applyFont="1" applyBorder="1" applyAlignment="1" applyProtection="1">
      <alignment horizontal="center" vertical="top" wrapText="1"/>
      <protection locked="0"/>
    </xf>
    <xf numFmtId="0" fontId="7" fillId="0" borderId="21" xfId="1" applyFont="1" applyBorder="1" applyAlignment="1" applyProtection="1">
      <alignment horizontal="center" vertical="top" wrapText="1"/>
      <protection locked="0"/>
    </xf>
    <xf numFmtId="0" fontId="7" fillId="0" borderId="9" xfId="1" applyFont="1" applyBorder="1" applyAlignment="1" applyProtection="1">
      <alignment horizontal="center" vertical="top" wrapText="1"/>
      <protection locked="0"/>
    </xf>
    <xf numFmtId="0" fontId="15" fillId="0" borderId="19"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20" xfId="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5" fillId="0" borderId="17" xfId="1" applyFont="1" applyBorder="1" applyAlignment="1" applyProtection="1">
      <alignment horizontal="left" vertical="top"/>
      <protection locked="0"/>
    </xf>
    <xf numFmtId="0" fontId="15" fillId="0" borderId="24" xfId="1" applyFont="1" applyBorder="1" applyAlignment="1" applyProtection="1">
      <alignment horizontal="left" vertical="top"/>
      <protection locked="0"/>
    </xf>
    <xf numFmtId="0" fontId="15" fillId="0" borderId="18" xfId="1" applyFont="1" applyBorder="1" applyAlignment="1" applyProtection="1">
      <alignment horizontal="left" vertical="top"/>
      <protection locked="0"/>
    </xf>
    <xf numFmtId="0" fontId="15" fillId="0" borderId="25" xfId="1" applyFont="1" applyBorder="1" applyAlignment="1" applyProtection="1">
      <alignment horizontal="left" vertical="top"/>
      <protection locked="0"/>
    </xf>
    <xf numFmtId="0" fontId="15" fillId="0" borderId="0" xfId="1" applyFont="1" applyAlignment="1" applyProtection="1">
      <alignment horizontal="left" vertical="top"/>
      <protection locked="0"/>
    </xf>
    <xf numFmtId="0" fontId="15" fillId="0" borderId="26"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0" fontId="8" fillId="0" borderId="16" xfId="1" applyFont="1" applyBorder="1" applyAlignment="1" applyProtection="1">
      <alignment horizontal="center" vertical="top"/>
      <protection locked="0"/>
    </xf>
    <xf numFmtId="1" fontId="6" fillId="0" borderId="2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1" fontId="4" fillId="0" borderId="8" xfId="1" applyNumberFormat="1" applyFont="1" applyBorder="1" applyAlignment="1" applyProtection="1">
      <alignment horizontal="center" vertical="top" wrapText="1"/>
      <protection locked="0"/>
    </xf>
    <xf numFmtId="1" fontId="4" fillId="0" borderId="9"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12" fillId="0" borderId="1" xfId="0" applyFont="1" applyFill="1" applyBorder="1" applyAlignment="1">
      <alignment horizontal="center" vertical="top" wrapText="1"/>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center"/>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5" fillId="0" borderId="3" xfId="1" applyFont="1" applyBorder="1" applyAlignment="1" applyProtection="1">
      <alignment horizontal="left" vertical="top" wrapText="1"/>
      <protection locked="0"/>
    </xf>
    <xf numFmtId="0" fontId="15" fillId="0" borderId="3" xfId="1" applyFont="1" applyBorder="1" applyAlignment="1" applyProtection="1">
      <alignment horizontal="left" vertical="top"/>
      <protection locked="0"/>
    </xf>
    <xf numFmtId="0" fontId="12" fillId="0" borderId="18"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0" fontId="16" fillId="0" borderId="17" xfId="0" applyFont="1" applyBorder="1" applyAlignment="1">
      <alignment horizontal="center" vertical="top" wrapText="1"/>
    </xf>
    <xf numFmtId="0" fontId="16" fillId="0" borderId="18" xfId="0" applyFont="1" applyBorder="1" applyAlignment="1">
      <alignment horizontal="center" vertical="top" wrapText="1"/>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png"/><Relationship Id="rId5" Type="http://schemas.openxmlformats.org/officeDocument/2006/relationships/image" Target="../media/image5.jp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8</xdr:col>
      <xdr:colOff>981075</xdr:colOff>
      <xdr:row>306</xdr:row>
      <xdr:rowOff>76200</xdr:rowOff>
    </xdr:from>
    <xdr:to>
      <xdr:col>16</xdr:col>
      <xdr:colOff>390524</xdr:colOff>
      <xdr:row>344</xdr:row>
      <xdr:rowOff>198967</xdr:rowOff>
    </xdr:to>
    <xdr:grpSp>
      <xdr:nvGrpSpPr>
        <xdr:cNvPr id="15" name="Group 14"/>
        <xdr:cNvGrpSpPr/>
      </xdr:nvGrpSpPr>
      <xdr:grpSpPr>
        <a:xfrm>
          <a:off x="7872693" y="48508024"/>
          <a:ext cx="6670860" cy="7776384"/>
          <a:chOff x="323624" y="1293744"/>
          <a:chExt cx="6181724" cy="7714192"/>
        </a:xfrm>
      </xdr:grpSpPr>
      <xdr:grpSp>
        <xdr:nvGrpSpPr>
          <xdr:cNvPr id="16" name="Group 15"/>
          <xdr:cNvGrpSpPr/>
        </xdr:nvGrpSpPr>
        <xdr:grpSpPr>
          <a:xfrm>
            <a:off x="746120" y="7059124"/>
            <a:ext cx="5365759" cy="1948812"/>
            <a:chOff x="746120" y="6489775"/>
            <a:chExt cx="5365759" cy="1948812"/>
          </a:xfrm>
        </xdr:grpSpPr>
        <xdr:pic>
          <xdr:nvPicPr>
            <xdr:cNvPr id="25" name="Picture 2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2857823" y="6489775"/>
              <a:ext cx="1142353" cy="1948812"/>
            </a:xfrm>
            <a:prstGeom prst="rect">
              <a:avLst/>
            </a:prstGeom>
            <a:ln>
              <a:solidFill>
                <a:schemeClr val="tx1"/>
              </a:solidFill>
            </a:ln>
          </xdr:spPr>
        </xdr:pic>
        <xdr:pic>
          <xdr:nvPicPr>
            <xdr:cNvPr id="26" name="Picture 2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4081029" y="6489775"/>
              <a:ext cx="2030850" cy="1948812"/>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46120" y="6489775"/>
              <a:ext cx="2030850" cy="1948812"/>
            </a:xfrm>
            <a:prstGeom prst="rect">
              <a:avLst/>
            </a:prstGeom>
            <a:ln>
              <a:solidFill>
                <a:schemeClr val="tx1"/>
              </a:solidFill>
            </a:ln>
          </xdr:spPr>
        </xdr:pic>
      </xdr:grpSp>
      <xdr:grpSp>
        <xdr:nvGrpSpPr>
          <xdr:cNvPr id="17" name="Group 16"/>
          <xdr:cNvGrpSpPr/>
        </xdr:nvGrpSpPr>
        <xdr:grpSpPr>
          <a:xfrm>
            <a:off x="746120" y="4176435"/>
            <a:ext cx="5365759" cy="2728337"/>
            <a:chOff x="746120" y="3658845"/>
            <a:chExt cx="5365759" cy="2728337"/>
          </a:xfrm>
        </xdr:grpSpPr>
        <xdr:pic>
          <xdr:nvPicPr>
            <xdr:cNvPr id="22" name="Picture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857823" y="3658845"/>
              <a:ext cx="1142353" cy="2728337"/>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4081029" y="3658845"/>
              <a:ext cx="2030850" cy="2728337"/>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746120" y="3658845"/>
              <a:ext cx="2030850" cy="2728337"/>
            </a:xfrm>
            <a:prstGeom prst="rect">
              <a:avLst/>
            </a:prstGeom>
            <a:ln>
              <a:solidFill>
                <a:schemeClr val="tx1"/>
              </a:solidFill>
            </a:ln>
          </xdr:spPr>
        </xdr:pic>
      </xdr:grpSp>
      <xdr:grpSp>
        <xdr:nvGrpSpPr>
          <xdr:cNvPr id="18" name="Group 17"/>
          <xdr:cNvGrpSpPr/>
        </xdr:nvGrpSpPr>
        <xdr:grpSpPr>
          <a:xfrm>
            <a:off x="323624" y="1293744"/>
            <a:ext cx="6181724" cy="2728337"/>
            <a:chOff x="323624" y="827915"/>
            <a:chExt cx="6181724" cy="2728337"/>
          </a:xfrm>
        </xdr:grpSpPr>
        <xdr:pic>
          <xdr:nvPicPr>
            <xdr:cNvPr id="19" name="Picture 18"/>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323624" y="827915"/>
              <a:ext cx="2030850" cy="2726318"/>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2399061" y="827915"/>
              <a:ext cx="2030850" cy="2728337"/>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4474498" y="827915"/>
              <a:ext cx="2030850" cy="2728337"/>
            </a:xfrm>
            <a:prstGeom prst="rect">
              <a:avLst/>
            </a:prstGeom>
            <a:ln>
              <a:solidFill>
                <a:schemeClr val="tx1"/>
              </a:solidFill>
            </a:ln>
          </xdr:spPr>
        </xdr:pic>
      </xdr:grpSp>
    </xdr:grpSp>
    <xdr:clientData/>
  </xdr:twoCellAnchor>
  <xdr:twoCellAnchor>
    <xdr:from>
      <xdr:col>0</xdr:col>
      <xdr:colOff>85725</xdr:colOff>
      <xdr:row>350</xdr:row>
      <xdr:rowOff>95250</xdr:rowOff>
    </xdr:from>
    <xdr:to>
      <xdr:col>7</xdr:col>
      <xdr:colOff>685800</xdr:colOff>
      <xdr:row>377</xdr:row>
      <xdr:rowOff>24801</xdr:rowOff>
    </xdr:to>
    <xdr:grpSp>
      <xdr:nvGrpSpPr>
        <xdr:cNvPr id="45" name="Group 44"/>
        <xdr:cNvGrpSpPr/>
      </xdr:nvGrpSpPr>
      <xdr:grpSpPr>
        <a:xfrm>
          <a:off x="85725" y="57390926"/>
          <a:ext cx="6696075" cy="5375610"/>
          <a:chOff x="0" y="0"/>
          <a:chExt cx="6881813" cy="3167879"/>
        </a:xfrm>
      </xdr:grpSpPr>
      <xdr:pic>
        <xdr:nvPicPr>
          <xdr:cNvPr id="46" name="Picture 4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0" y="0"/>
            <a:ext cx="6858000" cy="3167879"/>
          </a:xfrm>
          <a:prstGeom prst="rect">
            <a:avLst/>
          </a:prstGeom>
          <a:ln>
            <a:solidFill>
              <a:schemeClr val="tx1"/>
            </a:solidFill>
          </a:ln>
        </xdr:spPr>
      </xdr:pic>
      <xdr:cxnSp macro="">
        <xdr:nvCxnSpPr>
          <xdr:cNvPr id="47" name="Straight Arrow Connector 46"/>
          <xdr:cNvCxnSpPr/>
        </xdr:nvCxnSpPr>
        <xdr:spPr>
          <a:xfrm flipH="1" flipV="1">
            <a:off x="6272214" y="1632551"/>
            <a:ext cx="257174" cy="6766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8" name="TextBox 30"/>
          <xdr:cNvSpPr txBox="1"/>
        </xdr:nvSpPr>
        <xdr:spPr>
          <a:xfrm>
            <a:off x="6302808" y="1666382"/>
            <a:ext cx="579005"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b="1">
                <a:solidFill>
                  <a:srgbClr val="FF0000"/>
                </a:solidFill>
              </a:rPr>
              <a:t>Plot No. 111</a:t>
            </a:r>
            <a:endParaRPr lang="en-IN" sz="600" b="1">
              <a:solidFill>
                <a:srgbClr val="FF0000"/>
              </a:solidFill>
            </a:endParaRPr>
          </a:p>
        </xdr:txBody>
      </xdr:sp>
      <xdr:cxnSp macro="">
        <xdr:nvCxnSpPr>
          <xdr:cNvPr id="49" name="Straight Arrow Connector 48"/>
          <xdr:cNvCxnSpPr>
            <a:stCxn id="50" idx="2"/>
          </xdr:cNvCxnSpPr>
        </xdr:nvCxnSpPr>
        <xdr:spPr>
          <a:xfrm flipH="1">
            <a:off x="3348041" y="703285"/>
            <a:ext cx="358009" cy="1148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0" name="TextBox 32"/>
          <xdr:cNvSpPr txBox="1"/>
        </xdr:nvSpPr>
        <xdr:spPr>
          <a:xfrm>
            <a:off x="3435783" y="518619"/>
            <a:ext cx="540533"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b="1">
                <a:solidFill>
                  <a:srgbClr val="FF0000"/>
                </a:solidFill>
              </a:rPr>
              <a:t>Plot No. 49</a:t>
            </a:r>
            <a:endParaRPr lang="en-IN" sz="600" b="1">
              <a:solidFill>
                <a:srgbClr val="FF0000"/>
              </a:solidFill>
            </a:endParaRPr>
          </a:p>
        </xdr:txBody>
      </xdr:sp>
      <xdr:cxnSp macro="">
        <xdr:nvCxnSpPr>
          <xdr:cNvPr id="51" name="Straight Arrow Connector 50"/>
          <xdr:cNvCxnSpPr>
            <a:stCxn id="52" idx="2"/>
          </xdr:cNvCxnSpPr>
        </xdr:nvCxnSpPr>
        <xdr:spPr>
          <a:xfrm flipH="1">
            <a:off x="4691066" y="703285"/>
            <a:ext cx="358009" cy="1148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2" name="TextBox 16"/>
          <xdr:cNvSpPr txBox="1"/>
        </xdr:nvSpPr>
        <xdr:spPr>
          <a:xfrm>
            <a:off x="4778808" y="518619"/>
            <a:ext cx="540533"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b="1">
                <a:solidFill>
                  <a:srgbClr val="FF0000"/>
                </a:solidFill>
              </a:rPr>
              <a:t>Plot No. 73</a:t>
            </a:r>
            <a:endParaRPr lang="en-IN" sz="600" b="1">
              <a:solidFill>
                <a:srgbClr val="FF0000"/>
              </a:solidFill>
            </a:endParaRPr>
          </a:p>
        </xdr:txBody>
      </xdr:sp>
      <xdr:cxnSp macro="">
        <xdr:nvCxnSpPr>
          <xdr:cNvPr id="53" name="Straight Arrow Connector 52"/>
          <xdr:cNvCxnSpPr>
            <a:stCxn id="54" idx="2"/>
          </xdr:cNvCxnSpPr>
        </xdr:nvCxnSpPr>
        <xdr:spPr>
          <a:xfrm flipH="1">
            <a:off x="1658943" y="209079"/>
            <a:ext cx="358007" cy="1148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4" name="TextBox 18"/>
          <xdr:cNvSpPr txBox="1"/>
        </xdr:nvSpPr>
        <xdr:spPr>
          <a:xfrm>
            <a:off x="1746683" y="24413"/>
            <a:ext cx="540533"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b="1">
                <a:solidFill>
                  <a:srgbClr val="FF0000"/>
                </a:solidFill>
              </a:rPr>
              <a:t>Plot No. 44</a:t>
            </a:r>
            <a:endParaRPr lang="en-IN" sz="600" b="1">
              <a:solidFill>
                <a:srgbClr val="FF0000"/>
              </a:solidFill>
            </a:endParaRPr>
          </a:p>
        </xdr:txBody>
      </xdr:sp>
      <xdr:cxnSp macro="">
        <xdr:nvCxnSpPr>
          <xdr:cNvPr id="55" name="Straight Arrow Connector 54"/>
          <xdr:cNvCxnSpPr>
            <a:stCxn id="56" idx="2"/>
          </xdr:cNvCxnSpPr>
        </xdr:nvCxnSpPr>
        <xdr:spPr>
          <a:xfrm flipH="1">
            <a:off x="2719767" y="2247429"/>
            <a:ext cx="358007" cy="1148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6" name="TextBox 21"/>
          <xdr:cNvSpPr txBox="1"/>
        </xdr:nvSpPr>
        <xdr:spPr>
          <a:xfrm>
            <a:off x="2807507" y="2062763"/>
            <a:ext cx="540533"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b="1">
                <a:solidFill>
                  <a:srgbClr val="FF0000"/>
                </a:solidFill>
              </a:rPr>
              <a:t>Plot No. 12</a:t>
            </a:r>
            <a:endParaRPr lang="en-IN" sz="600" b="1">
              <a:solidFill>
                <a:srgbClr val="FF0000"/>
              </a:solidFill>
            </a:endParaRPr>
          </a:p>
        </xdr:txBody>
      </xdr:sp>
      <xdr:cxnSp macro="">
        <xdr:nvCxnSpPr>
          <xdr:cNvPr id="57" name="Straight Arrow Connector 56"/>
          <xdr:cNvCxnSpPr>
            <a:stCxn id="58" idx="2"/>
          </xdr:cNvCxnSpPr>
        </xdr:nvCxnSpPr>
        <xdr:spPr>
          <a:xfrm flipH="1">
            <a:off x="5831267" y="2825279"/>
            <a:ext cx="377243" cy="11487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8" name="TextBox 24"/>
          <xdr:cNvSpPr txBox="1"/>
        </xdr:nvSpPr>
        <xdr:spPr>
          <a:xfrm>
            <a:off x="5919007" y="2640613"/>
            <a:ext cx="579005"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b="1">
                <a:solidFill>
                  <a:srgbClr val="FF0000"/>
                </a:solidFill>
              </a:rPr>
              <a:t>Plot No. 120</a:t>
            </a:r>
            <a:endParaRPr lang="en-IN" sz="600" b="1">
              <a:solidFill>
                <a:srgbClr val="FF0000"/>
              </a:solidFill>
            </a:endParaRPr>
          </a:p>
        </xdr:txBody>
      </xdr:sp>
      <xdr:cxnSp macro="">
        <xdr:nvCxnSpPr>
          <xdr:cNvPr id="59" name="Straight Arrow Connector 58"/>
          <xdr:cNvCxnSpPr>
            <a:stCxn id="60" idx="0"/>
          </xdr:cNvCxnSpPr>
        </xdr:nvCxnSpPr>
        <xdr:spPr>
          <a:xfrm flipH="1" flipV="1">
            <a:off x="4222751" y="2606676"/>
            <a:ext cx="23832" cy="24114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0" name="TextBox 26"/>
          <xdr:cNvSpPr txBox="1"/>
        </xdr:nvSpPr>
        <xdr:spPr>
          <a:xfrm>
            <a:off x="3976316" y="2847824"/>
            <a:ext cx="540533"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600" b="1">
                <a:solidFill>
                  <a:srgbClr val="FF0000"/>
                </a:solidFill>
              </a:rPr>
              <a:t>Plot No. 83</a:t>
            </a:r>
            <a:endParaRPr lang="en-IN" sz="600" b="1">
              <a:solidFill>
                <a:srgbClr val="FF0000"/>
              </a:solidFill>
            </a:endParaRPr>
          </a:p>
        </xdr:txBody>
      </xdr:sp>
      <xdr:pic>
        <xdr:nvPicPr>
          <xdr:cNvPr id="61" name="Picture 6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56132" y="2247428"/>
            <a:ext cx="785061" cy="785061"/>
          </a:xfrm>
          <a:prstGeom prst="rect">
            <a:avLst/>
          </a:prstGeom>
        </xdr:spPr>
      </xdr:pic>
    </xdr:grpSp>
    <xdr:clientData/>
  </xdr:twoCellAnchor>
  <xdr:twoCellAnchor>
    <xdr:from>
      <xdr:col>0</xdr:col>
      <xdr:colOff>285750</xdr:colOff>
      <xdr:row>394</xdr:row>
      <xdr:rowOff>85725</xdr:rowOff>
    </xdr:from>
    <xdr:to>
      <xdr:col>7</xdr:col>
      <xdr:colOff>477371</xdr:colOff>
      <xdr:row>428</xdr:row>
      <xdr:rowOff>190500</xdr:rowOff>
    </xdr:to>
    <xdr:grpSp>
      <xdr:nvGrpSpPr>
        <xdr:cNvPr id="62" name="Group 61"/>
        <xdr:cNvGrpSpPr/>
      </xdr:nvGrpSpPr>
      <xdr:grpSpPr>
        <a:xfrm>
          <a:off x="285750" y="66256460"/>
          <a:ext cx="6287621" cy="6962775"/>
          <a:chOff x="1089000" y="685800"/>
          <a:chExt cx="4680000" cy="6046445"/>
        </a:xfrm>
      </xdr:grpSpPr>
      <xdr:pic>
        <xdr:nvPicPr>
          <xdr:cNvPr id="63" name="Picture 62"/>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a:ext>
            </a:extLst>
          </a:blip>
          <a:srcRect/>
          <a:stretch/>
        </xdr:blipFill>
        <xdr:spPr>
          <a:xfrm>
            <a:off x="1089000" y="685800"/>
            <a:ext cx="4680000" cy="3321531"/>
          </a:xfrm>
          <a:prstGeom prst="rect">
            <a:avLst/>
          </a:prstGeom>
          <a:ln>
            <a:solidFill>
              <a:schemeClr val="tx1"/>
            </a:solidFill>
          </a:ln>
        </xdr:spPr>
      </xdr:pic>
      <xdr:pic>
        <xdr:nvPicPr>
          <xdr:cNvPr id="64" name="Picture 63"/>
          <xdr:cNvPicPr>
            <a:picLocks noChangeAspect="1"/>
          </xdr:cNvPicPr>
        </xdr:nvPicPr>
        <xdr:blipFill rotWithShape="1">
          <a:blip xmlns:r="http://schemas.openxmlformats.org/officeDocument/2006/relationships" r:embed="rId13"/>
          <a:srcRect l="354" t="8267" r="10756" b="9543"/>
          <a:stretch/>
        </xdr:blipFill>
        <xdr:spPr>
          <a:xfrm>
            <a:off x="1089000" y="4133848"/>
            <a:ext cx="4680000" cy="2598397"/>
          </a:xfrm>
          <a:prstGeom prst="rect">
            <a:avLst/>
          </a:prstGeom>
          <a:ln>
            <a:solidFill>
              <a:schemeClr val="tx1"/>
            </a:solidFill>
          </a:ln>
        </xdr:spPr>
      </xdr:pic>
    </xdr:grpSp>
    <xdr:clientData/>
  </xdr:twoCellAnchor>
  <xdr:twoCellAnchor>
    <xdr:from>
      <xdr:col>0</xdr:col>
      <xdr:colOff>247650</xdr:colOff>
      <xdr:row>306</xdr:row>
      <xdr:rowOff>9525</xdr:rowOff>
    </xdr:from>
    <xdr:to>
      <xdr:col>7</xdr:col>
      <xdr:colOff>492022</xdr:colOff>
      <xdr:row>339</xdr:row>
      <xdr:rowOff>135144</xdr:rowOff>
    </xdr:to>
    <xdr:grpSp>
      <xdr:nvGrpSpPr>
        <xdr:cNvPr id="2" name="Group 1"/>
        <xdr:cNvGrpSpPr/>
      </xdr:nvGrpSpPr>
      <xdr:grpSpPr>
        <a:xfrm>
          <a:off x="247650" y="48441349"/>
          <a:ext cx="6340372" cy="6770707"/>
          <a:chOff x="247650" y="48091725"/>
          <a:chExt cx="5892697" cy="6716919"/>
        </a:xfrm>
      </xdr:grpSpPr>
      <xdr:pic>
        <xdr:nvPicPr>
          <xdr:cNvPr id="41" name="Picture 40" descr="insp-240441-1525.jpg (719×960)"/>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3264347" y="52648644"/>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insp-240441-843.jpg (719×540)"/>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47650" y="48091725"/>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insp-240441-847.jpg (719×960)"/>
          <xdr:cNvPicPr>
            <a:picLocks noChangeAspect="1" noChangeArrowheads="1"/>
          </xdr:cNvPicPr>
        </xdr:nvPicPr>
        <xdr:blipFill>
          <a:blip xmlns:r="http://schemas.openxmlformats.org/officeDocument/2006/relationships" r:embed="rId16" cstate="screen">
            <a:extLst>
              <a:ext uri="{28A0092B-C50C-407E-A947-70E740481C1C}">
                <a14:useLocalDpi xmlns:a14="http://schemas.microsoft.com/office/drawing/2010/main"/>
              </a:ext>
            </a:extLst>
          </a:blip>
          <a:srcRect/>
          <a:stretch>
            <a:fillRect/>
          </a:stretch>
        </xdr:blipFill>
        <xdr:spPr bwMode="auto">
          <a:xfrm>
            <a:off x="1505901" y="52648644"/>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insp-240441-849.jpg (719×540)"/>
          <xdr:cNvPicPr>
            <a:picLocks noChangeAspect="1" noChangeArrowheads="1"/>
          </xdr:cNvPicPr>
        </xdr:nvPicPr>
        <xdr:blipFill>
          <a:blip xmlns:r="http://schemas.openxmlformats.org/officeDocument/2006/relationships" r:embed="rId17" cstate="screen">
            <a:extLst>
              <a:ext uri="{28A0092B-C50C-407E-A947-70E740481C1C}">
                <a14:useLocalDpi xmlns:a14="http://schemas.microsoft.com/office/drawing/2010/main"/>
              </a:ext>
            </a:extLst>
          </a:blip>
          <a:srcRect/>
          <a:stretch>
            <a:fillRect/>
          </a:stretch>
        </xdr:blipFill>
        <xdr:spPr bwMode="auto">
          <a:xfrm>
            <a:off x="3264347" y="50361938"/>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insp-240441-851.jpg (719×540)"/>
          <xdr:cNvPicPr>
            <a:picLocks noChangeAspect="1" noChangeArrowheads="1"/>
          </xdr:cNvPicPr>
        </xdr:nvPicPr>
        <xdr:blipFill>
          <a:blip xmlns:r="http://schemas.openxmlformats.org/officeDocument/2006/relationships" r:embed="rId18" cstate="screen">
            <a:extLst>
              <a:ext uri="{28A0092B-C50C-407E-A947-70E740481C1C}">
                <a14:useLocalDpi xmlns:a14="http://schemas.microsoft.com/office/drawing/2010/main"/>
              </a:ext>
            </a:extLst>
          </a:blip>
          <a:srcRect/>
          <a:stretch>
            <a:fillRect/>
          </a:stretch>
        </xdr:blipFill>
        <xdr:spPr bwMode="auto">
          <a:xfrm>
            <a:off x="3264347" y="48091725"/>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insp-240441-931.jpg (719×540)"/>
          <xdr:cNvPicPr>
            <a:picLocks noChangeAspect="1" noChangeArrowheads="1"/>
          </xdr:cNvPicPr>
        </xdr:nvPicPr>
        <xdr:blipFill>
          <a:blip xmlns:r="http://schemas.openxmlformats.org/officeDocument/2006/relationships" r:embed="rId19" cstate="screen">
            <a:extLst>
              <a:ext uri="{28A0092B-C50C-407E-A947-70E740481C1C}">
                <a14:useLocalDpi xmlns:a14="http://schemas.microsoft.com/office/drawing/2010/main"/>
              </a:ext>
            </a:extLst>
          </a:blip>
          <a:srcRect/>
          <a:stretch>
            <a:fillRect/>
          </a:stretch>
        </xdr:blipFill>
        <xdr:spPr bwMode="auto">
          <a:xfrm>
            <a:off x="247651" y="50361938"/>
            <a:ext cx="2876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xY8RT6TQo4q9pte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93"/>
  <sheetViews>
    <sheetView tabSelected="1" view="pageLayout" topLeftCell="A273" zoomScale="85" zoomScaleNormal="100" zoomScaleSheetLayoutView="100" zoomScalePageLayoutView="85" workbookViewId="0">
      <selection activeCell="L276" sqref="L276:M276"/>
    </sheetView>
  </sheetViews>
  <sheetFormatPr defaultColWidth="9.140625" defaultRowHeight="15.75" x14ac:dyDescent="0.25"/>
  <cols>
    <col min="1" max="1" width="11.42578125" style="40" customWidth="1"/>
    <col min="2" max="2" width="12" style="40" customWidth="1"/>
    <col min="3" max="4" width="12.7109375" style="40" customWidth="1"/>
    <col min="5" max="5" width="11.7109375" style="40" customWidth="1"/>
    <col min="6" max="6" width="13.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20" t="s">
        <v>151</v>
      </c>
      <c r="B1" s="220"/>
      <c r="C1" s="220"/>
      <c r="D1" s="220"/>
      <c r="E1" s="220"/>
      <c r="F1" s="220"/>
      <c r="G1" s="220"/>
      <c r="H1" s="220"/>
    </row>
    <row r="2" spans="1:26" ht="16.5" customHeight="1" x14ac:dyDescent="0.25">
      <c r="A2" s="221" t="s">
        <v>0</v>
      </c>
      <c r="B2" s="221"/>
      <c r="C2" s="221"/>
      <c r="D2" s="221"/>
      <c r="E2" s="221"/>
      <c r="F2" s="221"/>
      <c r="G2" s="221"/>
      <c r="H2" s="221"/>
    </row>
    <row r="3" spans="1:26" x14ac:dyDescent="0.25">
      <c r="A3" s="146" t="s">
        <v>1</v>
      </c>
      <c r="B3" s="146"/>
      <c r="C3" s="146"/>
      <c r="D3" s="146"/>
      <c r="E3" s="146" t="str">
        <f ca="1">TEXT(TODAY(),"DD/MM/YYYY")</f>
        <v>14/07/2025</v>
      </c>
      <c r="F3" s="146"/>
      <c r="G3" s="146"/>
      <c r="H3" s="146"/>
      <c r="K3" s="56" t="s">
        <v>222</v>
      </c>
      <c r="L3" s="54" t="s">
        <v>220</v>
      </c>
      <c r="M3" s="54" t="s">
        <v>225</v>
      </c>
      <c r="N3" s="54" t="s">
        <v>223</v>
      </c>
      <c r="O3" s="54" t="s">
        <v>224</v>
      </c>
      <c r="P3" s="54" t="s">
        <v>226</v>
      </c>
    </row>
    <row r="4" spans="1:26" ht="15" customHeight="1" x14ac:dyDescent="0.25">
      <c r="A4" s="146" t="s">
        <v>219</v>
      </c>
      <c r="B4" s="146"/>
      <c r="C4" s="146"/>
      <c r="D4" s="146"/>
      <c r="E4" s="146" t="s">
        <v>220</v>
      </c>
      <c r="F4" s="146"/>
      <c r="G4" s="146"/>
      <c r="H4" s="146"/>
      <c r="K4" s="53" t="s">
        <v>221</v>
      </c>
      <c r="L4" s="54" t="s">
        <v>159</v>
      </c>
      <c r="M4" s="54" t="s">
        <v>230</v>
      </c>
      <c r="N4" s="54" t="s">
        <v>232</v>
      </c>
      <c r="O4" s="54" t="s">
        <v>234</v>
      </c>
      <c r="P4" s="54"/>
    </row>
    <row r="5" spans="1:26" ht="15" customHeight="1" x14ac:dyDescent="0.25">
      <c r="A5" s="146" t="s">
        <v>2</v>
      </c>
      <c r="B5" s="146"/>
      <c r="C5" s="146"/>
      <c r="D5" s="146"/>
      <c r="E5" s="146" t="s">
        <v>159</v>
      </c>
      <c r="F5" s="146"/>
      <c r="G5" s="146"/>
      <c r="H5" s="146"/>
      <c r="I5" s="21" t="s">
        <v>344</v>
      </c>
      <c r="K5" s="53"/>
      <c r="L5" s="54" t="s">
        <v>227</v>
      </c>
      <c r="M5" s="54" t="s">
        <v>231</v>
      </c>
      <c r="N5" s="54" t="s">
        <v>233</v>
      </c>
      <c r="O5" s="54" t="s">
        <v>235</v>
      </c>
      <c r="P5" s="54"/>
    </row>
    <row r="6" spans="1:26" x14ac:dyDescent="0.25">
      <c r="A6" s="146" t="s">
        <v>3</v>
      </c>
      <c r="B6" s="146"/>
      <c r="C6" s="146"/>
      <c r="D6" s="146"/>
      <c r="E6" s="222">
        <v>45849</v>
      </c>
      <c r="F6" s="146"/>
      <c r="G6" s="146"/>
      <c r="H6" s="146"/>
      <c r="K6" s="53"/>
      <c r="L6" s="54" t="s">
        <v>228</v>
      </c>
      <c r="M6" s="54"/>
      <c r="N6" s="54"/>
      <c r="O6" s="54" t="s">
        <v>236</v>
      </c>
      <c r="P6" s="54"/>
    </row>
    <row r="7" spans="1:26" ht="16.5" customHeight="1" x14ac:dyDescent="0.25">
      <c r="A7" s="146" t="s">
        <v>4</v>
      </c>
      <c r="B7" s="146"/>
      <c r="C7" s="146"/>
      <c r="D7" s="146"/>
      <c r="E7" s="146" t="s">
        <v>309</v>
      </c>
      <c r="F7" s="146"/>
      <c r="G7" s="146"/>
      <c r="H7" s="146"/>
      <c r="K7" s="53"/>
      <c r="L7" s="54" t="s">
        <v>229</v>
      </c>
      <c r="M7" s="54"/>
      <c r="N7" s="54"/>
      <c r="O7" s="54" t="s">
        <v>236</v>
      </c>
      <c r="P7" s="54"/>
    </row>
    <row r="8" spans="1:26" ht="15" customHeight="1" x14ac:dyDescent="0.25">
      <c r="A8" s="146" t="s">
        <v>5</v>
      </c>
      <c r="B8" s="146"/>
      <c r="C8" s="146"/>
      <c r="D8" s="146"/>
      <c r="E8" s="146" t="str">
        <f>E7</f>
        <v>M/s. Godrej Hillside Properties Private Limited</v>
      </c>
      <c r="F8" s="146"/>
      <c r="G8" s="146"/>
      <c r="H8" s="146"/>
      <c r="K8" s="53"/>
      <c r="L8" s="54"/>
      <c r="M8" s="54"/>
      <c r="N8" s="54"/>
      <c r="O8" s="54" t="s">
        <v>237</v>
      </c>
      <c r="P8" s="54"/>
    </row>
    <row r="9" spans="1:26" x14ac:dyDescent="0.25">
      <c r="A9" s="146" t="s">
        <v>6</v>
      </c>
      <c r="B9" s="146"/>
      <c r="C9" s="146"/>
      <c r="D9" s="146"/>
      <c r="E9" s="201" t="s">
        <v>310</v>
      </c>
      <c r="F9" s="201"/>
      <c r="G9" s="201"/>
      <c r="H9" s="201"/>
      <c r="K9" s="53"/>
      <c r="L9" s="54"/>
      <c r="M9" s="54"/>
      <c r="N9" s="54"/>
      <c r="O9" s="54" t="s">
        <v>238</v>
      </c>
      <c r="P9" s="54"/>
    </row>
    <row r="10" spans="1:26" x14ac:dyDescent="0.25">
      <c r="A10" s="146" t="s">
        <v>153</v>
      </c>
      <c r="B10" s="146"/>
      <c r="C10" s="146"/>
      <c r="D10" s="146"/>
      <c r="E10" s="146" t="s">
        <v>311</v>
      </c>
      <c r="F10" s="146"/>
      <c r="G10" s="146"/>
      <c r="H10" s="146"/>
      <c r="K10" s="53"/>
      <c r="L10" s="54"/>
      <c r="M10" s="54"/>
      <c r="N10" s="54"/>
      <c r="O10" s="54"/>
      <c r="P10" s="54"/>
    </row>
    <row r="11" spans="1:26" x14ac:dyDescent="0.25">
      <c r="A11" s="146" t="s">
        <v>154</v>
      </c>
      <c r="B11" s="146"/>
      <c r="C11" s="146"/>
      <c r="D11" s="146"/>
      <c r="E11" s="146" t="s">
        <v>312</v>
      </c>
      <c r="F11" s="146"/>
      <c r="G11" s="146"/>
      <c r="H11" s="146"/>
    </row>
    <row r="12" spans="1:26" x14ac:dyDescent="0.25">
      <c r="A12" s="146" t="s">
        <v>7</v>
      </c>
      <c r="B12" s="146"/>
      <c r="C12" s="146"/>
      <c r="D12" s="146"/>
      <c r="E12" s="146" t="s">
        <v>313</v>
      </c>
      <c r="F12" s="146"/>
      <c r="G12" s="146"/>
      <c r="H12" s="146"/>
    </row>
    <row r="13" spans="1:26" x14ac:dyDescent="0.25">
      <c r="A13" s="146" t="s">
        <v>160</v>
      </c>
      <c r="B13" s="146"/>
      <c r="C13" s="146"/>
      <c r="D13" s="146"/>
      <c r="E13" s="146" t="s">
        <v>28</v>
      </c>
      <c r="F13" s="146"/>
      <c r="G13" s="146"/>
      <c r="H13" s="146"/>
      <c r="S13" s="54" t="s">
        <v>164</v>
      </c>
      <c r="T13" s="54" t="s">
        <v>174</v>
      </c>
      <c r="U13" s="54" t="s">
        <v>161</v>
      </c>
      <c r="V13" s="54" t="s">
        <v>179</v>
      </c>
      <c r="W13" s="54" t="s">
        <v>197</v>
      </c>
      <c r="X13"/>
      <c r="Y13" t="s">
        <v>179</v>
      </c>
      <c r="Z13" t="e">
        <f ca="1">OFFSET($S$13,1,MATCH($G20,$S$13:$W$13,0)-1,15,1)</f>
        <v>#VALUE!</v>
      </c>
    </row>
    <row r="14" spans="1:26" ht="32.25" customHeight="1" x14ac:dyDescent="0.25">
      <c r="A14" s="120" t="s">
        <v>265</v>
      </c>
      <c r="B14" s="120"/>
      <c r="C14" s="120"/>
      <c r="D14" s="120"/>
      <c r="E14" s="223" t="s">
        <v>353</v>
      </c>
      <c r="F14" s="223"/>
      <c r="G14" s="223"/>
      <c r="H14" s="223"/>
      <c r="S14" s="54" t="s">
        <v>165</v>
      </c>
      <c r="T14" s="54" t="s">
        <v>172</v>
      </c>
      <c r="U14" s="54" t="s">
        <v>194</v>
      </c>
      <c r="V14" s="54" t="s">
        <v>180</v>
      </c>
      <c r="W14" s="54" t="s">
        <v>198</v>
      </c>
      <c r="X14"/>
      <c r="Y14"/>
      <c r="Z14"/>
    </row>
    <row r="15" spans="1:26" x14ac:dyDescent="0.25">
      <c r="A15" s="120" t="s">
        <v>8</v>
      </c>
      <c r="B15" s="120"/>
      <c r="C15" s="120"/>
      <c r="D15" s="120"/>
      <c r="E15" s="145" t="s">
        <v>314</v>
      </c>
      <c r="F15" s="146"/>
      <c r="G15" s="146"/>
      <c r="H15" s="146"/>
      <c r="I15" s="116" t="e">
        <f ca="1">OFFSET($D$5,1,MATCH($J13,$D$5:$H$5,0)-1,15,1)</f>
        <v>#N/A</v>
      </c>
      <c r="J15" s="117"/>
      <c r="K15" s="117"/>
      <c r="L15" s="117"/>
      <c r="M15" s="117"/>
      <c r="N15" s="117"/>
      <c r="O15" s="117"/>
      <c r="P15" s="117"/>
      <c r="S15" s="54" t="s">
        <v>166</v>
      </c>
      <c r="T15" s="54" t="s">
        <v>173</v>
      </c>
      <c r="U15" s="54" t="s">
        <v>195</v>
      </c>
      <c r="V15" s="54" t="s">
        <v>181</v>
      </c>
      <c r="W15" s="54" t="s">
        <v>211</v>
      </c>
      <c r="X15"/>
      <c r="Y15"/>
      <c r="Z15"/>
    </row>
    <row r="16" spans="1:26" ht="48.75" customHeight="1" x14ac:dyDescent="0.25">
      <c r="A16" s="127" t="s">
        <v>9</v>
      </c>
      <c r="B16" s="127"/>
      <c r="C16" s="127" t="str">
        <f>CONCATENATE((IF(OR(E9="",E9="NA"),"",E9)),", ",(IF(OR(A17="",A17="NA"),"",A17)),".",(IF(OR(C17="",C17="NA"),"",C17)),", near ",(IF(OR(C22="",C22="NA"),"",C22)),", ",(IF(OR(C19="",C19="NA"),"",C19)),", ",(IF(OR(C18="",C18="NA"),"",C18)),", ",(IF(OR(G19="",G19="NA"),"",G19)),", ",(IF(OR(C20="",C20="NA"),"",C20)),", ",(IF(OR(C21="",C21="NA"),"",C21)),", ",(IF(OR(G20="",G20="NA"),"",G20))," - ",(IF(OR(G21="",G21="NA"),"",G21)),".")</f>
        <v>Godrej Golf Side Estate II, Plot No.Plot No. 1/2, 1/2, 1/3, 2/4, 23/2, 55/1, 55/2, near Infinity Icon, Internal Road, Shedung, Talegaon, Khalapur, Khalapur, Raigad - 400202.</v>
      </c>
      <c r="D16" s="127"/>
      <c r="E16" s="127"/>
      <c r="F16" s="127"/>
      <c r="G16" s="127"/>
      <c r="H16" s="127"/>
      <c r="S16" s="54" t="s">
        <v>167</v>
      </c>
      <c r="T16" s="54" t="s">
        <v>175</v>
      </c>
      <c r="U16" s="54" t="s">
        <v>196</v>
      </c>
      <c r="V16" s="54" t="s">
        <v>182</v>
      </c>
      <c r="W16" s="54" t="s">
        <v>199</v>
      </c>
      <c r="X16"/>
      <c r="Y16"/>
      <c r="Z16"/>
    </row>
    <row r="17" spans="1:26" x14ac:dyDescent="0.25">
      <c r="A17" s="145" t="s">
        <v>315</v>
      </c>
      <c r="B17" s="145"/>
      <c r="C17" s="145" t="s">
        <v>316</v>
      </c>
      <c r="D17" s="145"/>
      <c r="E17" s="145"/>
      <c r="F17" s="145"/>
      <c r="G17" s="145"/>
      <c r="H17" s="145"/>
      <c r="S17" s="54" t="s">
        <v>168</v>
      </c>
      <c r="T17" s="54" t="s">
        <v>176</v>
      </c>
      <c r="U17" s="54" t="s">
        <v>161</v>
      </c>
      <c r="V17" s="54" t="s">
        <v>183</v>
      </c>
      <c r="W17" s="54" t="s">
        <v>200</v>
      </c>
      <c r="X17"/>
      <c r="Y17"/>
      <c r="Z17"/>
    </row>
    <row r="18" spans="1:26" ht="15.75" customHeight="1" x14ac:dyDescent="0.25">
      <c r="A18" s="145" t="s">
        <v>149</v>
      </c>
      <c r="B18" s="145"/>
      <c r="C18" s="145" t="s">
        <v>339</v>
      </c>
      <c r="D18" s="145"/>
      <c r="E18" s="145"/>
      <c r="F18" s="145"/>
      <c r="G18" s="145"/>
      <c r="H18" s="145"/>
      <c r="S18" s="54" t="s">
        <v>169</v>
      </c>
      <c r="T18" s="54" t="s">
        <v>174</v>
      </c>
      <c r="U18" s="54"/>
      <c r="V18" s="54" t="s">
        <v>184</v>
      </c>
      <c r="W18" s="54" t="s">
        <v>201</v>
      </c>
      <c r="X18"/>
      <c r="Y18"/>
      <c r="Z18"/>
    </row>
    <row r="19" spans="1:26" ht="15.75" customHeight="1" x14ac:dyDescent="0.25">
      <c r="A19" s="127" t="s">
        <v>10</v>
      </c>
      <c r="B19" s="127"/>
      <c r="C19" s="146" t="s">
        <v>320</v>
      </c>
      <c r="D19" s="146"/>
      <c r="E19" s="127" t="s">
        <v>67</v>
      </c>
      <c r="F19" s="127"/>
      <c r="G19" s="145" t="s">
        <v>317</v>
      </c>
      <c r="H19" s="145"/>
      <c r="S19" s="54" t="s">
        <v>170</v>
      </c>
      <c r="T19" s="54" t="s">
        <v>177</v>
      </c>
      <c r="U19" s="54"/>
      <c r="V19" s="54" t="s">
        <v>185</v>
      </c>
      <c r="W19" s="54" t="s">
        <v>202</v>
      </c>
      <c r="X19"/>
      <c r="Y19"/>
      <c r="Z19"/>
    </row>
    <row r="20" spans="1:26" x14ac:dyDescent="0.25">
      <c r="A20" s="120" t="s">
        <v>12</v>
      </c>
      <c r="B20" s="120"/>
      <c r="C20" s="145" t="s">
        <v>184</v>
      </c>
      <c r="D20" s="145"/>
      <c r="E20" s="127" t="s">
        <v>11</v>
      </c>
      <c r="F20" s="127"/>
      <c r="G20" s="225" t="s">
        <v>179</v>
      </c>
      <c r="H20" s="225"/>
      <c r="S20" s="54" t="s">
        <v>171</v>
      </c>
      <c r="T20" s="54" t="s">
        <v>178</v>
      </c>
      <c r="U20" s="54"/>
      <c r="V20" s="54" t="s">
        <v>186</v>
      </c>
      <c r="W20" s="54" t="s">
        <v>203</v>
      </c>
      <c r="X20"/>
      <c r="Y20"/>
      <c r="Z20"/>
    </row>
    <row r="21" spans="1:26" x14ac:dyDescent="0.25">
      <c r="A21" s="120" t="s">
        <v>68</v>
      </c>
      <c r="B21" s="120"/>
      <c r="C21" s="145" t="s">
        <v>184</v>
      </c>
      <c r="D21" s="145"/>
      <c r="E21" s="127" t="s">
        <v>13</v>
      </c>
      <c r="F21" s="127"/>
      <c r="G21" s="145">
        <v>400202</v>
      </c>
      <c r="H21" s="145"/>
      <c r="S21" s="54"/>
      <c r="T21" s="54"/>
      <c r="U21" s="54"/>
      <c r="V21" s="54" t="s">
        <v>187</v>
      </c>
      <c r="W21" s="54" t="s">
        <v>204</v>
      </c>
      <c r="X21"/>
      <c r="Y21"/>
      <c r="Z21"/>
    </row>
    <row r="22" spans="1:26" ht="32.25" customHeight="1" x14ac:dyDescent="0.25">
      <c r="A22" s="120" t="s">
        <v>113</v>
      </c>
      <c r="B22" s="120"/>
      <c r="C22" s="145" t="s">
        <v>318</v>
      </c>
      <c r="D22" s="145"/>
      <c r="E22" s="127" t="s">
        <v>14</v>
      </c>
      <c r="F22" s="127"/>
      <c r="G22" s="145" t="s">
        <v>319</v>
      </c>
      <c r="H22" s="145"/>
      <c r="S22" s="54"/>
      <c r="T22" s="54"/>
      <c r="U22" s="54"/>
      <c r="V22" s="54" t="s">
        <v>188</v>
      </c>
      <c r="W22" s="54" t="s">
        <v>205</v>
      </c>
      <c r="X22"/>
      <c r="Y22"/>
      <c r="Z22"/>
    </row>
    <row r="23" spans="1:26" ht="15" customHeight="1" x14ac:dyDescent="0.25">
      <c r="A23" s="127" t="s">
        <v>69</v>
      </c>
      <c r="B23" s="127"/>
      <c r="C23" s="127"/>
      <c r="D23" s="127"/>
      <c r="E23" s="146" t="s">
        <v>15</v>
      </c>
      <c r="F23" s="146"/>
      <c r="G23" s="146"/>
      <c r="H23" s="146"/>
      <c r="S23" s="54"/>
      <c r="T23" s="54"/>
      <c r="U23" s="54"/>
      <c r="V23" s="54" t="s">
        <v>189</v>
      </c>
      <c r="W23" s="54" t="s">
        <v>206</v>
      </c>
      <c r="X23"/>
      <c r="Y23"/>
      <c r="Z23"/>
    </row>
    <row r="24" spans="1:26" ht="18.75" customHeight="1" x14ac:dyDescent="0.25">
      <c r="A24" s="127"/>
      <c r="B24" s="127"/>
      <c r="C24" s="127"/>
      <c r="D24" s="127"/>
      <c r="E24" s="146"/>
      <c r="F24" s="146"/>
      <c r="G24" s="146"/>
      <c r="H24" s="146"/>
      <c r="S24" s="54"/>
      <c r="T24" s="54"/>
      <c r="U24" s="54"/>
      <c r="V24" s="54" t="s">
        <v>190</v>
      </c>
      <c r="W24" s="54" t="s">
        <v>207</v>
      </c>
      <c r="X24"/>
      <c r="Y24"/>
      <c r="Z24"/>
    </row>
    <row r="25" spans="1:26" ht="15" customHeight="1" x14ac:dyDescent="0.25">
      <c r="A25" s="127" t="s">
        <v>16</v>
      </c>
      <c r="B25" s="127"/>
      <c r="C25" s="127"/>
      <c r="D25" s="127"/>
      <c r="E25" s="145" t="s">
        <v>17</v>
      </c>
      <c r="F25" s="145"/>
      <c r="G25" s="145"/>
      <c r="H25" s="145"/>
      <c r="S25" s="54"/>
      <c r="T25" s="54"/>
      <c r="U25" s="54"/>
      <c r="V25" s="54" t="s">
        <v>191</v>
      </c>
      <c r="W25" s="54" t="s">
        <v>208</v>
      </c>
      <c r="X25"/>
      <c r="Y25"/>
      <c r="Z25"/>
    </row>
    <row r="26" spans="1:26" ht="15" customHeight="1" x14ac:dyDescent="0.25">
      <c r="A26" s="120" t="s">
        <v>18</v>
      </c>
      <c r="B26" s="120"/>
      <c r="C26" s="120"/>
      <c r="D26" s="120"/>
      <c r="E26" s="145" t="str">
        <f>IF(AND(G20="Mumbai"),"Upper Class","Middle Class")</f>
        <v>Middle Class</v>
      </c>
      <c r="F26" s="145"/>
      <c r="G26" s="145"/>
      <c r="H26" s="145"/>
      <c r="S26" s="54"/>
      <c r="T26" s="54"/>
      <c r="U26" s="54"/>
      <c r="V26" s="54" t="s">
        <v>192</v>
      </c>
      <c r="W26" s="54" t="s">
        <v>209</v>
      </c>
      <c r="X26"/>
      <c r="Y26"/>
      <c r="Z26"/>
    </row>
    <row r="27" spans="1:26" x14ac:dyDescent="0.25">
      <c r="A27" s="120" t="s">
        <v>19</v>
      </c>
      <c r="B27" s="120"/>
      <c r="C27" s="120"/>
      <c r="D27" s="120"/>
      <c r="E27" s="145" t="s">
        <v>20</v>
      </c>
      <c r="F27" s="145"/>
      <c r="G27" s="145"/>
      <c r="H27" s="145"/>
      <c r="S27" s="54"/>
      <c r="T27" s="54"/>
      <c r="U27" s="54"/>
      <c r="V27" s="54" t="s">
        <v>193</v>
      </c>
      <c r="W27" s="54" t="s">
        <v>210</v>
      </c>
      <c r="X27"/>
      <c r="Y27"/>
      <c r="Z27"/>
    </row>
    <row r="28" spans="1:26" ht="15.75" customHeight="1" x14ac:dyDescent="0.25">
      <c r="A28" s="120" t="s">
        <v>21</v>
      </c>
      <c r="B28" s="120"/>
      <c r="C28" s="120"/>
      <c r="D28" s="120"/>
      <c r="E28" s="145" t="str">
        <f>IF(AND(G20="Mumbai"),"Developed","Developing")</f>
        <v>Developing</v>
      </c>
      <c r="F28" s="145"/>
      <c r="G28" s="145"/>
      <c r="H28" s="145"/>
    </row>
    <row r="29" spans="1:26" x14ac:dyDescent="0.25">
      <c r="A29" s="120" t="s">
        <v>22</v>
      </c>
      <c r="B29" s="120"/>
      <c r="C29" s="120"/>
      <c r="D29" s="120"/>
      <c r="E29" s="145" t="s">
        <v>23</v>
      </c>
      <c r="F29" s="145"/>
      <c r="G29" s="145"/>
      <c r="H29" s="145"/>
    </row>
    <row r="30" spans="1:26" ht="15.75" customHeight="1" x14ac:dyDescent="0.25">
      <c r="A30" s="120" t="s">
        <v>74</v>
      </c>
      <c r="B30" s="120"/>
      <c r="C30" s="120"/>
      <c r="D30" s="120"/>
      <c r="E30" s="145" t="s">
        <v>75</v>
      </c>
      <c r="F30" s="145"/>
      <c r="G30" s="145"/>
      <c r="H30" s="145"/>
    </row>
    <row r="31" spans="1:26" ht="15" customHeight="1" x14ac:dyDescent="0.25">
      <c r="A31" s="120" t="s">
        <v>30</v>
      </c>
      <c r="B31" s="120"/>
      <c r="C31" s="120"/>
      <c r="D31" s="120"/>
      <c r="E31" s="145" t="s">
        <v>288</v>
      </c>
      <c r="F31" s="145"/>
      <c r="G31" s="145"/>
      <c r="H31" s="145"/>
      <c r="I31" s="21" t="b">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0</v>
      </c>
    </row>
    <row r="32" spans="1:26" ht="15.75" customHeight="1" x14ac:dyDescent="0.25">
      <c r="A32" s="120" t="s">
        <v>86</v>
      </c>
      <c r="B32" s="120"/>
      <c r="C32" s="120"/>
      <c r="D32" s="120"/>
      <c r="E32" s="145" t="s">
        <v>31</v>
      </c>
      <c r="F32" s="145"/>
      <c r="G32" s="145"/>
      <c r="H32" s="145"/>
    </row>
    <row r="33" spans="1:19" s="22" customFormat="1" x14ac:dyDescent="0.25">
      <c r="A33" s="230" t="s">
        <v>87</v>
      </c>
      <c r="B33" s="230"/>
      <c r="C33" s="227" t="s">
        <v>162</v>
      </c>
      <c r="D33" s="228"/>
      <c r="E33" s="229"/>
      <c r="F33" s="227" t="s">
        <v>29</v>
      </c>
      <c r="G33" s="228"/>
      <c r="H33" s="229"/>
      <c r="S33" s="22" t="e">
        <f ca="1">OFFSET($S$13,1,MATCH($G20,$S$13:$W$13,0)-1,15,1)</f>
        <v>#VALUE!</v>
      </c>
    </row>
    <row r="34" spans="1:19" s="22" customFormat="1" x14ac:dyDescent="0.25">
      <c r="A34" s="226" t="s">
        <v>24</v>
      </c>
      <c r="B34" s="226" t="s">
        <v>28</v>
      </c>
      <c r="C34" s="224" t="s">
        <v>321</v>
      </c>
      <c r="D34" s="224"/>
      <c r="E34" s="224"/>
      <c r="F34" s="224" t="s">
        <v>320</v>
      </c>
      <c r="G34" s="224"/>
      <c r="H34" s="224"/>
    </row>
    <row r="35" spans="1:19" x14ac:dyDescent="0.25">
      <c r="A35" s="226" t="s">
        <v>25</v>
      </c>
      <c r="B35" s="226" t="s">
        <v>28</v>
      </c>
      <c r="C35" s="224" t="s">
        <v>321</v>
      </c>
      <c r="D35" s="224"/>
      <c r="E35" s="224"/>
      <c r="F35" s="224" t="s">
        <v>320</v>
      </c>
      <c r="G35" s="224"/>
      <c r="H35" s="224"/>
    </row>
    <row r="36" spans="1:19" s="22" customFormat="1" x14ac:dyDescent="0.25">
      <c r="A36" s="226" t="s">
        <v>27</v>
      </c>
      <c r="B36" s="226" t="s">
        <v>28</v>
      </c>
      <c r="C36" s="224" t="s">
        <v>322</v>
      </c>
      <c r="D36" s="224"/>
      <c r="E36" s="224"/>
      <c r="F36" s="224" t="s">
        <v>323</v>
      </c>
      <c r="G36" s="224"/>
      <c r="H36" s="224"/>
    </row>
    <row r="37" spans="1:19" ht="32.25" customHeight="1" x14ac:dyDescent="0.25">
      <c r="A37" s="231" t="s">
        <v>26</v>
      </c>
      <c r="B37" s="231" t="s">
        <v>28</v>
      </c>
      <c r="C37" s="224" t="s">
        <v>324</v>
      </c>
      <c r="D37" s="224"/>
      <c r="E37" s="224"/>
      <c r="F37" s="224" t="s">
        <v>323</v>
      </c>
      <c r="G37" s="224"/>
      <c r="H37" s="224"/>
    </row>
    <row r="38" spans="1:19" x14ac:dyDescent="0.25">
      <c r="A38" s="120" t="s">
        <v>266</v>
      </c>
      <c r="B38" s="120"/>
      <c r="C38" s="120"/>
      <c r="D38" s="120"/>
      <c r="E38" s="120"/>
      <c r="F38" s="120"/>
      <c r="G38" s="120"/>
      <c r="H38" s="120"/>
    </row>
    <row r="39" spans="1:19" ht="15.75" customHeight="1" x14ac:dyDescent="0.25">
      <c r="A39" s="120" t="s">
        <v>152</v>
      </c>
      <c r="B39" s="120"/>
      <c r="C39" s="205" t="s">
        <v>325</v>
      </c>
      <c r="D39" s="205"/>
      <c r="E39" s="205"/>
      <c r="F39" s="205"/>
      <c r="G39" s="205"/>
      <c r="H39" s="205"/>
    </row>
    <row r="40" spans="1:19" x14ac:dyDescent="0.25">
      <c r="A40" s="120" t="s">
        <v>148</v>
      </c>
      <c r="B40" s="120"/>
      <c r="C40" s="250" t="s">
        <v>326</v>
      </c>
      <c r="D40" s="145"/>
      <c r="E40" s="145"/>
      <c r="F40" s="145"/>
      <c r="G40" s="145"/>
      <c r="H40" s="145"/>
    </row>
    <row r="41" spans="1:19" x14ac:dyDescent="0.25">
      <c r="A41" s="205" t="s">
        <v>32</v>
      </c>
      <c r="B41" s="205"/>
      <c r="C41" s="205"/>
      <c r="D41" s="205"/>
      <c r="E41" s="205"/>
      <c r="F41" s="205"/>
      <c r="G41" s="205"/>
      <c r="H41" s="205"/>
    </row>
    <row r="42" spans="1:19" x14ac:dyDescent="0.25">
      <c r="A42" s="120" t="s">
        <v>33</v>
      </c>
      <c r="B42" s="120"/>
      <c r="C42" s="120"/>
      <c r="D42" s="120"/>
      <c r="E42" s="238">
        <v>33043.11</v>
      </c>
      <c r="F42" s="238"/>
      <c r="G42" s="238"/>
      <c r="H42" s="238"/>
    </row>
    <row r="43" spans="1:19" x14ac:dyDescent="0.25">
      <c r="A43" s="120" t="s">
        <v>34</v>
      </c>
      <c r="B43" s="120"/>
      <c r="C43" s="120"/>
      <c r="D43" s="120"/>
      <c r="E43" s="129">
        <f>12606.3/E42</f>
        <v>0.3815106992047661</v>
      </c>
      <c r="F43" s="129"/>
      <c r="G43" s="129"/>
      <c r="H43" s="129"/>
    </row>
    <row r="44" spans="1:19" x14ac:dyDescent="0.25">
      <c r="A44" s="120" t="s">
        <v>35</v>
      </c>
      <c r="B44" s="120"/>
      <c r="C44" s="120"/>
      <c r="D44" s="120"/>
      <c r="E44" s="129">
        <f>E46/E42-E43</f>
        <v>0.71834218994519583</v>
      </c>
      <c r="F44" s="129"/>
      <c r="G44" s="129"/>
      <c r="H44" s="129"/>
    </row>
    <row r="45" spans="1:19" x14ac:dyDescent="0.25">
      <c r="A45" s="120" t="s">
        <v>36</v>
      </c>
      <c r="B45" s="120"/>
      <c r="C45" s="120"/>
      <c r="D45" s="120"/>
      <c r="E45" s="129">
        <f>E43+E44</f>
        <v>1.0998528891499619</v>
      </c>
      <c r="F45" s="129"/>
      <c r="G45" s="129"/>
      <c r="H45" s="129"/>
      <c r="I45" s="66">
        <f>E46/E42</f>
        <v>1.0998528891499619</v>
      </c>
    </row>
    <row r="46" spans="1:19" x14ac:dyDescent="0.25">
      <c r="A46" s="120" t="s">
        <v>85</v>
      </c>
      <c r="B46" s="120"/>
      <c r="C46" s="120"/>
      <c r="D46" s="120"/>
      <c r="E46" s="244">
        <v>36342.559999999998</v>
      </c>
      <c r="F46" s="244"/>
      <c r="G46" s="244"/>
      <c r="H46" s="244"/>
    </row>
    <row r="47" spans="1:19" x14ac:dyDescent="0.25">
      <c r="A47" s="146" t="s">
        <v>37</v>
      </c>
      <c r="B47" s="146"/>
      <c r="C47" s="146"/>
      <c r="D47" s="146"/>
      <c r="E47" s="146" t="s">
        <v>327</v>
      </c>
      <c r="F47" s="146"/>
      <c r="G47" s="146"/>
      <c r="H47" s="146"/>
    </row>
    <row r="48" spans="1:19" x14ac:dyDescent="0.25">
      <c r="A48" s="205" t="s">
        <v>38</v>
      </c>
      <c r="B48" s="205"/>
      <c r="C48" s="205"/>
      <c r="D48" s="205"/>
      <c r="E48" s="205"/>
      <c r="F48" s="205"/>
      <c r="G48" s="205"/>
      <c r="H48" s="205"/>
    </row>
    <row r="49" spans="1:24" ht="33.75" customHeight="1" x14ac:dyDescent="0.25">
      <c r="A49" s="137" t="s">
        <v>142</v>
      </c>
      <c r="B49" s="138"/>
      <c r="C49" s="254" t="s">
        <v>244</v>
      </c>
      <c r="D49" s="255"/>
      <c r="E49" s="255"/>
      <c r="F49" s="255"/>
      <c r="G49" s="255"/>
      <c r="H49" s="256"/>
      <c r="R49" t="s">
        <v>239</v>
      </c>
      <c r="S49" t="s">
        <v>161</v>
      </c>
      <c r="T49" t="s">
        <v>164</v>
      </c>
      <c r="U49" t="s">
        <v>179</v>
      </c>
      <c r="V49" t="s">
        <v>174</v>
      </c>
    </row>
    <row r="50" spans="1:24" ht="15.75" customHeight="1" x14ac:dyDescent="0.25">
      <c r="A50" s="137" t="s">
        <v>39</v>
      </c>
      <c r="B50" s="138"/>
      <c r="C50" s="137" t="s">
        <v>328</v>
      </c>
      <c r="D50" s="139"/>
      <c r="E50" s="138"/>
      <c r="F50" s="18" t="s">
        <v>40</v>
      </c>
      <c r="G50" s="140">
        <v>45744</v>
      </c>
      <c r="H50" s="141"/>
      <c r="R50"/>
      <c r="S50" t="s">
        <v>240</v>
      </c>
      <c r="T50" t="s">
        <v>245</v>
      </c>
      <c r="U50" t="s">
        <v>256</v>
      </c>
      <c r="V50" t="s">
        <v>261</v>
      </c>
    </row>
    <row r="51" spans="1:24" x14ac:dyDescent="0.25">
      <c r="A51" s="137" t="s">
        <v>41</v>
      </c>
      <c r="B51" s="138"/>
      <c r="C51" s="137" t="str">
        <f>C50</f>
        <v xml:space="preserve">MSRDC/385/2025/0002/AutoDCR/1 </v>
      </c>
      <c r="D51" s="139"/>
      <c r="E51" s="138"/>
      <c r="F51" s="18" t="s">
        <v>40</v>
      </c>
      <c r="G51" s="140">
        <f>G50</f>
        <v>45744</v>
      </c>
      <c r="H51" s="141"/>
      <c r="R51"/>
      <c r="S51" t="s">
        <v>241</v>
      </c>
      <c r="T51" t="s">
        <v>246</v>
      </c>
      <c r="U51" t="s">
        <v>254</v>
      </c>
      <c r="V51" t="s">
        <v>262</v>
      </c>
    </row>
    <row r="52" spans="1:24" s="23" customFormat="1" ht="15.75" customHeight="1" x14ac:dyDescent="0.25">
      <c r="A52" s="149" t="s">
        <v>329</v>
      </c>
      <c r="B52" s="150"/>
      <c r="C52" s="142" t="s">
        <v>311</v>
      </c>
      <c r="D52" s="164"/>
      <c r="E52" s="143"/>
      <c r="F52" s="108" t="s">
        <v>40</v>
      </c>
      <c r="G52" s="142" t="s">
        <v>28</v>
      </c>
      <c r="H52" s="143"/>
      <c r="R52"/>
      <c r="S52" t="s">
        <v>242</v>
      </c>
      <c r="T52" t="s">
        <v>247</v>
      </c>
      <c r="U52" t="s">
        <v>244</v>
      </c>
      <c r="V52" t="s">
        <v>263</v>
      </c>
    </row>
    <row r="53" spans="1:24" s="23" customFormat="1" x14ac:dyDescent="0.25">
      <c r="A53" s="151"/>
      <c r="B53" s="152"/>
      <c r="C53" s="158"/>
      <c r="D53" s="159"/>
      <c r="E53" s="159"/>
      <c r="F53" s="159"/>
      <c r="G53" s="159"/>
      <c r="H53" s="160"/>
      <c r="R53"/>
      <c r="S53" t="s">
        <v>243</v>
      </c>
      <c r="T53" t="s">
        <v>250</v>
      </c>
      <c r="U53" t="s">
        <v>257</v>
      </c>
    </row>
    <row r="54" spans="1:24" s="23" customFormat="1" ht="48.75" customHeight="1" x14ac:dyDescent="0.25">
      <c r="A54" s="149" t="s">
        <v>350</v>
      </c>
      <c r="B54" s="150"/>
      <c r="C54" s="137" t="s">
        <v>351</v>
      </c>
      <c r="D54" s="139"/>
      <c r="E54" s="138"/>
      <c r="F54" s="108" t="s">
        <v>40</v>
      </c>
      <c r="G54" s="153">
        <v>45628</v>
      </c>
      <c r="H54" s="143"/>
      <c r="R54"/>
      <c r="S54" t="s">
        <v>242</v>
      </c>
      <c r="T54" t="s">
        <v>247</v>
      </c>
      <c r="U54" t="s">
        <v>244</v>
      </c>
      <c r="V54" t="s">
        <v>263</v>
      </c>
    </row>
    <row r="55" spans="1:24" s="23" customFormat="1" x14ac:dyDescent="0.25">
      <c r="A55" s="151"/>
      <c r="B55" s="152"/>
      <c r="C55" s="251" t="s">
        <v>352</v>
      </c>
      <c r="D55" s="252"/>
      <c r="E55" s="252"/>
      <c r="F55" s="252"/>
      <c r="G55" s="252"/>
      <c r="H55" s="253"/>
      <c r="R55"/>
      <c r="S55" t="s">
        <v>244</v>
      </c>
      <c r="T55" t="s">
        <v>248</v>
      </c>
      <c r="U55" t="s">
        <v>258</v>
      </c>
      <c r="V55" s="21"/>
      <c r="W55" s="21"/>
      <c r="X55" s="21"/>
    </row>
    <row r="56" spans="1:24" s="23" customFormat="1" ht="34.5" hidden="1" customHeight="1" x14ac:dyDescent="0.25">
      <c r="A56" s="154" t="s">
        <v>267</v>
      </c>
      <c r="B56" s="155"/>
      <c r="C56" s="137" t="str">
        <f>C55</f>
        <v>Survey No. 1/2, 1/2, 1/3, 2/4, 23/2, 55/1, 55/2 = 38500sqmt</v>
      </c>
      <c r="D56" s="139"/>
      <c r="E56" s="138"/>
      <c r="F56" s="18" t="s">
        <v>40</v>
      </c>
      <c r="G56" s="137">
        <f>G55</f>
        <v>0</v>
      </c>
      <c r="H56" s="138"/>
      <c r="R56"/>
      <c r="S56" s="21"/>
      <c r="T56" t="s">
        <v>249</v>
      </c>
      <c r="U56" t="s">
        <v>259</v>
      </c>
      <c r="V56" s="21"/>
      <c r="W56" s="21"/>
      <c r="X56" s="21"/>
    </row>
    <row r="57" spans="1:24" s="23" customFormat="1" ht="41.25" hidden="1" customHeight="1" x14ac:dyDescent="0.25">
      <c r="A57" s="156"/>
      <c r="B57" s="157"/>
      <c r="C57" s="137"/>
      <c r="D57" s="139"/>
      <c r="E57" s="139"/>
      <c r="F57" s="139"/>
      <c r="G57" s="139"/>
      <c r="H57" s="138"/>
      <c r="R57"/>
      <c r="S57" s="21"/>
      <c r="T57" t="s">
        <v>251</v>
      </c>
      <c r="U57" t="s">
        <v>260</v>
      </c>
      <c r="V57" s="21"/>
      <c r="W57" s="21"/>
      <c r="X57" s="21"/>
    </row>
    <row r="58" spans="1:24" s="23" customFormat="1" ht="15.75" hidden="1" customHeight="1" x14ac:dyDescent="0.25">
      <c r="A58" s="154" t="s">
        <v>268</v>
      </c>
      <c r="B58" s="155"/>
      <c r="C58" s="137">
        <f>C57</f>
        <v>0</v>
      </c>
      <c r="D58" s="139"/>
      <c r="E58" s="138"/>
      <c r="F58" s="18" t="s">
        <v>40</v>
      </c>
      <c r="G58" s="137">
        <f>G57</f>
        <v>0</v>
      </c>
      <c r="H58" s="138"/>
      <c r="R58"/>
      <c r="S58" s="21"/>
      <c r="T58" t="s">
        <v>252</v>
      </c>
      <c r="U58" s="21" t="s">
        <v>282</v>
      </c>
      <c r="V58" s="21"/>
      <c r="W58" s="21"/>
      <c r="X58" s="21"/>
    </row>
    <row r="59" spans="1:24" s="23" customFormat="1" ht="33.75" hidden="1" customHeight="1" x14ac:dyDescent="0.25">
      <c r="A59" s="156"/>
      <c r="B59" s="157"/>
      <c r="C59" s="137"/>
      <c r="D59" s="139"/>
      <c r="E59" s="139"/>
      <c r="F59" s="139"/>
      <c r="G59" s="139"/>
      <c r="H59" s="138"/>
      <c r="R59"/>
      <c r="S59" s="21"/>
      <c r="T59" t="s">
        <v>253</v>
      </c>
      <c r="U59" s="21"/>
      <c r="V59" s="21"/>
      <c r="W59" s="21"/>
      <c r="X59" s="21"/>
    </row>
    <row r="60" spans="1:24" x14ac:dyDescent="0.25">
      <c r="A60" s="123" t="s">
        <v>42</v>
      </c>
      <c r="B60" s="124"/>
      <c r="C60" s="123" t="s">
        <v>97</v>
      </c>
      <c r="D60" s="125"/>
      <c r="E60" s="124"/>
      <c r="F60" s="45" t="s">
        <v>40</v>
      </c>
      <c r="G60" s="147" t="s">
        <v>28</v>
      </c>
      <c r="H60" s="148"/>
      <c r="R60"/>
      <c r="T60" t="s">
        <v>255</v>
      </c>
    </row>
    <row r="61" spans="1:24" x14ac:dyDescent="0.25">
      <c r="A61" s="144" t="s">
        <v>44</v>
      </c>
      <c r="B61" s="144"/>
      <c r="C61" s="144"/>
      <c r="D61" s="144"/>
      <c r="E61" s="144"/>
      <c r="F61" s="144"/>
      <c r="G61" s="144"/>
      <c r="H61" s="144"/>
      <c r="T61" t="s">
        <v>264</v>
      </c>
    </row>
    <row r="62" spans="1:24" x14ac:dyDescent="0.25">
      <c r="A62" s="127" t="s">
        <v>84</v>
      </c>
      <c r="B62" s="127"/>
      <c r="C62" s="127"/>
      <c r="D62" s="120">
        <f>E46</f>
        <v>36342.559999999998</v>
      </c>
      <c r="E62" s="120"/>
      <c r="F62" s="120"/>
      <c r="G62" s="120"/>
      <c r="H62" s="120"/>
      <c r="R62"/>
    </row>
    <row r="63" spans="1:24" x14ac:dyDescent="0.25">
      <c r="A63" s="145" t="s">
        <v>45</v>
      </c>
      <c r="B63" s="146"/>
      <c r="C63" s="146"/>
      <c r="D63" s="146" t="s">
        <v>330</v>
      </c>
      <c r="E63" s="146"/>
      <c r="F63" s="146"/>
      <c r="G63" s="146"/>
      <c r="H63" s="146"/>
      <c r="I63" s="24"/>
      <c r="R63"/>
    </row>
    <row r="64" spans="1:24" ht="48.75" hidden="1" customHeight="1" x14ac:dyDescent="0.25">
      <c r="A64" s="165" t="s">
        <v>46</v>
      </c>
      <c r="B64" s="166"/>
      <c r="C64" s="249"/>
      <c r="D64" s="247" t="s">
        <v>157</v>
      </c>
      <c r="E64" s="248"/>
      <c r="F64" s="248"/>
      <c r="G64" s="248"/>
      <c r="H64" s="248"/>
      <c r="R64"/>
    </row>
    <row r="65" spans="1:19" ht="15.75" hidden="1" customHeight="1" x14ac:dyDescent="0.25">
      <c r="A65" s="165" t="s">
        <v>82</v>
      </c>
      <c r="B65" s="166"/>
      <c r="C65" s="166"/>
      <c r="D65" s="171" t="s">
        <v>155</v>
      </c>
      <c r="E65" s="172"/>
      <c r="F65" s="172"/>
      <c r="G65" s="172"/>
      <c r="H65" s="173"/>
      <c r="R65"/>
    </row>
    <row r="66" spans="1:19" ht="15.75" hidden="1" customHeight="1" x14ac:dyDescent="0.25">
      <c r="A66" s="167"/>
      <c r="B66" s="168"/>
      <c r="C66" s="168"/>
      <c r="D66" s="174" t="s">
        <v>283</v>
      </c>
      <c r="E66" s="175"/>
      <c r="F66" s="175"/>
      <c r="G66" s="175"/>
      <c r="H66" s="176"/>
      <c r="R66"/>
    </row>
    <row r="67" spans="1:19" ht="15.75" hidden="1" customHeight="1" x14ac:dyDescent="0.25">
      <c r="A67" s="169"/>
      <c r="B67" s="170"/>
      <c r="C67" s="170"/>
      <c r="D67" s="161" t="s">
        <v>156</v>
      </c>
      <c r="E67" s="162"/>
      <c r="F67" s="162"/>
      <c r="G67" s="162"/>
      <c r="H67" s="163"/>
      <c r="S67"/>
    </row>
    <row r="68" spans="1:19" ht="15.75" customHeight="1" x14ac:dyDescent="0.25">
      <c r="A68" s="120" t="s">
        <v>43</v>
      </c>
      <c r="B68" s="120"/>
      <c r="C68" s="120"/>
      <c r="D68" s="239" t="s">
        <v>331</v>
      </c>
      <c r="E68" s="239"/>
      <c r="F68" s="239"/>
      <c r="G68" s="239"/>
      <c r="H68" s="239"/>
      <c r="J68" s="25"/>
      <c r="K68" s="24"/>
      <c r="N68" s="24"/>
      <c r="S68"/>
    </row>
    <row r="69" spans="1:19" ht="15.75" hidden="1" customHeight="1" x14ac:dyDescent="0.25">
      <c r="A69" s="120" t="s">
        <v>80</v>
      </c>
      <c r="B69" s="120"/>
      <c r="C69" s="120"/>
      <c r="D69" s="243" t="str">
        <f>(IF(G60="NA","60 Years After Completion",IF(G60&lt;&gt;"NA",""&amp;60-ROUNDDOWN((E3-G60)/360,0)&amp;" Years"," ")))</f>
        <v>60 Years After Completion</v>
      </c>
      <c r="E69" s="243"/>
      <c r="F69" s="243"/>
      <c r="G69" s="243"/>
      <c r="H69" s="243"/>
      <c r="N69" s="24"/>
      <c r="S69"/>
    </row>
    <row r="70" spans="1:19" ht="15.75" customHeight="1" x14ac:dyDescent="0.25">
      <c r="A70" s="120" t="s">
        <v>81</v>
      </c>
      <c r="B70" s="120"/>
      <c r="C70" s="120"/>
      <c r="D70" s="127" t="s">
        <v>23</v>
      </c>
      <c r="E70" s="127"/>
      <c r="F70" s="127"/>
      <c r="G70" s="127"/>
      <c r="H70" s="127"/>
      <c r="J70" s="26"/>
      <c r="K70" s="26"/>
      <c r="S70"/>
    </row>
    <row r="71" spans="1:19" ht="46.5" customHeight="1" x14ac:dyDescent="0.25">
      <c r="A71" s="146" t="s">
        <v>333</v>
      </c>
      <c r="B71" s="146"/>
      <c r="C71" s="146"/>
      <c r="D71" s="145" t="s">
        <v>332</v>
      </c>
      <c r="E71" s="127"/>
      <c r="F71" s="127"/>
      <c r="G71" s="127"/>
      <c r="H71" s="127"/>
      <c r="S71"/>
    </row>
    <row r="72" spans="1:19" x14ac:dyDescent="0.25">
      <c r="A72" s="127" t="s">
        <v>139</v>
      </c>
      <c r="B72" s="127"/>
      <c r="C72" s="127"/>
      <c r="D72" s="127" t="s">
        <v>28</v>
      </c>
      <c r="E72" s="127"/>
      <c r="F72" s="127"/>
      <c r="G72" s="127"/>
      <c r="H72" s="127"/>
      <c r="I72" s="27"/>
      <c r="J72" s="27"/>
      <c r="K72" s="27"/>
      <c r="L72" s="27"/>
      <c r="M72" s="27"/>
      <c r="N72" s="27"/>
    </row>
    <row r="73" spans="1:19" ht="15.75" customHeight="1" x14ac:dyDescent="0.25">
      <c r="A73" s="128" t="s">
        <v>79</v>
      </c>
      <c r="B73" s="128"/>
      <c r="C73" s="128"/>
      <c r="D73" s="219" t="str">
        <f ca="1">(IF(C77&gt;95%,"Nothing",IF(C77&gt;0%,"Cement, Aggregate, Steel, etc",IF(C77=0%,"Work not yet Started"))))</f>
        <v>Work not yet Started</v>
      </c>
      <c r="E73" s="219"/>
      <c r="F73" s="219"/>
      <c r="G73" s="219"/>
      <c r="H73" s="219"/>
      <c r="J73" s="26"/>
      <c r="S73"/>
    </row>
    <row r="74" spans="1:19" ht="33.75" customHeight="1" thickBot="1" x14ac:dyDescent="0.3">
      <c r="A74" s="217" t="s">
        <v>110</v>
      </c>
      <c r="B74" s="217"/>
      <c r="C74" s="217"/>
      <c r="D74" s="218" t="str">
        <f ca="1">(IF(D73="Nothing","Yes",IF(D73="Cement, Aggregate, Steel, etc","Under Construction",IF(D73="Work not yet Started","Work not yet Started"))))</f>
        <v>Work not yet Started</v>
      </c>
      <c r="E74" s="218"/>
      <c r="F74" s="218" t="str">
        <f ca="1">(IF(D73="Nothing","Yes",IF(D73="Cement, Aggregate, Steel, etc","Under Construction",IF(D73="Work not yet Started","Work not yet Started"))))</f>
        <v>Work not yet Started</v>
      </c>
      <c r="G74" s="218"/>
      <c r="H74" s="218"/>
      <c r="S74"/>
    </row>
    <row r="75" spans="1:19" hidden="1" x14ac:dyDescent="0.25">
      <c r="A75" s="132" t="s">
        <v>131</v>
      </c>
      <c r="B75" s="132"/>
      <c r="C75" s="132"/>
      <c r="D75" s="132"/>
      <c r="E75" s="132"/>
      <c r="F75" s="132"/>
      <c r="G75" s="132"/>
      <c r="H75" s="132"/>
    </row>
    <row r="76" spans="1:19" ht="28.5" hidden="1" customHeight="1" x14ac:dyDescent="0.25">
      <c r="A76" s="98" t="s">
        <v>306</v>
      </c>
      <c r="B76" s="99" t="s">
        <v>78</v>
      </c>
      <c r="C76" s="99" t="s">
        <v>307</v>
      </c>
      <c r="D76" s="133" t="s">
        <v>83</v>
      </c>
      <c r="E76" s="133"/>
      <c r="F76" s="133"/>
      <c r="G76" s="133"/>
      <c r="H76" s="133"/>
    </row>
    <row r="77" spans="1:19" ht="15.75" hidden="1" customHeight="1" x14ac:dyDescent="0.25">
      <c r="A77" s="100">
        <f>'Construction %'!A19</f>
        <v>1</v>
      </c>
      <c r="B77" s="101">
        <f ca="1">'Construction %'!N19</f>
        <v>0</v>
      </c>
      <c r="C77" s="101">
        <f ca="1">'Construction %'!O19</f>
        <v>0</v>
      </c>
      <c r="D77" s="134" t="str">
        <f ca="1">'Construction %'!P19</f>
        <v xml:space="preserve">Work not yet Started. </v>
      </c>
      <c r="E77" s="135"/>
      <c r="F77" s="135"/>
      <c r="G77" s="135"/>
      <c r="H77" s="136"/>
    </row>
    <row r="78" spans="1:19" hidden="1" x14ac:dyDescent="0.25">
      <c r="A78" s="100">
        <f>'Construction %'!A20</f>
        <v>2</v>
      </c>
      <c r="B78" s="101">
        <f ca="1">'Construction %'!N20</f>
        <v>0</v>
      </c>
      <c r="C78" s="101">
        <f ca="1">'Construction %'!O20</f>
        <v>0</v>
      </c>
      <c r="D78" s="134" t="str">
        <f ca="1">'Construction %'!P20</f>
        <v xml:space="preserve">Work not yet Started. </v>
      </c>
      <c r="E78" s="135"/>
      <c r="F78" s="135"/>
      <c r="G78" s="135"/>
      <c r="H78" s="136"/>
    </row>
    <row r="79" spans="1:19" hidden="1" x14ac:dyDescent="0.25">
      <c r="A79" s="100">
        <f>'Construction %'!A21</f>
        <v>3</v>
      </c>
      <c r="B79" s="101">
        <f ca="1">'Construction %'!N21</f>
        <v>0</v>
      </c>
      <c r="C79" s="101">
        <f ca="1">'Construction %'!O21</f>
        <v>0</v>
      </c>
      <c r="D79" s="134" t="str">
        <f ca="1">'Construction %'!P21</f>
        <v xml:space="preserve">Work not yet Started. </v>
      </c>
      <c r="E79" s="135"/>
      <c r="F79" s="135"/>
      <c r="G79" s="135"/>
      <c r="H79" s="136"/>
    </row>
    <row r="80" spans="1:19" ht="15.75" hidden="1" customHeight="1" x14ac:dyDescent="0.25">
      <c r="A80" s="100">
        <f>'Construction %'!A22</f>
        <v>4</v>
      </c>
      <c r="B80" s="101">
        <f ca="1">'Construction %'!N22</f>
        <v>0</v>
      </c>
      <c r="C80" s="101">
        <f ca="1">'Construction %'!O22</f>
        <v>0</v>
      </c>
      <c r="D80" s="134" t="str">
        <f ca="1">'Construction %'!P22</f>
        <v xml:space="preserve">Work not yet Started. </v>
      </c>
      <c r="E80" s="135"/>
      <c r="F80" s="135"/>
      <c r="G80" s="135"/>
      <c r="H80" s="136"/>
    </row>
    <row r="81" spans="1:19" hidden="1" x14ac:dyDescent="0.25">
      <c r="A81" s="100">
        <f>'Construction %'!A23</f>
        <v>5</v>
      </c>
      <c r="B81" s="101">
        <f ca="1">'Construction %'!N23</f>
        <v>0</v>
      </c>
      <c r="C81" s="101">
        <f ca="1">'Construction %'!O23</f>
        <v>0</v>
      </c>
      <c r="D81" s="134" t="str">
        <f ca="1">'Construction %'!P23</f>
        <v xml:space="preserve">Work not yet Started. </v>
      </c>
      <c r="E81" s="135"/>
      <c r="F81" s="135"/>
      <c r="G81" s="135"/>
      <c r="H81" s="136"/>
    </row>
    <row r="82" spans="1:19" ht="15.75" hidden="1" customHeight="1" x14ac:dyDescent="0.25">
      <c r="A82" s="100">
        <f>'Construction %'!A24</f>
        <v>6</v>
      </c>
      <c r="B82" s="101">
        <f>'Construction %'!N24</f>
        <v>0</v>
      </c>
      <c r="C82" s="101">
        <f>'Construction %'!O24</f>
        <v>0</v>
      </c>
      <c r="D82" s="134" t="str">
        <f>'Construction %'!P24</f>
        <v xml:space="preserve">Work not yet Started. </v>
      </c>
      <c r="E82" s="135"/>
      <c r="F82" s="135"/>
      <c r="G82" s="135"/>
      <c r="H82" s="136"/>
    </row>
    <row r="83" spans="1:19" ht="15.75" hidden="1" customHeight="1" x14ac:dyDescent="0.25">
      <c r="A83" s="100">
        <f>'Construction %'!A25</f>
        <v>7</v>
      </c>
      <c r="B83" s="101">
        <f ca="1">'Construction %'!N25</f>
        <v>0</v>
      </c>
      <c r="C83" s="101">
        <f ca="1">'Construction %'!O25</f>
        <v>0</v>
      </c>
      <c r="D83" s="134" t="str">
        <f ca="1">'Construction %'!P25</f>
        <v xml:space="preserve">Work not yet Started. </v>
      </c>
      <c r="E83" s="135"/>
      <c r="F83" s="135"/>
      <c r="G83" s="135"/>
      <c r="H83" s="136"/>
    </row>
    <row r="84" spans="1:19" ht="15.75" hidden="1" customHeight="1" x14ac:dyDescent="0.25">
      <c r="A84" s="100">
        <f>'Construction %'!A26</f>
        <v>8</v>
      </c>
      <c r="B84" s="101">
        <f ca="1">'Construction %'!N26</f>
        <v>0</v>
      </c>
      <c r="C84" s="101">
        <f ca="1">'Construction %'!O26</f>
        <v>0</v>
      </c>
      <c r="D84" s="134" t="str">
        <f ca="1">'Construction %'!P26</f>
        <v xml:space="preserve">Work not yet Started. </v>
      </c>
      <c r="E84" s="135"/>
      <c r="F84" s="135"/>
      <c r="G84" s="135"/>
      <c r="H84" s="136"/>
    </row>
    <row r="85" spans="1:19" ht="15.75" hidden="1" customHeight="1" x14ac:dyDescent="0.25">
      <c r="A85" s="100">
        <f>'Construction %'!A27</f>
        <v>9</v>
      </c>
      <c r="B85" s="101">
        <f ca="1">'Construction %'!N27</f>
        <v>0</v>
      </c>
      <c r="C85" s="101">
        <f ca="1">'Construction %'!O27</f>
        <v>0</v>
      </c>
      <c r="D85" s="134" t="str">
        <f ca="1">'Construction %'!P27</f>
        <v xml:space="preserve">Work not yet Started. </v>
      </c>
      <c r="E85" s="135"/>
      <c r="F85" s="135"/>
      <c r="G85" s="135"/>
      <c r="H85" s="136"/>
    </row>
    <row r="86" spans="1:19" ht="15.75" hidden="1" customHeight="1" x14ac:dyDescent="0.25">
      <c r="A86" s="100">
        <f>'Construction %'!A28</f>
        <v>10</v>
      </c>
      <c r="B86" s="101">
        <f ca="1">'Construction %'!N28</f>
        <v>0</v>
      </c>
      <c r="C86" s="101">
        <f ca="1">'Construction %'!O28</f>
        <v>0</v>
      </c>
      <c r="D86" s="134" t="str">
        <f ca="1">'Construction %'!P28</f>
        <v xml:space="preserve">Work not yet Started. </v>
      </c>
      <c r="E86" s="135"/>
      <c r="F86" s="135"/>
      <c r="G86" s="135"/>
      <c r="H86" s="136"/>
    </row>
    <row r="87" spans="1:19" ht="15.75" hidden="1" customHeight="1" x14ac:dyDescent="0.25">
      <c r="A87" s="100">
        <f>'Construction %'!A29</f>
        <v>11</v>
      </c>
      <c r="B87" s="101">
        <f ca="1">'Construction %'!N29</f>
        <v>0</v>
      </c>
      <c r="C87" s="101">
        <f ca="1">'Construction %'!O29</f>
        <v>0</v>
      </c>
      <c r="D87" s="134" t="str">
        <f ca="1">'Construction %'!P29</f>
        <v xml:space="preserve">Work not yet Started. </v>
      </c>
      <c r="E87" s="135"/>
      <c r="F87" s="135"/>
      <c r="G87" s="135"/>
      <c r="H87" s="136"/>
    </row>
    <row r="88" spans="1:19" ht="15.75" hidden="1" customHeight="1" x14ac:dyDescent="0.25">
      <c r="A88" s="100">
        <f>'Construction %'!A30</f>
        <v>12</v>
      </c>
      <c r="B88" s="101">
        <f ca="1">'Construction %'!N30</f>
        <v>0</v>
      </c>
      <c r="C88" s="101">
        <f ca="1">'Construction %'!O30</f>
        <v>0</v>
      </c>
      <c r="D88" s="134" t="str">
        <f ca="1">'Construction %'!P30</f>
        <v xml:space="preserve">Work not yet Started. </v>
      </c>
      <c r="E88" s="135"/>
      <c r="F88" s="135"/>
      <c r="G88" s="135"/>
      <c r="H88" s="136"/>
    </row>
    <row r="89" spans="1:19" ht="15.75" hidden="1" customHeight="1" thickBot="1" x14ac:dyDescent="0.3">
      <c r="A89" s="100">
        <f>'Construction %'!A31</f>
        <v>13</v>
      </c>
      <c r="B89" s="101">
        <f ca="1">'Construction %'!N31</f>
        <v>0</v>
      </c>
      <c r="C89" s="101">
        <f ca="1">'Construction %'!O31</f>
        <v>0</v>
      </c>
      <c r="D89" s="134" t="str">
        <f ca="1">'Construction %'!P31</f>
        <v xml:space="preserve">Work not yet Started. </v>
      </c>
      <c r="E89" s="135"/>
      <c r="F89" s="135"/>
      <c r="G89" s="135"/>
      <c r="H89" s="136"/>
    </row>
    <row r="90" spans="1:19" ht="15.75" hidden="1" customHeight="1" x14ac:dyDescent="0.25">
      <c r="A90" s="130" t="s">
        <v>131</v>
      </c>
      <c r="B90" s="131"/>
      <c r="C90" s="187" t="str">
        <f>D65</f>
        <v>Building No.1 (A Wing) = 1B + G + 1st to 20th Floor</v>
      </c>
      <c r="D90" s="188"/>
      <c r="E90" s="188"/>
      <c r="F90" s="188"/>
      <c r="G90" s="188"/>
      <c r="H90" s="189"/>
      <c r="I90" s="49" t="str">
        <f ca="1">IF(D103=100%,"All work Completed. Possession granted to the Building.",IF(D102=100%,"All work Completed, Waiting for OC",I91&amp;""&amp;I92&amp;""&amp;J91&amp;""&amp;J90&amp;" "&amp;J92))</f>
        <v xml:space="preserve">Excavation, Plinth Completed </v>
      </c>
      <c r="J90" s="50"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25">
      <c r="A91" s="16" t="s">
        <v>133</v>
      </c>
      <c r="B91" s="47">
        <f>IF(AND(ISNUMBER(SEARCH("1B",C90))),1,IF(AND(ISNUMBER(SEARCH("2B",C90))),2,IF(AND(ISNUMBER(SEARCH("3B",C90))),3,IF(AND(ISNUMBER(SEARCH("4B",C90))),4,IF(ISNUMBER(SEARCH("5B",C90)),5,0)))))</f>
        <v>1</v>
      </c>
      <c r="C91" s="47" t="s">
        <v>66</v>
      </c>
      <c r="D91" s="47">
        <v>1</v>
      </c>
      <c r="E91" s="47" t="s">
        <v>65</v>
      </c>
      <c r="F91" s="14">
        <v>0</v>
      </c>
      <c r="G91" s="48" t="s">
        <v>73</v>
      </c>
      <c r="H91" s="17">
        <f ca="1">--TRIM(RIGHT(SUBSTITUTE(LEFT(C90,_xlfn.AGGREGATE(16,6,FIND({0,1,2,3,4,5,6,7,8,9},C90,ROW(INDIRECT("1:"&amp;LEN(C90)))),1))," ",REPT(" ",LEN(C90))),LEN(C90)))</f>
        <v>20</v>
      </c>
      <c r="I91" s="51" t="str">
        <f ca="1">IF(D94=100%,"Excavation","")&amp;IF(D95=100%,", Plinth","")&amp;IF(D96=100%,", RCC Slab","")&amp;IF(D97=100%,", Brickwork","")&amp;IF(D98=100%,", Internal Plaster","")&amp;IF(D99=100%,", External Plaster","")&amp;IF(D100=100%,", Flooring","")&amp;IF(D101=100%,", Painting","")&amp;IF(D102=100%,", Building common Amenities","")</f>
        <v>Excavation, Plinth</v>
      </c>
      <c r="J91" s="52"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6.75" hidden="1" customHeight="1" x14ac:dyDescent="0.25">
      <c r="A92" s="200" t="s">
        <v>83</v>
      </c>
      <c r="B92" s="201"/>
      <c r="C92" s="215" t="str">
        <f ca="1">I90</f>
        <v xml:space="preserve">Excavation, Plinth Completed </v>
      </c>
      <c r="D92" s="215"/>
      <c r="E92" s="215"/>
      <c r="F92" s="215"/>
      <c r="G92" s="215"/>
      <c r="H92" s="216"/>
      <c r="I92" s="51" t="str">
        <f ca="1">IF(I91&lt;&gt;""," Completed","")</f>
        <v xml:space="preserve"> Completed</v>
      </c>
      <c r="J92" s="52" t="str">
        <f ca="1">IF(J90&lt;&gt;"","Completed","")</f>
        <v/>
      </c>
      <c r="S92"/>
    </row>
    <row r="93" spans="1:19" ht="15.75" hidden="1" customHeight="1" x14ac:dyDescent="0.25">
      <c r="A93" s="179" t="s">
        <v>47</v>
      </c>
      <c r="B93" s="180"/>
      <c r="C93" s="43" t="s">
        <v>130</v>
      </c>
      <c r="D93" s="43" t="s">
        <v>76</v>
      </c>
      <c r="E93" s="180" t="s">
        <v>78</v>
      </c>
      <c r="F93" s="180"/>
      <c r="G93" s="180" t="s">
        <v>77</v>
      </c>
      <c r="H93" s="199"/>
      <c r="I93" s="13" t="s">
        <v>132</v>
      </c>
      <c r="J93" s="28">
        <f ca="1">H91*25%</f>
        <v>5</v>
      </c>
      <c r="S93"/>
    </row>
    <row r="94" spans="1:19" hidden="1" x14ac:dyDescent="0.25">
      <c r="A94" s="179" t="s">
        <v>119</v>
      </c>
      <c r="B94" s="180"/>
      <c r="C94" s="60">
        <f ca="1">J95</f>
        <v>20</v>
      </c>
      <c r="D94" s="19">
        <f ca="1">((100/H91)*C94)/100</f>
        <v>1</v>
      </c>
      <c r="E94" s="232">
        <f ca="1">(((C95/H91*10)+(40/(D91+F91+H91)*C96)+(7.5/(H91)*C97)+(7.5/(H91)*C98)+(10/H91*C99)+(10/H91*C100)+(5/H91*C101)+(5/H91*C102)+(5/H91*C103))/100)</f>
        <v>0.1</v>
      </c>
      <c r="F94" s="240"/>
      <c r="G94" s="232">
        <f ca="1">((((C94/H91)*20)+((C95/H91)*25)+(30/(H91+F91+D91)*C96)+(5/H91*C97)+(5/H91*C98)+(5/H91*C99)+(5/H91*C100)+(0/H91*C101)+(0/H91*C102)+(5/H91*C103))/100)</f>
        <v>0.45</v>
      </c>
      <c r="H94" s="233"/>
      <c r="I94" s="13" t="s">
        <v>92</v>
      </c>
      <c r="J94" s="29">
        <f ca="1">H91*50%</f>
        <v>10</v>
      </c>
    </row>
    <row r="95" spans="1:19" hidden="1" x14ac:dyDescent="0.25">
      <c r="A95" s="179" t="s">
        <v>48</v>
      </c>
      <c r="B95" s="180"/>
      <c r="C95" s="43">
        <f ca="1">J103</f>
        <v>20</v>
      </c>
      <c r="D95" s="19">
        <f ca="1">((100/H91)*C95)/100</f>
        <v>1</v>
      </c>
      <c r="E95" s="234"/>
      <c r="F95" s="241"/>
      <c r="G95" s="234"/>
      <c r="H95" s="235"/>
      <c r="I95" s="13" t="s">
        <v>93</v>
      </c>
      <c r="J95" s="29">
        <f ca="1">H91</f>
        <v>20</v>
      </c>
      <c r="S95"/>
    </row>
    <row r="96" spans="1:19" ht="15.75" hidden="1" customHeight="1" x14ac:dyDescent="0.25">
      <c r="A96" s="179" t="s">
        <v>120</v>
      </c>
      <c r="B96" s="180"/>
      <c r="C96" s="43">
        <v>0</v>
      </c>
      <c r="D96" s="19">
        <f ca="1">((100/(D91+F91+H91))*C96)/100</f>
        <v>0</v>
      </c>
      <c r="E96" s="234"/>
      <c r="F96" s="241"/>
      <c r="G96" s="234"/>
      <c r="H96" s="235"/>
      <c r="I96" s="13" t="s">
        <v>94</v>
      </c>
      <c r="J96" s="30">
        <f ca="1">(IF(B91&gt;1,(H91/(B91+2)),H91/4))</f>
        <v>5</v>
      </c>
      <c r="S96"/>
    </row>
    <row r="97" spans="1:10" ht="15.75" hidden="1" customHeight="1" x14ac:dyDescent="0.25">
      <c r="A97" s="179" t="s">
        <v>127</v>
      </c>
      <c r="B97" s="180" t="s">
        <v>121</v>
      </c>
      <c r="C97" s="43">
        <v>0</v>
      </c>
      <c r="D97" s="19">
        <f ca="1">((100/H91)*C97)/100</f>
        <v>0</v>
      </c>
      <c r="E97" s="234"/>
      <c r="F97" s="241"/>
      <c r="G97" s="234"/>
      <c r="H97" s="235"/>
      <c r="I97" s="13" t="s">
        <v>95</v>
      </c>
      <c r="J97" s="30">
        <f ca="1">(IF(B91&gt;1,(H91/(B91+2)+J96),H91/4+J96))</f>
        <v>10</v>
      </c>
    </row>
    <row r="98" spans="1:10" ht="15.75" hidden="1" customHeight="1" x14ac:dyDescent="0.25">
      <c r="A98" s="179" t="s">
        <v>128</v>
      </c>
      <c r="B98" s="180" t="s">
        <v>121</v>
      </c>
      <c r="C98" s="43">
        <v>0</v>
      </c>
      <c r="D98" s="19">
        <f ca="1">((100/H91)*C98)/100</f>
        <v>0</v>
      </c>
      <c r="E98" s="234"/>
      <c r="F98" s="241"/>
      <c r="G98" s="234"/>
      <c r="H98" s="235"/>
      <c r="I98" s="13" t="s">
        <v>137</v>
      </c>
      <c r="J98" s="30">
        <f>(IF(B91&gt;1,(H91/(B91+2)+J97),0))</f>
        <v>0</v>
      </c>
    </row>
    <row r="99" spans="1:10" ht="15" hidden="1" customHeight="1" x14ac:dyDescent="0.25">
      <c r="A99" s="179" t="s">
        <v>126</v>
      </c>
      <c r="B99" s="180" t="s">
        <v>123</v>
      </c>
      <c r="C99" s="43">
        <v>0</v>
      </c>
      <c r="D99" s="19">
        <f ca="1">((100/(H91))*C99)/100</f>
        <v>0</v>
      </c>
      <c r="E99" s="234"/>
      <c r="F99" s="241"/>
      <c r="G99" s="234"/>
      <c r="H99" s="235"/>
      <c r="I99" s="13" t="s">
        <v>134</v>
      </c>
      <c r="J99" s="30">
        <f>(IF(B91&gt;2,(H91/(B91+2)+J98),0))</f>
        <v>0</v>
      </c>
    </row>
    <row r="100" spans="1:10" ht="15.75" hidden="1" customHeight="1" x14ac:dyDescent="0.25">
      <c r="A100" s="179" t="s">
        <v>122</v>
      </c>
      <c r="B100" s="180" t="s">
        <v>122</v>
      </c>
      <c r="C100" s="43">
        <v>0</v>
      </c>
      <c r="D100" s="19">
        <f ca="1">((100/H91)*C100)/100</f>
        <v>0</v>
      </c>
      <c r="E100" s="234"/>
      <c r="F100" s="241"/>
      <c r="G100" s="234"/>
      <c r="H100" s="235"/>
      <c r="I100" s="13" t="s">
        <v>135</v>
      </c>
      <c r="J100" s="31">
        <f>(IF(B91&gt;3,(H91/(B91+2)+J99),0))</f>
        <v>0</v>
      </c>
    </row>
    <row r="101" spans="1:10" ht="15.75" hidden="1" customHeight="1" x14ac:dyDescent="0.25">
      <c r="A101" s="179" t="s">
        <v>129</v>
      </c>
      <c r="B101" s="180"/>
      <c r="C101" s="43">
        <v>0</v>
      </c>
      <c r="D101" s="19">
        <f ca="1">((100/H91)*C101)/100</f>
        <v>0</v>
      </c>
      <c r="E101" s="234"/>
      <c r="F101" s="241"/>
      <c r="G101" s="234"/>
      <c r="H101" s="235"/>
      <c r="I101" s="13" t="s">
        <v>136</v>
      </c>
      <c r="J101" s="30">
        <f>(IF(B91&gt;4,(H91/(B91+2)+J100),0))</f>
        <v>0</v>
      </c>
    </row>
    <row r="102" spans="1:10" ht="15.75" hidden="1" customHeight="1" x14ac:dyDescent="0.25">
      <c r="A102" s="179" t="s">
        <v>124</v>
      </c>
      <c r="B102" s="180" t="s">
        <v>124</v>
      </c>
      <c r="C102" s="43">
        <v>0</v>
      </c>
      <c r="D102" s="19">
        <f ca="1">((100/(H91))*C102)/100</f>
        <v>0</v>
      </c>
      <c r="E102" s="234"/>
      <c r="F102" s="241"/>
      <c r="G102" s="234"/>
      <c r="H102" s="235"/>
      <c r="I102" s="13" t="s">
        <v>138</v>
      </c>
      <c r="J102" s="30">
        <f ca="1">(IF(B91=1,(H91/(B91+3)+J97),IF(B91=0,(H91/4+J97),IF(B91&gt;1,0))))</f>
        <v>15</v>
      </c>
    </row>
    <row r="103" spans="1:10" ht="16.5" hidden="1" thickBot="1" x14ac:dyDescent="0.3">
      <c r="A103" s="181" t="s">
        <v>125</v>
      </c>
      <c r="B103" s="182"/>
      <c r="C103" s="44">
        <v>0</v>
      </c>
      <c r="D103" s="20">
        <f ca="1">((100/(H91))*C103)/100</f>
        <v>0</v>
      </c>
      <c r="E103" s="236"/>
      <c r="F103" s="242"/>
      <c r="G103" s="236"/>
      <c r="H103" s="237"/>
      <c r="I103" s="15" t="s">
        <v>96</v>
      </c>
      <c r="J103" s="32">
        <f ca="1">(IF(B91&gt;1.5,(H91/(B91+2)+J97+MAX(0,J98-J97)+MAX(0,J99-J98)+MAX(0,J100-J99)+MAX(0,J101-J100)+MAX(0,J102-J101)),IF(B91=1,(H91/(B91+3)+J102),IF(B91=0,H91/4+J102))))</f>
        <v>20</v>
      </c>
    </row>
    <row r="104" spans="1:10" ht="15.75" hidden="1" customHeight="1" x14ac:dyDescent="0.25">
      <c r="A104" s="130" t="s">
        <v>131</v>
      </c>
      <c r="B104" s="131"/>
      <c r="C104" s="187" t="str">
        <f>D66</f>
        <v>B Wing = 1B + G + 1st to 19th Floor</v>
      </c>
      <c r="D104" s="188"/>
      <c r="E104" s="188"/>
      <c r="F104" s="188"/>
      <c r="G104" s="188"/>
      <c r="H104" s="189"/>
      <c r="I104" s="49" t="str">
        <f ca="1">IF(D117=100%,"All work Completed. Possession granted to the Building.",IF(D116=100%,"All work Completed, Waiting for OC",I105&amp;""&amp;I106&amp;""&amp;J105&amp;""&amp;J104&amp;" "&amp;J106))</f>
        <v xml:space="preserve">Excavation, Plinth Completed </v>
      </c>
      <c r="J104" s="50"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row>
    <row r="105" spans="1:10" hidden="1" x14ac:dyDescent="0.25">
      <c r="A105" s="16" t="s">
        <v>133</v>
      </c>
      <c r="B105" s="47">
        <f>IF(AND(ISNUMBER(SEARCH("1B",C104))),1,IF(AND(ISNUMBER(SEARCH("2B",C104))),2,IF(AND(ISNUMBER(SEARCH("3B",C104))),3,IF(AND(ISNUMBER(SEARCH("4B",C104))),4,IF(ISNUMBER(SEARCH("5B",C104)),5,0)))))</f>
        <v>1</v>
      </c>
      <c r="C105" s="47" t="s">
        <v>66</v>
      </c>
      <c r="D105" s="47">
        <v>1</v>
      </c>
      <c r="E105" s="47" t="s">
        <v>65</v>
      </c>
      <c r="F105" s="14">
        <v>0</v>
      </c>
      <c r="G105" s="48" t="s">
        <v>73</v>
      </c>
      <c r="H105" s="17">
        <f ca="1">--TRIM(RIGHT(SUBSTITUTE(LEFT(C104,_xlfn.AGGREGATE(16,6,FIND({0,1,2,3,4,5,6,7,8,9},C104,ROW(INDIRECT("1:"&amp;LEN(C104)))),1))," ",REPT(" ",LEN(C104))),LEN(C104)))</f>
        <v>19</v>
      </c>
      <c r="I105" s="51" t="str">
        <f ca="1">IF(D108=100%,"Excavation","")&amp;IF(D109=100%,", Plinth","")&amp;IF(D110=100%,", RCC Slab","")&amp;IF(D111=100%,", Brickwork","")&amp;IF(D112=100%,", Internal Plaster","")&amp;IF(D113=100%,", External Plaster","")&amp;IF(D114=100%,", Flooring","")&amp;IF(D115=100%,", Painting","")&amp;IF(D116=100%,", Building common Amenities","")</f>
        <v>Excavation, Plinth</v>
      </c>
      <c r="J105" s="52"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hidden="1" x14ac:dyDescent="0.25">
      <c r="A106" s="200" t="s">
        <v>83</v>
      </c>
      <c r="B106" s="201"/>
      <c r="C106" s="215" t="str">
        <f ca="1">(IF($G$60="NA",I104,"All work Completed. OC Received."))</f>
        <v xml:space="preserve">Excavation, Plinth Completed </v>
      </c>
      <c r="D106" s="215"/>
      <c r="E106" s="215"/>
      <c r="F106" s="215"/>
      <c r="G106" s="215"/>
      <c r="H106" s="216"/>
      <c r="I106" s="51" t="str">
        <f ca="1">IF(I105&lt;&gt;""," Completed","")</f>
        <v xml:space="preserve"> Completed</v>
      </c>
      <c r="J106" s="52" t="str">
        <f ca="1">IF(J104&lt;&gt;"","Completed","")</f>
        <v/>
      </c>
    </row>
    <row r="107" spans="1:10" ht="15.75" hidden="1" customHeight="1" x14ac:dyDescent="0.25">
      <c r="A107" s="179" t="s">
        <v>47</v>
      </c>
      <c r="B107" s="180"/>
      <c r="C107" s="43" t="s">
        <v>130</v>
      </c>
      <c r="D107" s="43" t="s">
        <v>76</v>
      </c>
      <c r="E107" s="180" t="s">
        <v>78</v>
      </c>
      <c r="F107" s="180"/>
      <c r="G107" s="180" t="s">
        <v>77</v>
      </c>
      <c r="H107" s="199"/>
      <c r="I107" s="13" t="s">
        <v>132</v>
      </c>
      <c r="J107" s="28">
        <f ca="1">H105*25%</f>
        <v>4.75</v>
      </c>
    </row>
    <row r="108" spans="1:10" hidden="1" x14ac:dyDescent="0.25">
      <c r="A108" s="179" t="s">
        <v>119</v>
      </c>
      <c r="B108" s="180"/>
      <c r="C108" s="60">
        <f ca="1">J109</f>
        <v>19</v>
      </c>
      <c r="D108" s="19">
        <f ca="1">((100/H105)*C108)/100</f>
        <v>1</v>
      </c>
      <c r="E108" s="232">
        <f ca="1">(((C109/H105*10)+(40/(D105+F105+H105)*C110)+(7.5/(H105)*C111)+(7.5/(H105)*C112)+(10/H105*C113)+(10/H105*C114)+(5/H105*C115)+(5/H105*C116)+(5/H105*C117))/100)</f>
        <v>0.1</v>
      </c>
      <c r="F108" s="240"/>
      <c r="G108" s="232">
        <f ca="1">((((C108/H105)*20)+((C109/H105)*25)+(30/(H105+F105+D105)*C110)+(5/H105*C111)+(5/H105*C112)+(5/H105*C113)+(5/H105*C114)+(0/H105*C115)+(0/H105*C116)+(5/H105*C117))/100)</f>
        <v>0.45</v>
      </c>
      <c r="H108" s="233"/>
      <c r="I108" s="13" t="s">
        <v>92</v>
      </c>
      <c r="J108" s="29">
        <f ca="1">H105*50%</f>
        <v>9.5</v>
      </c>
    </row>
    <row r="109" spans="1:10" hidden="1" x14ac:dyDescent="0.25">
      <c r="A109" s="179" t="s">
        <v>48</v>
      </c>
      <c r="B109" s="180"/>
      <c r="C109" s="61">
        <v>19</v>
      </c>
      <c r="D109" s="19">
        <f ca="1">((100/H105)*C109)/100</f>
        <v>1</v>
      </c>
      <c r="E109" s="234"/>
      <c r="F109" s="241"/>
      <c r="G109" s="234"/>
      <c r="H109" s="235"/>
      <c r="I109" s="13" t="s">
        <v>93</v>
      </c>
      <c r="J109" s="29">
        <f ca="1">H105</f>
        <v>19</v>
      </c>
    </row>
    <row r="110" spans="1:10" ht="15.75" hidden="1" customHeight="1" x14ac:dyDescent="0.25">
      <c r="A110" s="179" t="s">
        <v>120</v>
      </c>
      <c r="B110" s="180"/>
      <c r="C110" s="43">
        <v>0</v>
      </c>
      <c r="D110" s="19">
        <f ca="1">((100/(D105+F105+H105))*C110)/100</f>
        <v>0</v>
      </c>
      <c r="E110" s="234"/>
      <c r="F110" s="241"/>
      <c r="G110" s="234"/>
      <c r="H110" s="235"/>
      <c r="I110" s="13" t="s">
        <v>94</v>
      </c>
      <c r="J110" s="30">
        <f ca="1">(IF(B105&gt;1,(H105/(B105+2)),H105/4))</f>
        <v>4.75</v>
      </c>
    </row>
    <row r="111" spans="1:10" ht="15.75" hidden="1" customHeight="1" x14ac:dyDescent="0.25">
      <c r="A111" s="179" t="s">
        <v>127</v>
      </c>
      <c r="B111" s="180" t="s">
        <v>121</v>
      </c>
      <c r="C111" s="43">
        <v>0</v>
      </c>
      <c r="D111" s="19">
        <f ca="1">((100/H105)*C111)/100</f>
        <v>0</v>
      </c>
      <c r="E111" s="234"/>
      <c r="F111" s="241"/>
      <c r="G111" s="234"/>
      <c r="H111" s="235"/>
      <c r="I111" s="13" t="s">
        <v>95</v>
      </c>
      <c r="J111" s="30">
        <f ca="1">(IF(B105&gt;1,(H105/(B105+2)+J110),H105/4+J110))</f>
        <v>9.5</v>
      </c>
    </row>
    <row r="112" spans="1:10" ht="15.75" hidden="1" customHeight="1" x14ac:dyDescent="0.25">
      <c r="A112" s="179" t="s">
        <v>128</v>
      </c>
      <c r="B112" s="180" t="s">
        <v>121</v>
      </c>
      <c r="C112" s="43">
        <v>0</v>
      </c>
      <c r="D112" s="19">
        <f ca="1">((100/H105)*C112)/100</f>
        <v>0</v>
      </c>
      <c r="E112" s="234"/>
      <c r="F112" s="241"/>
      <c r="G112" s="234"/>
      <c r="H112" s="235"/>
      <c r="I112" s="13" t="s">
        <v>137</v>
      </c>
      <c r="J112" s="30">
        <f>(IF(B105&gt;1,(H105/(B105+2)+J111),0))</f>
        <v>0</v>
      </c>
    </row>
    <row r="113" spans="1:10" ht="15" hidden="1" customHeight="1" x14ac:dyDescent="0.25">
      <c r="A113" s="179" t="s">
        <v>126</v>
      </c>
      <c r="B113" s="180" t="s">
        <v>123</v>
      </c>
      <c r="C113" s="43">
        <v>0</v>
      </c>
      <c r="D113" s="19">
        <f ca="1">((100/(H105))*C113)/100</f>
        <v>0</v>
      </c>
      <c r="E113" s="234"/>
      <c r="F113" s="241"/>
      <c r="G113" s="234"/>
      <c r="H113" s="235"/>
      <c r="I113" s="13" t="s">
        <v>134</v>
      </c>
      <c r="J113" s="30">
        <f>(IF(B105&gt;2,(H105/(B105+2)+J112),0))</f>
        <v>0</v>
      </c>
    </row>
    <row r="114" spans="1:10" ht="15.75" hidden="1" customHeight="1" x14ac:dyDescent="0.25">
      <c r="A114" s="179" t="s">
        <v>122</v>
      </c>
      <c r="B114" s="180" t="s">
        <v>122</v>
      </c>
      <c r="C114" s="43">
        <v>0</v>
      </c>
      <c r="D114" s="19">
        <f ca="1">((100/H105)*C114)/100</f>
        <v>0</v>
      </c>
      <c r="E114" s="234"/>
      <c r="F114" s="241"/>
      <c r="G114" s="234"/>
      <c r="H114" s="235"/>
      <c r="I114" s="13" t="s">
        <v>135</v>
      </c>
      <c r="J114" s="31">
        <f>(IF(B105&gt;3,(H105/(B105+2)+J113),0))</f>
        <v>0</v>
      </c>
    </row>
    <row r="115" spans="1:10" ht="15.75" hidden="1" customHeight="1" x14ac:dyDescent="0.25">
      <c r="A115" s="179" t="s">
        <v>129</v>
      </c>
      <c r="B115" s="180"/>
      <c r="C115" s="43">
        <v>0</v>
      </c>
      <c r="D115" s="19">
        <f ca="1">((100/H105)*C115)/100</f>
        <v>0</v>
      </c>
      <c r="E115" s="234"/>
      <c r="F115" s="241"/>
      <c r="G115" s="234"/>
      <c r="H115" s="235"/>
      <c r="I115" s="13" t="s">
        <v>136</v>
      </c>
      <c r="J115" s="30">
        <f>(IF(B105&gt;4,(H105/(B105+2)+J114),0))</f>
        <v>0</v>
      </c>
    </row>
    <row r="116" spans="1:10" ht="15.75" hidden="1" customHeight="1" x14ac:dyDescent="0.25">
      <c r="A116" s="179" t="s">
        <v>124</v>
      </c>
      <c r="B116" s="180" t="s">
        <v>124</v>
      </c>
      <c r="C116" s="43">
        <v>0</v>
      </c>
      <c r="D116" s="19">
        <f ca="1">((100/(H105))*C116)/100</f>
        <v>0</v>
      </c>
      <c r="E116" s="234"/>
      <c r="F116" s="241"/>
      <c r="G116" s="234"/>
      <c r="H116" s="235"/>
      <c r="I116" s="13" t="s">
        <v>138</v>
      </c>
      <c r="J116" s="30">
        <f ca="1">(IF(B105=1,(H105/(B105+3)+J111),IF(B105=0,(H105/4+J111),IF(B105&gt;1,0))))</f>
        <v>14.25</v>
      </c>
    </row>
    <row r="117" spans="1:10" ht="16.5" hidden="1" thickBot="1" x14ac:dyDescent="0.3">
      <c r="A117" s="181" t="s">
        <v>125</v>
      </c>
      <c r="B117" s="182"/>
      <c r="C117" s="44">
        <v>0</v>
      </c>
      <c r="D117" s="20">
        <f ca="1">((100/(H105))*C117)/100</f>
        <v>0</v>
      </c>
      <c r="E117" s="236"/>
      <c r="F117" s="242"/>
      <c r="G117" s="236"/>
      <c r="H117" s="237"/>
      <c r="I117" s="15" t="s">
        <v>96</v>
      </c>
      <c r="J117" s="32">
        <f ca="1">(IF(B105&gt;1.5,(H105/(B105+2)+J111+MAX(0,J112-J111)+MAX(0,J113-J112)+MAX(0,J114-J113)+MAX(0,J115-J114)+MAX(0,J116-J115)),IF(B105=1,(H105/(B105+3)+J116),IF(B105=0,H105/4+J116))))</f>
        <v>19</v>
      </c>
    </row>
    <row r="118" spans="1:10" ht="15.75" hidden="1" customHeight="1" x14ac:dyDescent="0.25">
      <c r="A118" s="130" t="s">
        <v>131</v>
      </c>
      <c r="B118" s="131"/>
      <c r="C118" s="187" t="str">
        <f>D67</f>
        <v>C Wing = 1B + G + 1st to 20th Floor</v>
      </c>
      <c r="D118" s="188"/>
      <c r="E118" s="188"/>
      <c r="F118" s="188"/>
      <c r="G118" s="188"/>
      <c r="H118" s="189"/>
      <c r="I118" s="49" t="str">
        <f ca="1">IF(D131=100%,"All work Completed. Possession granted to the Building.",IF(D130=100%,"All work Completed, Waiting for OC",I119&amp;""&amp;I120&amp;""&amp;J119&amp;""&amp;J118&amp;" "&amp;J120))</f>
        <v xml:space="preserve">Excavation, Plinth, RCC Slab Completed </v>
      </c>
      <c r="J118" s="50"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c>
    </row>
    <row r="119" spans="1:10" hidden="1" x14ac:dyDescent="0.25">
      <c r="A119" s="16" t="s">
        <v>133</v>
      </c>
      <c r="B119" s="47">
        <f>IF(AND(ISNUMBER(SEARCH("1B",C118))),1,IF(AND(ISNUMBER(SEARCH("2B",C118))),2,IF(AND(ISNUMBER(SEARCH("3B",C118))),3,IF(AND(ISNUMBER(SEARCH("4B",C118))),4,IF(ISNUMBER(SEARCH("5B",C118)),5,0)))))</f>
        <v>1</v>
      </c>
      <c r="C119" s="47" t="s">
        <v>66</v>
      </c>
      <c r="D119" s="47">
        <v>1</v>
      </c>
      <c r="E119" s="47" t="s">
        <v>65</v>
      </c>
      <c r="F119" s="14">
        <v>0</v>
      </c>
      <c r="G119" s="48" t="s">
        <v>73</v>
      </c>
      <c r="H119" s="17">
        <f ca="1">--TRIM(RIGHT(SUBSTITUTE(LEFT(C118,_xlfn.AGGREGATE(16,6,FIND({0,1,2,3,4,5,6,7,8,9},C118,ROW(INDIRECT("1:"&amp;LEN(C118)))),1))," ",REPT(" ",LEN(C118))),LEN(C118)))</f>
        <v>20</v>
      </c>
      <c r="I119" s="51" t="str">
        <f ca="1">IF(D122=100%,"Excavation","")&amp;IF(D123=100%,", Plinth","")&amp;IF(D124=100%,", RCC Slab","")&amp;IF(D125=100%,", Brickwork","")&amp;IF(D126=100%,", Internal Plaster","")&amp;IF(D127=100%,", External Plaster","")&amp;IF(D128=100%,", Flooring","")&amp;IF(D129=100%,", Painting","")&amp;IF(D130=100%,", Building common Amenities","")</f>
        <v>Excavation, Plinth, RCC Slab</v>
      </c>
      <c r="J119" s="52"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row>
    <row r="120" spans="1:10" hidden="1" x14ac:dyDescent="0.25">
      <c r="A120" s="200" t="s">
        <v>83</v>
      </c>
      <c r="B120" s="201"/>
      <c r="C120" s="215" t="str">
        <f ca="1">(IF($G$60="NA",I118,"All work Completed. OC Received."))</f>
        <v xml:space="preserve">Excavation, Plinth, RCC Slab Completed </v>
      </c>
      <c r="D120" s="215"/>
      <c r="E120" s="215"/>
      <c r="F120" s="215"/>
      <c r="G120" s="215"/>
      <c r="H120" s="216"/>
      <c r="I120" s="51" t="str">
        <f ca="1">IF(I119&lt;&gt;""," Completed","")</f>
        <v xml:space="preserve"> Completed</v>
      </c>
      <c r="J120" s="52" t="str">
        <f ca="1">IF(J118&lt;&gt;"","Completed","")</f>
        <v/>
      </c>
    </row>
    <row r="121" spans="1:10" ht="15.75" hidden="1" customHeight="1" x14ac:dyDescent="0.25">
      <c r="A121" s="179" t="s">
        <v>47</v>
      </c>
      <c r="B121" s="180"/>
      <c r="C121" s="43" t="s">
        <v>130</v>
      </c>
      <c r="D121" s="43" t="s">
        <v>76</v>
      </c>
      <c r="E121" s="180" t="s">
        <v>78</v>
      </c>
      <c r="F121" s="180"/>
      <c r="G121" s="180" t="s">
        <v>77</v>
      </c>
      <c r="H121" s="199"/>
      <c r="I121" s="13" t="s">
        <v>132</v>
      </c>
      <c r="J121" s="28">
        <f ca="1">H119*25%</f>
        <v>5</v>
      </c>
    </row>
    <row r="122" spans="1:10" hidden="1" x14ac:dyDescent="0.25">
      <c r="A122" s="179" t="s">
        <v>119</v>
      </c>
      <c r="B122" s="180"/>
      <c r="C122" s="43">
        <f ca="1">J123</f>
        <v>20</v>
      </c>
      <c r="D122" s="19">
        <f ca="1">((100/H119)*C122)/100</f>
        <v>1</v>
      </c>
      <c r="E122" s="232">
        <f ca="1">(((C123/H119*10)+(40/(D119+F119+H119)*C124)+(7.5/(H119)*C125)+(7.5/(H119)*C126)+(10/H119*C127)+(10/H119*C128)+(5/H119*C129)+(5/H119*C130)+(5/H119*C131))/100)</f>
        <v>0.5</v>
      </c>
      <c r="F122" s="240"/>
      <c r="G122" s="232">
        <f ca="1">((((C122/H119)*20)+((C123/H119)*25)+(30/(H119+F119+D119)*C124)+(5/H119*C125)+(5/H119*C126)+(5/H119*C127)+(5/H119*C128)+(0/H119*C129)+(0/H119*C130)+(5/H119*C131))/100)</f>
        <v>0.75</v>
      </c>
      <c r="H122" s="233"/>
      <c r="I122" s="13" t="s">
        <v>92</v>
      </c>
      <c r="J122" s="29">
        <f ca="1">H119*50%</f>
        <v>10</v>
      </c>
    </row>
    <row r="123" spans="1:10" hidden="1" x14ac:dyDescent="0.25">
      <c r="A123" s="179" t="s">
        <v>48</v>
      </c>
      <c r="B123" s="180"/>
      <c r="C123" s="43">
        <f ca="1">J131</f>
        <v>20</v>
      </c>
      <c r="D123" s="19">
        <f ca="1">((100/H119)*C123)/100</f>
        <v>1</v>
      </c>
      <c r="E123" s="234"/>
      <c r="F123" s="241"/>
      <c r="G123" s="234"/>
      <c r="H123" s="235"/>
      <c r="I123" s="13" t="s">
        <v>93</v>
      </c>
      <c r="J123" s="29">
        <f ca="1">H119</f>
        <v>20</v>
      </c>
    </row>
    <row r="124" spans="1:10" ht="15.75" hidden="1" customHeight="1" x14ac:dyDescent="0.25">
      <c r="A124" s="179" t="s">
        <v>120</v>
      </c>
      <c r="B124" s="180"/>
      <c r="C124" s="43">
        <f ca="1">D119+H119</f>
        <v>21</v>
      </c>
      <c r="D124" s="19">
        <f ca="1">((100/(D119+F119+H119))*C124)/100</f>
        <v>1</v>
      </c>
      <c r="E124" s="234"/>
      <c r="F124" s="241"/>
      <c r="G124" s="234"/>
      <c r="H124" s="235"/>
      <c r="I124" s="13" t="s">
        <v>94</v>
      </c>
      <c r="J124" s="30">
        <f ca="1">(IF(B119&gt;1,(H119/(B119+2)),H119/4))</f>
        <v>5</v>
      </c>
    </row>
    <row r="125" spans="1:10" ht="15.75" hidden="1" customHeight="1" x14ac:dyDescent="0.25">
      <c r="A125" s="179" t="s">
        <v>127</v>
      </c>
      <c r="B125" s="180" t="s">
        <v>121</v>
      </c>
      <c r="C125" s="43">
        <v>0</v>
      </c>
      <c r="D125" s="19">
        <f ca="1">((100/H119)*C125)/100</f>
        <v>0</v>
      </c>
      <c r="E125" s="234"/>
      <c r="F125" s="241"/>
      <c r="G125" s="234"/>
      <c r="H125" s="235"/>
      <c r="I125" s="13" t="s">
        <v>95</v>
      </c>
      <c r="J125" s="30">
        <f ca="1">(IF(B119&gt;1,(H119/(B119+2)+J124),H119/4+J124))</f>
        <v>10</v>
      </c>
    </row>
    <row r="126" spans="1:10" ht="15.75" hidden="1" customHeight="1" x14ac:dyDescent="0.25">
      <c r="A126" s="179" t="s">
        <v>128</v>
      </c>
      <c r="B126" s="180" t="s">
        <v>121</v>
      </c>
      <c r="C126" s="43">
        <v>0</v>
      </c>
      <c r="D126" s="19">
        <f ca="1">((100/H119)*C126)/100</f>
        <v>0</v>
      </c>
      <c r="E126" s="234"/>
      <c r="F126" s="241"/>
      <c r="G126" s="234"/>
      <c r="H126" s="235"/>
      <c r="I126" s="13" t="s">
        <v>137</v>
      </c>
      <c r="J126" s="30">
        <f>(IF(B119&gt;1,(H119/(B119+2)+J125),0))</f>
        <v>0</v>
      </c>
    </row>
    <row r="127" spans="1:10" ht="15" hidden="1" customHeight="1" x14ac:dyDescent="0.25">
      <c r="A127" s="179" t="s">
        <v>126</v>
      </c>
      <c r="B127" s="180" t="s">
        <v>123</v>
      </c>
      <c r="C127" s="43">
        <v>0</v>
      </c>
      <c r="D127" s="19">
        <f ca="1">((100/(H119))*C127)/100</f>
        <v>0</v>
      </c>
      <c r="E127" s="234"/>
      <c r="F127" s="241"/>
      <c r="G127" s="234"/>
      <c r="H127" s="235"/>
      <c r="I127" s="13" t="s">
        <v>134</v>
      </c>
      <c r="J127" s="30">
        <f>(IF(B119&gt;2,(H119/(B119+2)+J126),0))</f>
        <v>0</v>
      </c>
    </row>
    <row r="128" spans="1:10" ht="15.75" hidden="1" customHeight="1" x14ac:dyDescent="0.25">
      <c r="A128" s="179" t="s">
        <v>122</v>
      </c>
      <c r="B128" s="180" t="s">
        <v>122</v>
      </c>
      <c r="C128" s="43">
        <v>0</v>
      </c>
      <c r="D128" s="19">
        <f ca="1">((100/H119)*C128)/100</f>
        <v>0</v>
      </c>
      <c r="E128" s="234"/>
      <c r="F128" s="241"/>
      <c r="G128" s="234"/>
      <c r="H128" s="235"/>
      <c r="I128" s="13" t="s">
        <v>135</v>
      </c>
      <c r="J128" s="31">
        <f>(IF(B119&gt;3,(H119/(B119+2)+J127),0))</f>
        <v>0</v>
      </c>
    </row>
    <row r="129" spans="1:22" ht="15.75" hidden="1" customHeight="1" x14ac:dyDescent="0.25">
      <c r="A129" s="179" t="s">
        <v>129</v>
      </c>
      <c r="B129" s="180"/>
      <c r="C129" s="43">
        <v>0</v>
      </c>
      <c r="D129" s="19">
        <f ca="1">((100/H119)*C129)/100</f>
        <v>0</v>
      </c>
      <c r="E129" s="234"/>
      <c r="F129" s="241"/>
      <c r="G129" s="234"/>
      <c r="H129" s="235"/>
      <c r="I129" s="13" t="s">
        <v>136</v>
      </c>
      <c r="J129" s="30">
        <f>(IF(B119&gt;4,(H119/(B119+2)+J128),0))</f>
        <v>0</v>
      </c>
    </row>
    <row r="130" spans="1:22" ht="15.75" hidden="1" customHeight="1" x14ac:dyDescent="0.25">
      <c r="A130" s="179" t="s">
        <v>124</v>
      </c>
      <c r="B130" s="180" t="s">
        <v>124</v>
      </c>
      <c r="C130" s="43">
        <v>0</v>
      </c>
      <c r="D130" s="19">
        <f ca="1">((100/(H119))*C130)/100</f>
        <v>0</v>
      </c>
      <c r="E130" s="234"/>
      <c r="F130" s="241"/>
      <c r="G130" s="234"/>
      <c r="H130" s="235"/>
      <c r="I130" s="13" t="s">
        <v>138</v>
      </c>
      <c r="J130" s="30">
        <f ca="1">(IF(B119=1,(H119/(B119+3)+J125),IF(B119=0,(H119/4+J125),IF(B119&gt;1,0))))</f>
        <v>15</v>
      </c>
    </row>
    <row r="131" spans="1:22" ht="16.5" hidden="1" thickBot="1" x14ac:dyDescent="0.3">
      <c r="A131" s="181" t="s">
        <v>125</v>
      </c>
      <c r="B131" s="182"/>
      <c r="C131" s="44">
        <v>0</v>
      </c>
      <c r="D131" s="20">
        <f ca="1">((100/(H119))*C131)/100</f>
        <v>0</v>
      </c>
      <c r="E131" s="236"/>
      <c r="F131" s="242"/>
      <c r="G131" s="236"/>
      <c r="H131" s="237"/>
      <c r="I131" s="15" t="s">
        <v>96</v>
      </c>
      <c r="J131" s="32">
        <f ca="1">(IF(B119&gt;1.5,(H119/(B119+2)+J125+MAX(0,J126-J125)+MAX(0,J127-J126)+MAX(0,J128-J127)+MAX(0,J129-J128)+MAX(0,J130-J129)),IF(B119=1,(H119/(B119+3)+J130),IF(B119=0,H119/4+J130))))</f>
        <v>20</v>
      </c>
    </row>
    <row r="132" spans="1:22" x14ac:dyDescent="0.25">
      <c r="A132" s="198" t="s">
        <v>147</v>
      </c>
      <c r="B132" s="198"/>
      <c r="C132" s="198"/>
      <c r="D132" s="198"/>
      <c r="E132" s="198"/>
      <c r="F132" s="193" t="s">
        <v>348</v>
      </c>
      <c r="G132" s="193"/>
      <c r="H132" s="193"/>
      <c r="R132" t="s">
        <v>239</v>
      </c>
      <c r="S132" t="s">
        <v>161</v>
      </c>
      <c r="T132" t="s">
        <v>164</v>
      </c>
      <c r="U132" t="s">
        <v>179</v>
      </c>
      <c r="V132" t="s">
        <v>174</v>
      </c>
    </row>
    <row r="133" spans="1:22" x14ac:dyDescent="0.25">
      <c r="A133" s="120" t="s">
        <v>342</v>
      </c>
      <c r="B133" s="120"/>
      <c r="C133" s="120"/>
      <c r="D133" s="120"/>
      <c r="E133" s="120"/>
      <c r="F133" s="118">
        <v>8000</v>
      </c>
      <c r="G133" s="118"/>
      <c r="H133" s="118"/>
      <c r="R133"/>
      <c r="S133">
        <v>800000</v>
      </c>
      <c r="T133">
        <v>150000</v>
      </c>
      <c r="U133">
        <v>100000</v>
      </c>
      <c r="V133">
        <v>100000</v>
      </c>
    </row>
    <row r="134" spans="1:22" x14ac:dyDescent="0.25">
      <c r="A134" s="120" t="s">
        <v>345</v>
      </c>
      <c r="B134" s="120"/>
      <c r="C134" s="120"/>
      <c r="D134" s="120"/>
      <c r="E134" s="120"/>
      <c r="F134" s="118">
        <v>500</v>
      </c>
      <c r="G134" s="118"/>
      <c r="H134" s="118"/>
      <c r="R134"/>
      <c r="S134">
        <v>900000</v>
      </c>
      <c r="T134">
        <v>200000</v>
      </c>
      <c r="U134">
        <v>150000</v>
      </c>
      <c r="V134">
        <v>150000</v>
      </c>
    </row>
    <row r="135" spans="1:22" x14ac:dyDescent="0.25">
      <c r="A135" s="120" t="s">
        <v>346</v>
      </c>
      <c r="B135" s="120"/>
      <c r="C135" s="120"/>
      <c r="D135" s="120"/>
      <c r="E135" s="120"/>
      <c r="F135" s="118">
        <v>2050</v>
      </c>
      <c r="G135" s="118"/>
      <c r="H135" s="118"/>
      <c r="R135"/>
      <c r="S135">
        <v>1000000</v>
      </c>
      <c r="T135">
        <v>250000</v>
      </c>
      <c r="U135">
        <v>200000</v>
      </c>
      <c r="V135">
        <v>200000</v>
      </c>
    </row>
    <row r="136" spans="1:22" s="33" customFormat="1" x14ac:dyDescent="0.25">
      <c r="A136" s="120" t="s">
        <v>88</v>
      </c>
      <c r="B136" s="120"/>
      <c r="C136" s="120"/>
      <c r="D136" s="120"/>
      <c r="E136" s="120"/>
      <c r="F136" s="118">
        <v>90000</v>
      </c>
      <c r="G136" s="118"/>
      <c r="H136" s="118"/>
      <c r="R136"/>
      <c r="S136">
        <v>1100000</v>
      </c>
      <c r="T136">
        <v>300000</v>
      </c>
      <c r="U136">
        <v>250000</v>
      </c>
      <c r="V136" s="23">
        <v>250000</v>
      </c>
    </row>
    <row r="137" spans="1:22" s="33" customFormat="1" x14ac:dyDescent="0.25">
      <c r="A137" s="120" t="s">
        <v>347</v>
      </c>
      <c r="B137" s="120"/>
      <c r="C137" s="120"/>
      <c r="D137" s="120"/>
      <c r="E137" s="120"/>
      <c r="F137" s="118">
        <v>50000</v>
      </c>
      <c r="G137" s="118"/>
      <c r="H137" s="118"/>
      <c r="R137"/>
      <c r="S137">
        <v>1200000</v>
      </c>
      <c r="T137">
        <v>350000</v>
      </c>
      <c r="U137">
        <v>300000</v>
      </c>
      <c r="V137">
        <v>300000</v>
      </c>
    </row>
    <row r="138" spans="1:22" s="33" customFormat="1" x14ac:dyDescent="0.25">
      <c r="A138" s="120" t="s">
        <v>90</v>
      </c>
      <c r="B138" s="120"/>
      <c r="C138" s="120"/>
      <c r="D138" s="120"/>
      <c r="E138" s="120"/>
      <c r="F138" s="118">
        <v>7000</v>
      </c>
      <c r="G138" s="118"/>
      <c r="H138" s="118"/>
      <c r="R138"/>
      <c r="S138">
        <v>1300000</v>
      </c>
      <c r="T138">
        <v>400000</v>
      </c>
      <c r="U138">
        <v>350000</v>
      </c>
      <c r="V138" s="23">
        <v>400000</v>
      </c>
    </row>
    <row r="139" spans="1:22" s="33" customFormat="1" x14ac:dyDescent="0.25">
      <c r="A139" s="120" t="s">
        <v>91</v>
      </c>
      <c r="B139" s="120"/>
      <c r="C139" s="120"/>
      <c r="D139" s="120"/>
      <c r="E139" s="120"/>
      <c r="F139" s="118">
        <v>300000</v>
      </c>
      <c r="G139" s="118"/>
      <c r="H139" s="118"/>
      <c r="R139"/>
      <c r="S139">
        <v>1400000</v>
      </c>
      <c r="T139">
        <v>500000</v>
      </c>
      <c r="U139">
        <v>400000</v>
      </c>
      <c r="V139"/>
    </row>
    <row r="140" spans="1:22" s="33" customFormat="1" hidden="1" x14ac:dyDescent="0.25">
      <c r="A140" s="120" t="s">
        <v>89</v>
      </c>
      <c r="B140" s="120"/>
      <c r="C140" s="120"/>
      <c r="D140" s="120"/>
      <c r="E140" s="120"/>
      <c r="F140" s="118"/>
      <c r="G140" s="118"/>
      <c r="H140" s="118"/>
      <c r="R140"/>
      <c r="S140">
        <v>1500000</v>
      </c>
      <c r="T140">
        <v>600000</v>
      </c>
      <c r="U140">
        <v>500000</v>
      </c>
      <c r="V140" s="23"/>
    </row>
    <row r="141" spans="1:22" s="33" customFormat="1" hidden="1" x14ac:dyDescent="0.25">
      <c r="A141" s="120" t="s">
        <v>90</v>
      </c>
      <c r="B141" s="120"/>
      <c r="C141" s="120"/>
      <c r="D141" s="120"/>
      <c r="E141" s="120"/>
      <c r="F141" s="118"/>
      <c r="G141" s="118"/>
      <c r="H141" s="118"/>
      <c r="R141"/>
      <c r="S141">
        <v>1600000</v>
      </c>
      <c r="T141">
        <v>700000</v>
      </c>
      <c r="U141">
        <v>600000</v>
      </c>
      <c r="V141"/>
    </row>
    <row r="142" spans="1:22" s="33" customFormat="1" hidden="1" x14ac:dyDescent="0.25">
      <c r="A142" s="120" t="s">
        <v>91</v>
      </c>
      <c r="B142" s="120"/>
      <c r="C142" s="120"/>
      <c r="D142" s="120"/>
      <c r="E142" s="120"/>
      <c r="F142" s="118"/>
      <c r="G142" s="118"/>
      <c r="H142" s="118"/>
      <c r="R142"/>
      <c r="S142">
        <v>1700000</v>
      </c>
      <c r="T142">
        <v>800000</v>
      </c>
      <c r="U142"/>
      <c r="V142" s="23"/>
    </row>
    <row r="143" spans="1:22" hidden="1" x14ac:dyDescent="0.25">
      <c r="A143" s="120" t="s">
        <v>49</v>
      </c>
      <c r="B143" s="120"/>
      <c r="C143" s="120"/>
      <c r="D143" s="120"/>
      <c r="E143" s="120"/>
      <c r="F143" s="204">
        <v>600000</v>
      </c>
      <c r="G143" s="204"/>
      <c r="H143" s="204"/>
      <c r="R143"/>
      <c r="S143">
        <v>1800000</v>
      </c>
      <c r="T143">
        <v>900000</v>
      </c>
      <c r="U143"/>
    </row>
    <row r="144" spans="1:22" s="34" customFormat="1" hidden="1" x14ac:dyDescent="0.25">
      <c r="A144" s="205" t="s">
        <v>50</v>
      </c>
      <c r="B144" s="205"/>
      <c r="C144" s="205"/>
      <c r="D144" s="205"/>
      <c r="E144" s="205"/>
      <c r="F144" s="118">
        <f>F133*0.8</f>
        <v>6400</v>
      </c>
      <c r="G144" s="118"/>
      <c r="H144" s="118"/>
      <c r="R144" s="21"/>
      <c r="S144" s="21"/>
      <c r="T144">
        <v>1000000</v>
      </c>
      <c r="U144"/>
      <c r="V144" s="21"/>
    </row>
    <row r="145" spans="1:20" s="35" customFormat="1" x14ac:dyDescent="0.25">
      <c r="A145" s="207" t="s">
        <v>289</v>
      </c>
      <c r="B145" s="207"/>
      <c r="C145" s="207"/>
      <c r="D145" s="207"/>
      <c r="E145" s="207"/>
      <c r="F145" s="207"/>
      <c r="G145" s="207"/>
      <c r="H145" s="207"/>
      <c r="T145"/>
    </row>
    <row r="146" spans="1:20" s="35" customFormat="1" ht="15.75" customHeight="1" x14ac:dyDescent="0.25">
      <c r="A146" s="178" t="s">
        <v>51</v>
      </c>
      <c r="B146" s="178"/>
      <c r="C146" s="126" t="s">
        <v>71</v>
      </c>
      <c r="D146" s="126"/>
      <c r="E146" s="195" t="s">
        <v>354</v>
      </c>
      <c r="F146" s="195"/>
      <c r="G146" s="178" t="s">
        <v>308</v>
      </c>
      <c r="H146" s="178"/>
      <c r="T146"/>
    </row>
    <row r="147" spans="1:20" s="35" customFormat="1" x14ac:dyDescent="0.25">
      <c r="A147" s="206" t="s">
        <v>334</v>
      </c>
      <c r="B147" s="206"/>
      <c r="C147" s="245">
        <f>COUNT(B161:B280)</f>
        <v>120</v>
      </c>
      <c r="D147" s="246"/>
      <c r="E147" s="245">
        <f>SUM(C161:C280)</f>
        <v>228847.17164399984</v>
      </c>
      <c r="F147" s="246"/>
      <c r="G147" s="245">
        <f>SUM(F161:F280)</f>
        <v>391191.3552082539</v>
      </c>
      <c r="H147" s="246"/>
      <c r="I147" s="35" t="s">
        <v>340</v>
      </c>
      <c r="T147"/>
    </row>
    <row r="148" spans="1:20" s="35" customFormat="1" x14ac:dyDescent="0.25">
      <c r="A148" s="207" t="s">
        <v>141</v>
      </c>
      <c r="B148" s="207"/>
      <c r="C148" s="183">
        <f>SUM(C147)</f>
        <v>120</v>
      </c>
      <c r="D148" s="126"/>
      <c r="E148" s="259">
        <f>SUM(E147)</f>
        <v>228847.17164399984</v>
      </c>
      <c r="F148" s="195"/>
      <c r="G148" s="178">
        <f>SUM(G147)</f>
        <v>391191.3552082539</v>
      </c>
      <c r="H148" s="178"/>
      <c r="T148"/>
    </row>
    <row r="149" spans="1:20" s="34" customFormat="1" x14ac:dyDescent="0.25">
      <c r="A149" s="193" t="s">
        <v>52</v>
      </c>
      <c r="B149" s="193"/>
      <c r="C149" s="193"/>
      <c r="D149" s="193"/>
      <c r="E149" s="193"/>
      <c r="F149" s="193"/>
      <c r="G149" s="193"/>
      <c r="H149" s="193"/>
      <c r="T149" s="35"/>
    </row>
    <row r="150" spans="1:20" x14ac:dyDescent="0.25">
      <c r="A150" s="119" t="s">
        <v>290</v>
      </c>
      <c r="B150" s="119"/>
      <c r="C150" s="119"/>
      <c r="D150" s="119"/>
      <c r="E150" s="119"/>
      <c r="F150" s="119"/>
      <c r="G150" s="119"/>
      <c r="H150" s="119"/>
      <c r="T150" s="35"/>
    </row>
    <row r="151" spans="1:20" ht="47.25" hidden="1" customHeight="1" x14ac:dyDescent="0.25">
      <c r="A151" s="208" t="s">
        <v>112</v>
      </c>
      <c r="B151" s="208" t="s">
        <v>163</v>
      </c>
      <c r="C151" s="208" t="s">
        <v>53</v>
      </c>
      <c r="D151" s="257" t="s">
        <v>217</v>
      </c>
      <c r="E151" s="210" t="s">
        <v>146</v>
      </c>
      <c r="F151" s="208" t="s">
        <v>54</v>
      </c>
      <c r="G151" s="210" t="s">
        <v>55</v>
      </c>
      <c r="H151" s="65" t="s">
        <v>140</v>
      </c>
      <c r="T151" s="35"/>
    </row>
    <row r="152" spans="1:20" s="37" customFormat="1" hidden="1" x14ac:dyDescent="0.25">
      <c r="A152" s="209"/>
      <c r="B152" s="209"/>
      <c r="C152" s="209"/>
      <c r="D152" s="258"/>
      <c r="E152" s="211"/>
      <c r="F152" s="209"/>
      <c r="G152" s="211"/>
      <c r="H152" s="55">
        <v>0.45</v>
      </c>
      <c r="T152" s="35"/>
    </row>
    <row r="153" spans="1:20" s="37" customFormat="1" hidden="1" x14ac:dyDescent="0.25">
      <c r="A153" s="184" t="s">
        <v>111</v>
      </c>
      <c r="B153" s="185"/>
      <c r="C153" s="185"/>
      <c r="D153" s="185"/>
      <c r="E153" s="185"/>
      <c r="F153" s="185"/>
      <c r="G153" s="185"/>
      <c r="H153" s="186"/>
      <c r="J153" s="36"/>
      <c r="T153" s="35"/>
    </row>
    <row r="154" spans="1:20" s="37" customFormat="1" ht="15.75" hidden="1" customHeight="1" x14ac:dyDescent="0.25">
      <c r="A154" s="121">
        <v>1</v>
      </c>
      <c r="B154" s="122"/>
      <c r="C154" s="42"/>
      <c r="D154" s="42">
        <v>0</v>
      </c>
      <c r="E154" s="42">
        <v>0</v>
      </c>
      <c r="F154" s="42">
        <f>D154+(IF(E154&lt;201,E154,IF(E154&lt;301,E154/2,E154/3)))</f>
        <v>0</v>
      </c>
      <c r="G154" s="42">
        <v>0</v>
      </c>
      <c r="H154" s="42">
        <f>(F154+(IF(G154&lt;101,G154,IF(G154&lt;201,G154/2,IF(G154&lt;=301,G154/3,G154/4)))))*(($H$152)+1)</f>
        <v>0</v>
      </c>
      <c r="I154" s="36"/>
      <c r="L154" s="112"/>
      <c r="M154" s="112"/>
      <c r="N154" s="36"/>
      <c r="T154" s="35"/>
    </row>
    <row r="155" spans="1:20" s="37" customFormat="1" ht="15.75" hidden="1" customHeight="1" x14ac:dyDescent="0.25">
      <c r="A155" s="121">
        <f>A154+1</f>
        <v>2</v>
      </c>
      <c r="B155" s="122"/>
      <c r="C155" s="42"/>
      <c r="D155" s="42"/>
      <c r="E155" s="42">
        <v>0</v>
      </c>
      <c r="F155" s="42">
        <f t="shared" ref="F155:F157" si="0">D155+(IF(E155&lt;201,E155,IF(E155&lt;301,E155/2,E155/3)))</f>
        <v>0</v>
      </c>
      <c r="G155" s="42">
        <v>0</v>
      </c>
      <c r="H155" s="42">
        <f t="shared" ref="H155:H157" si="1">(F155+(IF(G155&lt;101,G155,IF(G155&lt;201,G155/2,IF(G155&lt;=301,G155/3,G155/4)))))*(($H$152)+1)</f>
        <v>0</v>
      </c>
      <c r="I155" s="36"/>
      <c r="L155" s="112"/>
      <c r="M155" s="112"/>
      <c r="N155" s="36"/>
      <c r="T155" s="34"/>
    </row>
    <row r="156" spans="1:20" s="37" customFormat="1" ht="15.75" hidden="1" customHeight="1" x14ac:dyDescent="0.25">
      <c r="A156" s="121">
        <f>A155+1</f>
        <v>3</v>
      </c>
      <c r="B156" s="122"/>
      <c r="C156" s="42"/>
      <c r="D156" s="42"/>
      <c r="E156" s="42">
        <v>0</v>
      </c>
      <c r="F156" s="42">
        <f t="shared" si="0"/>
        <v>0</v>
      </c>
      <c r="G156" s="42">
        <v>0</v>
      </c>
      <c r="H156" s="42">
        <f t="shared" si="1"/>
        <v>0</v>
      </c>
      <c r="I156" s="36"/>
      <c r="L156" s="112"/>
      <c r="M156" s="112"/>
      <c r="N156" s="36"/>
      <c r="T156" s="21"/>
    </row>
    <row r="157" spans="1:20" s="37" customFormat="1" ht="15.75" hidden="1" customHeight="1" x14ac:dyDescent="0.25">
      <c r="A157" s="121">
        <f>A156+1</f>
        <v>4</v>
      </c>
      <c r="B157" s="122"/>
      <c r="C157" s="42"/>
      <c r="D157" s="42"/>
      <c r="E157" s="42">
        <v>0</v>
      </c>
      <c r="F157" s="42">
        <f t="shared" si="0"/>
        <v>0</v>
      </c>
      <c r="G157" s="42">
        <v>0</v>
      </c>
      <c r="H157" s="42">
        <f t="shared" si="1"/>
        <v>0</v>
      </c>
      <c r="I157" s="36"/>
      <c r="L157" s="112"/>
      <c r="M157" s="112"/>
      <c r="N157" s="36"/>
      <c r="T157" s="21"/>
    </row>
    <row r="158" spans="1:20" s="37" customFormat="1" hidden="1" x14ac:dyDescent="0.25">
      <c r="A158" s="121"/>
      <c r="B158" s="194"/>
      <c r="C158" s="194"/>
      <c r="D158" s="194"/>
      <c r="E158" s="194"/>
      <c r="F158" s="194"/>
      <c r="G158" s="194"/>
      <c r="H158" s="122"/>
      <c r="I158" s="36"/>
      <c r="N158" s="36"/>
    </row>
    <row r="159" spans="1:20" ht="90" customHeight="1" x14ac:dyDescent="0.25">
      <c r="A159" s="68" t="s">
        <v>291</v>
      </c>
      <c r="B159" s="105" t="s">
        <v>292</v>
      </c>
      <c r="C159" s="72" t="s">
        <v>293</v>
      </c>
      <c r="D159" s="105" t="s">
        <v>295</v>
      </c>
      <c r="E159" s="67" t="s">
        <v>336</v>
      </c>
      <c r="F159" s="69" t="s">
        <v>294</v>
      </c>
      <c r="G159" s="196" t="s">
        <v>296</v>
      </c>
      <c r="H159" s="197"/>
      <c r="I159" s="107" t="s">
        <v>341</v>
      </c>
      <c r="T159" s="37"/>
    </row>
    <row r="160" spans="1:20" s="37" customFormat="1" x14ac:dyDescent="0.25">
      <c r="A160" s="184" t="s">
        <v>334</v>
      </c>
      <c r="B160" s="185"/>
      <c r="C160" s="185"/>
      <c r="D160" s="185"/>
      <c r="E160" s="185"/>
      <c r="F160" s="185"/>
      <c r="G160" s="185"/>
      <c r="H160" s="186"/>
      <c r="J160" s="36"/>
    </row>
    <row r="161" spans="1:20" s="37" customFormat="1" ht="15.75" customHeight="1" x14ac:dyDescent="0.25">
      <c r="A161" s="70">
        <v>1</v>
      </c>
      <c r="B161" s="71">
        <f>250.76</f>
        <v>250.76</v>
      </c>
      <c r="C161" s="42">
        <f>B161*10.764</f>
        <v>2699.1806399999996</v>
      </c>
      <c r="D161" s="42">
        <v>0</v>
      </c>
      <c r="E161" s="42">
        <v>0</v>
      </c>
      <c r="F161" s="42">
        <f>C161*1.554*1.1</f>
        <v>4613.9793860159998</v>
      </c>
      <c r="G161" s="113" t="s">
        <v>31</v>
      </c>
      <c r="H161" s="114"/>
      <c r="I161" s="36" t="s">
        <v>340</v>
      </c>
      <c r="L161" s="112"/>
      <c r="M161" s="112"/>
      <c r="N161" s="36"/>
    </row>
    <row r="162" spans="1:20" s="37" customFormat="1" ht="15.75" customHeight="1" x14ac:dyDescent="0.25">
      <c r="A162" s="70">
        <f>A161+1</f>
        <v>2</v>
      </c>
      <c r="B162" s="71">
        <f>311.562</f>
        <v>311.56200000000001</v>
      </c>
      <c r="C162" s="42">
        <f t="shared" ref="C162:C225" si="2">B162*10.764</f>
        <v>3353.6533679999998</v>
      </c>
      <c r="D162" s="42">
        <v>0</v>
      </c>
      <c r="E162" s="42">
        <v>0</v>
      </c>
      <c r="F162" s="42">
        <f t="shared" ref="F162:F225" si="3">C162*1.554*1.1</f>
        <v>5732.7350672592002</v>
      </c>
      <c r="G162" s="113" t="s">
        <v>31</v>
      </c>
      <c r="H162" s="114"/>
      <c r="I162" s="36" t="s">
        <v>340</v>
      </c>
      <c r="L162" s="112"/>
      <c r="M162" s="112"/>
      <c r="N162" s="36"/>
    </row>
    <row r="163" spans="1:20" s="37" customFormat="1" ht="15.75" customHeight="1" x14ac:dyDescent="0.25">
      <c r="A163" s="70">
        <f>A162+1</f>
        <v>3</v>
      </c>
      <c r="B163" s="71">
        <f>312.544</f>
        <v>312.54399999999998</v>
      </c>
      <c r="C163" s="42">
        <f t="shared" si="2"/>
        <v>3364.2236159999998</v>
      </c>
      <c r="D163" s="42">
        <v>0</v>
      </c>
      <c r="E163" s="42">
        <v>0</v>
      </c>
      <c r="F163" s="42">
        <f t="shared" si="3"/>
        <v>5750.8038491903999</v>
      </c>
      <c r="G163" s="113" t="s">
        <v>31</v>
      </c>
      <c r="H163" s="114"/>
      <c r="I163" s="36" t="s">
        <v>340</v>
      </c>
      <c r="L163" s="112"/>
      <c r="M163" s="112"/>
      <c r="N163" s="36"/>
    </row>
    <row r="164" spans="1:20" s="37" customFormat="1" ht="15.75" customHeight="1" x14ac:dyDescent="0.25">
      <c r="A164" s="70">
        <f>A163+1</f>
        <v>4</v>
      </c>
      <c r="B164" s="71">
        <f>160.362</f>
        <v>160.36199999999999</v>
      </c>
      <c r="C164" s="42">
        <f t="shared" si="2"/>
        <v>1726.1365679999999</v>
      </c>
      <c r="D164" s="42">
        <v>0</v>
      </c>
      <c r="E164" s="42">
        <v>0</v>
      </c>
      <c r="F164" s="42">
        <f t="shared" si="3"/>
        <v>2950.6578493392003</v>
      </c>
      <c r="G164" s="113" t="s">
        <v>31</v>
      </c>
      <c r="H164" s="114"/>
      <c r="I164" s="36" t="s">
        <v>340</v>
      </c>
      <c r="L164" s="112"/>
      <c r="M164" s="112"/>
      <c r="N164" s="36"/>
      <c r="T164" s="21"/>
    </row>
    <row r="165" spans="1:20" s="37" customFormat="1" ht="15.75" customHeight="1" x14ac:dyDescent="0.25">
      <c r="A165" s="70">
        <f t="shared" ref="A165:A228" si="4">A164+1</f>
        <v>5</v>
      </c>
      <c r="B165" s="71">
        <f>236.38</f>
        <v>236.38</v>
      </c>
      <c r="C165" s="42">
        <f t="shared" si="2"/>
        <v>2544.3943199999999</v>
      </c>
      <c r="D165" s="42">
        <v>0</v>
      </c>
      <c r="E165" s="42">
        <v>0</v>
      </c>
      <c r="F165" s="42">
        <f t="shared" si="3"/>
        <v>4349.3876506080005</v>
      </c>
      <c r="G165" s="113" t="s">
        <v>31</v>
      </c>
      <c r="H165" s="114"/>
      <c r="I165" s="36" t="s">
        <v>340</v>
      </c>
      <c r="L165" s="112"/>
      <c r="M165" s="112"/>
      <c r="N165" s="36"/>
      <c r="T165" s="21"/>
    </row>
    <row r="166" spans="1:20" s="37" customFormat="1" ht="15.75" customHeight="1" x14ac:dyDescent="0.25">
      <c r="A166" s="70">
        <f t="shared" si="4"/>
        <v>6</v>
      </c>
      <c r="B166" s="71">
        <f>161.074</f>
        <v>161.07400000000001</v>
      </c>
      <c r="C166" s="42">
        <f t="shared" si="2"/>
        <v>1733.800536</v>
      </c>
      <c r="D166" s="42">
        <v>0</v>
      </c>
      <c r="E166" s="42">
        <v>0</v>
      </c>
      <c r="F166" s="42">
        <f t="shared" si="3"/>
        <v>2963.7586362384004</v>
      </c>
      <c r="G166" s="113" t="s">
        <v>31</v>
      </c>
      <c r="H166" s="114"/>
      <c r="I166" s="36" t="s">
        <v>340</v>
      </c>
      <c r="L166" s="112"/>
      <c r="M166" s="112"/>
      <c r="N166" s="36"/>
      <c r="T166" s="21"/>
    </row>
    <row r="167" spans="1:20" s="37" customFormat="1" ht="15.75" customHeight="1" x14ac:dyDescent="0.25">
      <c r="A167" s="70">
        <f t="shared" si="4"/>
        <v>7</v>
      </c>
      <c r="B167" s="71">
        <f>160.632</f>
        <v>160.63200000000001</v>
      </c>
      <c r="C167" s="42">
        <f t="shared" si="2"/>
        <v>1729.042848</v>
      </c>
      <c r="D167" s="42">
        <v>0</v>
      </c>
      <c r="E167" s="42">
        <v>0</v>
      </c>
      <c r="F167" s="42">
        <f t="shared" si="3"/>
        <v>2955.6258443712004</v>
      </c>
      <c r="G167" s="113" t="s">
        <v>31</v>
      </c>
      <c r="H167" s="114"/>
      <c r="I167" s="36" t="s">
        <v>340</v>
      </c>
      <c r="L167" s="112"/>
      <c r="M167" s="112"/>
      <c r="N167" s="36"/>
      <c r="T167" s="21"/>
    </row>
    <row r="168" spans="1:20" s="37" customFormat="1" ht="15.75" customHeight="1" x14ac:dyDescent="0.25">
      <c r="A168" s="70">
        <f t="shared" si="4"/>
        <v>8</v>
      </c>
      <c r="B168" s="71">
        <f>160.578</f>
        <v>160.578</v>
      </c>
      <c r="C168" s="42">
        <f t="shared" si="2"/>
        <v>1728.4615919999999</v>
      </c>
      <c r="D168" s="42">
        <v>0</v>
      </c>
      <c r="E168" s="42">
        <v>0</v>
      </c>
      <c r="F168" s="42">
        <f t="shared" si="3"/>
        <v>2954.6322453647999</v>
      </c>
      <c r="G168" s="113" t="s">
        <v>31</v>
      </c>
      <c r="H168" s="114"/>
      <c r="I168" s="36" t="s">
        <v>340</v>
      </c>
      <c r="L168" s="112"/>
      <c r="M168" s="112"/>
      <c r="N168" s="36"/>
      <c r="T168" s="21"/>
    </row>
    <row r="169" spans="1:20" s="37" customFormat="1" ht="15.75" customHeight="1" x14ac:dyDescent="0.25">
      <c r="A169" s="70">
        <f t="shared" si="4"/>
        <v>9</v>
      </c>
      <c r="B169" s="71">
        <f>250.857</f>
        <v>250.857</v>
      </c>
      <c r="C169" s="42">
        <f t="shared" si="2"/>
        <v>2700.2247479999996</v>
      </c>
      <c r="D169" s="42">
        <v>0</v>
      </c>
      <c r="E169" s="42">
        <v>0</v>
      </c>
      <c r="F169" s="42">
        <f t="shared" si="3"/>
        <v>4615.7641842312005</v>
      </c>
      <c r="G169" s="113" t="s">
        <v>31</v>
      </c>
      <c r="H169" s="114"/>
      <c r="I169" s="36" t="s">
        <v>340</v>
      </c>
      <c r="L169" s="112"/>
      <c r="M169" s="112"/>
      <c r="N169" s="36"/>
      <c r="T169" s="21"/>
    </row>
    <row r="170" spans="1:20" s="37" customFormat="1" ht="15.75" customHeight="1" x14ac:dyDescent="0.25">
      <c r="A170" s="70">
        <f t="shared" si="4"/>
        <v>10</v>
      </c>
      <c r="B170" s="71">
        <f>251.443</f>
        <v>251.44300000000001</v>
      </c>
      <c r="C170" s="42">
        <f t="shared" si="2"/>
        <v>2706.5324519999999</v>
      </c>
      <c r="D170" s="42">
        <v>0</v>
      </c>
      <c r="E170" s="42">
        <v>0</v>
      </c>
      <c r="F170" s="42">
        <f t="shared" si="3"/>
        <v>4626.5465734488007</v>
      </c>
      <c r="G170" s="113" t="s">
        <v>31</v>
      </c>
      <c r="H170" s="114"/>
      <c r="I170" s="36" t="s">
        <v>340</v>
      </c>
      <c r="L170" s="112"/>
      <c r="M170" s="112"/>
      <c r="N170" s="36"/>
      <c r="T170" s="21"/>
    </row>
    <row r="171" spans="1:20" s="37" customFormat="1" ht="15.75" customHeight="1" x14ac:dyDescent="0.25">
      <c r="A171" s="70">
        <f t="shared" si="4"/>
        <v>11</v>
      </c>
      <c r="B171" s="71">
        <f>255.012</f>
        <v>255.012</v>
      </c>
      <c r="C171" s="42">
        <f t="shared" si="2"/>
        <v>2744.9491679999996</v>
      </c>
      <c r="D171" s="42">
        <v>0</v>
      </c>
      <c r="E171" s="42">
        <v>0</v>
      </c>
      <c r="F171" s="42">
        <f t="shared" si="3"/>
        <v>4692.2161077791998</v>
      </c>
      <c r="G171" s="113" t="s">
        <v>31</v>
      </c>
      <c r="H171" s="114"/>
      <c r="I171" s="36" t="s">
        <v>340</v>
      </c>
      <c r="L171" s="112"/>
      <c r="M171" s="112"/>
      <c r="N171" s="36"/>
      <c r="T171" s="21"/>
    </row>
    <row r="172" spans="1:20" s="37" customFormat="1" ht="15.75" customHeight="1" x14ac:dyDescent="0.25">
      <c r="A172" s="70">
        <f t="shared" si="4"/>
        <v>12</v>
      </c>
      <c r="B172" s="71">
        <f>272.323</f>
        <v>272.32299999999998</v>
      </c>
      <c r="C172" s="42">
        <f t="shared" si="2"/>
        <v>2931.2847719999995</v>
      </c>
      <c r="D172" s="42">
        <v>0</v>
      </c>
      <c r="E172" s="42">
        <v>0</v>
      </c>
      <c r="F172" s="42">
        <f t="shared" si="3"/>
        <v>5010.7381892568001</v>
      </c>
      <c r="G172" s="113" t="s">
        <v>31</v>
      </c>
      <c r="H172" s="114"/>
      <c r="I172" s="36" t="s">
        <v>340</v>
      </c>
      <c r="L172" s="112"/>
      <c r="M172" s="112"/>
      <c r="N172" s="36"/>
      <c r="T172" s="21"/>
    </row>
    <row r="173" spans="1:20" s="37" customFormat="1" ht="15.75" customHeight="1" x14ac:dyDescent="0.25">
      <c r="A173" s="70">
        <f t="shared" si="4"/>
        <v>13</v>
      </c>
      <c r="B173" s="71">
        <f>161.251</f>
        <v>161.251</v>
      </c>
      <c r="C173" s="42">
        <f t="shared" si="2"/>
        <v>1735.705764</v>
      </c>
      <c r="D173" s="42">
        <v>0</v>
      </c>
      <c r="E173" s="42">
        <v>0</v>
      </c>
      <c r="F173" s="42">
        <f t="shared" si="3"/>
        <v>2967.0154329816005</v>
      </c>
      <c r="G173" s="113" t="s">
        <v>31</v>
      </c>
      <c r="H173" s="114"/>
      <c r="I173" s="36" t="s">
        <v>340</v>
      </c>
      <c r="L173" s="112"/>
      <c r="M173" s="112"/>
      <c r="N173" s="36"/>
      <c r="T173" s="21"/>
    </row>
    <row r="174" spans="1:20" s="37" customFormat="1" ht="15.75" customHeight="1" x14ac:dyDescent="0.25">
      <c r="A174" s="70">
        <f t="shared" si="4"/>
        <v>14</v>
      </c>
      <c r="B174" s="71">
        <f>154.936</f>
        <v>154.93600000000001</v>
      </c>
      <c r="C174" s="42">
        <f t="shared" si="2"/>
        <v>1667.731104</v>
      </c>
      <c r="D174" s="42">
        <v>0</v>
      </c>
      <c r="E174" s="42">
        <v>0</v>
      </c>
      <c r="F174" s="42">
        <f t="shared" si="3"/>
        <v>2850.8195491776005</v>
      </c>
      <c r="G174" s="113" t="s">
        <v>31</v>
      </c>
      <c r="H174" s="114"/>
      <c r="I174" s="36" t="s">
        <v>340</v>
      </c>
      <c r="L174" s="112"/>
      <c r="M174" s="112"/>
      <c r="N174" s="36"/>
      <c r="T174" s="21"/>
    </row>
    <row r="175" spans="1:20" s="37" customFormat="1" ht="15.75" customHeight="1" x14ac:dyDescent="0.25">
      <c r="A175" s="70">
        <f t="shared" si="4"/>
        <v>15</v>
      </c>
      <c r="B175" s="71">
        <f>155.782</f>
        <v>155.78200000000001</v>
      </c>
      <c r="C175" s="42">
        <f t="shared" si="2"/>
        <v>1676.837448</v>
      </c>
      <c r="D175" s="42">
        <v>0</v>
      </c>
      <c r="E175" s="42">
        <v>0</v>
      </c>
      <c r="F175" s="42">
        <f t="shared" si="3"/>
        <v>2866.3859336112005</v>
      </c>
      <c r="G175" s="113" t="s">
        <v>31</v>
      </c>
      <c r="H175" s="114"/>
      <c r="I175" s="36" t="s">
        <v>340</v>
      </c>
      <c r="L175" s="112"/>
      <c r="M175" s="112"/>
      <c r="N175" s="36"/>
      <c r="T175" s="21"/>
    </row>
    <row r="176" spans="1:20" s="37" customFormat="1" ht="15.75" customHeight="1" x14ac:dyDescent="0.25">
      <c r="A176" s="70">
        <f t="shared" si="4"/>
        <v>16</v>
      </c>
      <c r="B176" s="71">
        <f>159.688</f>
        <v>159.68799999999999</v>
      </c>
      <c r="C176" s="42">
        <f t="shared" si="2"/>
        <v>1718.8816319999999</v>
      </c>
      <c r="D176" s="42">
        <v>0</v>
      </c>
      <c r="E176" s="42">
        <v>0</v>
      </c>
      <c r="F176" s="42">
        <f t="shared" si="3"/>
        <v>2938.2562617407998</v>
      </c>
      <c r="G176" s="113" t="s">
        <v>31</v>
      </c>
      <c r="H176" s="114"/>
      <c r="I176" s="36" t="s">
        <v>340</v>
      </c>
      <c r="L176" s="112"/>
      <c r="M176" s="112"/>
      <c r="N176" s="36"/>
      <c r="T176" s="21"/>
    </row>
    <row r="177" spans="1:20" s="37" customFormat="1" ht="15.75" customHeight="1" x14ac:dyDescent="0.25">
      <c r="A177" s="70">
        <f t="shared" si="4"/>
        <v>17</v>
      </c>
      <c r="B177" s="71">
        <f>157.239</f>
        <v>157.239</v>
      </c>
      <c r="C177" s="42">
        <f t="shared" si="2"/>
        <v>1692.5205959999998</v>
      </c>
      <c r="D177" s="42">
        <v>0</v>
      </c>
      <c r="E177" s="42">
        <v>0</v>
      </c>
      <c r="F177" s="42">
        <f t="shared" si="3"/>
        <v>2893.1947068024001</v>
      </c>
      <c r="G177" s="113" t="s">
        <v>31</v>
      </c>
      <c r="H177" s="114"/>
      <c r="I177" s="36" t="s">
        <v>340</v>
      </c>
      <c r="L177" s="112"/>
      <c r="M177" s="112"/>
      <c r="N177" s="36"/>
      <c r="T177" s="21"/>
    </row>
    <row r="178" spans="1:20" s="37" customFormat="1" ht="15.75" customHeight="1" x14ac:dyDescent="0.25">
      <c r="A178" s="70">
        <f t="shared" si="4"/>
        <v>18</v>
      </c>
      <c r="B178" s="71">
        <f>143.084</f>
        <v>143.084</v>
      </c>
      <c r="C178" s="42">
        <f t="shared" si="2"/>
        <v>1540.156176</v>
      </c>
      <c r="D178" s="42">
        <v>0</v>
      </c>
      <c r="E178" s="42">
        <v>0</v>
      </c>
      <c r="F178" s="42">
        <f t="shared" si="3"/>
        <v>2632.7429672544004</v>
      </c>
      <c r="G178" s="113" t="s">
        <v>31</v>
      </c>
      <c r="H178" s="114"/>
      <c r="I178" s="36" t="s">
        <v>340</v>
      </c>
      <c r="L178" s="112"/>
      <c r="M178" s="112"/>
      <c r="N178" s="36"/>
      <c r="T178" s="21"/>
    </row>
    <row r="179" spans="1:20" s="37" customFormat="1" ht="15.75" customHeight="1" x14ac:dyDescent="0.25">
      <c r="A179" s="70">
        <f t="shared" si="4"/>
        <v>19</v>
      </c>
      <c r="B179" s="71">
        <f>144.846</f>
        <v>144.846</v>
      </c>
      <c r="C179" s="42">
        <f t="shared" si="2"/>
        <v>1559.1223439999999</v>
      </c>
      <c r="D179" s="42">
        <v>0</v>
      </c>
      <c r="E179" s="42">
        <v>0</v>
      </c>
      <c r="F179" s="42">
        <f t="shared" si="3"/>
        <v>2665.1637348336003</v>
      </c>
      <c r="G179" s="113" t="s">
        <v>31</v>
      </c>
      <c r="H179" s="114"/>
      <c r="I179" s="36" t="s">
        <v>340</v>
      </c>
      <c r="L179" s="112"/>
      <c r="M179" s="112"/>
      <c r="N179" s="36"/>
      <c r="T179" s="21"/>
    </row>
    <row r="180" spans="1:20" s="37" customFormat="1" ht="15.75" customHeight="1" x14ac:dyDescent="0.25">
      <c r="A180" s="70">
        <f t="shared" si="4"/>
        <v>20</v>
      </c>
      <c r="B180" s="71">
        <f>252.001</f>
        <v>252.001</v>
      </c>
      <c r="C180" s="42">
        <f t="shared" si="2"/>
        <v>2712.5387639999999</v>
      </c>
      <c r="D180" s="42">
        <v>0</v>
      </c>
      <c r="E180" s="42">
        <v>0</v>
      </c>
      <c r="F180" s="42">
        <f t="shared" si="3"/>
        <v>4636.8137631815998</v>
      </c>
      <c r="G180" s="113" t="s">
        <v>31</v>
      </c>
      <c r="H180" s="114"/>
      <c r="I180" s="36" t="s">
        <v>340</v>
      </c>
      <c r="L180" s="112"/>
      <c r="M180" s="112"/>
      <c r="N180" s="36"/>
      <c r="T180" s="21"/>
    </row>
    <row r="181" spans="1:20" s="37" customFormat="1" ht="15.75" customHeight="1" x14ac:dyDescent="0.25">
      <c r="A181" s="70">
        <f t="shared" si="4"/>
        <v>21</v>
      </c>
      <c r="B181" s="71">
        <f>233.193</f>
        <v>233.19300000000001</v>
      </c>
      <c r="C181" s="42">
        <f t="shared" si="2"/>
        <v>2510.0894520000002</v>
      </c>
      <c r="D181" s="42">
        <v>0</v>
      </c>
      <c r="E181" s="42">
        <v>0</v>
      </c>
      <c r="F181" s="42">
        <f t="shared" si="3"/>
        <v>4290.7469092488009</v>
      </c>
      <c r="G181" s="113" t="s">
        <v>31</v>
      </c>
      <c r="H181" s="114"/>
      <c r="I181" s="36" t="s">
        <v>340</v>
      </c>
      <c r="L181" s="112"/>
      <c r="M181" s="112"/>
      <c r="N181" s="36"/>
      <c r="T181" s="21"/>
    </row>
    <row r="182" spans="1:20" s="37" customFormat="1" ht="15.75" customHeight="1" x14ac:dyDescent="0.25">
      <c r="A182" s="70">
        <f t="shared" si="4"/>
        <v>22</v>
      </c>
      <c r="B182" s="71">
        <f>177.321</f>
        <v>177.321</v>
      </c>
      <c r="C182" s="42">
        <f t="shared" si="2"/>
        <v>1908.6832439999998</v>
      </c>
      <c r="D182" s="42">
        <v>0</v>
      </c>
      <c r="E182" s="42">
        <v>0</v>
      </c>
      <c r="F182" s="42">
        <f t="shared" si="3"/>
        <v>3262.7031372936003</v>
      </c>
      <c r="G182" s="113" t="s">
        <v>31</v>
      </c>
      <c r="H182" s="114"/>
      <c r="I182" s="36" t="s">
        <v>340</v>
      </c>
      <c r="L182" s="112"/>
      <c r="M182" s="112"/>
      <c r="N182" s="36"/>
      <c r="T182" s="21"/>
    </row>
    <row r="183" spans="1:20" s="37" customFormat="1" ht="15.75" customHeight="1" x14ac:dyDescent="0.25">
      <c r="A183" s="70">
        <f t="shared" si="4"/>
        <v>23</v>
      </c>
      <c r="B183" s="71">
        <f>176.351</f>
        <v>176.351</v>
      </c>
      <c r="C183" s="42">
        <f t="shared" si="2"/>
        <v>1898.2421639999998</v>
      </c>
      <c r="D183" s="42">
        <v>0</v>
      </c>
      <c r="E183" s="42">
        <v>0</v>
      </c>
      <c r="F183" s="42">
        <f t="shared" si="3"/>
        <v>3244.8551551415999</v>
      </c>
      <c r="G183" s="113" t="s">
        <v>31</v>
      </c>
      <c r="H183" s="114"/>
      <c r="I183" s="36" t="s">
        <v>340</v>
      </c>
      <c r="L183" s="112"/>
      <c r="M183" s="112"/>
      <c r="N183" s="36"/>
      <c r="T183" s="21"/>
    </row>
    <row r="184" spans="1:20" s="37" customFormat="1" ht="15.75" customHeight="1" x14ac:dyDescent="0.25">
      <c r="A184" s="70">
        <f t="shared" si="4"/>
        <v>24</v>
      </c>
      <c r="B184" s="71">
        <f>168.672</f>
        <v>168.672</v>
      </c>
      <c r="C184" s="42">
        <f t="shared" si="2"/>
        <v>1815.5854079999999</v>
      </c>
      <c r="D184" s="42">
        <v>0</v>
      </c>
      <c r="E184" s="42">
        <v>0</v>
      </c>
      <c r="F184" s="42">
        <f t="shared" si="3"/>
        <v>3103.5616964352002</v>
      </c>
      <c r="G184" s="113" t="s">
        <v>31</v>
      </c>
      <c r="H184" s="114"/>
      <c r="I184" s="36" t="s">
        <v>340</v>
      </c>
      <c r="L184" s="112"/>
      <c r="M184" s="112"/>
      <c r="N184" s="36"/>
      <c r="T184" s="21"/>
    </row>
    <row r="185" spans="1:20" s="37" customFormat="1" ht="15.75" customHeight="1" x14ac:dyDescent="0.25">
      <c r="A185" s="70">
        <f t="shared" si="4"/>
        <v>25</v>
      </c>
      <c r="B185" s="71">
        <f>168.672</f>
        <v>168.672</v>
      </c>
      <c r="C185" s="42">
        <f t="shared" si="2"/>
        <v>1815.5854079999999</v>
      </c>
      <c r="D185" s="42">
        <v>0</v>
      </c>
      <c r="E185" s="42">
        <v>0</v>
      </c>
      <c r="F185" s="42">
        <f t="shared" si="3"/>
        <v>3103.5616964352002</v>
      </c>
      <c r="G185" s="113" t="s">
        <v>31</v>
      </c>
      <c r="H185" s="114"/>
      <c r="I185" s="36" t="s">
        <v>340</v>
      </c>
      <c r="L185" s="112"/>
      <c r="M185" s="112"/>
      <c r="N185" s="36"/>
      <c r="T185" s="21"/>
    </row>
    <row r="186" spans="1:20" s="37" customFormat="1" ht="15.75" customHeight="1" x14ac:dyDescent="0.25">
      <c r="A186" s="70">
        <f t="shared" si="4"/>
        <v>26</v>
      </c>
      <c r="B186" s="71">
        <f>168.718</f>
        <v>168.71799999999999</v>
      </c>
      <c r="C186" s="42">
        <f t="shared" si="2"/>
        <v>1816.0805519999997</v>
      </c>
      <c r="D186" s="42">
        <v>0</v>
      </c>
      <c r="E186" s="42">
        <v>0</v>
      </c>
      <c r="F186" s="42">
        <f t="shared" si="3"/>
        <v>3104.4080955887994</v>
      </c>
      <c r="G186" s="113" t="s">
        <v>31</v>
      </c>
      <c r="H186" s="114"/>
      <c r="I186" s="36" t="s">
        <v>340</v>
      </c>
      <c r="L186" s="112"/>
      <c r="M186" s="112"/>
      <c r="N186" s="36"/>
      <c r="T186" s="21"/>
    </row>
    <row r="187" spans="1:20" s="37" customFormat="1" ht="15.75" customHeight="1" x14ac:dyDescent="0.25">
      <c r="A187" s="70">
        <f t="shared" si="4"/>
        <v>27</v>
      </c>
      <c r="B187" s="71">
        <f>182.856</f>
        <v>182.85599999999999</v>
      </c>
      <c r="C187" s="42">
        <f t="shared" si="2"/>
        <v>1968.2619839999998</v>
      </c>
      <c r="D187" s="42">
        <v>0</v>
      </c>
      <c r="E187" s="42">
        <v>0</v>
      </c>
      <c r="F187" s="42">
        <f t="shared" si="3"/>
        <v>3364.5470354496001</v>
      </c>
      <c r="G187" s="113" t="s">
        <v>31</v>
      </c>
      <c r="H187" s="114"/>
      <c r="I187" s="36" t="s">
        <v>340</v>
      </c>
      <c r="L187" s="112"/>
      <c r="M187" s="112"/>
      <c r="N187" s="36"/>
      <c r="T187" s="21"/>
    </row>
    <row r="188" spans="1:20" s="37" customFormat="1" ht="15.75" customHeight="1" x14ac:dyDescent="0.25">
      <c r="A188" s="70">
        <f t="shared" si="4"/>
        <v>28</v>
      </c>
      <c r="B188" s="71">
        <f>193.918</f>
        <v>193.91800000000001</v>
      </c>
      <c r="C188" s="42">
        <f t="shared" si="2"/>
        <v>2087.3333520000001</v>
      </c>
      <c r="D188" s="42">
        <v>0</v>
      </c>
      <c r="E188" s="42">
        <v>0</v>
      </c>
      <c r="F188" s="42">
        <f t="shared" si="3"/>
        <v>3568.0876319088002</v>
      </c>
      <c r="G188" s="113" t="s">
        <v>31</v>
      </c>
      <c r="H188" s="114"/>
      <c r="I188" s="36" t="s">
        <v>340</v>
      </c>
      <c r="L188" s="112"/>
      <c r="M188" s="112"/>
      <c r="N188" s="36"/>
      <c r="T188" s="21"/>
    </row>
    <row r="189" spans="1:20" s="104" customFormat="1" ht="15.75" customHeight="1" x14ac:dyDescent="0.25">
      <c r="A189" s="70">
        <f t="shared" si="4"/>
        <v>29</v>
      </c>
      <c r="B189" s="71">
        <f>179.319</f>
        <v>179.31899999999999</v>
      </c>
      <c r="C189" s="42">
        <f t="shared" si="2"/>
        <v>1930.1897159999999</v>
      </c>
      <c r="D189" s="42">
        <v>0</v>
      </c>
      <c r="E189" s="42">
        <v>0</v>
      </c>
      <c r="F189" s="42">
        <f t="shared" si="3"/>
        <v>3299.4663005304001</v>
      </c>
      <c r="G189" s="113" t="s">
        <v>31</v>
      </c>
      <c r="H189" s="114"/>
      <c r="I189" s="36" t="s">
        <v>340</v>
      </c>
      <c r="L189" s="112"/>
      <c r="M189" s="112"/>
      <c r="N189" s="36"/>
    </row>
    <row r="190" spans="1:20" s="104" customFormat="1" ht="15.75" customHeight="1" x14ac:dyDescent="0.25">
      <c r="A190" s="70">
        <f t="shared" si="4"/>
        <v>30</v>
      </c>
      <c r="B190" s="71">
        <f>179.271</f>
        <v>179.27099999999999</v>
      </c>
      <c r="C190" s="42">
        <f t="shared" si="2"/>
        <v>1929.6730439999997</v>
      </c>
      <c r="D190" s="42">
        <v>0</v>
      </c>
      <c r="E190" s="42">
        <v>0</v>
      </c>
      <c r="F190" s="42">
        <f t="shared" si="3"/>
        <v>3298.5831014135997</v>
      </c>
      <c r="G190" s="113" t="s">
        <v>31</v>
      </c>
      <c r="H190" s="114"/>
      <c r="I190" s="36" t="s">
        <v>340</v>
      </c>
      <c r="L190" s="112"/>
      <c r="M190" s="112"/>
      <c r="N190" s="36"/>
    </row>
    <row r="191" spans="1:20" s="104" customFormat="1" ht="15.75" customHeight="1" x14ac:dyDescent="0.25">
      <c r="A191" s="70">
        <f t="shared" si="4"/>
        <v>31</v>
      </c>
      <c r="B191" s="71">
        <f>179.271</f>
        <v>179.27099999999999</v>
      </c>
      <c r="C191" s="42">
        <f t="shared" si="2"/>
        <v>1929.6730439999997</v>
      </c>
      <c r="D191" s="42">
        <v>0</v>
      </c>
      <c r="E191" s="42">
        <v>0</v>
      </c>
      <c r="F191" s="42">
        <f t="shared" si="3"/>
        <v>3298.5831014135997</v>
      </c>
      <c r="G191" s="113" t="s">
        <v>31</v>
      </c>
      <c r="H191" s="114"/>
      <c r="I191" s="36" t="s">
        <v>340</v>
      </c>
      <c r="L191" s="112"/>
      <c r="M191" s="112"/>
      <c r="N191" s="36"/>
    </row>
    <row r="192" spans="1:20" s="104" customFormat="1" ht="15.75" customHeight="1" x14ac:dyDescent="0.25">
      <c r="A192" s="70">
        <f t="shared" si="4"/>
        <v>32</v>
      </c>
      <c r="B192" s="71">
        <f>186.363</f>
        <v>186.363</v>
      </c>
      <c r="C192" s="42">
        <f t="shared" si="2"/>
        <v>2006.0113319999998</v>
      </c>
      <c r="D192" s="42">
        <v>0</v>
      </c>
      <c r="E192" s="42">
        <v>0</v>
      </c>
      <c r="F192" s="42">
        <f t="shared" si="3"/>
        <v>3429.0757709208001</v>
      </c>
      <c r="G192" s="113" t="s">
        <v>31</v>
      </c>
      <c r="H192" s="114"/>
      <c r="I192" s="36" t="s">
        <v>340</v>
      </c>
      <c r="L192" s="112"/>
      <c r="M192" s="112"/>
      <c r="N192" s="36"/>
    </row>
    <row r="193" spans="1:20" s="104" customFormat="1" ht="32.25" customHeight="1" x14ac:dyDescent="0.25">
      <c r="A193" s="70" t="s">
        <v>335</v>
      </c>
      <c r="B193" s="71">
        <v>0</v>
      </c>
      <c r="C193" s="42">
        <f t="shared" si="2"/>
        <v>0</v>
      </c>
      <c r="D193" s="42">
        <v>0</v>
      </c>
      <c r="E193" s="42">
        <v>0</v>
      </c>
      <c r="F193" s="42">
        <f t="shared" si="3"/>
        <v>0</v>
      </c>
      <c r="G193" s="113" t="s">
        <v>31</v>
      </c>
      <c r="H193" s="114"/>
      <c r="I193" s="36" t="s">
        <v>340</v>
      </c>
      <c r="L193" s="112"/>
      <c r="M193" s="112"/>
      <c r="N193" s="36"/>
    </row>
    <row r="194" spans="1:20" s="104" customFormat="1" ht="15.75" customHeight="1" x14ac:dyDescent="0.25">
      <c r="A194" s="70">
        <v>34</v>
      </c>
      <c r="B194" s="71">
        <f>174.355</f>
        <v>174.35499999999999</v>
      </c>
      <c r="C194" s="42">
        <f t="shared" si="2"/>
        <v>1876.7572199999997</v>
      </c>
      <c r="D194" s="42">
        <v>0</v>
      </c>
      <c r="E194" s="42">
        <v>0</v>
      </c>
      <c r="F194" s="42">
        <f t="shared" si="3"/>
        <v>3208.1287918679996</v>
      </c>
      <c r="G194" s="113" t="s">
        <v>31</v>
      </c>
      <c r="H194" s="114"/>
      <c r="I194" s="36" t="s">
        <v>340</v>
      </c>
      <c r="L194" s="112"/>
      <c r="M194" s="112"/>
      <c r="N194" s="36"/>
      <c r="T194" s="21"/>
    </row>
    <row r="195" spans="1:20" s="104" customFormat="1" ht="15.75" customHeight="1" x14ac:dyDescent="0.25">
      <c r="A195" s="70">
        <f t="shared" si="4"/>
        <v>35</v>
      </c>
      <c r="B195" s="71">
        <f t="shared" ref="B195:B196" si="5">174.355</f>
        <v>174.35499999999999</v>
      </c>
      <c r="C195" s="42">
        <f t="shared" si="2"/>
        <v>1876.7572199999997</v>
      </c>
      <c r="D195" s="42">
        <v>0</v>
      </c>
      <c r="E195" s="42">
        <v>0</v>
      </c>
      <c r="F195" s="42">
        <f t="shared" si="3"/>
        <v>3208.1287918679996</v>
      </c>
      <c r="G195" s="113" t="s">
        <v>31</v>
      </c>
      <c r="H195" s="114"/>
      <c r="I195" s="36" t="s">
        <v>340</v>
      </c>
      <c r="L195" s="112"/>
      <c r="M195" s="112"/>
      <c r="N195" s="36"/>
      <c r="T195" s="21"/>
    </row>
    <row r="196" spans="1:20" s="104" customFormat="1" ht="15.75" customHeight="1" x14ac:dyDescent="0.25">
      <c r="A196" s="70">
        <f t="shared" si="4"/>
        <v>36</v>
      </c>
      <c r="B196" s="71">
        <f t="shared" si="5"/>
        <v>174.35499999999999</v>
      </c>
      <c r="C196" s="42">
        <f t="shared" si="2"/>
        <v>1876.7572199999997</v>
      </c>
      <c r="D196" s="42">
        <v>0</v>
      </c>
      <c r="E196" s="42">
        <v>0</v>
      </c>
      <c r="F196" s="42">
        <f t="shared" si="3"/>
        <v>3208.1287918679996</v>
      </c>
      <c r="G196" s="113" t="s">
        <v>31</v>
      </c>
      <c r="H196" s="114"/>
      <c r="I196" s="36" t="s">
        <v>340</v>
      </c>
      <c r="L196" s="112"/>
      <c r="M196" s="112"/>
      <c r="N196" s="36"/>
      <c r="T196" s="21"/>
    </row>
    <row r="197" spans="1:20" s="104" customFormat="1" ht="15.75" customHeight="1" x14ac:dyDescent="0.25">
      <c r="A197" s="70">
        <f t="shared" si="4"/>
        <v>37</v>
      </c>
      <c r="B197" s="71">
        <f>170.011</f>
        <v>170.011</v>
      </c>
      <c r="C197" s="42">
        <f t="shared" si="2"/>
        <v>1829.9984039999999</v>
      </c>
      <c r="D197" s="42">
        <v>0</v>
      </c>
      <c r="E197" s="42">
        <v>0</v>
      </c>
      <c r="F197" s="42">
        <f t="shared" si="3"/>
        <v>3128.1992717976004</v>
      </c>
      <c r="G197" s="113" t="s">
        <v>31</v>
      </c>
      <c r="H197" s="114"/>
      <c r="I197" s="36" t="s">
        <v>340</v>
      </c>
      <c r="L197" s="112"/>
      <c r="M197" s="112"/>
      <c r="N197" s="36"/>
      <c r="T197" s="21"/>
    </row>
    <row r="198" spans="1:20" s="104" customFormat="1" ht="15.75" customHeight="1" x14ac:dyDescent="0.25">
      <c r="A198" s="70">
        <f t="shared" si="4"/>
        <v>38</v>
      </c>
      <c r="B198" s="71">
        <f>162.988</f>
        <v>162.988</v>
      </c>
      <c r="C198" s="42">
        <f t="shared" si="2"/>
        <v>1754.402832</v>
      </c>
      <c r="D198" s="42">
        <v>0</v>
      </c>
      <c r="E198" s="42">
        <v>0</v>
      </c>
      <c r="F198" s="42">
        <f t="shared" si="3"/>
        <v>2998.9762010208005</v>
      </c>
      <c r="G198" s="113" t="s">
        <v>31</v>
      </c>
      <c r="H198" s="114"/>
      <c r="I198" s="36" t="s">
        <v>340</v>
      </c>
      <c r="L198" s="112"/>
      <c r="M198" s="112"/>
      <c r="N198" s="36"/>
      <c r="T198" s="21"/>
    </row>
    <row r="199" spans="1:20" s="104" customFormat="1" ht="15.75" customHeight="1" x14ac:dyDescent="0.25">
      <c r="A199" s="70">
        <f t="shared" si="4"/>
        <v>39</v>
      </c>
      <c r="B199" s="71">
        <f>159.335</f>
        <v>159.33500000000001</v>
      </c>
      <c r="C199" s="42">
        <f t="shared" si="2"/>
        <v>1715.08194</v>
      </c>
      <c r="D199" s="42">
        <v>0</v>
      </c>
      <c r="E199" s="42">
        <v>0</v>
      </c>
      <c r="F199" s="42">
        <f t="shared" si="3"/>
        <v>2931.7610682360005</v>
      </c>
      <c r="G199" s="113" t="s">
        <v>31</v>
      </c>
      <c r="H199" s="114"/>
      <c r="I199" s="36" t="s">
        <v>340</v>
      </c>
      <c r="L199" s="112"/>
      <c r="M199" s="112"/>
      <c r="N199" s="36"/>
      <c r="T199" s="21"/>
    </row>
    <row r="200" spans="1:20" s="104" customFormat="1" ht="15.75" customHeight="1" x14ac:dyDescent="0.25">
      <c r="A200" s="70">
        <f t="shared" si="4"/>
        <v>40</v>
      </c>
      <c r="B200" s="71">
        <f>143.686</f>
        <v>143.68600000000001</v>
      </c>
      <c r="C200" s="42">
        <f t="shared" si="2"/>
        <v>1546.6361039999999</v>
      </c>
      <c r="D200" s="42">
        <v>0</v>
      </c>
      <c r="E200" s="42">
        <v>0</v>
      </c>
      <c r="F200" s="42">
        <f t="shared" si="3"/>
        <v>2643.8197561776001</v>
      </c>
      <c r="G200" s="113" t="s">
        <v>31</v>
      </c>
      <c r="H200" s="114"/>
      <c r="I200" s="36" t="s">
        <v>340</v>
      </c>
      <c r="L200" s="112"/>
      <c r="M200" s="112"/>
      <c r="N200" s="36"/>
      <c r="T200" s="21"/>
    </row>
    <row r="201" spans="1:20" s="104" customFormat="1" ht="15.75" customHeight="1" x14ac:dyDescent="0.25">
      <c r="A201" s="70">
        <f t="shared" si="4"/>
        <v>41</v>
      </c>
      <c r="B201" s="71">
        <f>141.79</f>
        <v>141.79</v>
      </c>
      <c r="C201" s="42">
        <f t="shared" si="2"/>
        <v>1526.2275599999998</v>
      </c>
      <c r="D201" s="42">
        <v>0</v>
      </c>
      <c r="E201" s="42">
        <v>0</v>
      </c>
      <c r="F201" s="42">
        <f t="shared" si="3"/>
        <v>2608.9333910639998</v>
      </c>
      <c r="G201" s="113" t="s">
        <v>31</v>
      </c>
      <c r="H201" s="114"/>
      <c r="I201" s="36" t="s">
        <v>340</v>
      </c>
      <c r="L201" s="112"/>
      <c r="M201" s="112"/>
      <c r="N201" s="36"/>
      <c r="T201" s="21"/>
    </row>
    <row r="202" spans="1:20" s="104" customFormat="1" ht="15.75" customHeight="1" x14ac:dyDescent="0.25">
      <c r="A202" s="70">
        <f t="shared" si="4"/>
        <v>42</v>
      </c>
      <c r="B202" s="71">
        <f>141.742</f>
        <v>141.74199999999999</v>
      </c>
      <c r="C202" s="42">
        <f t="shared" si="2"/>
        <v>1525.7108879999998</v>
      </c>
      <c r="D202" s="42">
        <v>0</v>
      </c>
      <c r="E202" s="42">
        <v>0</v>
      </c>
      <c r="F202" s="42">
        <f t="shared" si="3"/>
        <v>2608.0501919471999</v>
      </c>
      <c r="G202" s="113" t="s">
        <v>31</v>
      </c>
      <c r="H202" s="114"/>
      <c r="I202" s="36" t="s">
        <v>340</v>
      </c>
      <c r="L202" s="112"/>
      <c r="M202" s="112"/>
      <c r="N202" s="36"/>
      <c r="T202" s="21"/>
    </row>
    <row r="203" spans="1:20" s="104" customFormat="1" ht="15.75" customHeight="1" x14ac:dyDescent="0.25">
      <c r="A203" s="70">
        <f t="shared" si="4"/>
        <v>43</v>
      </c>
      <c r="B203" s="71">
        <f>139.488</f>
        <v>139.488</v>
      </c>
      <c r="C203" s="42">
        <f t="shared" si="2"/>
        <v>1501.4488319999998</v>
      </c>
      <c r="D203" s="42">
        <v>0</v>
      </c>
      <c r="E203" s="42">
        <v>0</v>
      </c>
      <c r="F203" s="42">
        <f t="shared" si="3"/>
        <v>2566.5766334207997</v>
      </c>
      <c r="G203" s="113" t="s">
        <v>31</v>
      </c>
      <c r="H203" s="114"/>
      <c r="I203" s="36" t="s">
        <v>340</v>
      </c>
      <c r="L203" s="112"/>
      <c r="M203" s="112"/>
      <c r="N203" s="36"/>
      <c r="T203" s="21"/>
    </row>
    <row r="204" spans="1:20" s="104" customFormat="1" ht="15.75" customHeight="1" x14ac:dyDescent="0.25">
      <c r="A204" s="70">
        <f t="shared" si="4"/>
        <v>44</v>
      </c>
      <c r="B204" s="71">
        <f>252.658</f>
        <v>252.65799999999999</v>
      </c>
      <c r="C204" s="42">
        <f t="shared" si="2"/>
        <v>2719.6107119999997</v>
      </c>
      <c r="D204" s="42">
        <v>0</v>
      </c>
      <c r="E204" s="42">
        <v>0</v>
      </c>
      <c r="F204" s="42">
        <f t="shared" si="3"/>
        <v>4648.9025510927995</v>
      </c>
      <c r="G204" s="113" t="s">
        <v>31</v>
      </c>
      <c r="H204" s="114"/>
      <c r="I204" s="36" t="s">
        <v>340</v>
      </c>
      <c r="L204" s="112"/>
      <c r="M204" s="112"/>
      <c r="N204" s="36"/>
      <c r="T204" s="21"/>
    </row>
    <row r="205" spans="1:20" s="104" customFormat="1" ht="15.75" customHeight="1" x14ac:dyDescent="0.25">
      <c r="A205" s="70">
        <f t="shared" si="4"/>
        <v>45</v>
      </c>
      <c r="B205" s="71">
        <f>119.194</f>
        <v>119.194</v>
      </c>
      <c r="C205" s="42">
        <f t="shared" si="2"/>
        <v>1283.004216</v>
      </c>
      <c r="D205" s="42">
        <v>0</v>
      </c>
      <c r="E205" s="42">
        <v>0</v>
      </c>
      <c r="F205" s="42">
        <f t="shared" si="3"/>
        <v>2193.1674068304005</v>
      </c>
      <c r="G205" s="113" t="s">
        <v>31</v>
      </c>
      <c r="H205" s="114"/>
      <c r="I205" s="36" t="s">
        <v>340</v>
      </c>
      <c r="L205" s="112"/>
      <c r="M205" s="112"/>
      <c r="N205" s="36"/>
      <c r="T205" s="21"/>
    </row>
    <row r="206" spans="1:20" s="104" customFormat="1" ht="15.75" customHeight="1" x14ac:dyDescent="0.25">
      <c r="A206" s="70">
        <f t="shared" si="4"/>
        <v>46</v>
      </c>
      <c r="B206" s="71">
        <f>160.635</f>
        <v>160.63499999999999</v>
      </c>
      <c r="C206" s="42">
        <f t="shared" si="2"/>
        <v>1729.0751399999997</v>
      </c>
      <c r="D206" s="42">
        <v>0</v>
      </c>
      <c r="E206" s="42">
        <v>0</v>
      </c>
      <c r="F206" s="42">
        <f t="shared" si="3"/>
        <v>2955.6810443159998</v>
      </c>
      <c r="G206" s="113" t="s">
        <v>31</v>
      </c>
      <c r="H206" s="114"/>
      <c r="I206" s="36" t="s">
        <v>340</v>
      </c>
      <c r="L206" s="112"/>
      <c r="M206" s="112"/>
      <c r="N206" s="36"/>
      <c r="T206" s="21"/>
    </row>
    <row r="207" spans="1:20" s="104" customFormat="1" ht="15.75" customHeight="1" x14ac:dyDescent="0.25">
      <c r="A207" s="70">
        <f t="shared" si="4"/>
        <v>47</v>
      </c>
      <c r="B207" s="71">
        <f>160.872</f>
        <v>160.87200000000001</v>
      </c>
      <c r="C207" s="42">
        <f t="shared" si="2"/>
        <v>1731.6262080000001</v>
      </c>
      <c r="D207" s="42">
        <v>0</v>
      </c>
      <c r="E207" s="42">
        <v>0</v>
      </c>
      <c r="F207" s="42">
        <f t="shared" si="3"/>
        <v>2960.0418399552004</v>
      </c>
      <c r="G207" s="113" t="s">
        <v>31</v>
      </c>
      <c r="H207" s="114"/>
      <c r="I207" s="36" t="s">
        <v>340</v>
      </c>
      <c r="L207" s="112"/>
      <c r="M207" s="112"/>
      <c r="N207" s="36"/>
      <c r="T207" s="21"/>
    </row>
    <row r="208" spans="1:20" s="104" customFormat="1" ht="15.75" customHeight="1" x14ac:dyDescent="0.25">
      <c r="A208" s="70">
        <f t="shared" si="4"/>
        <v>48</v>
      </c>
      <c r="B208" s="71">
        <f>153.935</f>
        <v>153.935</v>
      </c>
      <c r="C208" s="42">
        <f t="shared" si="2"/>
        <v>1656.95634</v>
      </c>
      <c r="D208" s="42">
        <v>0</v>
      </c>
      <c r="E208" s="42">
        <v>0</v>
      </c>
      <c r="F208" s="42">
        <f t="shared" si="3"/>
        <v>2832.4011675960005</v>
      </c>
      <c r="G208" s="113" t="s">
        <v>31</v>
      </c>
      <c r="H208" s="114"/>
      <c r="I208" s="36" t="s">
        <v>340</v>
      </c>
      <c r="L208" s="112"/>
      <c r="M208" s="112"/>
      <c r="N208" s="36"/>
      <c r="T208" s="21"/>
    </row>
    <row r="209" spans="1:20" s="104" customFormat="1" ht="15.75" customHeight="1" x14ac:dyDescent="0.25">
      <c r="A209" s="70">
        <f t="shared" si="4"/>
        <v>49</v>
      </c>
      <c r="B209" s="71">
        <f>144.559</f>
        <v>144.559</v>
      </c>
      <c r="C209" s="42">
        <f t="shared" si="2"/>
        <v>1556.0330759999999</v>
      </c>
      <c r="D209" s="42">
        <v>0</v>
      </c>
      <c r="E209" s="42">
        <v>0</v>
      </c>
      <c r="F209" s="42">
        <f t="shared" si="3"/>
        <v>2659.8829401144003</v>
      </c>
      <c r="G209" s="113" t="s">
        <v>31</v>
      </c>
      <c r="H209" s="114"/>
      <c r="I209" s="36" t="s">
        <v>340</v>
      </c>
      <c r="L209" s="112"/>
      <c r="M209" s="112"/>
      <c r="N209" s="36"/>
      <c r="T209" s="21"/>
    </row>
    <row r="210" spans="1:20" s="104" customFormat="1" ht="15.75" customHeight="1" x14ac:dyDescent="0.25">
      <c r="A210" s="70">
        <f t="shared" si="4"/>
        <v>50</v>
      </c>
      <c r="B210" s="71">
        <f>256.043</f>
        <v>256.04300000000001</v>
      </c>
      <c r="C210" s="42">
        <f t="shared" si="2"/>
        <v>2756.0468519999999</v>
      </c>
      <c r="D210" s="42">
        <v>0</v>
      </c>
      <c r="E210" s="42">
        <v>0</v>
      </c>
      <c r="F210" s="42">
        <f t="shared" si="3"/>
        <v>4711.1864888088012</v>
      </c>
      <c r="G210" s="113" t="s">
        <v>31</v>
      </c>
      <c r="H210" s="114"/>
      <c r="I210" s="36" t="s">
        <v>340</v>
      </c>
      <c r="L210" s="112"/>
      <c r="M210" s="112"/>
      <c r="N210" s="36"/>
      <c r="T210" s="21"/>
    </row>
    <row r="211" spans="1:20" s="104" customFormat="1" ht="15.75" customHeight="1" x14ac:dyDescent="0.25">
      <c r="A211" s="70">
        <f t="shared" si="4"/>
        <v>51</v>
      </c>
      <c r="B211" s="71">
        <f>187.365</f>
        <v>187.36500000000001</v>
      </c>
      <c r="C211" s="42">
        <f t="shared" si="2"/>
        <v>2016.7968599999999</v>
      </c>
      <c r="D211" s="42">
        <v>0</v>
      </c>
      <c r="E211" s="42">
        <v>0</v>
      </c>
      <c r="F211" s="42">
        <f t="shared" si="3"/>
        <v>3447.512552484</v>
      </c>
      <c r="G211" s="113" t="s">
        <v>31</v>
      </c>
      <c r="H211" s="114"/>
      <c r="I211" s="36" t="s">
        <v>340</v>
      </c>
      <c r="L211" s="112"/>
      <c r="M211" s="112"/>
      <c r="N211" s="36"/>
      <c r="T211" s="21"/>
    </row>
    <row r="212" spans="1:20" s="104" customFormat="1" ht="15.75" customHeight="1" x14ac:dyDescent="0.25">
      <c r="A212" s="70">
        <f t="shared" si="4"/>
        <v>52</v>
      </c>
      <c r="B212" s="71">
        <f>219.308</f>
        <v>219.30799999999999</v>
      </c>
      <c r="C212" s="42">
        <f t="shared" si="2"/>
        <v>2360.631312</v>
      </c>
      <c r="D212" s="42">
        <v>0</v>
      </c>
      <c r="E212" s="42">
        <v>0</v>
      </c>
      <c r="F212" s="42">
        <f t="shared" si="3"/>
        <v>4035.2631647328003</v>
      </c>
      <c r="G212" s="113" t="s">
        <v>31</v>
      </c>
      <c r="H212" s="114"/>
      <c r="I212" s="36" t="s">
        <v>340</v>
      </c>
      <c r="L212" s="112"/>
      <c r="M212" s="112"/>
      <c r="N212" s="36"/>
      <c r="T212" s="21"/>
    </row>
    <row r="213" spans="1:20" s="104" customFormat="1" ht="15.75" customHeight="1" x14ac:dyDescent="0.25">
      <c r="A213" s="70">
        <f t="shared" si="4"/>
        <v>53</v>
      </c>
      <c r="B213" s="71">
        <f>277.982</f>
        <v>277.98200000000003</v>
      </c>
      <c r="C213" s="42">
        <f t="shared" si="2"/>
        <v>2992.1982480000001</v>
      </c>
      <c r="D213" s="42">
        <v>0</v>
      </c>
      <c r="E213" s="42">
        <v>0</v>
      </c>
      <c r="F213" s="42">
        <f t="shared" si="3"/>
        <v>5114.8636851312003</v>
      </c>
      <c r="G213" s="113" t="s">
        <v>31</v>
      </c>
      <c r="H213" s="114"/>
      <c r="I213" s="36" t="s">
        <v>340</v>
      </c>
      <c r="L213" s="112"/>
      <c r="M213" s="112"/>
      <c r="N213" s="36"/>
      <c r="T213" s="21"/>
    </row>
    <row r="214" spans="1:20" s="104" customFormat="1" ht="15.75" customHeight="1" x14ac:dyDescent="0.25">
      <c r="A214" s="70">
        <f t="shared" si="4"/>
        <v>54</v>
      </c>
      <c r="B214" s="71">
        <f>141.94</f>
        <v>141.94</v>
      </c>
      <c r="C214" s="42">
        <f t="shared" si="2"/>
        <v>1527.8421599999999</v>
      </c>
      <c r="D214" s="42">
        <v>0</v>
      </c>
      <c r="E214" s="42">
        <v>0</v>
      </c>
      <c r="F214" s="42">
        <f t="shared" si="3"/>
        <v>2611.6933883040006</v>
      </c>
      <c r="G214" s="113" t="s">
        <v>31</v>
      </c>
      <c r="H214" s="114"/>
      <c r="I214" s="36" t="s">
        <v>340</v>
      </c>
      <c r="L214" s="112"/>
      <c r="M214" s="112"/>
      <c r="N214" s="36"/>
      <c r="T214" s="21"/>
    </row>
    <row r="215" spans="1:20" s="104" customFormat="1" ht="15.75" customHeight="1" x14ac:dyDescent="0.25">
      <c r="A215" s="70">
        <f t="shared" si="4"/>
        <v>55</v>
      </c>
      <c r="B215" s="71">
        <f>141.376</f>
        <v>141.376</v>
      </c>
      <c r="C215" s="42">
        <f t="shared" si="2"/>
        <v>1521.771264</v>
      </c>
      <c r="D215" s="42">
        <v>0</v>
      </c>
      <c r="E215" s="42">
        <v>0</v>
      </c>
      <c r="F215" s="42">
        <f t="shared" si="3"/>
        <v>2601.3157986816</v>
      </c>
      <c r="G215" s="113" t="s">
        <v>31</v>
      </c>
      <c r="H215" s="114"/>
      <c r="I215" s="36" t="s">
        <v>340</v>
      </c>
      <c r="L215" s="112"/>
      <c r="M215" s="112"/>
      <c r="N215" s="36"/>
      <c r="T215" s="21"/>
    </row>
    <row r="216" spans="1:20" s="104" customFormat="1" ht="15.75" customHeight="1" x14ac:dyDescent="0.25">
      <c r="A216" s="70">
        <f t="shared" si="4"/>
        <v>56</v>
      </c>
      <c r="B216" s="71">
        <f>182.555</f>
        <v>182.55500000000001</v>
      </c>
      <c r="C216" s="42">
        <f t="shared" si="2"/>
        <v>1965.0220199999999</v>
      </c>
      <c r="D216" s="42">
        <v>0</v>
      </c>
      <c r="E216" s="42">
        <v>0</v>
      </c>
      <c r="F216" s="42">
        <f t="shared" si="3"/>
        <v>3359.008640988</v>
      </c>
      <c r="G216" s="113" t="s">
        <v>31</v>
      </c>
      <c r="H216" s="114"/>
      <c r="I216" s="36" t="s">
        <v>340</v>
      </c>
      <c r="L216" s="112"/>
      <c r="M216" s="112"/>
      <c r="N216" s="36"/>
      <c r="T216" s="21"/>
    </row>
    <row r="217" spans="1:20" s="104" customFormat="1" ht="15.75" customHeight="1" x14ac:dyDescent="0.25">
      <c r="A217" s="70">
        <f t="shared" si="4"/>
        <v>57</v>
      </c>
      <c r="B217" s="71">
        <f>156.072</f>
        <v>156.072</v>
      </c>
      <c r="C217" s="42">
        <f t="shared" si="2"/>
        <v>1679.959008</v>
      </c>
      <c r="D217" s="42">
        <v>0</v>
      </c>
      <c r="E217" s="42">
        <v>0</v>
      </c>
      <c r="F217" s="42">
        <f t="shared" si="3"/>
        <v>2871.7219282752008</v>
      </c>
      <c r="G217" s="113" t="s">
        <v>31</v>
      </c>
      <c r="H217" s="114"/>
      <c r="I217" s="36" t="s">
        <v>340</v>
      </c>
      <c r="L217" s="112"/>
      <c r="M217" s="112"/>
      <c r="N217" s="36"/>
      <c r="T217" s="21"/>
    </row>
    <row r="218" spans="1:20" s="104" customFormat="1" ht="15.75" customHeight="1" x14ac:dyDescent="0.25">
      <c r="A218" s="70">
        <f t="shared" si="4"/>
        <v>58</v>
      </c>
      <c r="B218" s="71">
        <f>201.489</f>
        <v>201.489</v>
      </c>
      <c r="C218" s="42">
        <f t="shared" si="2"/>
        <v>2168.8275960000001</v>
      </c>
      <c r="D218" s="42">
        <v>0</v>
      </c>
      <c r="E218" s="42">
        <v>0</v>
      </c>
      <c r="F218" s="42">
        <f t="shared" si="3"/>
        <v>3707.3938926024007</v>
      </c>
      <c r="G218" s="113" t="s">
        <v>31</v>
      </c>
      <c r="H218" s="114"/>
      <c r="I218" s="36" t="s">
        <v>340</v>
      </c>
      <c r="L218" s="112"/>
      <c r="M218" s="112"/>
      <c r="N218" s="36"/>
      <c r="T218" s="21"/>
    </row>
    <row r="219" spans="1:20" s="104" customFormat="1" ht="15.75" customHeight="1" x14ac:dyDescent="0.25">
      <c r="A219" s="70">
        <f t="shared" si="4"/>
        <v>59</v>
      </c>
      <c r="B219" s="71">
        <f>145.468</f>
        <v>145.46799999999999</v>
      </c>
      <c r="C219" s="42">
        <f t="shared" si="2"/>
        <v>1565.8175519999998</v>
      </c>
      <c r="D219" s="42">
        <v>0</v>
      </c>
      <c r="E219" s="42">
        <v>0</v>
      </c>
      <c r="F219" s="42">
        <f t="shared" si="3"/>
        <v>2676.6085233887998</v>
      </c>
      <c r="G219" s="113" t="s">
        <v>31</v>
      </c>
      <c r="H219" s="114"/>
      <c r="I219" s="36" t="s">
        <v>340</v>
      </c>
      <c r="L219" s="112"/>
      <c r="M219" s="112"/>
      <c r="N219" s="36"/>
    </row>
    <row r="220" spans="1:20" s="104" customFormat="1" ht="15.75" customHeight="1" x14ac:dyDescent="0.25">
      <c r="A220" s="70">
        <f t="shared" si="4"/>
        <v>60</v>
      </c>
      <c r="B220" s="71">
        <f>145.454</f>
        <v>145.45400000000001</v>
      </c>
      <c r="C220" s="42">
        <f t="shared" si="2"/>
        <v>1565.6668560000001</v>
      </c>
      <c r="D220" s="42">
        <v>0</v>
      </c>
      <c r="E220" s="42">
        <v>0</v>
      </c>
      <c r="F220" s="42">
        <f t="shared" si="3"/>
        <v>2676.3509236464001</v>
      </c>
      <c r="G220" s="113" t="s">
        <v>31</v>
      </c>
      <c r="H220" s="114"/>
      <c r="I220" s="36" t="s">
        <v>340</v>
      </c>
      <c r="L220" s="112"/>
      <c r="M220" s="112"/>
      <c r="N220" s="36"/>
    </row>
    <row r="221" spans="1:20" s="104" customFormat="1" ht="15.75" customHeight="1" x14ac:dyDescent="0.25">
      <c r="A221" s="70">
        <f t="shared" si="4"/>
        <v>61</v>
      </c>
      <c r="B221" s="71">
        <f>145.029</f>
        <v>145.029</v>
      </c>
      <c r="C221" s="42">
        <f t="shared" si="2"/>
        <v>1561.0921559999999</v>
      </c>
      <c r="D221" s="42">
        <v>0</v>
      </c>
      <c r="E221" s="42">
        <v>0</v>
      </c>
      <c r="F221" s="42">
        <f t="shared" si="3"/>
        <v>2668.5309314664005</v>
      </c>
      <c r="G221" s="113" t="s">
        <v>31</v>
      </c>
      <c r="H221" s="114"/>
      <c r="I221" s="36" t="s">
        <v>340</v>
      </c>
      <c r="L221" s="112"/>
      <c r="M221" s="112"/>
      <c r="N221" s="36"/>
    </row>
    <row r="222" spans="1:20" s="104" customFormat="1" ht="15.75" customHeight="1" x14ac:dyDescent="0.25">
      <c r="A222" s="70">
        <f t="shared" si="4"/>
        <v>62</v>
      </c>
      <c r="B222" s="71">
        <f>140.168</f>
        <v>140.16800000000001</v>
      </c>
      <c r="C222" s="42">
        <f t="shared" si="2"/>
        <v>1508.768352</v>
      </c>
      <c r="D222" s="42">
        <v>0</v>
      </c>
      <c r="E222" s="42">
        <v>0</v>
      </c>
      <c r="F222" s="42">
        <f t="shared" si="3"/>
        <v>2579.0886209088003</v>
      </c>
      <c r="G222" s="113" t="s">
        <v>31</v>
      </c>
      <c r="H222" s="114"/>
      <c r="I222" s="36" t="s">
        <v>340</v>
      </c>
      <c r="L222" s="112"/>
      <c r="M222" s="112"/>
      <c r="N222" s="36"/>
    </row>
    <row r="223" spans="1:20" s="104" customFormat="1" ht="15.75" customHeight="1" x14ac:dyDescent="0.25">
      <c r="A223" s="70">
        <f t="shared" si="4"/>
        <v>63</v>
      </c>
      <c r="B223" s="71">
        <f>251.029</f>
        <v>251.029</v>
      </c>
      <c r="C223" s="42">
        <f t="shared" si="2"/>
        <v>2702.0761559999996</v>
      </c>
      <c r="D223" s="42">
        <v>0</v>
      </c>
      <c r="E223" s="42">
        <v>0</v>
      </c>
      <c r="F223" s="42">
        <f t="shared" si="3"/>
        <v>4618.9289810664004</v>
      </c>
      <c r="G223" s="113" t="s">
        <v>31</v>
      </c>
      <c r="H223" s="114"/>
      <c r="I223" s="36" t="s">
        <v>340</v>
      </c>
      <c r="L223" s="112"/>
      <c r="M223" s="112"/>
      <c r="N223" s="36"/>
    </row>
    <row r="224" spans="1:20" s="104" customFormat="1" ht="15.75" customHeight="1" x14ac:dyDescent="0.25">
      <c r="A224" s="70">
        <f t="shared" si="4"/>
        <v>64</v>
      </c>
      <c r="B224" s="71">
        <f>149.43</f>
        <v>149.43</v>
      </c>
      <c r="C224" s="42">
        <f t="shared" si="2"/>
        <v>1608.46452</v>
      </c>
      <c r="D224" s="42">
        <v>0</v>
      </c>
      <c r="E224" s="42">
        <v>0</v>
      </c>
      <c r="F224" s="42">
        <f t="shared" si="3"/>
        <v>2749.5092504880004</v>
      </c>
      <c r="G224" s="113" t="s">
        <v>31</v>
      </c>
      <c r="H224" s="114"/>
      <c r="I224" s="36" t="s">
        <v>340</v>
      </c>
      <c r="L224" s="112"/>
      <c r="M224" s="112"/>
      <c r="N224" s="36"/>
      <c r="T224" s="21"/>
    </row>
    <row r="225" spans="1:20" s="104" customFormat="1" ht="15.75" customHeight="1" x14ac:dyDescent="0.25">
      <c r="A225" s="70">
        <f t="shared" si="4"/>
        <v>65</v>
      </c>
      <c r="B225" s="71">
        <f>151.249</f>
        <v>151.249</v>
      </c>
      <c r="C225" s="42">
        <f t="shared" si="2"/>
        <v>1628.044236</v>
      </c>
      <c r="D225" s="42">
        <v>0</v>
      </c>
      <c r="E225" s="42">
        <v>0</v>
      </c>
      <c r="F225" s="42">
        <f t="shared" si="3"/>
        <v>2782.9788170184002</v>
      </c>
      <c r="G225" s="113" t="s">
        <v>31</v>
      </c>
      <c r="H225" s="114"/>
      <c r="I225" s="36" t="s">
        <v>340</v>
      </c>
      <c r="L225" s="112"/>
      <c r="M225" s="112"/>
      <c r="N225" s="36"/>
      <c r="T225" s="21"/>
    </row>
    <row r="226" spans="1:20" s="104" customFormat="1" ht="15.75" customHeight="1" x14ac:dyDescent="0.25">
      <c r="A226" s="70">
        <f t="shared" si="4"/>
        <v>66</v>
      </c>
      <c r="B226" s="71">
        <f>139.894</f>
        <v>139.89400000000001</v>
      </c>
      <c r="C226" s="42">
        <f t="shared" ref="C226:C280" si="6">B226*10.764</f>
        <v>1505.8190159999999</v>
      </c>
      <c r="D226" s="42">
        <v>0</v>
      </c>
      <c r="E226" s="42">
        <v>0</v>
      </c>
      <c r="F226" s="42">
        <f t="shared" ref="F226:F280" si="7">C226*1.554*1.1</f>
        <v>2574.0470259504004</v>
      </c>
      <c r="G226" s="113" t="s">
        <v>31</v>
      </c>
      <c r="H226" s="114"/>
      <c r="I226" s="36" t="s">
        <v>340</v>
      </c>
      <c r="L226" s="112"/>
      <c r="M226" s="112"/>
      <c r="N226" s="36"/>
      <c r="T226" s="21"/>
    </row>
    <row r="227" spans="1:20" s="104" customFormat="1" ht="15.75" customHeight="1" x14ac:dyDescent="0.25">
      <c r="A227" s="70">
        <f t="shared" si="4"/>
        <v>67</v>
      </c>
      <c r="B227" s="71">
        <f>140.092</f>
        <v>140.09200000000001</v>
      </c>
      <c r="C227" s="42">
        <f t="shared" si="6"/>
        <v>1507.950288</v>
      </c>
      <c r="D227" s="42">
        <v>0</v>
      </c>
      <c r="E227" s="42">
        <v>0</v>
      </c>
      <c r="F227" s="42">
        <f t="shared" si="7"/>
        <v>2577.6902223072002</v>
      </c>
      <c r="G227" s="113" t="s">
        <v>31</v>
      </c>
      <c r="H227" s="114"/>
      <c r="I227" s="36" t="s">
        <v>340</v>
      </c>
      <c r="L227" s="112"/>
      <c r="M227" s="112"/>
      <c r="N227" s="36"/>
      <c r="T227" s="21"/>
    </row>
    <row r="228" spans="1:20" s="104" customFormat="1" ht="15.75" customHeight="1" x14ac:dyDescent="0.25">
      <c r="A228" s="70">
        <f t="shared" si="4"/>
        <v>68</v>
      </c>
      <c r="B228" s="71">
        <f>140.423</f>
        <v>140.423</v>
      </c>
      <c r="C228" s="42">
        <f t="shared" si="6"/>
        <v>1511.5131719999999</v>
      </c>
      <c r="D228" s="42">
        <v>0</v>
      </c>
      <c r="E228" s="42">
        <v>0</v>
      </c>
      <c r="F228" s="42">
        <f t="shared" si="7"/>
        <v>2583.7806162167999</v>
      </c>
      <c r="G228" s="113" t="s">
        <v>31</v>
      </c>
      <c r="H228" s="114"/>
      <c r="I228" s="36" t="s">
        <v>340</v>
      </c>
      <c r="L228" s="112"/>
      <c r="M228" s="112"/>
      <c r="N228" s="36"/>
      <c r="T228" s="21"/>
    </row>
    <row r="229" spans="1:20" s="104" customFormat="1" ht="15.75" customHeight="1" x14ac:dyDescent="0.25">
      <c r="A229" s="70">
        <f t="shared" ref="A229:A280" si="8">A228+1</f>
        <v>69</v>
      </c>
      <c r="B229" s="71">
        <f>140.785</f>
        <v>140.785</v>
      </c>
      <c r="C229" s="42">
        <f t="shared" si="6"/>
        <v>1515.4097399999998</v>
      </c>
      <c r="D229" s="42">
        <v>0</v>
      </c>
      <c r="E229" s="42">
        <v>0</v>
      </c>
      <c r="F229" s="42">
        <f t="shared" si="7"/>
        <v>2590.4414095560001</v>
      </c>
      <c r="G229" s="113" t="s">
        <v>31</v>
      </c>
      <c r="H229" s="114"/>
      <c r="I229" s="36" t="s">
        <v>340</v>
      </c>
      <c r="L229" s="112"/>
      <c r="M229" s="112"/>
      <c r="N229" s="36"/>
      <c r="T229" s="21"/>
    </row>
    <row r="230" spans="1:20" s="104" customFormat="1" ht="15.75" customHeight="1" x14ac:dyDescent="0.25">
      <c r="A230" s="70">
        <f t="shared" si="8"/>
        <v>70</v>
      </c>
      <c r="B230" s="71">
        <f>201.69</f>
        <v>201.69</v>
      </c>
      <c r="C230" s="42">
        <f t="shared" si="6"/>
        <v>2170.99116</v>
      </c>
      <c r="D230" s="42">
        <v>0</v>
      </c>
      <c r="E230" s="42">
        <v>0</v>
      </c>
      <c r="F230" s="42">
        <f t="shared" si="7"/>
        <v>3711.0922889040007</v>
      </c>
      <c r="G230" s="113" t="s">
        <v>31</v>
      </c>
      <c r="H230" s="114"/>
      <c r="I230" s="36" t="s">
        <v>340</v>
      </c>
      <c r="L230" s="112"/>
      <c r="M230" s="112"/>
      <c r="N230" s="36"/>
      <c r="T230" s="21"/>
    </row>
    <row r="231" spans="1:20" s="104" customFormat="1" ht="15.75" customHeight="1" x14ac:dyDescent="0.25">
      <c r="A231" s="70">
        <f t="shared" si="8"/>
        <v>71</v>
      </c>
      <c r="B231" s="71">
        <f>198.048</f>
        <v>198.048</v>
      </c>
      <c r="C231" s="42">
        <f t="shared" si="6"/>
        <v>2131.7886719999997</v>
      </c>
      <c r="D231" s="42">
        <v>0</v>
      </c>
      <c r="E231" s="42">
        <v>0</v>
      </c>
      <c r="F231" s="42">
        <f t="shared" si="7"/>
        <v>3644.0795559167996</v>
      </c>
      <c r="G231" s="113" t="s">
        <v>31</v>
      </c>
      <c r="H231" s="114"/>
      <c r="I231" s="36" t="s">
        <v>340</v>
      </c>
      <c r="L231" s="112"/>
      <c r="M231" s="112"/>
      <c r="N231" s="36"/>
      <c r="T231" s="21"/>
    </row>
    <row r="232" spans="1:20" s="104" customFormat="1" ht="15.75" customHeight="1" x14ac:dyDescent="0.25">
      <c r="A232" s="70">
        <f t="shared" si="8"/>
        <v>72</v>
      </c>
      <c r="B232" s="71">
        <f>150.93</f>
        <v>150.93</v>
      </c>
      <c r="C232" s="42">
        <f t="shared" si="6"/>
        <v>1624.61052</v>
      </c>
      <c r="D232" s="42">
        <v>0</v>
      </c>
      <c r="E232" s="42">
        <v>0</v>
      </c>
      <c r="F232" s="42">
        <f t="shared" si="7"/>
        <v>2777.1092228880007</v>
      </c>
      <c r="G232" s="113" t="s">
        <v>31</v>
      </c>
      <c r="H232" s="114"/>
      <c r="I232" s="36" t="s">
        <v>340</v>
      </c>
      <c r="L232" s="112"/>
      <c r="M232" s="112"/>
      <c r="N232" s="36"/>
      <c r="T232" s="21"/>
    </row>
    <row r="233" spans="1:20" s="104" customFormat="1" ht="15.75" customHeight="1" x14ac:dyDescent="0.25">
      <c r="A233" s="70">
        <f t="shared" si="8"/>
        <v>73</v>
      </c>
      <c r="B233" s="71">
        <f>154.291</f>
        <v>154.291</v>
      </c>
      <c r="C233" s="42">
        <f t="shared" si="6"/>
        <v>1660.7883239999999</v>
      </c>
      <c r="D233" s="42">
        <v>0</v>
      </c>
      <c r="E233" s="42">
        <v>0</v>
      </c>
      <c r="F233" s="42">
        <f t="shared" si="7"/>
        <v>2838.9515610456001</v>
      </c>
      <c r="G233" s="113" t="s">
        <v>31</v>
      </c>
      <c r="H233" s="114"/>
      <c r="I233" s="36" t="s">
        <v>340</v>
      </c>
      <c r="L233" s="112"/>
      <c r="M233" s="112"/>
      <c r="N233" s="36"/>
      <c r="T233" s="21"/>
    </row>
    <row r="234" spans="1:20" s="104" customFormat="1" ht="15.75" customHeight="1" x14ac:dyDescent="0.25">
      <c r="A234" s="70">
        <f t="shared" si="8"/>
        <v>74</v>
      </c>
      <c r="B234" s="71">
        <f>157.013</f>
        <v>157.01300000000001</v>
      </c>
      <c r="C234" s="42">
        <f t="shared" si="6"/>
        <v>1690.0879319999999</v>
      </c>
      <c r="D234" s="42">
        <v>0</v>
      </c>
      <c r="E234" s="42">
        <v>0</v>
      </c>
      <c r="F234" s="42">
        <f t="shared" si="7"/>
        <v>2889.0363109608002</v>
      </c>
      <c r="G234" s="113" t="s">
        <v>31</v>
      </c>
      <c r="H234" s="114"/>
      <c r="I234" s="36" t="s">
        <v>340</v>
      </c>
      <c r="L234" s="112"/>
      <c r="M234" s="112"/>
      <c r="N234" s="36"/>
      <c r="T234" s="21"/>
    </row>
    <row r="235" spans="1:20" s="104" customFormat="1" ht="15.75" customHeight="1" x14ac:dyDescent="0.25">
      <c r="A235" s="70">
        <f t="shared" si="8"/>
        <v>75</v>
      </c>
      <c r="B235" s="71">
        <f>141.492</f>
        <v>141.49199999999999</v>
      </c>
      <c r="C235" s="42">
        <f t="shared" si="6"/>
        <v>1523.0198879999998</v>
      </c>
      <c r="D235" s="42">
        <v>0</v>
      </c>
      <c r="E235" s="42">
        <v>0</v>
      </c>
      <c r="F235" s="42">
        <f t="shared" si="7"/>
        <v>2603.4501965472</v>
      </c>
      <c r="G235" s="113" t="s">
        <v>31</v>
      </c>
      <c r="H235" s="114"/>
      <c r="I235" s="36" t="s">
        <v>340</v>
      </c>
      <c r="L235" s="112"/>
      <c r="M235" s="112"/>
      <c r="N235" s="36"/>
      <c r="T235" s="21"/>
    </row>
    <row r="236" spans="1:20" s="104" customFormat="1" ht="15.75" customHeight="1" x14ac:dyDescent="0.25">
      <c r="A236" s="70">
        <f t="shared" si="8"/>
        <v>76</v>
      </c>
      <c r="B236" s="71">
        <f>145.71</f>
        <v>145.71</v>
      </c>
      <c r="C236" s="42">
        <f t="shared" si="6"/>
        <v>1568.4224400000001</v>
      </c>
      <c r="D236" s="42">
        <v>0</v>
      </c>
      <c r="E236" s="42">
        <v>0</v>
      </c>
      <c r="F236" s="42">
        <f t="shared" si="7"/>
        <v>2681.0613189360001</v>
      </c>
      <c r="G236" s="113" t="s">
        <v>31</v>
      </c>
      <c r="H236" s="114"/>
      <c r="I236" s="36" t="s">
        <v>340</v>
      </c>
      <c r="L236" s="112"/>
      <c r="M236" s="112"/>
      <c r="N236" s="36"/>
      <c r="T236" s="21"/>
    </row>
    <row r="237" spans="1:20" s="104" customFormat="1" ht="15.75" customHeight="1" x14ac:dyDescent="0.25">
      <c r="A237" s="70">
        <f t="shared" si="8"/>
        <v>77</v>
      </c>
      <c r="B237" s="71">
        <f t="shared" ref="B237:B241" si="9">145.71</f>
        <v>145.71</v>
      </c>
      <c r="C237" s="42">
        <f t="shared" si="6"/>
        <v>1568.4224400000001</v>
      </c>
      <c r="D237" s="42">
        <v>0</v>
      </c>
      <c r="E237" s="42">
        <v>0</v>
      </c>
      <c r="F237" s="42">
        <f t="shared" si="7"/>
        <v>2681.0613189360001</v>
      </c>
      <c r="G237" s="113" t="s">
        <v>31</v>
      </c>
      <c r="H237" s="114"/>
      <c r="I237" s="36" t="s">
        <v>340</v>
      </c>
      <c r="L237" s="112"/>
      <c r="M237" s="112"/>
      <c r="N237" s="36"/>
      <c r="T237" s="21"/>
    </row>
    <row r="238" spans="1:20" s="104" customFormat="1" ht="15.75" customHeight="1" x14ac:dyDescent="0.25">
      <c r="A238" s="70">
        <f t="shared" si="8"/>
        <v>78</v>
      </c>
      <c r="B238" s="71">
        <f t="shared" si="9"/>
        <v>145.71</v>
      </c>
      <c r="C238" s="42">
        <f t="shared" si="6"/>
        <v>1568.4224400000001</v>
      </c>
      <c r="D238" s="42">
        <v>0</v>
      </c>
      <c r="E238" s="42">
        <v>0</v>
      </c>
      <c r="F238" s="42">
        <f t="shared" si="7"/>
        <v>2681.0613189360001</v>
      </c>
      <c r="G238" s="113" t="s">
        <v>31</v>
      </c>
      <c r="H238" s="114"/>
      <c r="I238" s="36" t="s">
        <v>340</v>
      </c>
      <c r="L238" s="112"/>
      <c r="M238" s="112"/>
      <c r="N238" s="36"/>
      <c r="T238" s="21"/>
    </row>
    <row r="239" spans="1:20" s="104" customFormat="1" ht="15.75" customHeight="1" x14ac:dyDescent="0.25">
      <c r="A239" s="70">
        <f t="shared" si="8"/>
        <v>79</v>
      </c>
      <c r="B239" s="71">
        <f t="shared" si="9"/>
        <v>145.71</v>
      </c>
      <c r="C239" s="42">
        <f t="shared" si="6"/>
        <v>1568.4224400000001</v>
      </c>
      <c r="D239" s="42">
        <v>0</v>
      </c>
      <c r="E239" s="42">
        <v>0</v>
      </c>
      <c r="F239" s="42">
        <f t="shared" si="7"/>
        <v>2681.0613189360001</v>
      </c>
      <c r="G239" s="113" t="s">
        <v>31</v>
      </c>
      <c r="H239" s="114"/>
      <c r="I239" s="36" t="s">
        <v>340</v>
      </c>
      <c r="L239" s="112"/>
      <c r="M239" s="112"/>
      <c r="N239" s="36"/>
      <c r="T239" s="21"/>
    </row>
    <row r="240" spans="1:20" s="104" customFormat="1" ht="15.75" customHeight="1" x14ac:dyDescent="0.25">
      <c r="A240" s="70">
        <f t="shared" si="8"/>
        <v>80</v>
      </c>
      <c r="B240" s="71">
        <f t="shared" si="9"/>
        <v>145.71</v>
      </c>
      <c r="C240" s="42">
        <f t="shared" si="6"/>
        <v>1568.4224400000001</v>
      </c>
      <c r="D240" s="42">
        <v>0</v>
      </c>
      <c r="E240" s="42">
        <v>0</v>
      </c>
      <c r="F240" s="42">
        <f t="shared" si="7"/>
        <v>2681.0613189360001</v>
      </c>
      <c r="G240" s="113" t="s">
        <v>31</v>
      </c>
      <c r="H240" s="114"/>
      <c r="I240" s="36" t="s">
        <v>340</v>
      </c>
      <c r="L240" s="112"/>
      <c r="M240" s="112"/>
      <c r="N240" s="36"/>
      <c r="T240" s="21"/>
    </row>
    <row r="241" spans="1:20" s="104" customFormat="1" ht="15.75" customHeight="1" x14ac:dyDescent="0.25">
      <c r="A241" s="70">
        <f t="shared" si="8"/>
        <v>81</v>
      </c>
      <c r="B241" s="71">
        <f t="shared" si="9"/>
        <v>145.71</v>
      </c>
      <c r="C241" s="42">
        <f t="shared" si="6"/>
        <v>1568.4224400000001</v>
      </c>
      <c r="D241" s="42">
        <v>0</v>
      </c>
      <c r="E241" s="42">
        <v>0</v>
      </c>
      <c r="F241" s="42">
        <f t="shared" si="7"/>
        <v>2681.0613189360001</v>
      </c>
      <c r="G241" s="113" t="s">
        <v>31</v>
      </c>
      <c r="H241" s="114"/>
      <c r="I241" s="36" t="s">
        <v>340</v>
      </c>
      <c r="L241" s="112"/>
      <c r="M241" s="112"/>
      <c r="N241" s="36"/>
      <c r="T241" s="21"/>
    </row>
    <row r="242" spans="1:20" s="104" customFormat="1" ht="15.75" customHeight="1" x14ac:dyDescent="0.25">
      <c r="A242" s="70">
        <f t="shared" si="8"/>
        <v>82</v>
      </c>
      <c r="B242" s="71">
        <f>245.388</f>
        <v>245.38800000000001</v>
      </c>
      <c r="C242" s="42">
        <f t="shared" si="6"/>
        <v>2641.356432</v>
      </c>
      <c r="D242" s="42">
        <v>0</v>
      </c>
      <c r="E242" s="42">
        <v>0</v>
      </c>
      <c r="F242" s="42">
        <f t="shared" si="7"/>
        <v>4515.1346848608</v>
      </c>
      <c r="G242" s="113" t="s">
        <v>31</v>
      </c>
      <c r="H242" s="114"/>
      <c r="I242" s="36" t="s">
        <v>340</v>
      </c>
      <c r="L242" s="112"/>
      <c r="M242" s="112"/>
      <c r="N242" s="36"/>
      <c r="T242" s="21"/>
    </row>
    <row r="243" spans="1:20" s="104" customFormat="1" ht="15.75" customHeight="1" x14ac:dyDescent="0.25">
      <c r="A243" s="70">
        <f t="shared" si="8"/>
        <v>83</v>
      </c>
      <c r="B243" s="71">
        <f>238.857</f>
        <v>238.857</v>
      </c>
      <c r="C243" s="42">
        <f t="shared" si="6"/>
        <v>2571.056748</v>
      </c>
      <c r="D243" s="42">
        <v>0</v>
      </c>
      <c r="E243" s="42">
        <v>0</v>
      </c>
      <c r="F243" s="42">
        <f t="shared" si="7"/>
        <v>4394.9644050312008</v>
      </c>
      <c r="G243" s="113" t="s">
        <v>31</v>
      </c>
      <c r="H243" s="114"/>
      <c r="I243" s="36" t="s">
        <v>340</v>
      </c>
      <c r="L243" s="112"/>
      <c r="M243" s="112"/>
      <c r="N243" s="36"/>
      <c r="T243" s="21"/>
    </row>
    <row r="244" spans="1:20" s="104" customFormat="1" ht="15.75" customHeight="1" x14ac:dyDescent="0.25">
      <c r="A244" s="70">
        <f t="shared" si="8"/>
        <v>84</v>
      </c>
      <c r="B244" s="71">
        <f>150.481</f>
        <v>150.48099999999999</v>
      </c>
      <c r="C244" s="42">
        <f t="shared" si="6"/>
        <v>1619.7774839999997</v>
      </c>
      <c r="D244" s="42">
        <v>0</v>
      </c>
      <c r="E244" s="42">
        <v>0</v>
      </c>
      <c r="F244" s="42">
        <f t="shared" si="7"/>
        <v>2768.8476311495997</v>
      </c>
      <c r="G244" s="113" t="s">
        <v>31</v>
      </c>
      <c r="H244" s="114"/>
      <c r="I244" s="36" t="s">
        <v>340</v>
      </c>
      <c r="L244" s="112"/>
      <c r="M244" s="112"/>
      <c r="N244" s="36"/>
      <c r="T244" s="21"/>
    </row>
    <row r="245" spans="1:20" s="104" customFormat="1" ht="15.75" customHeight="1" x14ac:dyDescent="0.25">
      <c r="A245" s="70">
        <f t="shared" si="8"/>
        <v>85</v>
      </c>
      <c r="B245" s="71">
        <f>147.222</f>
        <v>147.22200000000001</v>
      </c>
      <c r="C245" s="42">
        <f t="shared" si="6"/>
        <v>1584.6976079999999</v>
      </c>
      <c r="D245" s="42">
        <v>0</v>
      </c>
      <c r="E245" s="42">
        <v>0</v>
      </c>
      <c r="F245" s="42">
        <f t="shared" si="7"/>
        <v>2708.8820911152006</v>
      </c>
      <c r="G245" s="113" t="s">
        <v>31</v>
      </c>
      <c r="H245" s="114"/>
      <c r="I245" s="36" t="s">
        <v>340</v>
      </c>
      <c r="L245" s="112"/>
      <c r="M245" s="112"/>
      <c r="N245" s="36"/>
      <c r="T245" s="21"/>
    </row>
    <row r="246" spans="1:20" s="104" customFormat="1" ht="15.75" customHeight="1" x14ac:dyDescent="0.25">
      <c r="A246" s="70">
        <f t="shared" si="8"/>
        <v>86</v>
      </c>
      <c r="B246" s="71">
        <f t="shared" ref="B246:B251" si="10">147.222</f>
        <v>147.22200000000001</v>
      </c>
      <c r="C246" s="42">
        <f t="shared" si="6"/>
        <v>1584.6976079999999</v>
      </c>
      <c r="D246" s="42">
        <v>0</v>
      </c>
      <c r="E246" s="42">
        <v>0</v>
      </c>
      <c r="F246" s="42">
        <f t="shared" si="7"/>
        <v>2708.8820911152006</v>
      </c>
      <c r="G246" s="113" t="s">
        <v>31</v>
      </c>
      <c r="H246" s="114"/>
      <c r="I246" s="36" t="s">
        <v>340</v>
      </c>
      <c r="L246" s="112"/>
      <c r="M246" s="112"/>
      <c r="N246" s="36"/>
      <c r="T246" s="21"/>
    </row>
    <row r="247" spans="1:20" s="104" customFormat="1" ht="15.75" customHeight="1" x14ac:dyDescent="0.25">
      <c r="A247" s="70">
        <f t="shared" si="8"/>
        <v>87</v>
      </c>
      <c r="B247" s="71">
        <f t="shared" si="10"/>
        <v>147.22200000000001</v>
      </c>
      <c r="C247" s="42">
        <f t="shared" si="6"/>
        <v>1584.6976079999999</v>
      </c>
      <c r="D247" s="42">
        <v>0</v>
      </c>
      <c r="E247" s="42">
        <v>0</v>
      </c>
      <c r="F247" s="42">
        <f t="shared" si="7"/>
        <v>2708.8820911152006</v>
      </c>
      <c r="G247" s="113" t="s">
        <v>31</v>
      </c>
      <c r="H247" s="114"/>
      <c r="I247" s="36" t="s">
        <v>340</v>
      </c>
      <c r="L247" s="112"/>
      <c r="M247" s="112"/>
      <c r="N247" s="36"/>
      <c r="T247" s="21"/>
    </row>
    <row r="248" spans="1:20" s="104" customFormat="1" ht="15.75" customHeight="1" x14ac:dyDescent="0.25">
      <c r="A248" s="70">
        <f t="shared" si="8"/>
        <v>88</v>
      </c>
      <c r="B248" s="71">
        <f t="shared" si="10"/>
        <v>147.22200000000001</v>
      </c>
      <c r="C248" s="42">
        <f t="shared" si="6"/>
        <v>1584.6976079999999</v>
      </c>
      <c r="D248" s="42">
        <v>0</v>
      </c>
      <c r="E248" s="42">
        <v>0</v>
      </c>
      <c r="F248" s="42">
        <f t="shared" si="7"/>
        <v>2708.8820911152006</v>
      </c>
      <c r="G248" s="113" t="s">
        <v>31</v>
      </c>
      <c r="H248" s="114"/>
      <c r="I248" s="36" t="s">
        <v>340</v>
      </c>
      <c r="L248" s="112"/>
      <c r="M248" s="112"/>
      <c r="N248" s="36"/>
      <c r="T248" s="21"/>
    </row>
    <row r="249" spans="1:20" s="104" customFormat="1" ht="15.75" customHeight="1" x14ac:dyDescent="0.25">
      <c r="A249" s="70">
        <f t="shared" si="8"/>
        <v>89</v>
      </c>
      <c r="B249" s="71">
        <f t="shared" si="10"/>
        <v>147.22200000000001</v>
      </c>
      <c r="C249" s="42">
        <f t="shared" si="6"/>
        <v>1584.6976079999999</v>
      </c>
      <c r="D249" s="42">
        <v>0</v>
      </c>
      <c r="E249" s="42">
        <v>0</v>
      </c>
      <c r="F249" s="42">
        <f t="shared" si="7"/>
        <v>2708.8820911152006</v>
      </c>
      <c r="G249" s="113" t="s">
        <v>31</v>
      </c>
      <c r="H249" s="114"/>
      <c r="I249" s="36" t="s">
        <v>340</v>
      </c>
      <c r="L249" s="112"/>
      <c r="M249" s="112"/>
      <c r="N249" s="36"/>
    </row>
    <row r="250" spans="1:20" s="104" customFormat="1" ht="15.75" customHeight="1" x14ac:dyDescent="0.25">
      <c r="A250" s="70">
        <f t="shared" si="8"/>
        <v>90</v>
      </c>
      <c r="B250" s="71">
        <f t="shared" si="10"/>
        <v>147.22200000000001</v>
      </c>
      <c r="C250" s="42">
        <f t="shared" si="6"/>
        <v>1584.6976079999999</v>
      </c>
      <c r="D250" s="42">
        <v>0</v>
      </c>
      <c r="E250" s="42">
        <v>0</v>
      </c>
      <c r="F250" s="42">
        <f t="shared" si="7"/>
        <v>2708.8820911152006</v>
      </c>
      <c r="G250" s="113" t="s">
        <v>31</v>
      </c>
      <c r="H250" s="114"/>
      <c r="I250" s="36" t="s">
        <v>340</v>
      </c>
      <c r="L250" s="112"/>
      <c r="M250" s="112"/>
      <c r="N250" s="36"/>
    </row>
    <row r="251" spans="1:20" s="104" customFormat="1" ht="15.75" customHeight="1" x14ac:dyDescent="0.25">
      <c r="A251" s="70">
        <f t="shared" si="8"/>
        <v>91</v>
      </c>
      <c r="B251" s="71">
        <f t="shared" si="10"/>
        <v>147.22200000000001</v>
      </c>
      <c r="C251" s="42">
        <f t="shared" si="6"/>
        <v>1584.6976079999999</v>
      </c>
      <c r="D251" s="42">
        <v>0</v>
      </c>
      <c r="E251" s="42">
        <v>0</v>
      </c>
      <c r="F251" s="42">
        <f t="shared" si="7"/>
        <v>2708.8820911152006</v>
      </c>
      <c r="G251" s="113" t="s">
        <v>31</v>
      </c>
      <c r="H251" s="114"/>
      <c r="I251" s="36" t="s">
        <v>340</v>
      </c>
      <c r="L251" s="112"/>
      <c r="M251" s="112"/>
      <c r="N251" s="36"/>
    </row>
    <row r="252" spans="1:20" s="104" customFormat="1" ht="15.75" customHeight="1" x14ac:dyDescent="0.25">
      <c r="A252" s="70">
        <f t="shared" si="8"/>
        <v>92</v>
      </c>
      <c r="B252" s="71">
        <f>142.559</f>
        <v>142.559</v>
      </c>
      <c r="C252" s="42">
        <f t="shared" si="6"/>
        <v>1534.5050759999999</v>
      </c>
      <c r="D252" s="42">
        <v>0</v>
      </c>
      <c r="E252" s="42">
        <v>0</v>
      </c>
      <c r="F252" s="42">
        <f t="shared" si="7"/>
        <v>2623.0829769143998</v>
      </c>
      <c r="G252" s="113" t="s">
        <v>31</v>
      </c>
      <c r="H252" s="114"/>
      <c r="I252" s="36" t="s">
        <v>340</v>
      </c>
      <c r="L252" s="112"/>
      <c r="M252" s="112"/>
      <c r="N252" s="36"/>
    </row>
    <row r="253" spans="1:20" s="104" customFormat="1" ht="15.75" customHeight="1" x14ac:dyDescent="0.25">
      <c r="A253" s="70">
        <f t="shared" si="8"/>
        <v>93</v>
      </c>
      <c r="B253" s="71">
        <f>182.075</f>
        <v>182.07499999999999</v>
      </c>
      <c r="C253" s="42">
        <f t="shared" si="6"/>
        <v>1959.8552999999997</v>
      </c>
      <c r="D253" s="42">
        <v>0</v>
      </c>
      <c r="E253" s="42">
        <v>0</v>
      </c>
      <c r="F253" s="42">
        <f t="shared" si="7"/>
        <v>3350.17664982</v>
      </c>
      <c r="G253" s="113" t="s">
        <v>31</v>
      </c>
      <c r="H253" s="114"/>
      <c r="I253" s="36" t="s">
        <v>340</v>
      </c>
      <c r="L253" s="112"/>
      <c r="M253" s="112"/>
      <c r="N253" s="36"/>
    </row>
    <row r="254" spans="1:20" s="104" customFormat="1" ht="15.75" customHeight="1" x14ac:dyDescent="0.25">
      <c r="A254" s="70">
        <f t="shared" si="8"/>
        <v>94</v>
      </c>
      <c r="B254" s="71">
        <f>144.394</f>
        <v>144.39400000000001</v>
      </c>
      <c r="C254" s="42">
        <f t="shared" si="6"/>
        <v>1554.257016</v>
      </c>
      <c r="D254" s="42">
        <v>0</v>
      </c>
      <c r="E254" s="42">
        <v>0</v>
      </c>
      <c r="F254" s="42">
        <f t="shared" si="7"/>
        <v>2656.8469431504004</v>
      </c>
      <c r="G254" s="113" t="s">
        <v>31</v>
      </c>
      <c r="H254" s="114"/>
      <c r="I254" s="36" t="s">
        <v>340</v>
      </c>
      <c r="L254" s="112"/>
      <c r="M254" s="112"/>
      <c r="N254" s="36"/>
      <c r="T254" s="21"/>
    </row>
    <row r="255" spans="1:20" s="104" customFormat="1" ht="15.75" customHeight="1" x14ac:dyDescent="0.25">
      <c r="A255" s="70">
        <f t="shared" si="8"/>
        <v>95</v>
      </c>
      <c r="B255" s="71">
        <f>141.527</f>
        <v>141.52699999999999</v>
      </c>
      <c r="C255" s="42">
        <f t="shared" si="6"/>
        <v>1523.3966279999997</v>
      </c>
      <c r="D255" s="42">
        <v>0</v>
      </c>
      <c r="E255" s="42">
        <v>0</v>
      </c>
      <c r="F255" s="42">
        <f t="shared" si="7"/>
        <v>2604.0941959031998</v>
      </c>
      <c r="G255" s="113" t="s">
        <v>31</v>
      </c>
      <c r="H255" s="114"/>
      <c r="I255" s="36" t="s">
        <v>340</v>
      </c>
      <c r="L255" s="112"/>
      <c r="M255" s="112"/>
      <c r="N255" s="36"/>
      <c r="T255" s="21"/>
    </row>
    <row r="256" spans="1:20" s="104" customFormat="1" ht="15.75" customHeight="1" x14ac:dyDescent="0.25">
      <c r="A256" s="70">
        <f t="shared" si="8"/>
        <v>96</v>
      </c>
      <c r="B256" s="71">
        <f>153.191</f>
        <v>153.191</v>
      </c>
      <c r="C256" s="42">
        <f t="shared" si="6"/>
        <v>1648.9479239999998</v>
      </c>
      <c r="D256" s="42">
        <v>0</v>
      </c>
      <c r="E256" s="42">
        <v>0</v>
      </c>
      <c r="F256" s="42">
        <f t="shared" si="7"/>
        <v>2818.7115812856</v>
      </c>
      <c r="G256" s="113" t="s">
        <v>31</v>
      </c>
      <c r="H256" s="114"/>
      <c r="I256" s="36" t="s">
        <v>340</v>
      </c>
      <c r="L256" s="112"/>
      <c r="M256" s="112"/>
      <c r="N256" s="36"/>
      <c r="T256" s="21"/>
    </row>
    <row r="257" spans="1:20" s="104" customFormat="1" ht="15.75" customHeight="1" x14ac:dyDescent="0.25">
      <c r="A257" s="70">
        <f t="shared" si="8"/>
        <v>97</v>
      </c>
      <c r="B257" s="71">
        <f>147.668</f>
        <v>147.66800000000001</v>
      </c>
      <c r="C257" s="42">
        <f t="shared" si="6"/>
        <v>1589.4983520000001</v>
      </c>
      <c r="D257" s="42">
        <v>0</v>
      </c>
      <c r="E257" s="42">
        <v>0</v>
      </c>
      <c r="F257" s="42">
        <f t="shared" si="7"/>
        <v>2717.0884829088004</v>
      </c>
      <c r="G257" s="113" t="s">
        <v>31</v>
      </c>
      <c r="H257" s="114"/>
      <c r="I257" s="36" t="s">
        <v>340</v>
      </c>
      <c r="L257" s="112"/>
      <c r="M257" s="112"/>
      <c r="N257" s="36"/>
      <c r="T257" s="21"/>
    </row>
    <row r="258" spans="1:20" s="104" customFormat="1" ht="15.75" customHeight="1" x14ac:dyDescent="0.25">
      <c r="A258" s="70">
        <f t="shared" si="8"/>
        <v>98</v>
      </c>
      <c r="B258" s="71">
        <f>157.722</f>
        <v>157.72200000000001</v>
      </c>
      <c r="C258" s="42">
        <f t="shared" si="6"/>
        <v>1697.7196079999999</v>
      </c>
      <c r="D258" s="42">
        <v>0</v>
      </c>
      <c r="E258" s="42">
        <v>0</v>
      </c>
      <c r="F258" s="42">
        <f t="shared" si="7"/>
        <v>2902.0818979152</v>
      </c>
      <c r="G258" s="113" t="s">
        <v>31</v>
      </c>
      <c r="H258" s="114"/>
      <c r="I258" s="36" t="s">
        <v>340</v>
      </c>
      <c r="L258" s="112"/>
      <c r="M258" s="112"/>
      <c r="N258" s="36"/>
      <c r="T258" s="21"/>
    </row>
    <row r="259" spans="1:20" s="104" customFormat="1" ht="15.75" customHeight="1" x14ac:dyDescent="0.25">
      <c r="A259" s="70">
        <f t="shared" si="8"/>
        <v>99</v>
      </c>
      <c r="B259" s="71">
        <f>167.004</f>
        <v>167.00399999999999</v>
      </c>
      <c r="C259" s="42">
        <f t="shared" si="6"/>
        <v>1797.6310559999997</v>
      </c>
      <c r="D259" s="42">
        <v>0</v>
      </c>
      <c r="E259" s="42">
        <v>0</v>
      </c>
      <c r="F259" s="42">
        <f t="shared" si="7"/>
        <v>3072.8705271264002</v>
      </c>
      <c r="G259" s="113" t="s">
        <v>31</v>
      </c>
      <c r="H259" s="114"/>
      <c r="I259" s="36" t="s">
        <v>340</v>
      </c>
      <c r="L259" s="112"/>
      <c r="M259" s="112"/>
      <c r="N259" s="36"/>
      <c r="T259" s="21"/>
    </row>
    <row r="260" spans="1:20" s="104" customFormat="1" ht="15.75" customHeight="1" x14ac:dyDescent="0.25">
      <c r="A260" s="70">
        <f t="shared" si="8"/>
        <v>100</v>
      </c>
      <c r="B260" s="71">
        <f>177.234</f>
        <v>177.23400000000001</v>
      </c>
      <c r="C260" s="42">
        <f t="shared" si="6"/>
        <v>1907.746776</v>
      </c>
      <c r="D260" s="42">
        <v>0</v>
      </c>
      <c r="E260" s="42">
        <v>0</v>
      </c>
      <c r="F260" s="42">
        <f t="shared" si="7"/>
        <v>3261.1023388944</v>
      </c>
      <c r="G260" s="113" t="s">
        <v>31</v>
      </c>
      <c r="H260" s="114"/>
      <c r="I260" s="36" t="s">
        <v>340</v>
      </c>
      <c r="L260" s="112"/>
      <c r="M260" s="112"/>
      <c r="N260" s="36"/>
      <c r="T260" s="21"/>
    </row>
    <row r="261" spans="1:20" s="104" customFormat="1" ht="15.75" customHeight="1" x14ac:dyDescent="0.25">
      <c r="A261" s="70">
        <f t="shared" si="8"/>
        <v>101</v>
      </c>
      <c r="B261" s="71">
        <f>185.143</f>
        <v>185.143</v>
      </c>
      <c r="C261" s="42">
        <f t="shared" si="6"/>
        <v>1992.879252</v>
      </c>
      <c r="D261" s="42">
        <v>0</v>
      </c>
      <c r="E261" s="42">
        <v>0</v>
      </c>
      <c r="F261" s="42">
        <f t="shared" si="7"/>
        <v>3406.6277933688002</v>
      </c>
      <c r="G261" s="113" t="s">
        <v>31</v>
      </c>
      <c r="H261" s="114"/>
      <c r="I261" s="36" t="s">
        <v>340</v>
      </c>
      <c r="L261" s="112"/>
      <c r="M261" s="112"/>
      <c r="N261" s="36"/>
      <c r="T261" s="21"/>
    </row>
    <row r="262" spans="1:20" s="104" customFormat="1" ht="15.75" customHeight="1" x14ac:dyDescent="0.25">
      <c r="A262" s="70">
        <f t="shared" si="8"/>
        <v>102</v>
      </c>
      <c r="B262" s="71">
        <f>292.726</f>
        <v>292.726</v>
      </c>
      <c r="C262" s="42">
        <f t="shared" si="6"/>
        <v>3150.9026639999997</v>
      </c>
      <c r="D262" s="42">
        <v>0</v>
      </c>
      <c r="E262" s="42">
        <v>0</v>
      </c>
      <c r="F262" s="42">
        <f t="shared" si="7"/>
        <v>5386.1530138416001</v>
      </c>
      <c r="G262" s="113" t="s">
        <v>31</v>
      </c>
      <c r="H262" s="114"/>
      <c r="I262" s="36" t="s">
        <v>340</v>
      </c>
      <c r="L262" s="112"/>
      <c r="M262" s="112"/>
      <c r="N262" s="36"/>
      <c r="T262" s="21"/>
    </row>
    <row r="263" spans="1:20" s="104" customFormat="1" ht="15.75" customHeight="1" x14ac:dyDescent="0.25">
      <c r="A263" s="70">
        <f t="shared" si="8"/>
        <v>103</v>
      </c>
      <c r="B263" s="71">
        <f>276.931</f>
        <v>276.93099999999998</v>
      </c>
      <c r="C263" s="42">
        <f t="shared" si="6"/>
        <v>2980.8852839999995</v>
      </c>
      <c r="D263" s="42">
        <v>0</v>
      </c>
      <c r="E263" s="42">
        <v>0</v>
      </c>
      <c r="F263" s="42">
        <f t="shared" si="7"/>
        <v>5095.5253044696001</v>
      </c>
      <c r="G263" s="113" t="s">
        <v>31</v>
      </c>
      <c r="H263" s="114"/>
      <c r="I263" s="36" t="s">
        <v>340</v>
      </c>
      <c r="L263" s="112"/>
      <c r="M263" s="112"/>
      <c r="N263" s="36"/>
      <c r="T263" s="21"/>
    </row>
    <row r="264" spans="1:20" s="104" customFormat="1" ht="15.75" customHeight="1" x14ac:dyDescent="0.25">
      <c r="A264" s="70">
        <f t="shared" si="8"/>
        <v>104</v>
      </c>
      <c r="B264" s="71">
        <f>259.863</f>
        <v>259.863</v>
      </c>
      <c r="C264" s="42">
        <f t="shared" si="6"/>
        <v>2797.165332</v>
      </c>
      <c r="D264" s="42">
        <v>0</v>
      </c>
      <c r="E264" s="42">
        <v>0</v>
      </c>
      <c r="F264" s="42">
        <f t="shared" si="7"/>
        <v>4781.474418520801</v>
      </c>
      <c r="G264" s="113" t="s">
        <v>31</v>
      </c>
      <c r="H264" s="114"/>
      <c r="I264" s="36" t="s">
        <v>340</v>
      </c>
      <c r="L264" s="112"/>
      <c r="M264" s="112"/>
      <c r="N264" s="36"/>
      <c r="T264" s="21"/>
    </row>
    <row r="265" spans="1:20" s="104" customFormat="1" ht="15.75" customHeight="1" x14ac:dyDescent="0.25">
      <c r="A265" s="70">
        <f t="shared" si="8"/>
        <v>105</v>
      </c>
      <c r="B265" s="71">
        <f>200.006</f>
        <v>200.006</v>
      </c>
      <c r="C265" s="42">
        <f t="shared" si="6"/>
        <v>2152.8645839999999</v>
      </c>
      <c r="D265" s="42">
        <v>0</v>
      </c>
      <c r="E265" s="42">
        <v>0</v>
      </c>
      <c r="F265" s="42">
        <f t="shared" si="7"/>
        <v>3680.1067198895998</v>
      </c>
      <c r="G265" s="113" t="s">
        <v>31</v>
      </c>
      <c r="H265" s="114"/>
      <c r="I265" s="36" t="s">
        <v>340</v>
      </c>
      <c r="L265" s="112"/>
      <c r="M265" s="112"/>
      <c r="N265" s="36"/>
      <c r="T265" s="21"/>
    </row>
    <row r="266" spans="1:20" s="104" customFormat="1" ht="15.75" customHeight="1" x14ac:dyDescent="0.25">
      <c r="A266" s="70">
        <f t="shared" si="8"/>
        <v>106</v>
      </c>
      <c r="B266" s="71">
        <f>174.133</f>
        <v>174.13300000000001</v>
      </c>
      <c r="C266" s="42">
        <f t="shared" si="6"/>
        <v>1874.367612</v>
      </c>
      <c r="D266" s="42">
        <v>0</v>
      </c>
      <c r="E266" s="42">
        <v>0</v>
      </c>
      <c r="F266" s="42">
        <f t="shared" si="7"/>
        <v>3204.0439959528003</v>
      </c>
      <c r="G266" s="113" t="s">
        <v>31</v>
      </c>
      <c r="H266" s="114"/>
      <c r="I266" s="36" t="s">
        <v>340</v>
      </c>
      <c r="L266" s="112"/>
      <c r="M266" s="112"/>
      <c r="N266" s="36"/>
      <c r="T266" s="21"/>
    </row>
    <row r="267" spans="1:20" s="104" customFormat="1" ht="15.75" customHeight="1" x14ac:dyDescent="0.25">
      <c r="A267" s="70">
        <f t="shared" si="8"/>
        <v>107</v>
      </c>
      <c r="B267" s="71">
        <f>217.234</f>
        <v>217.23400000000001</v>
      </c>
      <c r="C267" s="42">
        <f t="shared" si="6"/>
        <v>2338.3067759999999</v>
      </c>
      <c r="D267" s="42">
        <v>0</v>
      </c>
      <c r="E267" s="42">
        <v>0</v>
      </c>
      <c r="F267" s="42">
        <f t="shared" si="7"/>
        <v>3997.1016028944005</v>
      </c>
      <c r="G267" s="113" t="s">
        <v>31</v>
      </c>
      <c r="H267" s="114"/>
      <c r="I267" s="36" t="s">
        <v>340</v>
      </c>
      <c r="L267" s="112"/>
      <c r="M267" s="112"/>
      <c r="N267" s="36"/>
      <c r="T267" s="21"/>
    </row>
    <row r="268" spans="1:20" s="104" customFormat="1" ht="15.75" customHeight="1" x14ac:dyDescent="0.25">
      <c r="A268" s="70">
        <f t="shared" si="8"/>
        <v>108</v>
      </c>
      <c r="B268" s="71">
        <f>260.359</f>
        <v>260.35899999999998</v>
      </c>
      <c r="C268" s="42">
        <f t="shared" si="6"/>
        <v>2802.5042759999997</v>
      </c>
      <c r="D268" s="42">
        <v>0</v>
      </c>
      <c r="E268" s="42">
        <v>0</v>
      </c>
      <c r="F268" s="42">
        <f t="shared" si="7"/>
        <v>4790.6008093944001</v>
      </c>
      <c r="G268" s="113" t="s">
        <v>31</v>
      </c>
      <c r="H268" s="114"/>
      <c r="I268" s="36" t="s">
        <v>340</v>
      </c>
      <c r="L268" s="112"/>
      <c r="M268" s="112"/>
      <c r="N268" s="36"/>
      <c r="T268" s="21"/>
    </row>
    <row r="269" spans="1:20" s="104" customFormat="1" ht="15.75" customHeight="1" x14ac:dyDescent="0.25">
      <c r="A269" s="70">
        <f t="shared" si="8"/>
        <v>109</v>
      </c>
      <c r="B269" s="71">
        <f>343.079</f>
        <v>343.07900000000001</v>
      </c>
      <c r="C269" s="42">
        <f t="shared" si="6"/>
        <v>3692.9023560000001</v>
      </c>
      <c r="D269" s="42">
        <v>0</v>
      </c>
      <c r="E269" s="42">
        <v>0</v>
      </c>
      <c r="F269" s="42">
        <f t="shared" si="7"/>
        <v>6312.6472873464008</v>
      </c>
      <c r="G269" s="113" t="s">
        <v>31</v>
      </c>
      <c r="H269" s="114"/>
      <c r="I269" s="36" t="s">
        <v>340</v>
      </c>
      <c r="L269" s="112"/>
      <c r="M269" s="112"/>
      <c r="N269" s="36"/>
      <c r="T269" s="21"/>
    </row>
    <row r="270" spans="1:20" s="104" customFormat="1" ht="15.75" customHeight="1" x14ac:dyDescent="0.25">
      <c r="A270" s="70">
        <f t="shared" si="8"/>
        <v>110</v>
      </c>
      <c r="B270" s="71">
        <f>144.442</f>
        <v>144.44200000000001</v>
      </c>
      <c r="C270" s="42">
        <f t="shared" si="6"/>
        <v>1554.773688</v>
      </c>
      <c r="D270" s="42">
        <v>0</v>
      </c>
      <c r="E270" s="42">
        <v>0</v>
      </c>
      <c r="F270" s="42">
        <f t="shared" si="7"/>
        <v>2657.7301422672003</v>
      </c>
      <c r="G270" s="113" t="s">
        <v>31</v>
      </c>
      <c r="H270" s="114"/>
      <c r="I270" s="36" t="s">
        <v>340</v>
      </c>
      <c r="L270" s="112"/>
      <c r="M270" s="112"/>
      <c r="N270" s="36"/>
      <c r="T270" s="21"/>
    </row>
    <row r="271" spans="1:20" s="104" customFormat="1" ht="15.75" customHeight="1" x14ac:dyDescent="0.25">
      <c r="A271" s="70">
        <f t="shared" si="8"/>
        <v>111</v>
      </c>
      <c r="B271" s="71">
        <f>177.287</f>
        <v>177.28700000000001</v>
      </c>
      <c r="C271" s="42">
        <f t="shared" si="6"/>
        <v>1908.317268</v>
      </c>
      <c r="D271" s="42">
        <v>0</v>
      </c>
      <c r="E271" s="42">
        <v>0</v>
      </c>
      <c r="F271" s="42">
        <f t="shared" si="7"/>
        <v>3262.0775379192005</v>
      </c>
      <c r="G271" s="113" t="s">
        <v>31</v>
      </c>
      <c r="H271" s="114"/>
      <c r="I271" s="36" t="s">
        <v>340</v>
      </c>
      <c r="L271" s="112"/>
      <c r="M271" s="112"/>
      <c r="N271" s="36"/>
      <c r="T271" s="21"/>
    </row>
    <row r="272" spans="1:20" s="104" customFormat="1" ht="15.75" customHeight="1" x14ac:dyDescent="0.25">
      <c r="A272" s="70">
        <f t="shared" si="8"/>
        <v>112</v>
      </c>
      <c r="B272" s="71">
        <f>183.59</f>
        <v>183.59</v>
      </c>
      <c r="C272" s="42">
        <f t="shared" si="6"/>
        <v>1976.1627599999999</v>
      </c>
      <c r="D272" s="42">
        <v>0</v>
      </c>
      <c r="E272" s="42">
        <v>0</v>
      </c>
      <c r="F272" s="42">
        <f t="shared" si="7"/>
        <v>3378.0526219440003</v>
      </c>
      <c r="G272" s="113" t="s">
        <v>31</v>
      </c>
      <c r="H272" s="114"/>
      <c r="I272" s="36" t="s">
        <v>340</v>
      </c>
      <c r="L272" s="112"/>
      <c r="M272" s="112"/>
      <c r="N272" s="36"/>
      <c r="T272" s="21"/>
    </row>
    <row r="273" spans="1:20" s="104" customFormat="1" ht="15.75" customHeight="1" x14ac:dyDescent="0.25">
      <c r="A273" s="70">
        <f t="shared" si="8"/>
        <v>113</v>
      </c>
      <c r="B273" s="71">
        <f>146.966</f>
        <v>146.96600000000001</v>
      </c>
      <c r="C273" s="42">
        <f t="shared" si="6"/>
        <v>1581.9420239999999</v>
      </c>
      <c r="D273" s="42">
        <v>0</v>
      </c>
      <c r="E273" s="42">
        <v>0</v>
      </c>
      <c r="F273" s="42">
        <f t="shared" si="7"/>
        <v>2704.1716958256002</v>
      </c>
      <c r="G273" s="113" t="s">
        <v>31</v>
      </c>
      <c r="H273" s="114"/>
      <c r="I273" s="36" t="s">
        <v>340</v>
      </c>
      <c r="L273" s="112"/>
      <c r="M273" s="112"/>
      <c r="N273" s="36"/>
      <c r="T273" s="21"/>
    </row>
    <row r="274" spans="1:20" s="104" customFormat="1" ht="15.75" customHeight="1" x14ac:dyDescent="0.25">
      <c r="A274" s="70">
        <f t="shared" si="8"/>
        <v>114</v>
      </c>
      <c r="B274" s="71">
        <f>150.104</f>
        <v>150.10400000000001</v>
      </c>
      <c r="C274" s="42">
        <f t="shared" si="6"/>
        <v>1615.719456</v>
      </c>
      <c r="D274" s="42">
        <v>0</v>
      </c>
      <c r="E274" s="42">
        <v>0</v>
      </c>
      <c r="F274" s="42">
        <f t="shared" si="7"/>
        <v>2761.9108380864004</v>
      </c>
      <c r="G274" s="113" t="s">
        <v>31</v>
      </c>
      <c r="H274" s="114"/>
      <c r="I274" s="36" t="s">
        <v>340</v>
      </c>
      <c r="L274" s="112"/>
      <c r="M274" s="112"/>
      <c r="N274" s="36"/>
      <c r="T274" s="21"/>
    </row>
    <row r="275" spans="1:20" s="104" customFormat="1" ht="15.75" customHeight="1" x14ac:dyDescent="0.25">
      <c r="A275" s="70">
        <f t="shared" si="8"/>
        <v>115</v>
      </c>
      <c r="B275" s="71">
        <f>153.241</f>
        <v>153.24100000000001</v>
      </c>
      <c r="C275" s="42">
        <f t="shared" si="6"/>
        <v>1649.486124</v>
      </c>
      <c r="D275" s="42">
        <v>0</v>
      </c>
      <c r="E275" s="42">
        <v>0</v>
      </c>
      <c r="F275" s="42">
        <f t="shared" si="7"/>
        <v>2819.6315803656003</v>
      </c>
      <c r="G275" s="113" t="s">
        <v>31</v>
      </c>
      <c r="H275" s="114"/>
      <c r="I275" s="36" t="s">
        <v>340</v>
      </c>
      <c r="L275" s="112"/>
      <c r="M275" s="112"/>
      <c r="N275" s="36"/>
      <c r="T275" s="21"/>
    </row>
    <row r="276" spans="1:20" s="104" customFormat="1" ht="15.75" customHeight="1" x14ac:dyDescent="0.25">
      <c r="A276" s="70">
        <f t="shared" si="8"/>
        <v>116</v>
      </c>
      <c r="B276" s="71">
        <f>156.228</f>
        <v>156.22800000000001</v>
      </c>
      <c r="C276" s="42">
        <f t="shared" si="6"/>
        <v>1681.6381919999999</v>
      </c>
      <c r="D276" s="42">
        <v>0</v>
      </c>
      <c r="E276" s="42">
        <v>0</v>
      </c>
      <c r="F276" s="42">
        <f t="shared" si="7"/>
        <v>2874.5923254047998</v>
      </c>
      <c r="G276" s="113" t="s">
        <v>31</v>
      </c>
      <c r="H276" s="114"/>
      <c r="I276" s="36" t="s">
        <v>340</v>
      </c>
      <c r="L276" s="112"/>
      <c r="M276" s="112"/>
      <c r="N276" s="36"/>
      <c r="T276" s="21"/>
    </row>
    <row r="277" spans="1:20" s="104" customFormat="1" ht="15.75" customHeight="1" x14ac:dyDescent="0.25">
      <c r="A277" s="70">
        <f t="shared" si="8"/>
        <v>117</v>
      </c>
      <c r="B277" s="71">
        <f>155.867</f>
        <v>155.86699999999999</v>
      </c>
      <c r="C277" s="42">
        <f t="shared" si="6"/>
        <v>1677.7523879999999</v>
      </c>
      <c r="D277" s="42">
        <v>0</v>
      </c>
      <c r="E277" s="42">
        <v>0</v>
      </c>
      <c r="F277" s="42">
        <f t="shared" si="7"/>
        <v>2867.9499320472</v>
      </c>
      <c r="G277" s="113" t="s">
        <v>31</v>
      </c>
      <c r="H277" s="114"/>
      <c r="I277" s="36" t="s">
        <v>340</v>
      </c>
      <c r="L277" s="112"/>
      <c r="M277" s="112"/>
      <c r="N277" s="36"/>
      <c r="T277" s="21"/>
    </row>
    <row r="278" spans="1:20" s="104" customFormat="1" ht="15.75" customHeight="1" x14ac:dyDescent="0.25">
      <c r="A278" s="70">
        <f t="shared" si="8"/>
        <v>118</v>
      </c>
      <c r="B278" s="71">
        <f>154.127</f>
        <v>154.12700000000001</v>
      </c>
      <c r="C278" s="42">
        <f t="shared" si="6"/>
        <v>1659.0230280000001</v>
      </c>
      <c r="D278" s="42">
        <v>0</v>
      </c>
      <c r="E278" s="42">
        <v>0</v>
      </c>
      <c r="F278" s="42">
        <f t="shared" si="7"/>
        <v>2835.9339640632006</v>
      </c>
      <c r="G278" s="113" t="s">
        <v>31</v>
      </c>
      <c r="H278" s="114"/>
      <c r="I278" s="36" t="s">
        <v>340</v>
      </c>
      <c r="L278" s="112"/>
      <c r="M278" s="112"/>
      <c r="N278" s="36"/>
      <c r="T278" s="21"/>
    </row>
    <row r="279" spans="1:20" s="104" customFormat="1" ht="15.75" customHeight="1" x14ac:dyDescent="0.25">
      <c r="A279" s="70">
        <f t="shared" si="8"/>
        <v>119</v>
      </c>
      <c r="B279" s="71">
        <f>152.356</f>
        <v>152.35599999999999</v>
      </c>
      <c r="C279" s="42">
        <f t="shared" si="6"/>
        <v>1639.9599839999998</v>
      </c>
      <c r="D279" s="42">
        <v>0</v>
      </c>
      <c r="E279" s="42">
        <v>0</v>
      </c>
      <c r="F279" s="42">
        <f t="shared" si="7"/>
        <v>2803.3475966495998</v>
      </c>
      <c r="G279" s="113" t="s">
        <v>31</v>
      </c>
      <c r="H279" s="114"/>
      <c r="I279" s="36" t="s">
        <v>340</v>
      </c>
      <c r="L279" s="112"/>
      <c r="M279" s="112"/>
      <c r="N279" s="36"/>
    </row>
    <row r="280" spans="1:20" s="104" customFormat="1" ht="15.75" customHeight="1" x14ac:dyDescent="0.25">
      <c r="A280" s="70">
        <f t="shared" si="8"/>
        <v>120</v>
      </c>
      <c r="B280" s="71">
        <f>186.973</f>
        <v>186.97300000000001</v>
      </c>
      <c r="C280" s="42">
        <f t="shared" si="6"/>
        <v>2012.577372</v>
      </c>
      <c r="D280" s="42">
        <v>0</v>
      </c>
      <c r="E280" s="42">
        <v>0</v>
      </c>
      <c r="F280" s="42">
        <f t="shared" si="7"/>
        <v>3440.2997596968003</v>
      </c>
      <c r="G280" s="113" t="s">
        <v>31</v>
      </c>
      <c r="H280" s="114"/>
      <c r="I280" s="36" t="s">
        <v>340</v>
      </c>
      <c r="L280" s="112"/>
      <c r="M280" s="112"/>
      <c r="N280" s="36"/>
    </row>
    <row r="281" spans="1:20" s="35" customFormat="1" x14ac:dyDescent="0.25">
      <c r="A281" s="115" t="s">
        <v>63</v>
      </c>
      <c r="B281" s="115"/>
      <c r="C281" s="115"/>
      <c r="D281" s="115"/>
      <c r="E281" s="115"/>
      <c r="F281" s="115"/>
      <c r="G281" s="115"/>
      <c r="H281" s="115"/>
      <c r="T281" s="37"/>
    </row>
    <row r="282" spans="1:20" s="35" customFormat="1" x14ac:dyDescent="0.25">
      <c r="A282" s="46" t="s">
        <v>144</v>
      </c>
      <c r="B282" s="190" t="s">
        <v>337</v>
      </c>
      <c r="C282" s="191"/>
      <c r="D282" s="191"/>
      <c r="E282" s="191"/>
      <c r="F282" s="191"/>
      <c r="G282" s="191"/>
      <c r="H282" s="192"/>
      <c r="T282" s="37"/>
    </row>
    <row r="283" spans="1:20" s="35" customFormat="1" hidden="1" x14ac:dyDescent="0.25">
      <c r="A283" s="46" t="s">
        <v>144</v>
      </c>
      <c r="B283" s="190" t="str">
        <f>(IF(H159="Saleable area Loading :","We have considered Saleable area of Flats as per our Calculation.","We considered Saleable area of Flat as per Builder area Sheet."))</f>
        <v>We considered Saleable area of Flat as per Builder area Sheet.</v>
      </c>
      <c r="C283" s="191"/>
      <c r="D283" s="191"/>
      <c r="E283" s="191"/>
      <c r="F283" s="191"/>
      <c r="G283" s="191"/>
      <c r="H283" s="192"/>
      <c r="T283" s="37"/>
    </row>
    <row r="284" spans="1:20" s="35" customFormat="1" hidden="1" x14ac:dyDescent="0.25">
      <c r="A284" s="46" t="s">
        <v>144</v>
      </c>
      <c r="B284" s="190" t="str">
        <f>(IF(H151="Saleable area Loading :","We have considered Saleable area of Commercial as per our Calculation.","We considered Saleable area of Commercial as per Builder area Sheet."))</f>
        <v>We have considered Saleable area of Commercial as per our Calculation.</v>
      </c>
      <c r="C284" s="191"/>
      <c r="D284" s="191"/>
      <c r="E284" s="191"/>
      <c r="F284" s="191"/>
      <c r="G284" s="191"/>
      <c r="H284" s="192"/>
      <c r="T284" s="37"/>
    </row>
    <row r="285" spans="1:20" s="35" customFormat="1" x14ac:dyDescent="0.25">
      <c r="A285" s="46" t="s">
        <v>144</v>
      </c>
      <c r="B285" s="190" t="s">
        <v>343</v>
      </c>
      <c r="C285" s="191"/>
      <c r="D285" s="191"/>
      <c r="E285" s="191"/>
      <c r="F285" s="191"/>
      <c r="G285" s="191"/>
      <c r="H285" s="192"/>
      <c r="T285" s="37"/>
    </row>
    <row r="286" spans="1:20" s="35" customFormat="1" ht="33.75" hidden="1" customHeight="1" x14ac:dyDescent="0.25">
      <c r="A286" s="46" t="s">
        <v>144</v>
      </c>
      <c r="B286" s="109" t="s">
        <v>114</v>
      </c>
      <c r="C286" s="110"/>
      <c r="D286" s="110"/>
      <c r="E286" s="110"/>
      <c r="F286" s="110"/>
      <c r="G286" s="110"/>
      <c r="H286" s="111"/>
      <c r="T286" s="37"/>
    </row>
    <row r="287" spans="1:20" s="35" customFormat="1" hidden="1" x14ac:dyDescent="0.25">
      <c r="A287" s="46" t="s">
        <v>144</v>
      </c>
      <c r="B287" s="109" t="s">
        <v>143</v>
      </c>
      <c r="C287" s="110"/>
      <c r="D287" s="110"/>
      <c r="E287" s="110"/>
      <c r="F287" s="110"/>
      <c r="G287" s="110"/>
      <c r="H287" s="111"/>
    </row>
    <row r="288" spans="1:20" s="35" customFormat="1" x14ac:dyDescent="0.25">
      <c r="A288" s="46" t="s">
        <v>144</v>
      </c>
      <c r="B288" s="109" t="s">
        <v>115</v>
      </c>
      <c r="C288" s="110"/>
      <c r="D288" s="110"/>
      <c r="E288" s="110"/>
      <c r="F288" s="110"/>
      <c r="G288" s="110"/>
      <c r="H288" s="111"/>
    </row>
    <row r="289" spans="1:20" s="35" customFormat="1" ht="34.5" hidden="1" customHeight="1" x14ac:dyDescent="0.25">
      <c r="A289" s="46" t="s">
        <v>144</v>
      </c>
      <c r="B289" s="109" t="s">
        <v>145</v>
      </c>
      <c r="C289" s="110"/>
      <c r="D289" s="110"/>
      <c r="E289" s="110"/>
      <c r="F289" s="110"/>
      <c r="G289" s="110"/>
      <c r="H289" s="111"/>
    </row>
    <row r="290" spans="1:20" s="35" customFormat="1" hidden="1" x14ac:dyDescent="0.25">
      <c r="A290" s="106" t="s">
        <v>144</v>
      </c>
      <c r="B290" s="109" t="s">
        <v>116</v>
      </c>
      <c r="C290" s="110"/>
      <c r="D290" s="110"/>
      <c r="E290" s="110"/>
      <c r="F290" s="110"/>
      <c r="G290" s="110"/>
      <c r="H290" s="111"/>
    </row>
    <row r="291" spans="1:20" s="35" customFormat="1" x14ac:dyDescent="0.25">
      <c r="A291" s="46" t="s">
        <v>144</v>
      </c>
      <c r="B291" s="109" t="s">
        <v>349</v>
      </c>
      <c r="C291" s="110"/>
      <c r="D291" s="110"/>
      <c r="E291" s="110"/>
      <c r="F291" s="110"/>
      <c r="G291" s="110"/>
      <c r="H291" s="111"/>
    </row>
    <row r="292" spans="1:20" s="35" customFormat="1" hidden="1" x14ac:dyDescent="0.25">
      <c r="A292" s="46" t="s">
        <v>144</v>
      </c>
      <c r="B292" s="212" t="s">
        <v>218</v>
      </c>
      <c r="C292" s="213"/>
      <c r="D292" s="213"/>
      <c r="E292" s="213"/>
      <c r="F292" s="213"/>
      <c r="G292" s="213"/>
      <c r="H292" s="214"/>
    </row>
    <row r="293" spans="1:20" x14ac:dyDescent="0.25">
      <c r="A293" s="144" t="s">
        <v>56</v>
      </c>
      <c r="B293" s="144"/>
      <c r="C293" s="144"/>
      <c r="D293" s="144"/>
      <c r="E293" s="144"/>
      <c r="F293" s="144"/>
      <c r="G293" s="144"/>
      <c r="H293" s="144"/>
      <c r="T293" s="35"/>
    </row>
    <row r="294" spans="1:20" x14ac:dyDescent="0.25">
      <c r="A294" s="120" t="s">
        <v>57</v>
      </c>
      <c r="B294" s="120"/>
      <c r="C294" s="120"/>
      <c r="D294" s="120"/>
      <c r="E294" s="120"/>
      <c r="F294" s="120"/>
      <c r="G294" s="120"/>
      <c r="H294" s="120"/>
      <c r="T294" s="35"/>
    </row>
    <row r="295" spans="1:20" ht="15.75" customHeight="1" x14ac:dyDescent="0.25">
      <c r="A295" s="177" t="s">
        <v>58</v>
      </c>
      <c r="B295" s="177"/>
      <c r="C295" s="177"/>
      <c r="D295" s="177"/>
      <c r="E295" s="177"/>
      <c r="F295" s="177"/>
      <c r="G295" s="177"/>
      <c r="H295" s="177"/>
      <c r="T295" s="35"/>
    </row>
    <row r="296" spans="1:20" x14ac:dyDescent="0.25">
      <c r="A296" s="120" t="s">
        <v>59</v>
      </c>
      <c r="B296" s="120"/>
      <c r="C296" s="120"/>
      <c r="D296" s="120"/>
      <c r="E296" s="120"/>
      <c r="F296" s="120"/>
      <c r="G296" s="120"/>
      <c r="H296" s="120"/>
      <c r="T296" s="35"/>
    </row>
    <row r="297" spans="1:20" x14ac:dyDescent="0.25">
      <c r="A297" s="120" t="s">
        <v>60</v>
      </c>
      <c r="B297" s="120"/>
      <c r="C297" s="120"/>
      <c r="D297" s="120"/>
      <c r="E297" s="120"/>
      <c r="F297" s="120"/>
      <c r="G297" s="120"/>
      <c r="H297" s="120"/>
      <c r="T297" s="35"/>
    </row>
    <row r="298" spans="1:20" x14ac:dyDescent="0.25">
      <c r="A298" s="120" t="s">
        <v>117</v>
      </c>
      <c r="B298" s="120"/>
      <c r="C298" s="120"/>
      <c r="D298" s="120"/>
      <c r="E298" s="120"/>
      <c r="F298" s="120"/>
      <c r="G298" s="120"/>
      <c r="H298" s="120"/>
      <c r="T298" s="35"/>
    </row>
    <row r="299" spans="1:20" ht="33.950000000000003" customHeight="1" x14ac:dyDescent="0.25">
      <c r="A299" s="127" t="s">
        <v>118</v>
      </c>
      <c r="B299" s="127"/>
      <c r="C299" s="127"/>
      <c r="D299" s="127"/>
      <c r="E299" s="127"/>
      <c r="F299" s="127"/>
      <c r="G299" s="127"/>
      <c r="H299" s="127"/>
    </row>
    <row r="300" spans="1:20" x14ac:dyDescent="0.25">
      <c r="A300" s="203" t="s">
        <v>70</v>
      </c>
      <c r="B300" s="203"/>
      <c r="C300" s="203" t="s">
        <v>338</v>
      </c>
      <c r="D300" s="203"/>
      <c r="E300" s="203" t="s">
        <v>98</v>
      </c>
      <c r="F300" s="203"/>
      <c r="G300" s="203" t="s">
        <v>355</v>
      </c>
      <c r="H300" s="203"/>
    </row>
    <row r="301" spans="1:20" x14ac:dyDescent="0.25">
      <c r="A301" s="202" t="s">
        <v>72</v>
      </c>
      <c r="B301" s="202"/>
      <c r="C301" s="202"/>
      <c r="D301" s="202"/>
      <c r="E301" s="202"/>
      <c r="F301" s="202"/>
      <c r="G301" s="202"/>
      <c r="H301" s="202"/>
    </row>
    <row r="302" spans="1:20" x14ac:dyDescent="0.25">
      <c r="A302" s="202"/>
      <c r="B302" s="202"/>
      <c r="C302" s="202"/>
      <c r="D302" s="202"/>
      <c r="E302" s="202"/>
      <c r="F302" s="202"/>
      <c r="G302" s="202"/>
      <c r="H302" s="202"/>
    </row>
    <row r="303" spans="1:20" x14ac:dyDescent="0.25">
      <c r="A303" s="202"/>
      <c r="B303" s="202"/>
      <c r="C303" s="202"/>
      <c r="D303" s="202"/>
      <c r="E303" s="202"/>
      <c r="F303" s="202"/>
      <c r="G303" s="202"/>
      <c r="H303" s="202"/>
    </row>
    <row r="304" spans="1:20" x14ac:dyDescent="0.25">
      <c r="A304" s="202"/>
      <c r="B304" s="202"/>
      <c r="C304" s="202"/>
      <c r="D304" s="202"/>
      <c r="E304" s="202"/>
      <c r="F304" s="202"/>
      <c r="G304" s="202"/>
      <c r="H304" s="202"/>
    </row>
    <row r="305" spans="1:8" x14ac:dyDescent="0.25">
      <c r="A305" s="38" t="s">
        <v>61</v>
      </c>
      <c r="B305" s="39"/>
      <c r="C305" s="39"/>
      <c r="D305" s="38" t="str">
        <f>E9</f>
        <v>Godrej Golf Side Estate II</v>
      </c>
      <c r="F305" s="39"/>
      <c r="G305" s="39"/>
      <c r="H305" s="39"/>
    </row>
    <row r="306" spans="1:8" x14ac:dyDescent="0.25">
      <c r="A306" s="39"/>
      <c r="B306" s="39"/>
      <c r="C306" s="39"/>
      <c r="D306" s="39"/>
      <c r="E306" s="39"/>
      <c r="F306" s="39"/>
      <c r="G306" s="39"/>
      <c r="H306" s="39"/>
    </row>
    <row r="307" spans="1:8" x14ac:dyDescent="0.25">
      <c r="A307" s="39"/>
      <c r="B307" s="39"/>
      <c r="C307" s="39"/>
      <c r="D307" s="39"/>
      <c r="E307" s="39"/>
      <c r="F307" s="39"/>
      <c r="G307" s="39"/>
      <c r="H307" s="39"/>
    </row>
    <row r="308" spans="1:8" ht="15" customHeight="1" x14ac:dyDescent="0.25"/>
    <row r="349" spans="1:1" x14ac:dyDescent="0.25">
      <c r="A349" s="41" t="s">
        <v>150</v>
      </c>
    </row>
    <row r="393" spans="1:1" x14ac:dyDescent="0.25">
      <c r="A393" s="41" t="s">
        <v>62</v>
      </c>
    </row>
  </sheetData>
  <mergeCells count="551">
    <mergeCell ref="G278:H278"/>
    <mergeCell ref="L278:M278"/>
    <mergeCell ref="G279:H279"/>
    <mergeCell ref="L279:M279"/>
    <mergeCell ref="G280:H280"/>
    <mergeCell ref="L280:M280"/>
    <mergeCell ref="G273:H273"/>
    <mergeCell ref="L273:M273"/>
    <mergeCell ref="G274:H274"/>
    <mergeCell ref="L274:M274"/>
    <mergeCell ref="G275:H275"/>
    <mergeCell ref="L275:M275"/>
    <mergeCell ref="G276:H276"/>
    <mergeCell ref="L276:M276"/>
    <mergeCell ref="G277:H277"/>
    <mergeCell ref="L277:M277"/>
    <mergeCell ref="G268:H268"/>
    <mergeCell ref="L268:M268"/>
    <mergeCell ref="G269:H269"/>
    <mergeCell ref="L269:M269"/>
    <mergeCell ref="G270:H270"/>
    <mergeCell ref="L270:M270"/>
    <mergeCell ref="G271:H271"/>
    <mergeCell ref="L271:M271"/>
    <mergeCell ref="G272:H272"/>
    <mergeCell ref="L272:M272"/>
    <mergeCell ref="G263:H263"/>
    <mergeCell ref="L263:M263"/>
    <mergeCell ref="G264:H264"/>
    <mergeCell ref="L264:M264"/>
    <mergeCell ref="G265:H265"/>
    <mergeCell ref="L265:M265"/>
    <mergeCell ref="G266:H266"/>
    <mergeCell ref="L266:M266"/>
    <mergeCell ref="G267:H267"/>
    <mergeCell ref="L267:M267"/>
    <mergeCell ref="G258:H258"/>
    <mergeCell ref="L258:M258"/>
    <mergeCell ref="G259:H259"/>
    <mergeCell ref="L259:M259"/>
    <mergeCell ref="G260:H260"/>
    <mergeCell ref="L260:M260"/>
    <mergeCell ref="G261:H261"/>
    <mergeCell ref="L261:M261"/>
    <mergeCell ref="G262:H262"/>
    <mergeCell ref="L262:M262"/>
    <mergeCell ref="G253:H253"/>
    <mergeCell ref="L253:M253"/>
    <mergeCell ref="G254:H254"/>
    <mergeCell ref="L254:M254"/>
    <mergeCell ref="G255:H255"/>
    <mergeCell ref="L255:M255"/>
    <mergeCell ref="G256:H256"/>
    <mergeCell ref="L256:M256"/>
    <mergeCell ref="G257:H257"/>
    <mergeCell ref="L257:M257"/>
    <mergeCell ref="G248:H248"/>
    <mergeCell ref="L248:M248"/>
    <mergeCell ref="G249:H249"/>
    <mergeCell ref="L249:M249"/>
    <mergeCell ref="G250:H250"/>
    <mergeCell ref="L250:M250"/>
    <mergeCell ref="G251:H251"/>
    <mergeCell ref="L251:M251"/>
    <mergeCell ref="G252:H252"/>
    <mergeCell ref="L252:M252"/>
    <mergeCell ref="L243:M243"/>
    <mergeCell ref="G244:H244"/>
    <mergeCell ref="L244:M244"/>
    <mergeCell ref="G245:H245"/>
    <mergeCell ref="L245:M245"/>
    <mergeCell ref="G246:H246"/>
    <mergeCell ref="L246:M246"/>
    <mergeCell ref="G247:H247"/>
    <mergeCell ref="L247:M247"/>
    <mergeCell ref="L238:M238"/>
    <mergeCell ref="G239:H239"/>
    <mergeCell ref="L239:M239"/>
    <mergeCell ref="G240:H240"/>
    <mergeCell ref="L240:M240"/>
    <mergeCell ref="G241:H241"/>
    <mergeCell ref="L241:M241"/>
    <mergeCell ref="G242:H242"/>
    <mergeCell ref="L242:M242"/>
    <mergeCell ref="L233:M233"/>
    <mergeCell ref="G234:H234"/>
    <mergeCell ref="L234:M234"/>
    <mergeCell ref="G235:H235"/>
    <mergeCell ref="L235:M235"/>
    <mergeCell ref="G236:H236"/>
    <mergeCell ref="L236:M236"/>
    <mergeCell ref="G237:H237"/>
    <mergeCell ref="L237:M237"/>
    <mergeCell ref="L228:M228"/>
    <mergeCell ref="G229:H229"/>
    <mergeCell ref="L229:M229"/>
    <mergeCell ref="G230:H230"/>
    <mergeCell ref="L230:M230"/>
    <mergeCell ref="G231:H231"/>
    <mergeCell ref="L231:M231"/>
    <mergeCell ref="G232:H232"/>
    <mergeCell ref="L232:M232"/>
    <mergeCell ref="L223:M223"/>
    <mergeCell ref="G224:H224"/>
    <mergeCell ref="L224:M224"/>
    <mergeCell ref="G225:H225"/>
    <mergeCell ref="L225:M225"/>
    <mergeCell ref="G226:H226"/>
    <mergeCell ref="L226:M226"/>
    <mergeCell ref="G227:H227"/>
    <mergeCell ref="L227:M227"/>
    <mergeCell ref="L218:M218"/>
    <mergeCell ref="G219:H219"/>
    <mergeCell ref="L219:M219"/>
    <mergeCell ref="G220:H220"/>
    <mergeCell ref="L220:M220"/>
    <mergeCell ref="G221:H221"/>
    <mergeCell ref="L221:M221"/>
    <mergeCell ref="G222:H222"/>
    <mergeCell ref="L222:M222"/>
    <mergeCell ref="L213:M213"/>
    <mergeCell ref="G214:H214"/>
    <mergeCell ref="L214:M214"/>
    <mergeCell ref="G215:H215"/>
    <mergeCell ref="L215:M215"/>
    <mergeCell ref="G216:H216"/>
    <mergeCell ref="L216:M216"/>
    <mergeCell ref="G217:H217"/>
    <mergeCell ref="L217:M217"/>
    <mergeCell ref="L208:M208"/>
    <mergeCell ref="G209:H209"/>
    <mergeCell ref="L209:M209"/>
    <mergeCell ref="G210:H210"/>
    <mergeCell ref="L210:M210"/>
    <mergeCell ref="G211:H211"/>
    <mergeCell ref="L211:M211"/>
    <mergeCell ref="G212:H212"/>
    <mergeCell ref="L212:M212"/>
    <mergeCell ref="L203:M203"/>
    <mergeCell ref="G204:H204"/>
    <mergeCell ref="L204:M204"/>
    <mergeCell ref="G205:H205"/>
    <mergeCell ref="L205:M205"/>
    <mergeCell ref="G206:H206"/>
    <mergeCell ref="L206:M206"/>
    <mergeCell ref="G207:H207"/>
    <mergeCell ref="L207:M207"/>
    <mergeCell ref="L198:M198"/>
    <mergeCell ref="G199:H199"/>
    <mergeCell ref="L199:M199"/>
    <mergeCell ref="G200:H200"/>
    <mergeCell ref="L200:M200"/>
    <mergeCell ref="G201:H201"/>
    <mergeCell ref="L201:M201"/>
    <mergeCell ref="G202:H202"/>
    <mergeCell ref="L202:M202"/>
    <mergeCell ref="L193:M193"/>
    <mergeCell ref="G194:H194"/>
    <mergeCell ref="L194:M194"/>
    <mergeCell ref="G195:H195"/>
    <mergeCell ref="L195:M195"/>
    <mergeCell ref="G196:H196"/>
    <mergeCell ref="L196:M196"/>
    <mergeCell ref="G197:H197"/>
    <mergeCell ref="L197:M197"/>
    <mergeCell ref="L189:M189"/>
    <mergeCell ref="G190:H190"/>
    <mergeCell ref="L190:M190"/>
    <mergeCell ref="G191:H191"/>
    <mergeCell ref="L191:M191"/>
    <mergeCell ref="G192:H192"/>
    <mergeCell ref="L192:M192"/>
    <mergeCell ref="C90:H90"/>
    <mergeCell ref="E107:F107"/>
    <mergeCell ref="G107:H107"/>
    <mergeCell ref="L166:M166"/>
    <mergeCell ref="L167:M167"/>
    <mergeCell ref="L168:M168"/>
    <mergeCell ref="L169:M169"/>
    <mergeCell ref="L170:M170"/>
    <mergeCell ref="L171:M171"/>
    <mergeCell ref="L181:M181"/>
    <mergeCell ref="L172:M172"/>
    <mergeCell ref="L173:M173"/>
    <mergeCell ref="L174:M174"/>
    <mergeCell ref="L175:M175"/>
    <mergeCell ref="L176:M176"/>
    <mergeCell ref="G188:H188"/>
    <mergeCell ref="L188:M188"/>
    <mergeCell ref="A117:B117"/>
    <mergeCell ref="A122:B122"/>
    <mergeCell ref="A148:B148"/>
    <mergeCell ref="E148:F148"/>
    <mergeCell ref="C120:H120"/>
    <mergeCell ref="A121:B121"/>
    <mergeCell ref="A142:E142"/>
    <mergeCell ref="G148:H148"/>
    <mergeCell ref="L165:M165"/>
    <mergeCell ref="A138:E138"/>
    <mergeCell ref="F138:H138"/>
    <mergeCell ref="A140:E140"/>
    <mergeCell ref="F135:H135"/>
    <mergeCell ref="A139:E139"/>
    <mergeCell ref="A125:B125"/>
    <mergeCell ref="A126:B126"/>
    <mergeCell ref="E108:F117"/>
    <mergeCell ref="A115:B115"/>
    <mergeCell ref="A116:B116"/>
    <mergeCell ref="E121:F121"/>
    <mergeCell ref="E122:F131"/>
    <mergeCell ref="A136:E136"/>
    <mergeCell ref="A127:B127"/>
    <mergeCell ref="A129:B129"/>
    <mergeCell ref="A40:B40"/>
    <mergeCell ref="C40:H40"/>
    <mergeCell ref="F151:F152"/>
    <mergeCell ref="B151:B152"/>
    <mergeCell ref="A151:A152"/>
    <mergeCell ref="L164:M164"/>
    <mergeCell ref="L161:M161"/>
    <mergeCell ref="L162:M162"/>
    <mergeCell ref="L163:M163"/>
    <mergeCell ref="C55:H55"/>
    <mergeCell ref="A93:B93"/>
    <mergeCell ref="A49:B49"/>
    <mergeCell ref="C49:H49"/>
    <mergeCell ref="A123:B123"/>
    <mergeCell ref="A124:B124"/>
    <mergeCell ref="G108:H117"/>
    <mergeCell ref="A109:B109"/>
    <mergeCell ref="A110:B110"/>
    <mergeCell ref="A111:B111"/>
    <mergeCell ref="F134:H134"/>
    <mergeCell ref="A134:E134"/>
    <mergeCell ref="D151:D152"/>
    <mergeCell ref="A92:B92"/>
    <mergeCell ref="A90:B90"/>
    <mergeCell ref="A39:B39"/>
    <mergeCell ref="C39:H39"/>
    <mergeCell ref="A46:D46"/>
    <mergeCell ref="L157:M157"/>
    <mergeCell ref="L156:M156"/>
    <mergeCell ref="L155:M155"/>
    <mergeCell ref="L154:M154"/>
    <mergeCell ref="A101:B101"/>
    <mergeCell ref="C147:D147"/>
    <mergeCell ref="E147:F147"/>
    <mergeCell ref="G147:H147"/>
    <mergeCell ref="A133:E133"/>
    <mergeCell ref="A118:B118"/>
    <mergeCell ref="C118:H118"/>
    <mergeCell ref="A153:H153"/>
    <mergeCell ref="E151:E152"/>
    <mergeCell ref="A108:B108"/>
    <mergeCell ref="A47:D47"/>
    <mergeCell ref="A48:H48"/>
    <mergeCell ref="D64:H64"/>
    <mergeCell ref="A64:C64"/>
    <mergeCell ref="A100:B100"/>
    <mergeCell ref="C106:H106"/>
    <mergeCell ref="A45:D45"/>
    <mergeCell ref="A38:H38"/>
    <mergeCell ref="A37:B37"/>
    <mergeCell ref="C37:E37"/>
    <mergeCell ref="G122:H131"/>
    <mergeCell ref="A42:D42"/>
    <mergeCell ref="E42:H42"/>
    <mergeCell ref="A41:H41"/>
    <mergeCell ref="A68:C68"/>
    <mergeCell ref="A69:C69"/>
    <mergeCell ref="D68:H68"/>
    <mergeCell ref="E94:F103"/>
    <mergeCell ref="G94:H103"/>
    <mergeCell ref="A102:B102"/>
    <mergeCell ref="A103:B103"/>
    <mergeCell ref="D69:H69"/>
    <mergeCell ref="A44:D44"/>
    <mergeCell ref="E44:H44"/>
    <mergeCell ref="E45:H45"/>
    <mergeCell ref="E46:H46"/>
    <mergeCell ref="A107:B107"/>
    <mergeCell ref="E47:H47"/>
    <mergeCell ref="C57:H57"/>
    <mergeCell ref="C59:H59"/>
    <mergeCell ref="A106:B106"/>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98:B98"/>
    <mergeCell ref="A70:C70"/>
    <mergeCell ref="D70:H70"/>
    <mergeCell ref="C92:H92"/>
    <mergeCell ref="A95:B95"/>
    <mergeCell ref="A97:B97"/>
    <mergeCell ref="E93:F93"/>
    <mergeCell ref="A71:C71"/>
    <mergeCell ref="D71:H71"/>
    <mergeCell ref="A74:C74"/>
    <mergeCell ref="D74:H74"/>
    <mergeCell ref="A72:C72"/>
    <mergeCell ref="D73:H73"/>
    <mergeCell ref="A94:B94"/>
    <mergeCell ref="G93:H93"/>
    <mergeCell ref="A96:B96"/>
    <mergeCell ref="D82:H82"/>
    <mergeCell ref="D83:H83"/>
    <mergeCell ref="D84:H84"/>
    <mergeCell ref="D85:H85"/>
    <mergeCell ref="D86:H86"/>
    <mergeCell ref="D88:H88"/>
    <mergeCell ref="D89:H89"/>
    <mergeCell ref="A301:H304"/>
    <mergeCell ref="A300:B300"/>
    <mergeCell ref="E300:F300"/>
    <mergeCell ref="C300:D300"/>
    <mergeCell ref="G300:H300"/>
    <mergeCell ref="A143:E143"/>
    <mergeCell ref="F143:H143"/>
    <mergeCell ref="A144:E144"/>
    <mergeCell ref="F144:H144"/>
    <mergeCell ref="A147:B147"/>
    <mergeCell ref="A296:H296"/>
    <mergeCell ref="A145:H145"/>
    <mergeCell ref="A299:H299"/>
    <mergeCell ref="A297:H297"/>
    <mergeCell ref="A293:H293"/>
    <mergeCell ref="G146:H146"/>
    <mergeCell ref="C151:C152"/>
    <mergeCell ref="A294:H294"/>
    <mergeCell ref="B287:H287"/>
    <mergeCell ref="G151:G152"/>
    <mergeCell ref="B292:H292"/>
    <mergeCell ref="B289:H289"/>
    <mergeCell ref="B288:H288"/>
    <mergeCell ref="B284:H284"/>
    <mergeCell ref="A130:B130"/>
    <mergeCell ref="A135:E135"/>
    <mergeCell ref="A132:E132"/>
    <mergeCell ref="F136:H136"/>
    <mergeCell ref="G121:H121"/>
    <mergeCell ref="A120:B120"/>
    <mergeCell ref="A137:E137"/>
    <mergeCell ref="B282:H282"/>
    <mergeCell ref="B283:H283"/>
    <mergeCell ref="G171:H171"/>
    <mergeCell ref="G173:H173"/>
    <mergeCell ref="G174:H174"/>
    <mergeCell ref="G175:H175"/>
    <mergeCell ref="G176:H176"/>
    <mergeCell ref="G189:H189"/>
    <mergeCell ref="G198:H198"/>
    <mergeCell ref="G203:H203"/>
    <mergeCell ref="G208:H208"/>
    <mergeCell ref="G213:H213"/>
    <mergeCell ref="G218:H218"/>
    <mergeCell ref="G223:H223"/>
    <mergeCell ref="G228:H228"/>
    <mergeCell ref="G233:H233"/>
    <mergeCell ref="G238:H238"/>
    <mergeCell ref="G162:H162"/>
    <mergeCell ref="G163:H163"/>
    <mergeCell ref="G164:H164"/>
    <mergeCell ref="G165:H165"/>
    <mergeCell ref="G166:H166"/>
    <mergeCell ref="G167:H167"/>
    <mergeCell ref="G172:H172"/>
    <mergeCell ref="G177:H177"/>
    <mergeCell ref="G187:H187"/>
    <mergeCell ref="G169:H169"/>
    <mergeCell ref="G170:H170"/>
    <mergeCell ref="F132:H132"/>
    <mergeCell ref="F137:H137"/>
    <mergeCell ref="A157:B157"/>
    <mergeCell ref="A156:B156"/>
    <mergeCell ref="A158:H158"/>
    <mergeCell ref="E146:F146"/>
    <mergeCell ref="A149:H149"/>
    <mergeCell ref="G159:H159"/>
    <mergeCell ref="G161:H161"/>
    <mergeCell ref="D67:H67"/>
    <mergeCell ref="C52:E52"/>
    <mergeCell ref="A65:C67"/>
    <mergeCell ref="D65:H65"/>
    <mergeCell ref="D66:H66"/>
    <mergeCell ref="C51:E51"/>
    <mergeCell ref="A298:H298"/>
    <mergeCell ref="A295:H295"/>
    <mergeCell ref="A146:B146"/>
    <mergeCell ref="A112:B112"/>
    <mergeCell ref="A113:B113"/>
    <mergeCell ref="A114:B114"/>
    <mergeCell ref="A128:B128"/>
    <mergeCell ref="F133:H133"/>
    <mergeCell ref="A131:B131"/>
    <mergeCell ref="F139:H139"/>
    <mergeCell ref="C148:D148"/>
    <mergeCell ref="A160:H160"/>
    <mergeCell ref="A154:B154"/>
    <mergeCell ref="B291:H291"/>
    <mergeCell ref="C104:H104"/>
    <mergeCell ref="A99:B99"/>
    <mergeCell ref="G168:H168"/>
    <mergeCell ref="B285:H285"/>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I15:P15"/>
    <mergeCell ref="F142:H142"/>
    <mergeCell ref="F140:H140"/>
    <mergeCell ref="A150:H150"/>
    <mergeCell ref="A141:E141"/>
    <mergeCell ref="A155:B155"/>
    <mergeCell ref="A60:B60"/>
    <mergeCell ref="C60:E60"/>
    <mergeCell ref="D62:H62"/>
    <mergeCell ref="F141:H141"/>
    <mergeCell ref="C146:D146"/>
    <mergeCell ref="D72:H72"/>
    <mergeCell ref="A73:C73"/>
    <mergeCell ref="E43:H43"/>
    <mergeCell ref="A43:D43"/>
    <mergeCell ref="A104:B104"/>
    <mergeCell ref="A75:H75"/>
    <mergeCell ref="D76:H76"/>
    <mergeCell ref="D77:H77"/>
    <mergeCell ref="D78:H78"/>
    <mergeCell ref="D79:H79"/>
    <mergeCell ref="D80:H80"/>
    <mergeCell ref="D81:H81"/>
    <mergeCell ref="D87:H87"/>
    <mergeCell ref="B290:H290"/>
    <mergeCell ref="L177:M177"/>
    <mergeCell ref="G178:H178"/>
    <mergeCell ref="L178:M178"/>
    <mergeCell ref="G179:H179"/>
    <mergeCell ref="L179:M179"/>
    <mergeCell ref="G180:H180"/>
    <mergeCell ref="L180:M180"/>
    <mergeCell ref="G181:H181"/>
    <mergeCell ref="L187:M187"/>
    <mergeCell ref="G182:H182"/>
    <mergeCell ref="L182:M182"/>
    <mergeCell ref="G183:H183"/>
    <mergeCell ref="L183:M183"/>
    <mergeCell ref="G184:H184"/>
    <mergeCell ref="L184:M184"/>
    <mergeCell ref="G185:H185"/>
    <mergeCell ref="L185:M185"/>
    <mergeCell ref="G186:H186"/>
    <mergeCell ref="L186:M186"/>
    <mergeCell ref="B286:H286"/>
    <mergeCell ref="A281:H281"/>
    <mergeCell ref="G193:H193"/>
    <mergeCell ref="G243:H243"/>
  </mergeCells>
  <dataValidations disablePrompts="1"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51:E152">
      <formula1>"Attached Loft area,Attached Otla area,Attached Mezzanine area"</formula1>
    </dataValidation>
    <dataValidation type="list" allowBlank="1" showInputMessage="1" showErrorMessage="1" sqref="G300:H300">
      <formula1>"Saurav Panse, Kunal Kadam,Pranita Mhatre,Shruti Fule,Pooja Kawale,Neha Dhokale,Shruti Tathare, Hitakshi Mhatre, Sachin Sawant"</formula1>
    </dataValidation>
    <dataValidation type="list" allowBlank="1" showInputMessage="1" showErrorMessage="1" sqref="F132:H132">
      <formula1>"On Saleable Area,On Builtup Area,On Carpet Area,On Plot Area"</formula1>
    </dataValidation>
    <dataValidation type="list" allowBlank="1" showInputMessage="1" showErrorMessage="1" sqref="F143:H143">
      <formula1>OFFSET($S$132,1,MATCH($G20,$S$132:$W$132,0)-1,15,1)</formula1>
    </dataValidation>
    <dataValidation type="list" allowBlank="1" showInputMessage="1" showErrorMessage="1" sqref="B151:B152">
      <formula1>"Shop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99">
      <formula1>0</formula1>
      <formula2>H91</formula2>
    </dataValidation>
    <dataValidation type="list" allowBlank="1" showInputMessage="1" showErrorMessage="1" sqref="H151">
      <formula1>"Saleable area Loading :,Builder Saleable Area"</formula1>
    </dataValidation>
    <dataValidation type="list" allowBlank="1" showInputMessage="1" showErrorMessage="1" sqref="D151:D15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33" fitToHeight="0" orientation="portrait" r:id="rId2"/>
  <headerFooter>
    <oddHeader>&amp;C&amp;G</oddHeader>
    <oddFooter>&amp;L&amp;"Times New Roman,Bold"&amp;12Ref No: &amp;F&amp;C&amp;G&amp;R&amp;"Times New Roman,Bold"&amp;12&amp;P</oddFooter>
  </headerFooter>
  <rowBreaks count="4" manualBreakCount="4">
    <brk id="144" max="7" man="1"/>
    <brk id="304" max="16383" man="1"/>
    <brk id="348" max="16383" man="1"/>
    <brk id="392"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9"/>
  <sheetViews>
    <sheetView topLeftCell="A7" workbookViewId="0">
      <selection activeCell="P13" sqref="P13"/>
    </sheetView>
  </sheetViews>
  <sheetFormatPr defaultRowHeight="15" x14ac:dyDescent="0.25"/>
  <cols>
    <col min="2" max="2" width="7.28515625" customWidth="1"/>
    <col min="3" max="3" width="6.28515625" customWidth="1"/>
    <col min="4" max="5" width="6.7109375" customWidth="1"/>
    <col min="6" max="6" width="7" customWidth="1"/>
    <col min="8" max="8" width="7.42578125" bestFit="1" customWidth="1"/>
    <col min="9" max="9" width="7.42578125" customWidth="1"/>
    <col min="10" max="10" width="7.7109375" customWidth="1"/>
    <col min="11" max="11" width="7.5703125" customWidth="1"/>
    <col min="12" max="12" width="8.140625" customWidth="1"/>
    <col min="13" max="13" width="10.140625" customWidth="1"/>
    <col min="14" max="15" width="9.140625" style="56"/>
    <col min="16" max="16" width="76.140625" customWidth="1"/>
    <col min="17" max="43" width="0" hidden="1" customWidth="1"/>
  </cols>
  <sheetData>
    <row r="1" spans="1:38" ht="15.75" x14ac:dyDescent="0.25">
      <c r="A1" s="130" t="s">
        <v>131</v>
      </c>
      <c r="B1" s="131"/>
      <c r="C1" s="187" t="s">
        <v>297</v>
      </c>
      <c r="D1" s="188"/>
      <c r="E1" s="188"/>
      <c r="F1" s="188"/>
      <c r="G1" s="188"/>
      <c r="H1" s="189"/>
      <c r="I1" s="49" t="str">
        <f ca="1">IF(D14=100%,"All work Completed. Possession granted to the Building.",IF(D13=100%,"All work Completed, Waiting for OC",I2&amp;""&amp;I3&amp;""&amp;J2&amp;""&amp;J1&amp;" "&amp;J3))</f>
        <v xml:space="preserve">Excavation, Plinth, RCC Slab Completed </v>
      </c>
      <c r="J1" s="50" t="str">
        <f ca="1">(IF(C7=(D2+F2+H2),"",IF(C7&gt;0,", RCC upto "&amp;C7&amp;" Slab","")))&amp;(IF(C8=H2,"",IF(C8&gt;0,", Brickwork upto "&amp;C8&amp;" Floor","")))&amp;(IF(C9=H2,"",IF(C9&gt;0,", Internal Plaster upto "&amp;C9&amp;" Floor","")))&amp;(IF(C10=H2,"",IF(C10&gt;0,", External Plaster upto "&amp;C10&amp;" Floor","")))&amp;(IF(C11=H2,"",IF(C11&gt;0,", Flooring upto "&amp;C11&amp;" Floor","")))&amp;(IF(C12=H2,"",IF(C12&gt;0,", Painting upto "&amp;C12&amp;" Floor","")))&amp;(IF(C13=H2,"",IF(C13&gt;0,", Finishing upto "&amp;C13&amp;" Floor","")))&amp;(IF(C14=H2,"",IF(C14&gt;0,", Possession upto "&amp;C14&amp;" Floor","")))</f>
        <v/>
      </c>
      <c r="L1" s="39"/>
      <c r="M1" s="39"/>
      <c r="O1" s="73"/>
      <c r="P1" s="39"/>
      <c r="Q1" s="39"/>
      <c r="R1" s="39"/>
      <c r="S1" s="39"/>
      <c r="T1" s="74"/>
    </row>
    <row r="2" spans="1:38" ht="15.75" x14ac:dyDescent="0.25">
      <c r="A2" s="16" t="s">
        <v>133</v>
      </c>
      <c r="B2" s="14">
        <v>0</v>
      </c>
      <c r="C2" s="47" t="s">
        <v>66</v>
      </c>
      <c r="D2" s="47">
        <v>1</v>
      </c>
      <c r="E2" s="47" t="s">
        <v>65</v>
      </c>
      <c r="F2" s="14">
        <v>0</v>
      </c>
      <c r="G2" s="48" t="s">
        <v>73</v>
      </c>
      <c r="H2" s="17">
        <f ca="1">--TRIM(RIGHT(SUBSTITUTE(LEFT(C1,_xlfn.AGGREGATE(16,6,FIND({0,1,2,3,4,5,6,7,8,9},C1,ROW(INDIRECT("1:"&amp;LEN(C1)))),1))," ",REPT(" ",LEN(C1))),LEN(C1)))</f>
        <v>1</v>
      </c>
      <c r="I2" s="51" t="str">
        <f ca="1">IF(D5=100%,"Excavation","")&amp;IF(D6=100%,", Plinth","")&amp;IF(D7=100%,", RCC Slab","")&amp;IF(D8=100%,", Brickwork","")&amp;IF(D9=100%,", Internal Plaster","")&amp;IF(D10=100%,", External Plaster","")&amp;IF(D11=100%,", Flooring","")&amp;IF(D12=100%,", Painting","")&amp;IF(D13=100%,", Building common Amenities","")</f>
        <v>Excavation, Plinth, RCC Slab</v>
      </c>
      <c r="J2" s="52" t="str">
        <f ca="1">(IF(C5=0,"Work not yet Started.",IF(D5=25%,"Piling work in process",IF(D5=50%,"Excavation work in process",IF(D5=100%,"","0")))))&amp;(IF(C6=0%,"",IF(C6=J7,", Footing work is process",IF(C6=J8,", Footing work Completed",IF(C6=J9,", 1st Basement Completed",IF(C6=J10,", 1st &amp; 2nd Basement Completed",IF(C6=J11,", 1st to 3rd Basement Completed",IF(C6=J12,", 1st to 4th Basement Completed",IF(C6=J13,", Plinth work is process",IF(C6=J14,"","0"))))))))))</f>
        <v/>
      </c>
      <c r="L2" s="75"/>
      <c r="M2" s="76"/>
      <c r="N2" s="75"/>
      <c r="O2" s="75"/>
      <c r="P2" s="75"/>
      <c r="Q2" s="76"/>
      <c r="R2" s="77"/>
    </row>
    <row r="3" spans="1:38" ht="15.75" x14ac:dyDescent="0.25">
      <c r="A3" s="200" t="s">
        <v>83</v>
      </c>
      <c r="B3" s="201"/>
      <c r="C3" s="215" t="str">
        <f>(IF($G$99="NA",I1,"All work Completed. OC Received."))</f>
        <v>All work Completed. OC Received.</v>
      </c>
      <c r="D3" s="215"/>
      <c r="E3" s="215"/>
      <c r="F3" s="215"/>
      <c r="G3" s="215"/>
      <c r="H3" s="216"/>
      <c r="I3" s="51" t="str">
        <f ca="1">IF(I2&lt;&gt;""," Completed","")</f>
        <v xml:space="preserve"> Completed</v>
      </c>
      <c r="J3" s="52" t="str">
        <f ca="1">IF(J1&lt;&gt;"","Completed","")</f>
        <v/>
      </c>
      <c r="L3" s="78"/>
      <c r="M3" s="78"/>
      <c r="N3" s="79"/>
      <c r="O3" s="79"/>
      <c r="P3" s="80"/>
      <c r="Q3" s="80"/>
      <c r="R3" s="80"/>
      <c r="S3" s="80"/>
    </row>
    <row r="4" spans="1:38" ht="47.25" x14ac:dyDescent="0.25">
      <c r="A4" s="179" t="s">
        <v>47</v>
      </c>
      <c r="B4" s="180"/>
      <c r="C4" s="43" t="s">
        <v>130</v>
      </c>
      <c r="D4" s="43" t="s">
        <v>76</v>
      </c>
      <c r="E4" s="180" t="s">
        <v>78</v>
      </c>
      <c r="F4" s="180"/>
      <c r="G4" s="180" t="s">
        <v>77</v>
      </c>
      <c r="H4" s="199"/>
      <c r="I4" s="13" t="s">
        <v>132</v>
      </c>
      <c r="J4" s="28">
        <f ca="1">H2*25%</f>
        <v>0.25</v>
      </c>
      <c r="L4" s="81"/>
      <c r="M4" s="81"/>
      <c r="N4" s="82"/>
      <c r="O4" s="82"/>
      <c r="P4" s="81"/>
      <c r="Q4" s="81"/>
      <c r="R4" s="81"/>
      <c r="S4" s="81"/>
    </row>
    <row r="5" spans="1:38" ht="15.75" x14ac:dyDescent="0.25">
      <c r="A5" s="179" t="s">
        <v>119</v>
      </c>
      <c r="B5" s="180"/>
      <c r="C5" s="43">
        <f ca="1">J6</f>
        <v>1</v>
      </c>
      <c r="D5" s="19">
        <f ca="1">((100/H2)*C5)/100</f>
        <v>1</v>
      </c>
      <c r="E5" s="232">
        <f ca="1">(((C6/H2*10)+(40/(D2+F2+H2)*C7)+(7.5/(H2)*C8)+(7.5/(H2)*C9)+(10/H2*C10)+(10/H2*C11)+(5/H2*C12)+(5/H2*C13)+(5/H2*C14))/100)</f>
        <v>0.5</v>
      </c>
      <c r="F5" s="240"/>
      <c r="G5" s="232">
        <f ca="1">((((C5/H2)*20)+((C6/H2)*25)+(30/(H2+F2+D2)*C7)+(5/H2*C8)+(5/H2*C9)+(5/H2*C10)+(5/H2*C11)+(0/H2*C12)+(0/H2*C13)+(5/H2*C14))/100)</f>
        <v>0.75</v>
      </c>
      <c r="H5" s="233"/>
      <c r="I5" s="13" t="s">
        <v>92</v>
      </c>
      <c r="J5" s="29">
        <f ca="1">H2*50%</f>
        <v>0.5</v>
      </c>
      <c r="Q5" s="83"/>
      <c r="S5" s="83"/>
    </row>
    <row r="6" spans="1:38" ht="15.75" x14ac:dyDescent="0.25">
      <c r="A6" s="179" t="s">
        <v>48</v>
      </c>
      <c r="B6" s="180"/>
      <c r="C6" s="43">
        <f ca="1">J14</f>
        <v>1</v>
      </c>
      <c r="D6" s="19">
        <f ca="1">((100/H2)*C6)/100</f>
        <v>1</v>
      </c>
      <c r="E6" s="234"/>
      <c r="F6" s="241"/>
      <c r="G6" s="234"/>
      <c r="H6" s="235"/>
      <c r="I6" s="13" t="s">
        <v>93</v>
      </c>
      <c r="J6" s="29">
        <f ca="1">H2</f>
        <v>1</v>
      </c>
      <c r="M6" s="81"/>
      <c r="P6" s="83"/>
      <c r="Q6" s="83"/>
      <c r="R6" s="83"/>
      <c r="S6" s="83"/>
    </row>
    <row r="7" spans="1:38" ht="15.75" x14ac:dyDescent="0.25">
      <c r="A7" s="179" t="s">
        <v>120</v>
      </c>
      <c r="B7" s="180"/>
      <c r="C7" s="43">
        <f ca="1">D2+H2</f>
        <v>2</v>
      </c>
      <c r="D7" s="19">
        <f ca="1">((100/(D2+F2+H2))*C7)/100</f>
        <v>1</v>
      </c>
      <c r="E7" s="234"/>
      <c r="F7" s="241"/>
      <c r="G7" s="234"/>
      <c r="H7" s="235"/>
      <c r="I7" s="13" t="s">
        <v>94</v>
      </c>
      <c r="J7" s="30">
        <f ca="1">(IF(B2&gt;1,(H2/(B2+2)),H2/4))</f>
        <v>0.25</v>
      </c>
      <c r="M7" s="81"/>
      <c r="P7" s="83"/>
      <c r="Q7" s="83"/>
      <c r="R7" s="83"/>
      <c r="S7" s="83"/>
    </row>
    <row r="8" spans="1:38" ht="15.75" x14ac:dyDescent="0.25">
      <c r="A8" s="179" t="s">
        <v>127</v>
      </c>
      <c r="B8" s="180" t="s">
        <v>121</v>
      </c>
      <c r="C8" s="43">
        <v>0</v>
      </c>
      <c r="D8" s="19">
        <f ca="1">((100/H2)*C8)/100</f>
        <v>0</v>
      </c>
      <c r="E8" s="234"/>
      <c r="F8" s="241"/>
      <c r="G8" s="234"/>
      <c r="H8" s="235"/>
      <c r="I8" s="13" t="s">
        <v>95</v>
      </c>
      <c r="J8" s="30">
        <f ca="1">(IF(B2&gt;1,(H2/(B2+2)+J7),H2/4+J7))</f>
        <v>0.5</v>
      </c>
      <c r="M8" s="81"/>
      <c r="P8" s="83"/>
      <c r="Q8" s="83"/>
      <c r="R8" s="83"/>
      <c r="S8" s="83"/>
    </row>
    <row r="9" spans="1:38" ht="15.75" x14ac:dyDescent="0.25">
      <c r="A9" s="179" t="s">
        <v>128</v>
      </c>
      <c r="B9" s="180" t="s">
        <v>121</v>
      </c>
      <c r="C9" s="43">
        <v>0</v>
      </c>
      <c r="D9" s="19">
        <f ca="1">((100/H2)*C9)/100</f>
        <v>0</v>
      </c>
      <c r="E9" s="234"/>
      <c r="F9" s="241"/>
      <c r="G9" s="234"/>
      <c r="H9" s="235"/>
      <c r="I9" s="13" t="s">
        <v>137</v>
      </c>
      <c r="J9" s="30">
        <f>(IF(B2&gt;1,(H2/(B2+2)+J8),0))</f>
        <v>0</v>
      </c>
      <c r="M9" s="81"/>
      <c r="P9" s="83"/>
      <c r="Q9" s="83"/>
      <c r="R9" s="83"/>
      <c r="S9" s="83"/>
    </row>
    <row r="10" spans="1:38" ht="15.75" x14ac:dyDescent="0.25">
      <c r="A10" s="179" t="s">
        <v>126</v>
      </c>
      <c r="B10" s="180" t="s">
        <v>123</v>
      </c>
      <c r="C10" s="43">
        <v>0</v>
      </c>
      <c r="D10" s="19">
        <f ca="1">((100/(H2))*C10)/100</f>
        <v>0</v>
      </c>
      <c r="E10" s="234"/>
      <c r="F10" s="241"/>
      <c r="G10" s="234"/>
      <c r="H10" s="235"/>
      <c r="I10" s="13" t="s">
        <v>134</v>
      </c>
      <c r="J10" s="30">
        <f>(IF(B2&gt;2,(H2/(B2+2)+J9),0))</f>
        <v>0</v>
      </c>
      <c r="M10" s="81"/>
      <c r="P10" s="83"/>
      <c r="Q10" s="83"/>
      <c r="R10" s="83"/>
      <c r="S10" s="83"/>
    </row>
    <row r="11" spans="1:38" ht="15.75" x14ac:dyDescent="0.25">
      <c r="A11" s="179" t="s">
        <v>122</v>
      </c>
      <c r="B11" s="180" t="s">
        <v>122</v>
      </c>
      <c r="C11" s="43">
        <v>0</v>
      </c>
      <c r="D11" s="19">
        <f ca="1">((100/H2)*C11)/100</f>
        <v>0</v>
      </c>
      <c r="E11" s="234"/>
      <c r="F11" s="241"/>
      <c r="G11" s="234"/>
      <c r="H11" s="235"/>
      <c r="I11" s="13" t="s">
        <v>135</v>
      </c>
      <c r="J11" s="31">
        <f>(IF(B2&gt;3,(H2/(B2+2)+J10),0))</f>
        <v>0</v>
      </c>
      <c r="M11" s="81"/>
      <c r="P11" s="83"/>
      <c r="Q11" s="83"/>
      <c r="R11" s="83"/>
      <c r="S11" s="83"/>
    </row>
    <row r="12" spans="1:38" ht="15.75" x14ac:dyDescent="0.25">
      <c r="A12" s="179" t="s">
        <v>129</v>
      </c>
      <c r="B12" s="180"/>
      <c r="C12" s="43">
        <v>0</v>
      </c>
      <c r="D12" s="19">
        <f ca="1">((100/H2)*C12)/100</f>
        <v>0</v>
      </c>
      <c r="E12" s="234"/>
      <c r="F12" s="241"/>
      <c r="G12" s="234"/>
      <c r="H12" s="235"/>
      <c r="I12" s="13" t="s">
        <v>136</v>
      </c>
      <c r="J12" s="30">
        <f>(IF(B2&gt;4,(H2/(B2+2)+J11),0))</f>
        <v>0</v>
      </c>
      <c r="M12" s="81"/>
      <c r="P12" s="83"/>
      <c r="Q12" s="83"/>
      <c r="R12" s="83"/>
      <c r="S12" s="83"/>
    </row>
    <row r="13" spans="1:38" ht="15.75" x14ac:dyDescent="0.25">
      <c r="A13" s="179" t="s">
        <v>124</v>
      </c>
      <c r="B13" s="180" t="s">
        <v>124</v>
      </c>
      <c r="C13" s="43">
        <v>0</v>
      </c>
      <c r="D13" s="19">
        <f ca="1">((100/(H2))*C13)/100</f>
        <v>0</v>
      </c>
      <c r="E13" s="234"/>
      <c r="F13" s="241"/>
      <c r="G13" s="234"/>
      <c r="H13" s="235"/>
      <c r="I13" s="13" t="s">
        <v>138</v>
      </c>
      <c r="J13" s="30">
        <f ca="1">(IF(B2=1,(H2/(B2+3)+J8),IF(B2=0,(H2/4+J8),IF(B2&gt;1,0))))</f>
        <v>0.75</v>
      </c>
      <c r="M13" s="81"/>
      <c r="P13" s="83"/>
      <c r="Q13" s="83"/>
      <c r="R13" s="83"/>
      <c r="S13" s="83"/>
    </row>
    <row r="14" spans="1:38" ht="16.5" thickBot="1" x14ac:dyDescent="0.3">
      <c r="A14" s="181" t="s">
        <v>125</v>
      </c>
      <c r="B14" s="182"/>
      <c r="C14" s="44">
        <v>0</v>
      </c>
      <c r="D14" s="20">
        <f ca="1">((100/(H2))*C14)/100</f>
        <v>0</v>
      </c>
      <c r="E14" s="236"/>
      <c r="F14" s="242"/>
      <c r="G14" s="236"/>
      <c r="H14" s="237"/>
      <c r="I14" s="15" t="s">
        <v>96</v>
      </c>
      <c r="J14" s="32">
        <f ca="1">(IF(B2&gt;1.5,(H2/(B2+2)+J8+MAX(0,J9-J8)+MAX(0,J10-J9)+MAX(0,J11-J10)+MAX(0,J12-J11)+MAX(0,J13-J12)),IF(B2=1,(H2/(B2+3)+J13),IF(B2=0,H2/4+J13))))</f>
        <v>1</v>
      </c>
      <c r="M14" s="81"/>
      <c r="P14" s="83"/>
      <c r="Q14" s="83"/>
      <c r="R14" s="83"/>
      <c r="S14" s="83"/>
    </row>
    <row r="16" spans="1:38" ht="63" x14ac:dyDescent="0.25">
      <c r="A16" s="84" t="s">
        <v>298</v>
      </c>
      <c r="B16" s="260" t="s">
        <v>299</v>
      </c>
      <c r="C16" s="261"/>
      <c r="D16" s="84" t="s">
        <v>119</v>
      </c>
      <c r="E16" s="84" t="s">
        <v>48</v>
      </c>
      <c r="F16" s="84" t="s">
        <v>300</v>
      </c>
      <c r="G16" s="84" t="s">
        <v>301</v>
      </c>
      <c r="H16" s="84" t="s">
        <v>128</v>
      </c>
      <c r="I16" s="84" t="s">
        <v>302</v>
      </c>
      <c r="J16" s="84" t="s">
        <v>303</v>
      </c>
      <c r="K16" s="84" t="s">
        <v>304</v>
      </c>
      <c r="L16" s="84" t="s">
        <v>305</v>
      </c>
      <c r="M16" s="84" t="s">
        <v>125</v>
      </c>
      <c r="N16" s="84" t="s">
        <v>78</v>
      </c>
      <c r="O16" s="84" t="s">
        <v>77</v>
      </c>
      <c r="P16" s="85" t="s">
        <v>83</v>
      </c>
      <c r="Q16" s="86" t="s">
        <v>119</v>
      </c>
      <c r="R16" s="86" t="s">
        <v>48</v>
      </c>
      <c r="S16" s="86" t="s">
        <v>120</v>
      </c>
      <c r="T16" s="87" t="s">
        <v>127</v>
      </c>
      <c r="U16" s="88" t="s">
        <v>128</v>
      </c>
      <c r="V16" s="88" t="s">
        <v>126</v>
      </c>
      <c r="W16" s="88" t="s">
        <v>122</v>
      </c>
      <c r="X16" s="88" t="s">
        <v>129</v>
      </c>
      <c r="Y16" s="88" t="s">
        <v>124</v>
      </c>
      <c r="Z16" s="88" t="s">
        <v>125</v>
      </c>
      <c r="AA16" s="88" t="s">
        <v>132</v>
      </c>
      <c r="AB16" s="88" t="s">
        <v>92</v>
      </c>
      <c r="AC16" s="88" t="s">
        <v>93</v>
      </c>
      <c r="AD16" s="88" t="s">
        <v>94</v>
      </c>
      <c r="AE16" s="88" t="s">
        <v>95</v>
      </c>
      <c r="AF16" s="88" t="s">
        <v>137</v>
      </c>
      <c r="AG16" s="88" t="s">
        <v>134</v>
      </c>
      <c r="AH16" s="88" t="s">
        <v>135</v>
      </c>
      <c r="AI16" s="88" t="s">
        <v>136</v>
      </c>
      <c r="AJ16" s="88" t="s">
        <v>138</v>
      </c>
      <c r="AK16" s="88" t="s">
        <v>96</v>
      </c>
      <c r="AL16" s="88"/>
    </row>
    <row r="17" spans="1:43" ht="15.75" hidden="1" x14ac:dyDescent="0.25">
      <c r="A17" s="89">
        <v>1</v>
      </c>
      <c r="B17" s="18" t="s">
        <v>297</v>
      </c>
      <c r="C17" s="47">
        <f ca="1">--TRIM(RIGHT(SUBSTITUTE(LEFT(B17,_xlfn.AGGREGATE(16,6,FIND({0,1,2,3,4,5,6,7,8,9},B17,ROW(INDIRECT("1:"&amp;LEN(B17)))),1))," ",REPT(" ",LEN(B17))),LEN(B17)))</f>
        <v>1</v>
      </c>
      <c r="D17" s="43">
        <v>1</v>
      </c>
      <c r="E17" s="43">
        <v>1</v>
      </c>
      <c r="F17" s="43">
        <v>2</v>
      </c>
      <c r="G17" s="43">
        <v>1</v>
      </c>
      <c r="H17" s="43">
        <v>1</v>
      </c>
      <c r="I17" s="43">
        <v>1</v>
      </c>
      <c r="J17" s="43">
        <v>1</v>
      </c>
      <c r="K17" s="43">
        <v>1</v>
      </c>
      <c r="L17" s="43">
        <v>1</v>
      </c>
      <c r="M17" s="43">
        <v>1</v>
      </c>
      <c r="N17" s="90">
        <f ca="1">(((E17/C17*10)+(40/(1+C17)*F17)+(7.5/(C17)*G17)+(7.5/(C17)*H17)+(10/C17*I17)+(10/C17*J17)+(5/C17*K17)+(5/C17*L17)+(5/C17*M17))/100)</f>
        <v>1</v>
      </c>
      <c r="O17" s="90">
        <f ca="1">((((D17/C17)*20)+((E17/C17)*25)+(30/(C17+1)*F17)+(5/C17*G17)+(5/C17*H17)+(5/C17*I17)+(5/C17*J17)+(0/C17*K17)+(0/C17*L17)+(5/C17*M17))/100)</f>
        <v>1</v>
      </c>
      <c r="P17" s="91" t="str">
        <f ca="1">IF(Z17=100%,"All work Completed. Possession granted to the Building.",IF(Y17=100%,"All work Completed, Waiting for OC",AO17&amp;""&amp;AP17&amp;""&amp;AM17&amp;""&amp;AN17&amp;" "&amp;AQ17))</f>
        <v>All work Completed. Possession granted to the Building.</v>
      </c>
      <c r="Q17" s="19">
        <f ca="1">((100/C17)*D17)/100</f>
        <v>1</v>
      </c>
      <c r="R17" s="19">
        <f ca="1">((100/C17)*E17)/100</f>
        <v>1</v>
      </c>
      <c r="S17" s="19">
        <f ca="1">((100/(1+C17))*F17)/100</f>
        <v>1</v>
      </c>
      <c r="T17" s="19">
        <f ca="1">((100/C17)*G17)/100</f>
        <v>1</v>
      </c>
      <c r="U17" s="19">
        <f ca="1">((100/C17)*H17)/100</f>
        <v>1</v>
      </c>
      <c r="V17" s="19">
        <f ca="1">((100/(C17))*I17)/100</f>
        <v>1</v>
      </c>
      <c r="W17" s="19">
        <f ca="1">((100/C17)*J17)/100</f>
        <v>1</v>
      </c>
      <c r="X17" s="19">
        <f ca="1">((100/C17)*K17)/100</f>
        <v>1</v>
      </c>
      <c r="Y17" s="19">
        <f ca="1">((100/(C17))*L17)/100</f>
        <v>1</v>
      </c>
      <c r="Z17" s="19">
        <f ca="1">((100/(C17))*M17)/100</f>
        <v>1</v>
      </c>
      <c r="AA17" s="92">
        <f ca="1">C17*25%</f>
        <v>0.25</v>
      </c>
      <c r="AB17" s="93">
        <f ca="1">C17*50%</f>
        <v>0.5</v>
      </c>
      <c r="AC17" s="93">
        <f ca="1">C17</f>
        <v>1</v>
      </c>
      <c r="AD17" s="94">
        <f ca="1">(IF(M2&gt;1,(C17/(M2+2)),C17/4))</f>
        <v>0.25</v>
      </c>
      <c r="AE17" s="94">
        <f ca="1">(IF(M2&gt;1,(C17/(M2+2)+AD17),C17/4+AD17))</f>
        <v>0.5</v>
      </c>
      <c r="AF17" s="94">
        <f>(IF(M2&gt;1,(C17/(M2+2)+AE17),0))</f>
        <v>0</v>
      </c>
      <c r="AG17" s="94">
        <f>(IF(M2&gt;2,(C17/(M2+2)+AF17),0))</f>
        <v>0</v>
      </c>
      <c r="AH17" s="95">
        <f>(IF(M2&gt;3,(C17/(M2+2)+AG17),0))</f>
        <v>0</v>
      </c>
      <c r="AI17" s="94">
        <f>(IF(M2&gt;4,(C17/(M2+2)+AH17),0))</f>
        <v>0</v>
      </c>
      <c r="AJ17" s="94">
        <f ca="1">(IF(M2=1,(C17/(M2+3)+AE17),IF(M2=0,(C17/4+AE17),IF(M2&gt;1,0))))</f>
        <v>0.75</v>
      </c>
      <c r="AK17" s="94">
        <f ca="1">(IF(M2&gt;1.5,(C17/(M2+2)+AE17+MAX(0,AF17-AE17)+MAX(0,AG17-AF17)+MAX(0,AH17-AG17)+MAX(0,AI17-AH17)+MAX(0,AJ17-AI17)),IF(M2=1,(C17/(M2+3)+AJ17),IF(M2=0,C17/4+AJ17))))</f>
        <v>1</v>
      </c>
      <c r="AL17" s="96" t="str">
        <f t="shared" ref="AL17:AL30" si="0">(IF(W83=(1+T83),"",IF(W83&gt;0,", RCC upto "&amp;W83&amp;" Slab","")))&amp;(IF(X83=T83,"",IF(X83&gt;0,", Brickwork upto "&amp;X83&amp;" Floor","")))&amp;(IF(Y83=T83,"",IF(Y83&gt;0,", Internal Plaster upto "&amp;Y83&amp;" Floor","")))&amp;(IF(Z83=T83,"",IF(Z83&gt;0,", External Plaster upto "&amp;Z83&amp;" Floor","")))&amp;(IF(AA83=T83,"",IF(AA83&gt;0,", Flooring upto "&amp;AA83&amp;" Floor","")))&amp;(IF(AB83=T83,"",IF(AB83&gt;0,", Painting upto "&amp;AB83&amp;" Floor","")))&amp;(IF(AC83=T83,"",IF(AC83&gt;0,", Finishing upto "&amp;AC83&amp;" Floor","")))&amp;(IF(AD83=T83,"",IF(AD83&gt;0,", Possession upto "&amp;AD83&amp;" Floor","")))</f>
        <v/>
      </c>
      <c r="AM17" s="96" t="str">
        <f ca="1">(IF(D17=0,"Work not yet Started.",IF(Q17=25%,"Piling work in process",IF(Q17=50%,"Excavation work in process",IF(Q17=100%,"","0")))))&amp;(IF(E17=0%,"",IF(E17=AD17,", Footing work is process",IF(E17=AE17,", Footing work Completed",IF(E17=AF17,", 1st Basement Completed",IF(E17=AG17,", 1st &amp; 2nd Basement Completed",IF(E17=AH17,", 1st to 3rd Basement Completed",IF(E17=AI17,", 1st to 4th Basement Completed",IF(E17=AJ17,", Plinth work is process",IF(E17=AK17,"","0"))))))))))</f>
        <v/>
      </c>
      <c r="AN17" s="96" t="str">
        <f ca="1">(IF(F17=(1+C17),"",IF(F17&gt;0,", RCC upto "&amp;F17&amp;" Slab","")))&amp;(IF(G17=C17,"",IF(G17&gt;0,", Brickwork upto "&amp;G17&amp;" Floor","")))&amp;(IF(H17=C17,"",IF(H17&gt;0,", Internal Plaster upto "&amp;H17&amp;" Floor","")))&amp;(IF(I17=C17,"",IF(I17&gt;0,", External Plaster upto "&amp;I17&amp;" Floor","")))&amp;(IF(J17=C17,"",IF(J17&gt;0,", Flooring upto "&amp;J17&amp;" Floor","")))&amp;(IF(K17=C17,"",IF(K17&gt;0,", Painting upto "&amp;K17&amp;" Floor","")))&amp;(IF(L17=C17,"",IF(L17&gt;0,", Finishing upto "&amp;L17&amp;" Floor","")))&amp;(IF(M17=C17,"",IF(M17&gt;0,", Possession upto "&amp;M17&amp;" Floor","")))</f>
        <v/>
      </c>
      <c r="AO17" s="96" t="str">
        <f ca="1">IF(Q17=100%,"Excavation","")&amp;IF(R17=100%,", Plinth","")&amp;IF(S17=100%,", RCC Slab","")&amp;IF(T17=100%,", Brickwork","")&amp;IF(U17=100%,", Internal Plaster","")&amp;IF(V17=100%,", External Plaster","")&amp;IF(W17=100%,", Flooring","")&amp;IF(X17=100%,", Painting","")&amp;IF(Y17=100%,", Building common Amenities","")</f>
        <v>Excavation, Plinth, RCC Slab, Brickwork, Internal Plaster, External Plaster, Flooring, Painting, Building common Amenities</v>
      </c>
      <c r="AP17" s="96" t="str">
        <f ca="1">IF(AO17&lt;&gt;""," Completed","")</f>
        <v xml:space="preserve"> Completed</v>
      </c>
      <c r="AQ17" s="96" t="str">
        <f ca="1">IF(AN17&lt;&gt;"","Completed","")</f>
        <v/>
      </c>
    </row>
    <row r="18" spans="1:43" ht="15.75" hidden="1" x14ac:dyDescent="0.25">
      <c r="A18" s="89">
        <v>2</v>
      </c>
      <c r="B18" s="18" t="s">
        <v>297</v>
      </c>
      <c r="C18" s="47">
        <f ca="1">--TRIM(RIGHT(SUBSTITUTE(LEFT(B18,_xlfn.AGGREGATE(16,6,FIND({0,1,2,3,4,5,6,7,8,9},B18,ROW(INDIRECT("1:"&amp;LEN(B18)))),1))," ",REPT(" ",LEN(B18))),LEN(B18)))</f>
        <v>1</v>
      </c>
      <c r="D18" s="43">
        <v>1</v>
      </c>
      <c r="E18" s="43">
        <v>1</v>
      </c>
      <c r="F18" s="43">
        <v>2</v>
      </c>
      <c r="G18" s="43">
        <v>1</v>
      </c>
      <c r="H18" s="43">
        <v>1</v>
      </c>
      <c r="I18" s="43">
        <v>1</v>
      </c>
      <c r="J18" s="43">
        <v>0</v>
      </c>
      <c r="K18" s="43">
        <v>0</v>
      </c>
      <c r="L18" s="43">
        <v>0</v>
      </c>
      <c r="M18" s="43">
        <v>0</v>
      </c>
      <c r="N18" s="90">
        <f t="shared" ref="N18:N38" ca="1" si="1">(((E18/C18*10)+(40/(1+C18)*F18)+(7.5/(C18)*G18)+(7.5/(C18)*H18)+(10/C18*I18)+(10/C18*J18)+(5/C18*K18)+(5/C18*L18)+(5/C18*M18))/100)</f>
        <v>0.75</v>
      </c>
      <c r="O18" s="90">
        <f t="shared" ref="O18:O38" ca="1" si="2">((((D18/C18)*20)+((E18/C18)*25)+(30/(C18+1)*F18)+(5/C18*G18)+(5/C18*H18)+(5/C18*I18)+(5/C18*J18)+(0/C18*K18)+(0/C18*L18)+(5/C18*M18))/100)</f>
        <v>0.9</v>
      </c>
      <c r="P18" s="91" t="str">
        <f t="shared" ref="P18:P38" ca="1" si="3">IF(Z18=100%,"All work Completed. Possession granted to the Building.",IF(Y18=100%,"All work Completed, Waiting for OC",AO18&amp;""&amp;AP18&amp;""&amp;AM18&amp;""&amp;AN18&amp;" "&amp;AQ18))</f>
        <v xml:space="preserve">Excavation, Plinth, RCC Slab, Brickwork, Internal Plaster, External Plaster Completed </v>
      </c>
      <c r="Q18" s="19">
        <f t="shared" ref="Q18:Q69" ca="1" si="4">((100/C18)*D18)/100</f>
        <v>1</v>
      </c>
      <c r="R18" s="19">
        <f t="shared" ref="R18:R69" ca="1" si="5">((100/C18)*E18)/100</f>
        <v>1</v>
      </c>
      <c r="S18" s="19">
        <f t="shared" ref="S18:S69" ca="1" si="6">((100/(1+C18))*F18)/100</f>
        <v>1</v>
      </c>
      <c r="T18" s="19">
        <f t="shared" ref="T18:T69" ca="1" si="7">((100/C18)*G18)/100</f>
        <v>1</v>
      </c>
      <c r="U18" s="19">
        <f t="shared" ref="U18:U69" ca="1" si="8">((100/C18)*H18)/100</f>
        <v>1</v>
      </c>
      <c r="V18" s="19">
        <f t="shared" ref="V18:V69" ca="1" si="9">((100/(C18))*I18)/100</f>
        <v>1</v>
      </c>
      <c r="W18" s="19">
        <f t="shared" ref="W18:W69" ca="1" si="10">((100/C18)*J18)/100</f>
        <v>0</v>
      </c>
      <c r="X18" s="19">
        <f t="shared" ref="X18:X69" ca="1" si="11">((100/C18)*K18)/100</f>
        <v>0</v>
      </c>
      <c r="Y18" s="19">
        <f t="shared" ref="Y18:Y69" ca="1" si="12">((100/(C18))*L18)/100</f>
        <v>0</v>
      </c>
      <c r="Z18" s="19">
        <f t="shared" ref="Z18:Z69" ca="1" si="13">((100/(C18))*M18)/100</f>
        <v>0</v>
      </c>
      <c r="AA18" s="92">
        <f t="shared" ref="AA18:AA69" ca="1" si="14">C18*25%</f>
        <v>0.25</v>
      </c>
      <c r="AB18" s="93">
        <f t="shared" ref="AB18:AB69" ca="1" si="15">C18*50%</f>
        <v>0.5</v>
      </c>
      <c r="AC18" s="93">
        <f t="shared" ref="AC18:AC69" ca="1" si="16">C18</f>
        <v>1</v>
      </c>
      <c r="AD18" s="94">
        <f t="shared" ref="AD18:AD30" ca="1" si="17">(IF(M3&gt;1,(C18/(M3+2)),C18/4))</f>
        <v>0.25</v>
      </c>
      <c r="AE18" s="94">
        <f t="shared" ref="AE18:AE30" ca="1" si="18">(IF(M3&gt;1,(C18/(M3+2)+AD18),C18/4+AD18))</f>
        <v>0.5</v>
      </c>
      <c r="AF18" s="94">
        <f t="shared" ref="AF18:AF30" si="19">(IF(M3&gt;1,(C18/(M3+2)+AE18),0))</f>
        <v>0</v>
      </c>
      <c r="AG18" s="94">
        <f t="shared" ref="AG18:AG30" si="20">(IF(M3&gt;2,(C18/(M3+2)+AF18),0))</f>
        <v>0</v>
      </c>
      <c r="AH18" s="95">
        <f t="shared" ref="AH18:AH30" si="21">(IF(M3&gt;3,(C18/(M3+2)+AG18),0))</f>
        <v>0</v>
      </c>
      <c r="AI18" s="94">
        <f t="shared" ref="AI18:AI30" si="22">(IF(M3&gt;4,(C18/(M3+2)+AH18),0))</f>
        <v>0</v>
      </c>
      <c r="AJ18" s="94">
        <f t="shared" ref="AJ18:AJ30" ca="1" si="23">(IF(M3=1,(C18/(M3+3)+AE18),IF(M3=0,(C18/4+AE18),IF(M3&gt;1,0))))</f>
        <v>0.75</v>
      </c>
      <c r="AK18" s="94">
        <f t="shared" ref="AK18:AK30" ca="1" si="24">(IF(M3&gt;1.5,(C18/(M3+2)+AE18+MAX(0,AF18-AE18)+MAX(0,AG18-AF18)+MAX(0,AH18-AG18)+MAX(0,AI18-AH18)+MAX(0,AJ18-AI18)),IF(M3=1,(C18/(M3+3)+AJ18),IF(M3=0,C18/4+AJ18))))</f>
        <v>1</v>
      </c>
      <c r="AL18" s="96" t="str">
        <f t="shared" si="0"/>
        <v/>
      </c>
      <c r="AM18" s="96" t="str">
        <f t="shared" ref="AM18:AM69" ca="1" si="25">(IF(D18=0,"Work not yet Started.",IF(Q18=25%,"Piling work in process",IF(Q18=50%,"Excavation work in process",IF(Q18=100%,"","0")))))&amp;(IF(E18=0%,"",IF(E18=AD18,", Footing work is process",IF(E18=AE18,", Footing work Completed",IF(E18=AF18,", 1st Basement Completed",IF(E18=AG18,", 1st &amp; 2nd Basement Completed",IF(E18=AH18,", 1st to 3rd Basement Completed",IF(E18=AI18,", 1st to 4th Basement Completed",IF(E18=AJ18,", Plinth work is process",IF(E18=AK18,"","0"))))))))))</f>
        <v/>
      </c>
      <c r="AN18" s="96" t="str">
        <f t="shared" ref="AN18:AN69" ca="1" si="26">(IF(F18=(1+C18),"",IF(F18&gt;0,", RCC upto "&amp;F18&amp;" Slab","")))&amp;(IF(G18=C18,"",IF(G18&gt;0,", Brickwork upto "&amp;G18&amp;" Floor","")))&amp;(IF(H18=C18,"",IF(H18&gt;0,", Internal Plaster upto "&amp;H18&amp;" Floor","")))&amp;(IF(I18=C18,"",IF(I18&gt;0,", External Plaster upto "&amp;I18&amp;" Floor","")))&amp;(IF(J18=C18,"",IF(J18&gt;0,", Flooring upto "&amp;J18&amp;" Floor","")))&amp;(IF(K18=C18,"",IF(K18&gt;0,", Painting upto "&amp;K18&amp;" Floor","")))&amp;(IF(L18=C18,"",IF(L18&gt;0,", Finishing upto "&amp;L18&amp;" Floor","")))&amp;(IF(M18=C18,"",IF(M18&gt;0,", Possession upto "&amp;M18&amp;" Floor","")))</f>
        <v/>
      </c>
      <c r="AO18" s="96" t="str">
        <f t="shared" ref="AO18:AO69" ca="1" si="27">IF(Q18=100%,"Excavation","")&amp;IF(R18=100%,", Plinth","")&amp;IF(S18=100%,", RCC Slab","")&amp;IF(T18=100%,", Brickwork","")&amp;IF(U18=100%,", Internal Plaster","")&amp;IF(V18=100%,", External Plaster","")&amp;IF(W18=100%,", Flooring","")&amp;IF(X18=100%,", Painting","")&amp;IF(Y18=100%,", Building common Amenities","")</f>
        <v>Excavation, Plinth, RCC Slab, Brickwork, Internal Plaster, External Plaster</v>
      </c>
      <c r="AP18" s="96" t="str">
        <f t="shared" ref="AP18:AP69" ca="1" si="28">IF(AO18&lt;&gt;""," Completed","")</f>
        <v xml:space="preserve"> Completed</v>
      </c>
      <c r="AQ18" s="96" t="str">
        <f t="shared" ref="AQ18:AQ69" ca="1" si="29">IF(AN18&lt;&gt;"","Completed","")</f>
        <v/>
      </c>
    </row>
    <row r="19" spans="1:43" ht="15.75" x14ac:dyDescent="0.25">
      <c r="A19" s="89">
        <v>1</v>
      </c>
      <c r="B19" s="18" t="s">
        <v>297</v>
      </c>
      <c r="C19" s="47">
        <f ca="1">--TRIM(RIGHT(SUBSTITUTE(LEFT(B19,_xlfn.AGGREGATE(16,6,FIND({0,1,2,3,4,5,6,7,8,9},B19,ROW(INDIRECT("1:"&amp;LEN(B19)))),1))," ",REPT(" ",LEN(B19))),LEN(B19)))</f>
        <v>1</v>
      </c>
      <c r="D19" s="43">
        <v>0</v>
      </c>
      <c r="E19" s="43">
        <v>0</v>
      </c>
      <c r="F19" s="43">
        <v>0</v>
      </c>
      <c r="G19" s="43">
        <v>0</v>
      </c>
      <c r="H19" s="43">
        <v>0</v>
      </c>
      <c r="I19" s="43">
        <v>0</v>
      </c>
      <c r="J19" s="43">
        <v>0</v>
      </c>
      <c r="K19" s="43">
        <v>0</v>
      </c>
      <c r="L19" s="43">
        <v>0</v>
      </c>
      <c r="M19" s="43">
        <v>0</v>
      </c>
      <c r="N19" s="90">
        <f t="shared" ca="1" si="1"/>
        <v>0</v>
      </c>
      <c r="O19" s="90">
        <f t="shared" ca="1" si="2"/>
        <v>0</v>
      </c>
      <c r="P19" s="103" t="str">
        <f t="shared" ca="1" si="3"/>
        <v xml:space="preserve">Work not yet Started. </v>
      </c>
      <c r="Q19" s="19">
        <f t="shared" ca="1" si="4"/>
        <v>0</v>
      </c>
      <c r="R19" s="19">
        <f t="shared" ca="1" si="5"/>
        <v>0</v>
      </c>
      <c r="S19" s="19">
        <f t="shared" ca="1" si="6"/>
        <v>0</v>
      </c>
      <c r="T19" s="19">
        <f t="shared" ca="1" si="7"/>
        <v>0</v>
      </c>
      <c r="U19" s="19">
        <f t="shared" ca="1" si="8"/>
        <v>0</v>
      </c>
      <c r="V19" s="19">
        <f t="shared" ca="1" si="9"/>
        <v>0</v>
      </c>
      <c r="W19" s="19">
        <f t="shared" ca="1" si="10"/>
        <v>0</v>
      </c>
      <c r="X19" s="19">
        <f t="shared" ca="1" si="11"/>
        <v>0</v>
      </c>
      <c r="Y19" s="19">
        <f t="shared" ca="1" si="12"/>
        <v>0</v>
      </c>
      <c r="Z19" s="19">
        <f t="shared" ca="1" si="13"/>
        <v>0</v>
      </c>
      <c r="AA19" s="92">
        <f t="shared" ca="1" si="14"/>
        <v>0.25</v>
      </c>
      <c r="AB19" s="93">
        <f t="shared" ca="1" si="15"/>
        <v>0.5</v>
      </c>
      <c r="AC19" s="93">
        <f t="shared" ca="1" si="16"/>
        <v>1</v>
      </c>
      <c r="AD19" s="94">
        <f t="shared" ca="1" si="17"/>
        <v>0.25</v>
      </c>
      <c r="AE19" s="94">
        <f t="shared" ca="1" si="18"/>
        <v>0.5</v>
      </c>
      <c r="AF19" s="94">
        <f t="shared" si="19"/>
        <v>0</v>
      </c>
      <c r="AG19" s="94">
        <f t="shared" si="20"/>
        <v>0</v>
      </c>
      <c r="AH19" s="95">
        <f t="shared" si="21"/>
        <v>0</v>
      </c>
      <c r="AI19" s="94">
        <f t="shared" si="22"/>
        <v>0</v>
      </c>
      <c r="AJ19" s="94">
        <f t="shared" ca="1" si="23"/>
        <v>0.75</v>
      </c>
      <c r="AK19" s="94">
        <f t="shared" ca="1" si="24"/>
        <v>1</v>
      </c>
      <c r="AL19" s="96" t="str">
        <f t="shared" si="0"/>
        <v/>
      </c>
      <c r="AM19" s="96" t="str">
        <f t="shared" si="25"/>
        <v>Work not yet Started.</v>
      </c>
      <c r="AN19" s="96" t="str">
        <f t="shared" ca="1" si="26"/>
        <v/>
      </c>
      <c r="AO19" s="96" t="str">
        <f t="shared" ca="1" si="27"/>
        <v/>
      </c>
      <c r="AP19" s="96" t="str">
        <f t="shared" ca="1" si="28"/>
        <v/>
      </c>
      <c r="AQ19" s="96" t="str">
        <f t="shared" ca="1" si="29"/>
        <v/>
      </c>
    </row>
    <row r="20" spans="1:43" ht="15.75" x14ac:dyDescent="0.25">
      <c r="A20" s="89">
        <v>2</v>
      </c>
      <c r="B20" s="18" t="s">
        <v>297</v>
      </c>
      <c r="C20" s="47">
        <f ca="1">--TRIM(RIGHT(SUBSTITUTE(LEFT(B20,_xlfn.AGGREGATE(16,6,FIND({0,1,2,3,4,5,6,7,8,9},B20,ROW(INDIRECT("1:"&amp;LEN(B20)))),1))," ",REPT(" ",LEN(B20))),LEN(B20)))</f>
        <v>1</v>
      </c>
      <c r="D20" s="43">
        <v>0</v>
      </c>
      <c r="E20" s="43">
        <v>0</v>
      </c>
      <c r="F20" s="43">
        <v>0</v>
      </c>
      <c r="G20" s="43">
        <v>0</v>
      </c>
      <c r="H20" s="43">
        <v>0</v>
      </c>
      <c r="I20" s="43">
        <v>0</v>
      </c>
      <c r="J20" s="43">
        <v>0</v>
      </c>
      <c r="K20" s="43">
        <v>0</v>
      </c>
      <c r="L20" s="43">
        <v>0</v>
      </c>
      <c r="M20" s="43">
        <v>0</v>
      </c>
      <c r="N20" s="90">
        <f t="shared" ca="1" si="1"/>
        <v>0</v>
      </c>
      <c r="O20" s="90">
        <f t="shared" ca="1" si="2"/>
        <v>0</v>
      </c>
      <c r="P20" s="103" t="str">
        <f t="shared" ca="1" si="3"/>
        <v xml:space="preserve">Work not yet Started. </v>
      </c>
      <c r="Q20" s="19">
        <f t="shared" ca="1" si="4"/>
        <v>0</v>
      </c>
      <c r="R20" s="19">
        <f t="shared" ca="1" si="5"/>
        <v>0</v>
      </c>
      <c r="S20" s="19">
        <f t="shared" ca="1" si="6"/>
        <v>0</v>
      </c>
      <c r="T20" s="19">
        <f t="shared" ca="1" si="7"/>
        <v>0</v>
      </c>
      <c r="U20" s="19">
        <f t="shared" ca="1" si="8"/>
        <v>0</v>
      </c>
      <c r="V20" s="19">
        <f t="shared" ca="1" si="9"/>
        <v>0</v>
      </c>
      <c r="W20" s="19">
        <f t="shared" ca="1" si="10"/>
        <v>0</v>
      </c>
      <c r="X20" s="19">
        <f t="shared" ca="1" si="11"/>
        <v>0</v>
      </c>
      <c r="Y20" s="19">
        <f t="shared" ca="1" si="12"/>
        <v>0</v>
      </c>
      <c r="Z20" s="19">
        <f t="shared" ca="1" si="13"/>
        <v>0</v>
      </c>
      <c r="AA20" s="92">
        <f t="shared" ca="1" si="14"/>
        <v>0.25</v>
      </c>
      <c r="AB20" s="93">
        <f t="shared" ca="1" si="15"/>
        <v>0.5</v>
      </c>
      <c r="AC20" s="93">
        <f t="shared" ca="1" si="16"/>
        <v>1</v>
      </c>
      <c r="AD20" s="94">
        <f t="shared" ca="1" si="17"/>
        <v>0.25</v>
      </c>
      <c r="AE20" s="94">
        <f t="shared" ca="1" si="18"/>
        <v>0.5</v>
      </c>
      <c r="AF20" s="94">
        <f t="shared" si="19"/>
        <v>0</v>
      </c>
      <c r="AG20" s="94">
        <f t="shared" si="20"/>
        <v>0</v>
      </c>
      <c r="AH20" s="95">
        <f t="shared" si="21"/>
        <v>0</v>
      </c>
      <c r="AI20" s="94">
        <f t="shared" si="22"/>
        <v>0</v>
      </c>
      <c r="AJ20" s="94">
        <f t="shared" ca="1" si="23"/>
        <v>0.75</v>
      </c>
      <c r="AK20" s="94">
        <f t="shared" ca="1" si="24"/>
        <v>1</v>
      </c>
      <c r="AL20" s="96" t="str">
        <f t="shared" si="0"/>
        <v/>
      </c>
      <c r="AM20" s="96" t="str">
        <f t="shared" si="25"/>
        <v>Work not yet Started.</v>
      </c>
      <c r="AN20" s="96" t="str">
        <f t="shared" ca="1" si="26"/>
        <v/>
      </c>
      <c r="AO20" s="96" t="str">
        <f t="shared" ca="1" si="27"/>
        <v/>
      </c>
      <c r="AP20" s="96" t="str">
        <f t="shared" ca="1" si="28"/>
        <v/>
      </c>
      <c r="AQ20" s="96" t="str">
        <f t="shared" ca="1" si="29"/>
        <v/>
      </c>
    </row>
    <row r="21" spans="1:43" ht="15.75" x14ac:dyDescent="0.25">
      <c r="A21" s="89">
        <v>3</v>
      </c>
      <c r="B21" s="18" t="s">
        <v>297</v>
      </c>
      <c r="C21" s="47">
        <f ca="1">--TRIM(RIGHT(SUBSTITUTE(LEFT(B21,_xlfn.AGGREGATE(16,6,FIND({0,1,2,3,4,5,6,7,8,9},B21,ROW(INDIRECT("1:"&amp;LEN(B21)))),1))," ",REPT(" ",LEN(B21))),LEN(B21)))</f>
        <v>1</v>
      </c>
      <c r="D21" s="43">
        <v>0</v>
      </c>
      <c r="E21" s="43">
        <v>0</v>
      </c>
      <c r="F21" s="43">
        <v>0</v>
      </c>
      <c r="G21" s="43">
        <v>0</v>
      </c>
      <c r="H21" s="43">
        <v>0</v>
      </c>
      <c r="I21" s="43">
        <v>0</v>
      </c>
      <c r="J21" s="43">
        <v>0</v>
      </c>
      <c r="K21" s="43">
        <v>0</v>
      </c>
      <c r="L21" s="43">
        <v>0</v>
      </c>
      <c r="M21" s="43">
        <v>0</v>
      </c>
      <c r="N21" s="90">
        <f t="shared" ca="1" si="1"/>
        <v>0</v>
      </c>
      <c r="O21" s="90">
        <f t="shared" ca="1" si="2"/>
        <v>0</v>
      </c>
      <c r="P21" s="103" t="str">
        <f t="shared" ca="1" si="3"/>
        <v xml:space="preserve">Work not yet Started. </v>
      </c>
      <c r="Q21" s="19">
        <f t="shared" ca="1" si="4"/>
        <v>0</v>
      </c>
      <c r="R21" s="19">
        <f t="shared" ca="1" si="5"/>
        <v>0</v>
      </c>
      <c r="S21" s="19">
        <f t="shared" ca="1" si="6"/>
        <v>0</v>
      </c>
      <c r="T21" s="19">
        <f t="shared" ca="1" si="7"/>
        <v>0</v>
      </c>
      <c r="U21" s="19">
        <f t="shared" ca="1" si="8"/>
        <v>0</v>
      </c>
      <c r="V21" s="19">
        <f t="shared" ca="1" si="9"/>
        <v>0</v>
      </c>
      <c r="W21" s="19">
        <f t="shared" ca="1" si="10"/>
        <v>0</v>
      </c>
      <c r="X21" s="19">
        <f t="shared" ca="1" si="11"/>
        <v>0</v>
      </c>
      <c r="Y21" s="19">
        <f t="shared" ca="1" si="12"/>
        <v>0</v>
      </c>
      <c r="Z21" s="19">
        <f t="shared" ca="1" si="13"/>
        <v>0</v>
      </c>
      <c r="AA21" s="92">
        <f t="shared" ca="1" si="14"/>
        <v>0.25</v>
      </c>
      <c r="AB21" s="93">
        <f t="shared" ca="1" si="15"/>
        <v>0.5</v>
      </c>
      <c r="AC21" s="93">
        <f t="shared" ca="1" si="16"/>
        <v>1</v>
      </c>
      <c r="AD21" s="94">
        <f t="shared" ca="1" si="17"/>
        <v>0.25</v>
      </c>
      <c r="AE21" s="94">
        <f t="shared" ca="1" si="18"/>
        <v>0.5</v>
      </c>
      <c r="AF21" s="94">
        <f t="shared" si="19"/>
        <v>0</v>
      </c>
      <c r="AG21" s="94">
        <f t="shared" si="20"/>
        <v>0</v>
      </c>
      <c r="AH21" s="95">
        <f t="shared" si="21"/>
        <v>0</v>
      </c>
      <c r="AI21" s="94">
        <f t="shared" si="22"/>
        <v>0</v>
      </c>
      <c r="AJ21" s="94">
        <f t="shared" ca="1" si="23"/>
        <v>0.75</v>
      </c>
      <c r="AK21" s="94">
        <f t="shared" ca="1" si="24"/>
        <v>1</v>
      </c>
      <c r="AL21" s="96" t="str">
        <f t="shared" si="0"/>
        <v/>
      </c>
      <c r="AM21" s="96" t="str">
        <f t="shared" si="25"/>
        <v>Work not yet Started.</v>
      </c>
      <c r="AN21" s="96" t="str">
        <f t="shared" ca="1" si="26"/>
        <v/>
      </c>
      <c r="AO21" s="96" t="str">
        <f t="shared" ca="1" si="27"/>
        <v/>
      </c>
      <c r="AP21" s="96" t="str">
        <f t="shared" ca="1" si="28"/>
        <v/>
      </c>
      <c r="AQ21" s="96" t="str">
        <f t="shared" ca="1" si="29"/>
        <v/>
      </c>
    </row>
    <row r="22" spans="1:43" ht="15.75" x14ac:dyDescent="0.25">
      <c r="A22" s="89">
        <v>4</v>
      </c>
      <c r="B22" s="18" t="s">
        <v>297</v>
      </c>
      <c r="C22" s="47">
        <f ca="1">--TRIM(RIGHT(SUBSTITUTE(LEFT(B22,_xlfn.AGGREGATE(16,6,FIND({0,1,2,3,4,5,6,7,8,9},B22,ROW(INDIRECT("1:"&amp;LEN(B22)))),1))," ",REPT(" ",LEN(B22))),LEN(B22)))</f>
        <v>1</v>
      </c>
      <c r="D22" s="43">
        <v>0</v>
      </c>
      <c r="E22" s="43">
        <v>0</v>
      </c>
      <c r="F22" s="43">
        <v>0</v>
      </c>
      <c r="G22" s="43">
        <v>0</v>
      </c>
      <c r="H22" s="43">
        <v>0</v>
      </c>
      <c r="I22" s="43">
        <v>0</v>
      </c>
      <c r="J22" s="43">
        <v>0</v>
      </c>
      <c r="K22" s="43">
        <v>0</v>
      </c>
      <c r="L22" s="43">
        <v>0</v>
      </c>
      <c r="M22" s="43">
        <v>0</v>
      </c>
      <c r="N22" s="90">
        <f t="shared" ca="1" si="1"/>
        <v>0</v>
      </c>
      <c r="O22" s="90">
        <f t="shared" ca="1" si="2"/>
        <v>0</v>
      </c>
      <c r="P22" s="103" t="str">
        <f t="shared" ca="1" si="3"/>
        <v xml:space="preserve">Work not yet Started. </v>
      </c>
      <c r="Q22" s="19">
        <f t="shared" ca="1" si="4"/>
        <v>0</v>
      </c>
      <c r="R22" s="19">
        <f t="shared" ca="1" si="5"/>
        <v>0</v>
      </c>
      <c r="S22" s="19">
        <f t="shared" ca="1" si="6"/>
        <v>0</v>
      </c>
      <c r="T22" s="19">
        <f t="shared" ca="1" si="7"/>
        <v>0</v>
      </c>
      <c r="U22" s="19">
        <f t="shared" ca="1" si="8"/>
        <v>0</v>
      </c>
      <c r="V22" s="19">
        <f t="shared" ca="1" si="9"/>
        <v>0</v>
      </c>
      <c r="W22" s="19">
        <f t="shared" ca="1" si="10"/>
        <v>0</v>
      </c>
      <c r="X22" s="19">
        <f t="shared" ca="1" si="11"/>
        <v>0</v>
      </c>
      <c r="Y22" s="19">
        <f t="shared" ca="1" si="12"/>
        <v>0</v>
      </c>
      <c r="Z22" s="19">
        <f t="shared" ca="1" si="13"/>
        <v>0</v>
      </c>
      <c r="AA22" s="92">
        <f t="shared" ca="1" si="14"/>
        <v>0.25</v>
      </c>
      <c r="AB22" s="93">
        <f t="shared" ca="1" si="15"/>
        <v>0.5</v>
      </c>
      <c r="AC22" s="93">
        <f t="shared" ca="1" si="16"/>
        <v>1</v>
      </c>
      <c r="AD22" s="94">
        <f t="shared" ca="1" si="17"/>
        <v>0.25</v>
      </c>
      <c r="AE22" s="94">
        <f t="shared" ca="1" si="18"/>
        <v>0.5</v>
      </c>
      <c r="AF22" s="94">
        <f t="shared" si="19"/>
        <v>0</v>
      </c>
      <c r="AG22" s="94">
        <f t="shared" si="20"/>
        <v>0</v>
      </c>
      <c r="AH22" s="95">
        <f t="shared" si="21"/>
        <v>0</v>
      </c>
      <c r="AI22" s="94">
        <f t="shared" si="22"/>
        <v>0</v>
      </c>
      <c r="AJ22" s="94">
        <f t="shared" ca="1" si="23"/>
        <v>0.75</v>
      </c>
      <c r="AK22" s="94">
        <f t="shared" ca="1" si="24"/>
        <v>1</v>
      </c>
      <c r="AL22" s="96" t="str">
        <f t="shared" si="0"/>
        <v/>
      </c>
      <c r="AM22" s="96" t="str">
        <f t="shared" si="25"/>
        <v>Work not yet Started.</v>
      </c>
      <c r="AN22" s="96" t="str">
        <f t="shared" ca="1" si="26"/>
        <v/>
      </c>
      <c r="AO22" s="96" t="str">
        <f t="shared" ca="1" si="27"/>
        <v/>
      </c>
      <c r="AP22" s="96" t="str">
        <f t="shared" ca="1" si="28"/>
        <v/>
      </c>
      <c r="AQ22" s="96" t="str">
        <f t="shared" ca="1" si="29"/>
        <v/>
      </c>
    </row>
    <row r="23" spans="1:43" ht="15.75" x14ac:dyDescent="0.25">
      <c r="A23" s="89">
        <v>5</v>
      </c>
      <c r="B23" s="18" t="s">
        <v>297</v>
      </c>
      <c r="C23" s="47">
        <f ca="1">--TRIM(RIGHT(SUBSTITUTE(LEFT(B23,_xlfn.AGGREGATE(16,6,FIND({0,1,2,3,4,5,6,7,8,9},B23,ROW(INDIRECT("1:"&amp;LEN(B23)))),1))," ",REPT(" ",LEN(B23))),LEN(B23)))</f>
        <v>1</v>
      </c>
      <c r="D23" s="43">
        <v>0</v>
      </c>
      <c r="E23" s="43">
        <v>0</v>
      </c>
      <c r="F23" s="43">
        <v>0</v>
      </c>
      <c r="G23" s="43">
        <v>0</v>
      </c>
      <c r="H23" s="43">
        <v>0</v>
      </c>
      <c r="I23" s="43">
        <v>0</v>
      </c>
      <c r="J23" s="43">
        <v>0</v>
      </c>
      <c r="K23" s="43">
        <v>0</v>
      </c>
      <c r="L23" s="43">
        <v>0</v>
      </c>
      <c r="M23" s="43">
        <v>0</v>
      </c>
      <c r="N23" s="90">
        <f t="shared" ca="1" si="1"/>
        <v>0</v>
      </c>
      <c r="O23" s="90">
        <f t="shared" ca="1" si="2"/>
        <v>0</v>
      </c>
      <c r="P23" s="103" t="str">
        <f t="shared" ca="1" si="3"/>
        <v xml:space="preserve">Work not yet Started. </v>
      </c>
      <c r="Q23" s="19">
        <f t="shared" ca="1" si="4"/>
        <v>0</v>
      </c>
      <c r="R23" s="19">
        <f t="shared" ca="1" si="5"/>
        <v>0</v>
      </c>
      <c r="S23" s="19">
        <f t="shared" ca="1" si="6"/>
        <v>0</v>
      </c>
      <c r="T23" s="19">
        <f t="shared" ca="1" si="7"/>
        <v>0</v>
      </c>
      <c r="U23" s="19">
        <f t="shared" ca="1" si="8"/>
        <v>0</v>
      </c>
      <c r="V23" s="19">
        <f t="shared" ca="1" si="9"/>
        <v>0</v>
      </c>
      <c r="W23" s="19">
        <f t="shared" ca="1" si="10"/>
        <v>0</v>
      </c>
      <c r="X23" s="19">
        <f t="shared" ca="1" si="11"/>
        <v>0</v>
      </c>
      <c r="Y23" s="19">
        <f t="shared" ca="1" si="12"/>
        <v>0</v>
      </c>
      <c r="Z23" s="19">
        <f t="shared" ca="1" si="13"/>
        <v>0</v>
      </c>
      <c r="AA23" s="92">
        <f t="shared" ca="1" si="14"/>
        <v>0.25</v>
      </c>
      <c r="AB23" s="93">
        <f t="shared" ca="1" si="15"/>
        <v>0.5</v>
      </c>
      <c r="AC23" s="93">
        <f t="shared" ca="1" si="16"/>
        <v>1</v>
      </c>
      <c r="AD23" s="94">
        <f t="shared" ca="1" si="17"/>
        <v>0.25</v>
      </c>
      <c r="AE23" s="94">
        <f t="shared" ca="1" si="18"/>
        <v>0.5</v>
      </c>
      <c r="AF23" s="94">
        <f t="shared" si="19"/>
        <v>0</v>
      </c>
      <c r="AG23" s="94">
        <f t="shared" si="20"/>
        <v>0</v>
      </c>
      <c r="AH23" s="95">
        <f t="shared" si="21"/>
        <v>0</v>
      </c>
      <c r="AI23" s="94">
        <f t="shared" si="22"/>
        <v>0</v>
      </c>
      <c r="AJ23" s="94">
        <f t="shared" ca="1" si="23"/>
        <v>0.75</v>
      </c>
      <c r="AK23" s="94">
        <f t="shared" ca="1" si="24"/>
        <v>1</v>
      </c>
      <c r="AL23" s="96" t="str">
        <f t="shared" si="0"/>
        <v/>
      </c>
      <c r="AM23" s="96" t="str">
        <f t="shared" si="25"/>
        <v>Work not yet Started.</v>
      </c>
      <c r="AN23" s="96" t="str">
        <f t="shared" ca="1" si="26"/>
        <v/>
      </c>
      <c r="AO23" s="96" t="str">
        <f t="shared" ca="1" si="27"/>
        <v/>
      </c>
      <c r="AP23" s="96" t="str">
        <f t="shared" ca="1" si="28"/>
        <v/>
      </c>
      <c r="AQ23" s="96" t="str">
        <f t="shared" ca="1" si="29"/>
        <v/>
      </c>
    </row>
    <row r="24" spans="1:43" ht="15.75" x14ac:dyDescent="0.25">
      <c r="A24" s="89">
        <v>6</v>
      </c>
      <c r="B24" s="18" t="s">
        <v>297</v>
      </c>
      <c r="C24" s="47">
        <v>1</v>
      </c>
      <c r="D24" s="43">
        <v>0</v>
      </c>
      <c r="E24" s="43">
        <v>0</v>
      </c>
      <c r="F24" s="43">
        <v>0</v>
      </c>
      <c r="G24" s="43">
        <v>0</v>
      </c>
      <c r="H24" s="43">
        <v>0</v>
      </c>
      <c r="I24" s="43">
        <v>0</v>
      </c>
      <c r="J24" s="43">
        <v>0</v>
      </c>
      <c r="K24" s="43">
        <v>0</v>
      </c>
      <c r="L24" s="43">
        <v>0</v>
      </c>
      <c r="M24" s="43">
        <v>0</v>
      </c>
      <c r="N24" s="90">
        <v>0</v>
      </c>
      <c r="O24" s="90">
        <v>0</v>
      </c>
      <c r="P24" s="103" t="str">
        <f t="shared" si="3"/>
        <v xml:space="preserve">Work not yet Started. </v>
      </c>
      <c r="Q24" s="19">
        <f t="shared" si="4"/>
        <v>0</v>
      </c>
      <c r="R24" s="19">
        <f t="shared" si="5"/>
        <v>0</v>
      </c>
      <c r="S24" s="19">
        <f t="shared" si="6"/>
        <v>0</v>
      </c>
      <c r="T24" s="19">
        <f t="shared" si="7"/>
        <v>0</v>
      </c>
      <c r="U24" s="19">
        <f t="shared" si="8"/>
        <v>0</v>
      </c>
      <c r="V24" s="19">
        <f t="shared" si="9"/>
        <v>0</v>
      </c>
      <c r="W24" s="19">
        <f t="shared" si="10"/>
        <v>0</v>
      </c>
      <c r="X24" s="19">
        <f t="shared" si="11"/>
        <v>0</v>
      </c>
      <c r="Y24" s="19">
        <f t="shared" si="12"/>
        <v>0</v>
      </c>
      <c r="Z24" s="19">
        <f t="shared" si="13"/>
        <v>0</v>
      </c>
      <c r="AA24" s="92">
        <f t="shared" si="14"/>
        <v>0.25</v>
      </c>
      <c r="AB24" s="93">
        <f t="shared" si="15"/>
        <v>0.5</v>
      </c>
      <c r="AC24" s="93">
        <f t="shared" si="16"/>
        <v>1</v>
      </c>
      <c r="AD24" s="94">
        <f t="shared" si="17"/>
        <v>0.25</v>
      </c>
      <c r="AE24" s="94">
        <f t="shared" si="18"/>
        <v>0.5</v>
      </c>
      <c r="AF24" s="94">
        <f t="shared" si="19"/>
        <v>0</v>
      </c>
      <c r="AG24" s="94">
        <f t="shared" si="20"/>
        <v>0</v>
      </c>
      <c r="AH24" s="95">
        <f t="shared" si="21"/>
        <v>0</v>
      </c>
      <c r="AI24" s="94">
        <f t="shared" si="22"/>
        <v>0</v>
      </c>
      <c r="AJ24" s="94">
        <f t="shared" si="23"/>
        <v>0.75</v>
      </c>
      <c r="AK24" s="94">
        <f t="shared" si="24"/>
        <v>1</v>
      </c>
      <c r="AL24" s="96" t="str">
        <f t="shared" si="0"/>
        <v/>
      </c>
      <c r="AM24" s="96" t="str">
        <f t="shared" si="25"/>
        <v>Work not yet Started.</v>
      </c>
      <c r="AN24" s="96" t="str">
        <f t="shared" si="26"/>
        <v/>
      </c>
      <c r="AO24" s="96" t="str">
        <f t="shared" si="27"/>
        <v/>
      </c>
      <c r="AP24" s="96" t="str">
        <f t="shared" si="28"/>
        <v/>
      </c>
      <c r="AQ24" s="96" t="str">
        <f t="shared" si="29"/>
        <v/>
      </c>
    </row>
    <row r="25" spans="1:43" ht="15.75" x14ac:dyDescent="0.25">
      <c r="A25" s="89">
        <v>7</v>
      </c>
      <c r="B25" s="18" t="s">
        <v>297</v>
      </c>
      <c r="C25" s="47">
        <f ca="1">--TRIM(RIGHT(SUBSTITUTE(LEFT(B25,_xlfn.AGGREGATE(16,6,FIND({0,1,2,3,4,5,6,7,8,9},B25,ROW(INDIRECT("1:"&amp;LEN(B25)))),1))," ",REPT(" ",LEN(B25))),LEN(B25)))</f>
        <v>1</v>
      </c>
      <c r="D25" s="43">
        <v>0</v>
      </c>
      <c r="E25" s="43">
        <v>0</v>
      </c>
      <c r="F25" s="43">
        <v>0</v>
      </c>
      <c r="G25" s="43">
        <v>0</v>
      </c>
      <c r="H25" s="43">
        <v>0</v>
      </c>
      <c r="I25" s="43">
        <v>0</v>
      </c>
      <c r="J25" s="43">
        <v>0</v>
      </c>
      <c r="K25" s="43">
        <v>0</v>
      </c>
      <c r="L25" s="43">
        <v>0</v>
      </c>
      <c r="M25" s="43">
        <v>0</v>
      </c>
      <c r="N25" s="90">
        <f t="shared" ca="1" si="1"/>
        <v>0</v>
      </c>
      <c r="O25" s="90">
        <f t="shared" ca="1" si="2"/>
        <v>0</v>
      </c>
      <c r="P25" s="103" t="str">
        <f t="shared" ca="1" si="3"/>
        <v xml:space="preserve">Work not yet Started. </v>
      </c>
      <c r="Q25" s="19">
        <f t="shared" ca="1" si="4"/>
        <v>0</v>
      </c>
      <c r="R25" s="19">
        <f t="shared" ca="1" si="5"/>
        <v>0</v>
      </c>
      <c r="S25" s="19">
        <f t="shared" ca="1" si="6"/>
        <v>0</v>
      </c>
      <c r="T25" s="19">
        <f t="shared" ca="1" si="7"/>
        <v>0</v>
      </c>
      <c r="U25" s="19">
        <f t="shared" ca="1" si="8"/>
        <v>0</v>
      </c>
      <c r="V25" s="19">
        <f t="shared" ca="1" si="9"/>
        <v>0</v>
      </c>
      <c r="W25" s="19">
        <f t="shared" ca="1" si="10"/>
        <v>0</v>
      </c>
      <c r="X25" s="19">
        <f t="shared" ca="1" si="11"/>
        <v>0</v>
      </c>
      <c r="Y25" s="19">
        <f t="shared" ca="1" si="12"/>
        <v>0</v>
      </c>
      <c r="Z25" s="19">
        <f t="shared" ca="1" si="13"/>
        <v>0</v>
      </c>
      <c r="AA25" s="92">
        <f t="shared" ca="1" si="14"/>
        <v>0.25</v>
      </c>
      <c r="AB25" s="93">
        <f t="shared" ca="1" si="15"/>
        <v>0.5</v>
      </c>
      <c r="AC25" s="93">
        <f t="shared" ca="1" si="16"/>
        <v>1</v>
      </c>
      <c r="AD25" s="94">
        <f t="shared" ca="1" si="17"/>
        <v>0.25</v>
      </c>
      <c r="AE25" s="94">
        <f t="shared" ca="1" si="18"/>
        <v>0.5</v>
      </c>
      <c r="AF25" s="94">
        <f t="shared" si="19"/>
        <v>0</v>
      </c>
      <c r="AG25" s="94">
        <f t="shared" si="20"/>
        <v>0</v>
      </c>
      <c r="AH25" s="95">
        <f t="shared" si="21"/>
        <v>0</v>
      </c>
      <c r="AI25" s="94">
        <f t="shared" si="22"/>
        <v>0</v>
      </c>
      <c r="AJ25" s="94">
        <f t="shared" ca="1" si="23"/>
        <v>0.75</v>
      </c>
      <c r="AK25" s="94">
        <f t="shared" ca="1" si="24"/>
        <v>1</v>
      </c>
      <c r="AL25" s="96" t="str">
        <f t="shared" si="0"/>
        <v/>
      </c>
      <c r="AM25" s="96" t="str">
        <f t="shared" si="25"/>
        <v>Work not yet Started.</v>
      </c>
      <c r="AN25" s="96" t="str">
        <f t="shared" ca="1" si="26"/>
        <v/>
      </c>
      <c r="AO25" s="96" t="str">
        <f t="shared" ca="1" si="27"/>
        <v/>
      </c>
      <c r="AP25" s="96" t="str">
        <f t="shared" ca="1" si="28"/>
        <v/>
      </c>
      <c r="AQ25" s="96" t="str">
        <f t="shared" ca="1" si="29"/>
        <v/>
      </c>
    </row>
    <row r="26" spans="1:43" ht="15.75" x14ac:dyDescent="0.25">
      <c r="A26" s="89">
        <v>8</v>
      </c>
      <c r="B26" s="18" t="s">
        <v>297</v>
      </c>
      <c r="C26" s="47">
        <f ca="1">--TRIM(RIGHT(SUBSTITUTE(LEFT(B26,_xlfn.AGGREGATE(16,6,FIND({0,1,2,3,4,5,6,7,8,9},B26,ROW(INDIRECT("1:"&amp;LEN(B26)))),1))," ",REPT(" ",LEN(B26))),LEN(B26)))</f>
        <v>1</v>
      </c>
      <c r="D26" s="43">
        <v>0</v>
      </c>
      <c r="E26" s="43">
        <v>0</v>
      </c>
      <c r="F26" s="43">
        <v>0</v>
      </c>
      <c r="G26" s="43">
        <v>0</v>
      </c>
      <c r="H26" s="43">
        <v>0</v>
      </c>
      <c r="I26" s="43">
        <v>0</v>
      </c>
      <c r="J26" s="43">
        <v>0</v>
      </c>
      <c r="K26" s="43">
        <v>0</v>
      </c>
      <c r="L26" s="43">
        <v>0</v>
      </c>
      <c r="M26" s="43">
        <v>0</v>
      </c>
      <c r="N26" s="90">
        <f t="shared" ca="1" si="1"/>
        <v>0</v>
      </c>
      <c r="O26" s="90">
        <f t="shared" ca="1" si="2"/>
        <v>0</v>
      </c>
      <c r="P26" s="103" t="str">
        <f t="shared" ca="1" si="3"/>
        <v xml:space="preserve">Work not yet Started. </v>
      </c>
      <c r="Q26" s="19">
        <f t="shared" ca="1" si="4"/>
        <v>0</v>
      </c>
      <c r="R26" s="19">
        <f t="shared" ca="1" si="5"/>
        <v>0</v>
      </c>
      <c r="S26" s="19">
        <f t="shared" ca="1" si="6"/>
        <v>0</v>
      </c>
      <c r="T26" s="19">
        <f t="shared" ca="1" si="7"/>
        <v>0</v>
      </c>
      <c r="U26" s="19">
        <f t="shared" ca="1" si="8"/>
        <v>0</v>
      </c>
      <c r="V26" s="19">
        <f t="shared" ca="1" si="9"/>
        <v>0</v>
      </c>
      <c r="W26" s="19">
        <f t="shared" ca="1" si="10"/>
        <v>0</v>
      </c>
      <c r="X26" s="19">
        <f t="shared" ca="1" si="11"/>
        <v>0</v>
      </c>
      <c r="Y26" s="19">
        <f t="shared" ca="1" si="12"/>
        <v>0</v>
      </c>
      <c r="Z26" s="19">
        <f t="shared" ca="1" si="13"/>
        <v>0</v>
      </c>
      <c r="AA26" s="92">
        <f t="shared" ca="1" si="14"/>
        <v>0.25</v>
      </c>
      <c r="AB26" s="93">
        <f t="shared" ca="1" si="15"/>
        <v>0.5</v>
      </c>
      <c r="AC26" s="93">
        <f t="shared" ca="1" si="16"/>
        <v>1</v>
      </c>
      <c r="AD26" s="94">
        <f t="shared" ca="1" si="17"/>
        <v>0.25</v>
      </c>
      <c r="AE26" s="94">
        <f t="shared" ca="1" si="18"/>
        <v>0.5</v>
      </c>
      <c r="AF26" s="94">
        <f t="shared" si="19"/>
        <v>0</v>
      </c>
      <c r="AG26" s="94">
        <f t="shared" si="20"/>
        <v>0</v>
      </c>
      <c r="AH26" s="95">
        <f t="shared" si="21"/>
        <v>0</v>
      </c>
      <c r="AI26" s="94">
        <f t="shared" si="22"/>
        <v>0</v>
      </c>
      <c r="AJ26" s="94">
        <f t="shared" ca="1" si="23"/>
        <v>0.75</v>
      </c>
      <c r="AK26" s="94">
        <f t="shared" ca="1" si="24"/>
        <v>1</v>
      </c>
      <c r="AL26" s="96" t="str">
        <f t="shared" si="0"/>
        <v/>
      </c>
      <c r="AM26" s="96" t="str">
        <f t="shared" si="25"/>
        <v>Work not yet Started.</v>
      </c>
      <c r="AN26" s="96" t="str">
        <f t="shared" ca="1" si="26"/>
        <v/>
      </c>
      <c r="AO26" s="96" t="str">
        <f t="shared" ca="1" si="27"/>
        <v/>
      </c>
      <c r="AP26" s="96" t="str">
        <f t="shared" ca="1" si="28"/>
        <v/>
      </c>
      <c r="AQ26" s="96" t="str">
        <f t="shared" ca="1" si="29"/>
        <v/>
      </c>
    </row>
    <row r="27" spans="1:43" ht="15.75" x14ac:dyDescent="0.25">
      <c r="A27" s="89">
        <v>9</v>
      </c>
      <c r="B27" s="18" t="s">
        <v>297</v>
      </c>
      <c r="C27" s="47">
        <f ca="1">--TRIM(RIGHT(SUBSTITUTE(LEFT(B27,_xlfn.AGGREGATE(16,6,FIND({0,1,2,3,4,5,6,7,8,9},B27,ROW(INDIRECT("1:"&amp;LEN(B27)))),1))," ",REPT(" ",LEN(B27))),LEN(B27)))</f>
        <v>1</v>
      </c>
      <c r="D27" s="43">
        <v>0</v>
      </c>
      <c r="E27" s="43">
        <v>0</v>
      </c>
      <c r="F27" s="43">
        <v>0</v>
      </c>
      <c r="G27" s="43">
        <v>0</v>
      </c>
      <c r="H27" s="43">
        <v>0</v>
      </c>
      <c r="I27" s="43">
        <v>0</v>
      </c>
      <c r="J27" s="43">
        <v>0</v>
      </c>
      <c r="K27" s="43">
        <v>0</v>
      </c>
      <c r="L27" s="43">
        <v>0</v>
      </c>
      <c r="M27" s="43">
        <v>0</v>
      </c>
      <c r="N27" s="90">
        <f t="shared" ca="1" si="1"/>
        <v>0</v>
      </c>
      <c r="O27" s="90">
        <f t="shared" ca="1" si="2"/>
        <v>0</v>
      </c>
      <c r="P27" s="103" t="str">
        <f t="shared" ca="1" si="3"/>
        <v xml:space="preserve">Work not yet Started. </v>
      </c>
      <c r="Q27" s="19">
        <f t="shared" ca="1" si="4"/>
        <v>0</v>
      </c>
      <c r="R27" s="19">
        <f t="shared" ca="1" si="5"/>
        <v>0</v>
      </c>
      <c r="S27" s="19">
        <f t="shared" ca="1" si="6"/>
        <v>0</v>
      </c>
      <c r="T27" s="19">
        <f t="shared" ca="1" si="7"/>
        <v>0</v>
      </c>
      <c r="U27" s="19">
        <f t="shared" ca="1" si="8"/>
        <v>0</v>
      </c>
      <c r="V27" s="19">
        <f t="shared" ca="1" si="9"/>
        <v>0</v>
      </c>
      <c r="W27" s="19">
        <f t="shared" ca="1" si="10"/>
        <v>0</v>
      </c>
      <c r="X27" s="19">
        <f t="shared" ca="1" si="11"/>
        <v>0</v>
      </c>
      <c r="Y27" s="19">
        <f t="shared" ca="1" si="12"/>
        <v>0</v>
      </c>
      <c r="Z27" s="19">
        <f t="shared" ca="1" si="13"/>
        <v>0</v>
      </c>
      <c r="AA27" s="92">
        <f t="shared" ca="1" si="14"/>
        <v>0.25</v>
      </c>
      <c r="AB27" s="93">
        <f t="shared" ca="1" si="15"/>
        <v>0.5</v>
      </c>
      <c r="AC27" s="93">
        <f t="shared" ca="1" si="16"/>
        <v>1</v>
      </c>
      <c r="AD27" s="94">
        <f t="shared" ca="1" si="17"/>
        <v>0.25</v>
      </c>
      <c r="AE27" s="94">
        <f t="shared" ca="1" si="18"/>
        <v>0.5</v>
      </c>
      <c r="AF27" s="94">
        <f t="shared" si="19"/>
        <v>0</v>
      </c>
      <c r="AG27" s="94">
        <f t="shared" si="20"/>
        <v>0</v>
      </c>
      <c r="AH27" s="95">
        <f t="shared" si="21"/>
        <v>0</v>
      </c>
      <c r="AI27" s="94">
        <f t="shared" si="22"/>
        <v>0</v>
      </c>
      <c r="AJ27" s="94">
        <f t="shared" ca="1" si="23"/>
        <v>0.75</v>
      </c>
      <c r="AK27" s="94">
        <f t="shared" ca="1" si="24"/>
        <v>1</v>
      </c>
      <c r="AL27" s="96" t="str">
        <f t="shared" si="0"/>
        <v/>
      </c>
      <c r="AM27" s="96" t="str">
        <f t="shared" si="25"/>
        <v>Work not yet Started.</v>
      </c>
      <c r="AN27" s="96" t="str">
        <f t="shared" ca="1" si="26"/>
        <v/>
      </c>
      <c r="AO27" s="96" t="str">
        <f t="shared" ca="1" si="27"/>
        <v/>
      </c>
      <c r="AP27" s="96" t="str">
        <f t="shared" ca="1" si="28"/>
        <v/>
      </c>
      <c r="AQ27" s="96" t="str">
        <f t="shared" ca="1" si="29"/>
        <v/>
      </c>
    </row>
    <row r="28" spans="1:43" ht="15.75" x14ac:dyDescent="0.25">
      <c r="A28" s="89">
        <v>10</v>
      </c>
      <c r="B28" s="18" t="s">
        <v>297</v>
      </c>
      <c r="C28" s="47">
        <f ca="1">--TRIM(RIGHT(SUBSTITUTE(LEFT(B28,_xlfn.AGGREGATE(16,6,FIND({0,1,2,3,4,5,6,7,8,9},B28,ROW(INDIRECT("1:"&amp;LEN(B28)))),1))," ",REPT(" ",LEN(B28))),LEN(B28)))</f>
        <v>1</v>
      </c>
      <c r="D28" s="43">
        <v>0</v>
      </c>
      <c r="E28" s="43">
        <v>0</v>
      </c>
      <c r="F28" s="43">
        <v>0</v>
      </c>
      <c r="G28" s="43">
        <v>0</v>
      </c>
      <c r="H28" s="43">
        <v>0</v>
      </c>
      <c r="I28" s="43">
        <v>0</v>
      </c>
      <c r="J28" s="43">
        <v>0</v>
      </c>
      <c r="K28" s="43">
        <v>0</v>
      </c>
      <c r="L28" s="43">
        <v>0</v>
      </c>
      <c r="M28" s="43">
        <v>0</v>
      </c>
      <c r="N28" s="90">
        <f t="shared" ca="1" si="1"/>
        <v>0</v>
      </c>
      <c r="O28" s="90">
        <f t="shared" ca="1" si="2"/>
        <v>0</v>
      </c>
      <c r="P28" s="103" t="str">
        <f t="shared" ca="1" si="3"/>
        <v xml:space="preserve">Work not yet Started. </v>
      </c>
      <c r="Q28" s="19">
        <f t="shared" ca="1" si="4"/>
        <v>0</v>
      </c>
      <c r="R28" s="19">
        <f t="shared" ca="1" si="5"/>
        <v>0</v>
      </c>
      <c r="S28" s="19">
        <f t="shared" ca="1" si="6"/>
        <v>0</v>
      </c>
      <c r="T28" s="19">
        <f t="shared" ca="1" si="7"/>
        <v>0</v>
      </c>
      <c r="U28" s="19">
        <f t="shared" ca="1" si="8"/>
        <v>0</v>
      </c>
      <c r="V28" s="19">
        <f t="shared" ca="1" si="9"/>
        <v>0</v>
      </c>
      <c r="W28" s="19">
        <f t="shared" ca="1" si="10"/>
        <v>0</v>
      </c>
      <c r="X28" s="19">
        <f t="shared" ca="1" si="11"/>
        <v>0</v>
      </c>
      <c r="Y28" s="19">
        <f t="shared" ca="1" si="12"/>
        <v>0</v>
      </c>
      <c r="Z28" s="19">
        <f t="shared" ca="1" si="13"/>
        <v>0</v>
      </c>
      <c r="AA28" s="92">
        <f t="shared" ca="1" si="14"/>
        <v>0.25</v>
      </c>
      <c r="AB28" s="93">
        <f t="shared" ca="1" si="15"/>
        <v>0.5</v>
      </c>
      <c r="AC28" s="93">
        <f t="shared" ca="1" si="16"/>
        <v>1</v>
      </c>
      <c r="AD28" s="94">
        <f t="shared" ca="1" si="17"/>
        <v>0.25</v>
      </c>
      <c r="AE28" s="94">
        <f t="shared" ca="1" si="18"/>
        <v>0.5</v>
      </c>
      <c r="AF28" s="94">
        <f t="shared" si="19"/>
        <v>0</v>
      </c>
      <c r="AG28" s="94">
        <f t="shared" si="20"/>
        <v>0</v>
      </c>
      <c r="AH28" s="95">
        <f t="shared" si="21"/>
        <v>0</v>
      </c>
      <c r="AI28" s="94">
        <f t="shared" si="22"/>
        <v>0</v>
      </c>
      <c r="AJ28" s="94">
        <f t="shared" ca="1" si="23"/>
        <v>0.75</v>
      </c>
      <c r="AK28" s="94">
        <f t="shared" ca="1" si="24"/>
        <v>1</v>
      </c>
      <c r="AL28" s="96" t="str">
        <f t="shared" si="0"/>
        <v/>
      </c>
      <c r="AM28" s="96" t="str">
        <f t="shared" si="25"/>
        <v>Work not yet Started.</v>
      </c>
      <c r="AN28" s="96" t="str">
        <f t="shared" ca="1" si="26"/>
        <v/>
      </c>
      <c r="AO28" s="96" t="str">
        <f t="shared" ca="1" si="27"/>
        <v/>
      </c>
      <c r="AP28" s="96" t="str">
        <f t="shared" ca="1" si="28"/>
        <v/>
      </c>
      <c r="AQ28" s="96" t="str">
        <f t="shared" ca="1" si="29"/>
        <v/>
      </c>
    </row>
    <row r="29" spans="1:43" ht="15.75" x14ac:dyDescent="0.25">
      <c r="A29" s="89">
        <v>11</v>
      </c>
      <c r="B29" s="18" t="s">
        <v>297</v>
      </c>
      <c r="C29" s="47">
        <f ca="1">--TRIM(RIGHT(SUBSTITUTE(LEFT(B29,_xlfn.AGGREGATE(16,6,FIND({0,1,2,3,4,5,6,7,8,9},B29,ROW(INDIRECT("1:"&amp;LEN(B29)))),1))," ",REPT(" ",LEN(B29))),LEN(B29)))</f>
        <v>1</v>
      </c>
      <c r="D29" s="43">
        <v>0</v>
      </c>
      <c r="E29" s="43">
        <v>0</v>
      </c>
      <c r="F29" s="43">
        <v>0</v>
      </c>
      <c r="G29" s="43">
        <v>0</v>
      </c>
      <c r="H29" s="43">
        <v>0</v>
      </c>
      <c r="I29" s="43">
        <v>0</v>
      </c>
      <c r="J29" s="43">
        <v>0</v>
      </c>
      <c r="K29" s="43">
        <v>0</v>
      </c>
      <c r="L29" s="43">
        <v>0</v>
      </c>
      <c r="M29" s="43">
        <v>0</v>
      </c>
      <c r="N29" s="90">
        <f t="shared" ca="1" si="1"/>
        <v>0</v>
      </c>
      <c r="O29" s="90">
        <f t="shared" ca="1" si="2"/>
        <v>0</v>
      </c>
      <c r="P29" s="103" t="str">
        <f t="shared" ca="1" si="3"/>
        <v xml:space="preserve">Work not yet Started. </v>
      </c>
      <c r="Q29" s="19">
        <f t="shared" ca="1" si="4"/>
        <v>0</v>
      </c>
      <c r="R29" s="19">
        <f t="shared" ca="1" si="5"/>
        <v>0</v>
      </c>
      <c r="S29" s="19">
        <f t="shared" ca="1" si="6"/>
        <v>0</v>
      </c>
      <c r="T29" s="19">
        <f t="shared" ca="1" si="7"/>
        <v>0</v>
      </c>
      <c r="U29" s="19">
        <f t="shared" ca="1" si="8"/>
        <v>0</v>
      </c>
      <c r="V29" s="19">
        <f t="shared" ca="1" si="9"/>
        <v>0</v>
      </c>
      <c r="W29" s="19">
        <f t="shared" ca="1" si="10"/>
        <v>0</v>
      </c>
      <c r="X29" s="19">
        <f t="shared" ca="1" si="11"/>
        <v>0</v>
      </c>
      <c r="Y29" s="19">
        <f t="shared" ca="1" si="12"/>
        <v>0</v>
      </c>
      <c r="Z29" s="19">
        <f t="shared" ca="1" si="13"/>
        <v>0</v>
      </c>
      <c r="AA29" s="92">
        <f t="shared" ca="1" si="14"/>
        <v>0.25</v>
      </c>
      <c r="AB29" s="93">
        <f t="shared" ca="1" si="15"/>
        <v>0.5</v>
      </c>
      <c r="AC29" s="93">
        <f t="shared" ca="1" si="16"/>
        <v>1</v>
      </c>
      <c r="AD29" s="94">
        <f t="shared" ca="1" si="17"/>
        <v>0.25</v>
      </c>
      <c r="AE29" s="94">
        <f t="shared" ca="1" si="18"/>
        <v>0.5</v>
      </c>
      <c r="AF29" s="94">
        <f t="shared" si="19"/>
        <v>0</v>
      </c>
      <c r="AG29" s="94">
        <f t="shared" si="20"/>
        <v>0</v>
      </c>
      <c r="AH29" s="95">
        <f t="shared" si="21"/>
        <v>0</v>
      </c>
      <c r="AI29" s="94">
        <f t="shared" si="22"/>
        <v>0</v>
      </c>
      <c r="AJ29" s="94">
        <f t="shared" ca="1" si="23"/>
        <v>0.75</v>
      </c>
      <c r="AK29" s="94">
        <f t="shared" ca="1" si="24"/>
        <v>1</v>
      </c>
      <c r="AL29" s="96" t="str">
        <f t="shared" si="0"/>
        <v/>
      </c>
      <c r="AM29" s="96" t="str">
        <f t="shared" si="25"/>
        <v>Work not yet Started.</v>
      </c>
      <c r="AN29" s="96" t="str">
        <f t="shared" ca="1" si="26"/>
        <v/>
      </c>
      <c r="AO29" s="96" t="str">
        <f t="shared" ca="1" si="27"/>
        <v/>
      </c>
      <c r="AP29" s="96" t="str">
        <f t="shared" ca="1" si="28"/>
        <v/>
      </c>
      <c r="AQ29" s="96" t="str">
        <f t="shared" ca="1" si="29"/>
        <v/>
      </c>
    </row>
    <row r="30" spans="1:43" ht="15.75" x14ac:dyDescent="0.25">
      <c r="A30" s="89">
        <v>12</v>
      </c>
      <c r="B30" s="18" t="s">
        <v>297</v>
      </c>
      <c r="C30" s="47">
        <f ca="1">--TRIM(RIGHT(SUBSTITUTE(LEFT(B30,_xlfn.AGGREGATE(16,6,FIND({0,1,2,3,4,5,6,7,8,9},B30,ROW(INDIRECT("1:"&amp;LEN(B30)))),1))," ",REPT(" ",LEN(B30))),LEN(B30)))</f>
        <v>1</v>
      </c>
      <c r="D30" s="43">
        <v>0</v>
      </c>
      <c r="E30" s="43">
        <v>0</v>
      </c>
      <c r="F30" s="43">
        <v>0</v>
      </c>
      <c r="G30" s="43">
        <v>0</v>
      </c>
      <c r="H30" s="43">
        <v>0</v>
      </c>
      <c r="I30" s="43">
        <v>0</v>
      </c>
      <c r="J30" s="43">
        <v>0</v>
      </c>
      <c r="K30" s="43">
        <v>0</v>
      </c>
      <c r="L30" s="43">
        <v>0</v>
      </c>
      <c r="M30" s="43">
        <v>0</v>
      </c>
      <c r="N30" s="90">
        <f t="shared" ca="1" si="1"/>
        <v>0</v>
      </c>
      <c r="O30" s="90">
        <f t="shared" ca="1" si="2"/>
        <v>0</v>
      </c>
      <c r="P30" s="103" t="str">
        <f t="shared" ca="1" si="3"/>
        <v xml:space="preserve">Work not yet Started. </v>
      </c>
      <c r="Q30" s="19">
        <f t="shared" ca="1" si="4"/>
        <v>0</v>
      </c>
      <c r="R30" s="19">
        <f t="shared" ca="1" si="5"/>
        <v>0</v>
      </c>
      <c r="S30" s="19">
        <f t="shared" ca="1" si="6"/>
        <v>0</v>
      </c>
      <c r="T30" s="19">
        <f t="shared" ca="1" si="7"/>
        <v>0</v>
      </c>
      <c r="U30" s="19">
        <f t="shared" ca="1" si="8"/>
        <v>0</v>
      </c>
      <c r="V30" s="19">
        <f t="shared" ca="1" si="9"/>
        <v>0</v>
      </c>
      <c r="W30" s="19">
        <f t="shared" ca="1" si="10"/>
        <v>0</v>
      </c>
      <c r="X30" s="19">
        <f t="shared" ca="1" si="11"/>
        <v>0</v>
      </c>
      <c r="Y30" s="19">
        <f t="shared" ca="1" si="12"/>
        <v>0</v>
      </c>
      <c r="Z30" s="19">
        <f t="shared" ca="1" si="13"/>
        <v>0</v>
      </c>
      <c r="AA30" s="92">
        <f t="shared" ca="1" si="14"/>
        <v>0.25</v>
      </c>
      <c r="AB30" s="93">
        <f t="shared" ca="1" si="15"/>
        <v>0.5</v>
      </c>
      <c r="AC30" s="93">
        <f t="shared" ca="1" si="16"/>
        <v>1</v>
      </c>
      <c r="AD30" s="94">
        <f t="shared" ca="1" si="17"/>
        <v>0.25</v>
      </c>
      <c r="AE30" s="94">
        <f t="shared" ca="1" si="18"/>
        <v>0.5</v>
      </c>
      <c r="AF30" s="94">
        <f t="shared" si="19"/>
        <v>0</v>
      </c>
      <c r="AG30" s="94">
        <f t="shared" si="20"/>
        <v>0</v>
      </c>
      <c r="AH30" s="95">
        <f t="shared" si="21"/>
        <v>0</v>
      </c>
      <c r="AI30" s="94">
        <f t="shared" si="22"/>
        <v>0</v>
      </c>
      <c r="AJ30" s="94">
        <f t="shared" ca="1" si="23"/>
        <v>0.75</v>
      </c>
      <c r="AK30" s="94">
        <f t="shared" ca="1" si="24"/>
        <v>1</v>
      </c>
      <c r="AL30" s="96" t="str">
        <f t="shared" si="0"/>
        <v/>
      </c>
      <c r="AM30" s="96" t="str">
        <f t="shared" si="25"/>
        <v>Work not yet Started.</v>
      </c>
      <c r="AN30" s="96" t="str">
        <f t="shared" ca="1" si="26"/>
        <v/>
      </c>
      <c r="AO30" s="96" t="str">
        <f t="shared" ca="1" si="27"/>
        <v/>
      </c>
      <c r="AP30" s="96" t="str">
        <f t="shared" ca="1" si="28"/>
        <v/>
      </c>
      <c r="AQ30" s="96" t="str">
        <f t="shared" ca="1" si="29"/>
        <v/>
      </c>
    </row>
    <row r="31" spans="1:43" ht="15.75" x14ac:dyDescent="0.25">
      <c r="A31" s="89">
        <v>13</v>
      </c>
      <c r="B31" s="18" t="s">
        <v>297</v>
      </c>
      <c r="C31" s="47">
        <f ca="1">--TRIM(RIGHT(SUBSTITUTE(LEFT(B31,_xlfn.AGGREGATE(16,6,FIND({0,1,2,3,4,5,6,7,8,9},B31,ROW(INDIRECT("1:"&amp;LEN(B31)))),1))," ",REPT(" ",LEN(B31))),LEN(B31)))</f>
        <v>1</v>
      </c>
      <c r="D31" s="43">
        <v>0</v>
      </c>
      <c r="E31" s="43">
        <v>0</v>
      </c>
      <c r="F31" s="43">
        <v>0</v>
      </c>
      <c r="G31" s="43">
        <v>0</v>
      </c>
      <c r="H31" s="43">
        <v>0</v>
      </c>
      <c r="I31" s="43">
        <v>0</v>
      </c>
      <c r="J31" s="43">
        <v>0</v>
      </c>
      <c r="K31" s="43">
        <v>0</v>
      </c>
      <c r="L31" s="43">
        <v>0</v>
      </c>
      <c r="M31" s="43">
        <v>0</v>
      </c>
      <c r="N31" s="90">
        <f t="shared" ca="1" si="1"/>
        <v>0</v>
      </c>
      <c r="O31" s="90">
        <f t="shared" ca="1" si="2"/>
        <v>0</v>
      </c>
      <c r="P31" s="103" t="str">
        <f t="shared" ca="1" si="3"/>
        <v xml:space="preserve">Work not yet Started. </v>
      </c>
      <c r="Q31" s="19">
        <f t="shared" ca="1" si="4"/>
        <v>0</v>
      </c>
      <c r="R31" s="19">
        <f t="shared" ca="1" si="5"/>
        <v>0</v>
      </c>
      <c r="S31" s="19">
        <f t="shared" ca="1" si="6"/>
        <v>0</v>
      </c>
      <c r="T31" s="19">
        <f t="shared" ca="1" si="7"/>
        <v>0</v>
      </c>
      <c r="U31" s="19">
        <f t="shared" ca="1" si="8"/>
        <v>0</v>
      </c>
      <c r="V31" s="19">
        <f t="shared" ca="1" si="9"/>
        <v>0</v>
      </c>
      <c r="W31" s="19">
        <f t="shared" ca="1" si="10"/>
        <v>0</v>
      </c>
      <c r="X31" s="19">
        <f t="shared" ca="1" si="11"/>
        <v>0</v>
      </c>
      <c r="Y31" s="19">
        <f t="shared" ca="1" si="12"/>
        <v>0</v>
      </c>
      <c r="Z31" s="19">
        <f t="shared" ca="1" si="13"/>
        <v>0</v>
      </c>
      <c r="AA31" s="92">
        <f t="shared" ca="1" si="14"/>
        <v>0.25</v>
      </c>
      <c r="AB31" s="93">
        <f t="shared" ca="1" si="15"/>
        <v>0.5</v>
      </c>
      <c r="AC31" s="93">
        <f t="shared" ca="1" si="16"/>
        <v>1</v>
      </c>
      <c r="AD31" s="94">
        <f t="shared" ref="AD31:AD54" ca="1" si="30">(IF(M17&gt;1,(C31/(M17+2)),C31/4))</f>
        <v>0.25</v>
      </c>
      <c r="AE31" s="94">
        <f t="shared" ref="AE31:AE54" ca="1" si="31">(IF(M17&gt;1,(C31/(M17+2)+AD31),C31/4+AD31))</f>
        <v>0.5</v>
      </c>
      <c r="AF31" s="94">
        <f t="shared" ref="AF31:AF54" si="32">(IF(M17&gt;1,(C31/(M17+2)+AE31),0))</f>
        <v>0</v>
      </c>
      <c r="AG31" s="94">
        <f t="shared" ref="AG31:AG54" si="33">(IF(M17&gt;2,(C31/(M17+2)+AF31),0))</f>
        <v>0</v>
      </c>
      <c r="AH31" s="95">
        <f t="shared" ref="AH31:AH54" si="34">(IF(M17&gt;3,(C31/(M17+2)+AG31),0))</f>
        <v>0</v>
      </c>
      <c r="AI31" s="94">
        <f t="shared" ref="AI31:AI54" si="35">(IF(M17&gt;4,(C31/(M17+2)+AH31),0))</f>
        <v>0</v>
      </c>
      <c r="AJ31" s="94">
        <f t="shared" ref="AJ31:AJ54" ca="1" si="36">(IF(M17=1,(C31/(M17+3)+AE31),IF(M17=0,(C31/4+AE31),IF(M17&gt;1,0))))</f>
        <v>0.75</v>
      </c>
      <c r="AK31" s="94">
        <f t="shared" ref="AK31:AK54" ca="1" si="37">(IF(M17&gt;1.5,(C31/(M17+2)+AE31+MAX(0,AF31-AE31)+MAX(0,AG31-AF31)+MAX(0,AH31-AG31)+MAX(0,AI31-AH31)+MAX(0,AJ31-AI31)),IF(M17=1,(C31/(M17+3)+AJ31),IF(M17=0,C31/4+AJ31))))</f>
        <v>1</v>
      </c>
      <c r="AL31" s="96" t="str">
        <f t="shared" ref="AL31:AL44" si="38">(IF(W98=(1+T98),"",IF(W98&gt;0,", RCC upto "&amp;W98&amp;" Slab","")))&amp;(IF(X98=T98,"",IF(X98&gt;0,", Brickwork upto "&amp;X98&amp;" Floor","")))&amp;(IF(Y98=T98,"",IF(Y98&gt;0,", Internal Plaster upto "&amp;Y98&amp;" Floor","")))&amp;(IF(Z98=T98,"",IF(Z98&gt;0,", External Plaster upto "&amp;Z98&amp;" Floor","")))&amp;(IF(AA98=T98,"",IF(AA98&gt;0,", Flooring upto "&amp;AA98&amp;" Floor","")))&amp;(IF(AB98=T98,"",IF(AB98&gt;0,", Painting upto "&amp;AB98&amp;" Floor","")))&amp;(IF(AC98=T98,"",IF(AC98&gt;0,", Finishing upto "&amp;AC98&amp;" Floor","")))&amp;(IF(AD98=T98,"",IF(AD98&gt;0,", Possession upto "&amp;AD98&amp;" Floor","")))</f>
        <v/>
      </c>
      <c r="AM31" s="96" t="str">
        <f t="shared" si="25"/>
        <v>Work not yet Started.</v>
      </c>
      <c r="AN31" s="96" t="str">
        <f t="shared" ca="1" si="26"/>
        <v/>
      </c>
      <c r="AO31" s="96" t="str">
        <f t="shared" ca="1" si="27"/>
        <v/>
      </c>
      <c r="AP31" s="96" t="str">
        <f t="shared" ca="1" si="28"/>
        <v/>
      </c>
      <c r="AQ31" s="96" t="str">
        <f t="shared" ca="1" si="29"/>
        <v/>
      </c>
    </row>
    <row r="32" spans="1:43" ht="15.75" x14ac:dyDescent="0.25">
      <c r="A32" s="89">
        <v>14</v>
      </c>
      <c r="B32" s="18" t="s">
        <v>297</v>
      </c>
      <c r="C32" s="47">
        <f ca="1">--TRIM(RIGHT(SUBSTITUTE(LEFT(B32,_xlfn.AGGREGATE(16,6,FIND({0,1,2,3,4,5,6,7,8,9},B32,ROW(INDIRECT("1:"&amp;LEN(B32)))),1))," ",REPT(" ",LEN(B32))),LEN(B32)))</f>
        <v>1</v>
      </c>
      <c r="D32" s="43">
        <v>0</v>
      </c>
      <c r="E32" s="43">
        <v>0</v>
      </c>
      <c r="F32" s="43">
        <v>0</v>
      </c>
      <c r="G32" s="43">
        <v>0</v>
      </c>
      <c r="H32" s="43">
        <v>0</v>
      </c>
      <c r="I32" s="43">
        <v>0</v>
      </c>
      <c r="J32" s="43">
        <v>0</v>
      </c>
      <c r="K32" s="43">
        <v>0</v>
      </c>
      <c r="L32" s="43">
        <v>0</v>
      </c>
      <c r="M32" s="43">
        <v>0</v>
      </c>
      <c r="N32" s="90">
        <f t="shared" ca="1" si="1"/>
        <v>0</v>
      </c>
      <c r="O32" s="90">
        <f t="shared" ca="1" si="2"/>
        <v>0</v>
      </c>
      <c r="P32" s="103" t="str">
        <f t="shared" ca="1" si="3"/>
        <v xml:space="preserve">Work not yet Started. </v>
      </c>
      <c r="Q32" s="19">
        <f t="shared" ca="1" si="4"/>
        <v>0</v>
      </c>
      <c r="R32" s="19">
        <f t="shared" ca="1" si="5"/>
        <v>0</v>
      </c>
      <c r="S32" s="19">
        <f t="shared" ca="1" si="6"/>
        <v>0</v>
      </c>
      <c r="T32" s="19">
        <f t="shared" ca="1" si="7"/>
        <v>0</v>
      </c>
      <c r="U32" s="19">
        <f t="shared" ca="1" si="8"/>
        <v>0</v>
      </c>
      <c r="V32" s="19">
        <f t="shared" ca="1" si="9"/>
        <v>0</v>
      </c>
      <c r="W32" s="19">
        <f t="shared" ca="1" si="10"/>
        <v>0</v>
      </c>
      <c r="X32" s="19">
        <f t="shared" ca="1" si="11"/>
        <v>0</v>
      </c>
      <c r="Y32" s="19">
        <f t="shared" ca="1" si="12"/>
        <v>0</v>
      </c>
      <c r="Z32" s="19">
        <f t="shared" ca="1" si="13"/>
        <v>0</v>
      </c>
      <c r="AA32" s="92">
        <f t="shared" ca="1" si="14"/>
        <v>0.25</v>
      </c>
      <c r="AB32" s="93">
        <f t="shared" ca="1" si="15"/>
        <v>0.5</v>
      </c>
      <c r="AC32" s="93">
        <f t="shared" ca="1" si="16"/>
        <v>1</v>
      </c>
      <c r="AD32" s="94">
        <f t="shared" ca="1" si="30"/>
        <v>0.25</v>
      </c>
      <c r="AE32" s="94">
        <f t="shared" ca="1" si="31"/>
        <v>0.5</v>
      </c>
      <c r="AF32" s="94">
        <f t="shared" si="32"/>
        <v>0</v>
      </c>
      <c r="AG32" s="94">
        <f t="shared" si="33"/>
        <v>0</v>
      </c>
      <c r="AH32" s="95">
        <f t="shared" si="34"/>
        <v>0</v>
      </c>
      <c r="AI32" s="94">
        <f t="shared" si="35"/>
        <v>0</v>
      </c>
      <c r="AJ32" s="94">
        <f t="shared" ca="1" si="36"/>
        <v>0.75</v>
      </c>
      <c r="AK32" s="94">
        <f t="shared" ca="1" si="37"/>
        <v>1</v>
      </c>
      <c r="AL32" s="96" t="str">
        <f t="shared" si="38"/>
        <v/>
      </c>
      <c r="AM32" s="96" t="str">
        <f t="shared" si="25"/>
        <v>Work not yet Started.</v>
      </c>
      <c r="AN32" s="96" t="str">
        <f t="shared" ca="1" si="26"/>
        <v/>
      </c>
      <c r="AO32" s="96" t="str">
        <f t="shared" ca="1" si="27"/>
        <v/>
      </c>
      <c r="AP32" s="96" t="str">
        <f t="shared" ca="1" si="28"/>
        <v/>
      </c>
      <c r="AQ32" s="96" t="str">
        <f t="shared" ca="1" si="29"/>
        <v/>
      </c>
    </row>
    <row r="33" spans="1:43" ht="15.75" x14ac:dyDescent="0.25">
      <c r="A33" s="89">
        <v>15</v>
      </c>
      <c r="B33" s="18" t="s">
        <v>297</v>
      </c>
      <c r="C33" s="47">
        <f ca="1">--TRIM(RIGHT(SUBSTITUTE(LEFT(B33,_xlfn.AGGREGATE(16,6,FIND({0,1,2,3,4,5,6,7,8,9},B33,ROW(INDIRECT("1:"&amp;LEN(B33)))),1))," ",REPT(" ",LEN(B33))),LEN(B33)))</f>
        <v>1</v>
      </c>
      <c r="D33" s="43">
        <v>0</v>
      </c>
      <c r="E33" s="43">
        <v>0</v>
      </c>
      <c r="F33" s="43">
        <v>0</v>
      </c>
      <c r="G33" s="43">
        <v>0</v>
      </c>
      <c r="H33" s="43">
        <v>0</v>
      </c>
      <c r="I33" s="43">
        <v>0</v>
      </c>
      <c r="J33" s="43">
        <v>0</v>
      </c>
      <c r="K33" s="43">
        <v>0</v>
      </c>
      <c r="L33" s="43">
        <v>0</v>
      </c>
      <c r="M33" s="43">
        <v>0</v>
      </c>
      <c r="N33" s="90">
        <f t="shared" ca="1" si="1"/>
        <v>0</v>
      </c>
      <c r="O33" s="90">
        <f t="shared" ca="1" si="2"/>
        <v>0</v>
      </c>
      <c r="P33" s="103" t="str">
        <f t="shared" ca="1" si="3"/>
        <v xml:space="preserve">Work not yet Started. </v>
      </c>
      <c r="Q33" s="19">
        <f t="shared" ca="1" si="4"/>
        <v>0</v>
      </c>
      <c r="R33" s="19">
        <f t="shared" ca="1" si="5"/>
        <v>0</v>
      </c>
      <c r="S33" s="19">
        <f t="shared" ca="1" si="6"/>
        <v>0</v>
      </c>
      <c r="T33" s="19">
        <f t="shared" ca="1" si="7"/>
        <v>0</v>
      </c>
      <c r="U33" s="19">
        <f t="shared" ca="1" si="8"/>
        <v>0</v>
      </c>
      <c r="V33" s="19">
        <f t="shared" ca="1" si="9"/>
        <v>0</v>
      </c>
      <c r="W33" s="19">
        <f t="shared" ca="1" si="10"/>
        <v>0</v>
      </c>
      <c r="X33" s="19">
        <f t="shared" ca="1" si="11"/>
        <v>0</v>
      </c>
      <c r="Y33" s="19">
        <f t="shared" ca="1" si="12"/>
        <v>0</v>
      </c>
      <c r="Z33" s="19">
        <f t="shared" ca="1" si="13"/>
        <v>0</v>
      </c>
      <c r="AA33" s="92">
        <f t="shared" ca="1" si="14"/>
        <v>0.25</v>
      </c>
      <c r="AB33" s="93">
        <f t="shared" ca="1" si="15"/>
        <v>0.5</v>
      </c>
      <c r="AC33" s="93">
        <f t="shared" ca="1" si="16"/>
        <v>1</v>
      </c>
      <c r="AD33" s="94">
        <f t="shared" ca="1" si="30"/>
        <v>0.25</v>
      </c>
      <c r="AE33" s="94">
        <f t="shared" ca="1" si="31"/>
        <v>0.5</v>
      </c>
      <c r="AF33" s="94">
        <f t="shared" si="32"/>
        <v>0</v>
      </c>
      <c r="AG33" s="94">
        <f t="shared" si="33"/>
        <v>0</v>
      </c>
      <c r="AH33" s="95">
        <f t="shared" si="34"/>
        <v>0</v>
      </c>
      <c r="AI33" s="94">
        <f t="shared" si="35"/>
        <v>0</v>
      </c>
      <c r="AJ33" s="94">
        <f t="shared" ca="1" si="36"/>
        <v>0.75</v>
      </c>
      <c r="AK33" s="94">
        <f t="shared" ca="1" si="37"/>
        <v>1</v>
      </c>
      <c r="AL33" s="96" t="str">
        <f t="shared" si="38"/>
        <v/>
      </c>
      <c r="AM33" s="96" t="str">
        <f t="shared" si="25"/>
        <v>Work not yet Started.</v>
      </c>
      <c r="AN33" s="96" t="str">
        <f t="shared" ca="1" si="26"/>
        <v/>
      </c>
      <c r="AO33" s="96" t="str">
        <f t="shared" ca="1" si="27"/>
        <v/>
      </c>
      <c r="AP33" s="96" t="str">
        <f t="shared" ca="1" si="28"/>
        <v/>
      </c>
      <c r="AQ33" s="96" t="str">
        <f t="shared" ca="1" si="29"/>
        <v/>
      </c>
    </row>
    <row r="34" spans="1:43" ht="15.75" x14ac:dyDescent="0.25">
      <c r="A34" s="89">
        <v>16</v>
      </c>
      <c r="B34" s="18" t="s">
        <v>297</v>
      </c>
      <c r="C34" s="47">
        <f ca="1">--TRIM(RIGHT(SUBSTITUTE(LEFT(B34,_xlfn.AGGREGATE(16,6,FIND({0,1,2,3,4,5,6,7,8,9},B34,ROW(INDIRECT("1:"&amp;LEN(B34)))),1))," ",REPT(" ",LEN(B34))),LEN(B34)))</f>
        <v>1</v>
      </c>
      <c r="D34" s="43">
        <v>0</v>
      </c>
      <c r="E34" s="43">
        <v>0</v>
      </c>
      <c r="F34" s="43">
        <v>0</v>
      </c>
      <c r="G34" s="43">
        <v>0</v>
      </c>
      <c r="H34" s="43">
        <v>0</v>
      </c>
      <c r="I34" s="43">
        <v>0</v>
      </c>
      <c r="J34" s="43">
        <v>0</v>
      </c>
      <c r="K34" s="43">
        <v>0</v>
      </c>
      <c r="L34" s="43">
        <v>0</v>
      </c>
      <c r="M34" s="43">
        <v>0</v>
      </c>
      <c r="N34" s="90">
        <f t="shared" ca="1" si="1"/>
        <v>0</v>
      </c>
      <c r="O34" s="90">
        <f t="shared" ca="1" si="2"/>
        <v>0</v>
      </c>
      <c r="P34" s="103" t="str">
        <f t="shared" ca="1" si="3"/>
        <v xml:space="preserve">Work not yet Started. </v>
      </c>
      <c r="Q34" s="19">
        <f t="shared" ca="1" si="4"/>
        <v>0</v>
      </c>
      <c r="R34" s="19">
        <f t="shared" ca="1" si="5"/>
        <v>0</v>
      </c>
      <c r="S34" s="19">
        <f t="shared" ca="1" si="6"/>
        <v>0</v>
      </c>
      <c r="T34" s="19">
        <f t="shared" ca="1" si="7"/>
        <v>0</v>
      </c>
      <c r="U34" s="19">
        <f t="shared" ca="1" si="8"/>
        <v>0</v>
      </c>
      <c r="V34" s="19">
        <f t="shared" ca="1" si="9"/>
        <v>0</v>
      </c>
      <c r="W34" s="19">
        <f t="shared" ca="1" si="10"/>
        <v>0</v>
      </c>
      <c r="X34" s="19">
        <f t="shared" ca="1" si="11"/>
        <v>0</v>
      </c>
      <c r="Y34" s="19">
        <f t="shared" ca="1" si="12"/>
        <v>0</v>
      </c>
      <c r="Z34" s="19">
        <f t="shared" ca="1" si="13"/>
        <v>0</v>
      </c>
      <c r="AA34" s="92">
        <f t="shared" ca="1" si="14"/>
        <v>0.25</v>
      </c>
      <c r="AB34" s="93">
        <f t="shared" ca="1" si="15"/>
        <v>0.5</v>
      </c>
      <c r="AC34" s="93">
        <f t="shared" ca="1" si="16"/>
        <v>1</v>
      </c>
      <c r="AD34" s="94">
        <f t="shared" ca="1" si="30"/>
        <v>0.25</v>
      </c>
      <c r="AE34" s="94">
        <f t="shared" ca="1" si="31"/>
        <v>0.5</v>
      </c>
      <c r="AF34" s="94">
        <f t="shared" si="32"/>
        <v>0</v>
      </c>
      <c r="AG34" s="94">
        <f t="shared" si="33"/>
        <v>0</v>
      </c>
      <c r="AH34" s="95">
        <f t="shared" si="34"/>
        <v>0</v>
      </c>
      <c r="AI34" s="94">
        <f t="shared" si="35"/>
        <v>0</v>
      </c>
      <c r="AJ34" s="94">
        <f t="shared" ca="1" si="36"/>
        <v>0.75</v>
      </c>
      <c r="AK34" s="94">
        <f t="shared" ca="1" si="37"/>
        <v>1</v>
      </c>
      <c r="AL34" s="96" t="str">
        <f t="shared" si="38"/>
        <v/>
      </c>
      <c r="AM34" s="96" t="str">
        <f t="shared" si="25"/>
        <v>Work not yet Started.</v>
      </c>
      <c r="AN34" s="96" t="str">
        <f t="shared" ca="1" si="26"/>
        <v/>
      </c>
      <c r="AO34" s="96" t="str">
        <f t="shared" ca="1" si="27"/>
        <v/>
      </c>
      <c r="AP34" s="96" t="str">
        <f t="shared" ca="1" si="28"/>
        <v/>
      </c>
      <c r="AQ34" s="96" t="str">
        <f t="shared" ca="1" si="29"/>
        <v/>
      </c>
    </row>
    <row r="35" spans="1:43" ht="15.75" x14ac:dyDescent="0.25">
      <c r="A35" s="89">
        <v>17</v>
      </c>
      <c r="B35" s="18" t="s">
        <v>297</v>
      </c>
      <c r="C35" s="47">
        <f ca="1">--TRIM(RIGHT(SUBSTITUTE(LEFT(B35,_xlfn.AGGREGATE(16,6,FIND({0,1,2,3,4,5,6,7,8,9},B35,ROW(INDIRECT("1:"&amp;LEN(B35)))),1))," ",REPT(" ",LEN(B35))),LEN(B35)))</f>
        <v>1</v>
      </c>
      <c r="D35" s="43">
        <v>0</v>
      </c>
      <c r="E35" s="43">
        <v>0</v>
      </c>
      <c r="F35" s="43">
        <v>0</v>
      </c>
      <c r="G35" s="43">
        <v>0</v>
      </c>
      <c r="H35" s="43">
        <v>0</v>
      </c>
      <c r="I35" s="43">
        <v>0</v>
      </c>
      <c r="J35" s="43">
        <v>0</v>
      </c>
      <c r="K35" s="43">
        <v>0</v>
      </c>
      <c r="L35" s="43">
        <v>0</v>
      </c>
      <c r="M35" s="43">
        <v>0</v>
      </c>
      <c r="N35" s="90">
        <f t="shared" ca="1" si="1"/>
        <v>0</v>
      </c>
      <c r="O35" s="90">
        <f t="shared" ca="1" si="2"/>
        <v>0</v>
      </c>
      <c r="P35" s="103" t="str">
        <f t="shared" ca="1" si="3"/>
        <v xml:space="preserve">Work not yet Started. </v>
      </c>
      <c r="Q35" s="19">
        <f t="shared" ca="1" si="4"/>
        <v>0</v>
      </c>
      <c r="R35" s="19">
        <f t="shared" ca="1" si="5"/>
        <v>0</v>
      </c>
      <c r="S35" s="19">
        <f t="shared" ca="1" si="6"/>
        <v>0</v>
      </c>
      <c r="T35" s="19">
        <f t="shared" ca="1" si="7"/>
        <v>0</v>
      </c>
      <c r="U35" s="19">
        <f t="shared" ca="1" si="8"/>
        <v>0</v>
      </c>
      <c r="V35" s="19">
        <f t="shared" ca="1" si="9"/>
        <v>0</v>
      </c>
      <c r="W35" s="19">
        <f t="shared" ca="1" si="10"/>
        <v>0</v>
      </c>
      <c r="X35" s="19">
        <f t="shared" ca="1" si="11"/>
        <v>0</v>
      </c>
      <c r="Y35" s="19">
        <f t="shared" ca="1" si="12"/>
        <v>0</v>
      </c>
      <c r="Z35" s="19">
        <f t="shared" ca="1" si="13"/>
        <v>0</v>
      </c>
      <c r="AA35" s="92">
        <f t="shared" ca="1" si="14"/>
        <v>0.25</v>
      </c>
      <c r="AB35" s="93">
        <f t="shared" ca="1" si="15"/>
        <v>0.5</v>
      </c>
      <c r="AC35" s="93">
        <f t="shared" ca="1" si="16"/>
        <v>1</v>
      </c>
      <c r="AD35" s="94">
        <f t="shared" ca="1" si="30"/>
        <v>0.25</v>
      </c>
      <c r="AE35" s="94">
        <f t="shared" ca="1" si="31"/>
        <v>0.5</v>
      </c>
      <c r="AF35" s="94">
        <f t="shared" si="32"/>
        <v>0</v>
      </c>
      <c r="AG35" s="94">
        <f t="shared" si="33"/>
        <v>0</v>
      </c>
      <c r="AH35" s="95">
        <f t="shared" si="34"/>
        <v>0</v>
      </c>
      <c r="AI35" s="94">
        <f t="shared" si="35"/>
        <v>0</v>
      </c>
      <c r="AJ35" s="94">
        <f t="shared" ca="1" si="36"/>
        <v>0.75</v>
      </c>
      <c r="AK35" s="94">
        <f t="shared" ca="1" si="37"/>
        <v>1</v>
      </c>
      <c r="AL35" s="96" t="str">
        <f t="shared" si="38"/>
        <v/>
      </c>
      <c r="AM35" s="96" t="str">
        <f t="shared" si="25"/>
        <v>Work not yet Started.</v>
      </c>
      <c r="AN35" s="96" t="str">
        <f t="shared" ca="1" si="26"/>
        <v/>
      </c>
      <c r="AO35" s="96" t="str">
        <f t="shared" ca="1" si="27"/>
        <v/>
      </c>
      <c r="AP35" s="96" t="str">
        <f t="shared" ca="1" si="28"/>
        <v/>
      </c>
      <c r="AQ35" s="96" t="str">
        <f t="shared" ca="1" si="29"/>
        <v/>
      </c>
    </row>
    <row r="36" spans="1:43" ht="15.75" x14ac:dyDescent="0.25">
      <c r="A36" s="89">
        <v>18</v>
      </c>
      <c r="B36" s="18" t="s">
        <v>297</v>
      </c>
      <c r="C36" s="47">
        <f ca="1">--TRIM(RIGHT(SUBSTITUTE(LEFT(B36,_xlfn.AGGREGATE(16,6,FIND({0,1,2,3,4,5,6,7,8,9},B36,ROW(INDIRECT("1:"&amp;LEN(B36)))),1))," ",REPT(" ",LEN(B36))),LEN(B36)))</f>
        <v>1</v>
      </c>
      <c r="D36" s="43">
        <v>0</v>
      </c>
      <c r="E36" s="43">
        <v>0</v>
      </c>
      <c r="F36" s="43">
        <v>0</v>
      </c>
      <c r="G36" s="43">
        <v>0</v>
      </c>
      <c r="H36" s="43">
        <v>0</v>
      </c>
      <c r="I36" s="43">
        <v>0</v>
      </c>
      <c r="J36" s="43">
        <v>0</v>
      </c>
      <c r="K36" s="43">
        <v>0</v>
      </c>
      <c r="L36" s="43">
        <v>0</v>
      </c>
      <c r="M36" s="43">
        <v>0</v>
      </c>
      <c r="N36" s="90">
        <f t="shared" ca="1" si="1"/>
        <v>0</v>
      </c>
      <c r="O36" s="90">
        <f t="shared" ca="1" si="2"/>
        <v>0</v>
      </c>
      <c r="P36" s="103" t="str">
        <f t="shared" ca="1" si="3"/>
        <v xml:space="preserve">Work not yet Started. </v>
      </c>
      <c r="Q36" s="19">
        <f t="shared" ca="1" si="4"/>
        <v>0</v>
      </c>
      <c r="R36" s="19">
        <f t="shared" ca="1" si="5"/>
        <v>0</v>
      </c>
      <c r="S36" s="19">
        <f t="shared" ca="1" si="6"/>
        <v>0</v>
      </c>
      <c r="T36" s="19">
        <f t="shared" ca="1" si="7"/>
        <v>0</v>
      </c>
      <c r="U36" s="19">
        <f t="shared" ca="1" si="8"/>
        <v>0</v>
      </c>
      <c r="V36" s="19">
        <f t="shared" ca="1" si="9"/>
        <v>0</v>
      </c>
      <c r="W36" s="19">
        <f t="shared" ca="1" si="10"/>
        <v>0</v>
      </c>
      <c r="X36" s="19">
        <f t="shared" ca="1" si="11"/>
        <v>0</v>
      </c>
      <c r="Y36" s="19">
        <f t="shared" ca="1" si="12"/>
        <v>0</v>
      </c>
      <c r="Z36" s="19">
        <f t="shared" ca="1" si="13"/>
        <v>0</v>
      </c>
      <c r="AA36" s="92">
        <f t="shared" ca="1" si="14"/>
        <v>0.25</v>
      </c>
      <c r="AB36" s="93">
        <f t="shared" ca="1" si="15"/>
        <v>0.5</v>
      </c>
      <c r="AC36" s="93">
        <f t="shared" ca="1" si="16"/>
        <v>1</v>
      </c>
      <c r="AD36" s="94">
        <f t="shared" ca="1" si="30"/>
        <v>0.25</v>
      </c>
      <c r="AE36" s="94">
        <f t="shared" ca="1" si="31"/>
        <v>0.5</v>
      </c>
      <c r="AF36" s="94">
        <f t="shared" si="32"/>
        <v>0</v>
      </c>
      <c r="AG36" s="94">
        <f t="shared" si="33"/>
        <v>0</v>
      </c>
      <c r="AH36" s="95">
        <f t="shared" si="34"/>
        <v>0</v>
      </c>
      <c r="AI36" s="94">
        <f t="shared" si="35"/>
        <v>0</v>
      </c>
      <c r="AJ36" s="94">
        <f t="shared" ca="1" si="36"/>
        <v>0.75</v>
      </c>
      <c r="AK36" s="94">
        <f t="shared" ca="1" si="37"/>
        <v>1</v>
      </c>
      <c r="AL36" s="96" t="str">
        <f t="shared" si="38"/>
        <v/>
      </c>
      <c r="AM36" s="96" t="str">
        <f t="shared" si="25"/>
        <v>Work not yet Started.</v>
      </c>
      <c r="AN36" s="96" t="str">
        <f t="shared" ca="1" si="26"/>
        <v/>
      </c>
      <c r="AO36" s="96" t="str">
        <f t="shared" ca="1" si="27"/>
        <v/>
      </c>
      <c r="AP36" s="96" t="str">
        <f t="shared" ca="1" si="28"/>
        <v/>
      </c>
      <c r="AQ36" s="96" t="str">
        <f t="shared" ca="1" si="29"/>
        <v/>
      </c>
    </row>
    <row r="37" spans="1:43" ht="15.75" x14ac:dyDescent="0.25">
      <c r="A37" s="89">
        <v>19</v>
      </c>
      <c r="B37" s="18" t="s">
        <v>297</v>
      </c>
      <c r="C37" s="47">
        <f ca="1">--TRIM(RIGHT(SUBSTITUTE(LEFT(B37,_xlfn.AGGREGATE(16,6,FIND({0,1,2,3,4,5,6,7,8,9},B37,ROW(INDIRECT("1:"&amp;LEN(B37)))),1))," ",REPT(" ",LEN(B37))),LEN(B37)))</f>
        <v>1</v>
      </c>
      <c r="D37" s="43">
        <v>0</v>
      </c>
      <c r="E37" s="43">
        <v>0</v>
      </c>
      <c r="F37" s="43">
        <v>0</v>
      </c>
      <c r="G37" s="43">
        <v>0</v>
      </c>
      <c r="H37" s="43">
        <v>0</v>
      </c>
      <c r="I37" s="43">
        <v>0</v>
      </c>
      <c r="J37" s="43">
        <v>0</v>
      </c>
      <c r="K37" s="43">
        <v>0</v>
      </c>
      <c r="L37" s="43">
        <v>0</v>
      </c>
      <c r="M37" s="43">
        <v>0</v>
      </c>
      <c r="N37" s="90">
        <f t="shared" ca="1" si="1"/>
        <v>0</v>
      </c>
      <c r="O37" s="90">
        <f t="shared" ca="1" si="2"/>
        <v>0</v>
      </c>
      <c r="P37" s="103" t="str">
        <f t="shared" ca="1" si="3"/>
        <v xml:space="preserve">Work not yet Started. </v>
      </c>
      <c r="Q37" s="19">
        <f t="shared" ca="1" si="4"/>
        <v>0</v>
      </c>
      <c r="R37" s="19">
        <f t="shared" ca="1" si="5"/>
        <v>0</v>
      </c>
      <c r="S37" s="19">
        <f t="shared" ca="1" si="6"/>
        <v>0</v>
      </c>
      <c r="T37" s="19">
        <f t="shared" ca="1" si="7"/>
        <v>0</v>
      </c>
      <c r="U37" s="19">
        <f t="shared" ca="1" si="8"/>
        <v>0</v>
      </c>
      <c r="V37" s="19">
        <f t="shared" ca="1" si="9"/>
        <v>0</v>
      </c>
      <c r="W37" s="19">
        <f t="shared" ca="1" si="10"/>
        <v>0</v>
      </c>
      <c r="X37" s="19">
        <f t="shared" ca="1" si="11"/>
        <v>0</v>
      </c>
      <c r="Y37" s="19">
        <f t="shared" ca="1" si="12"/>
        <v>0</v>
      </c>
      <c r="Z37" s="19">
        <f t="shared" ca="1" si="13"/>
        <v>0</v>
      </c>
      <c r="AA37" s="92">
        <f t="shared" ca="1" si="14"/>
        <v>0.25</v>
      </c>
      <c r="AB37" s="93">
        <f t="shared" ca="1" si="15"/>
        <v>0.5</v>
      </c>
      <c r="AC37" s="93">
        <f t="shared" ca="1" si="16"/>
        <v>1</v>
      </c>
      <c r="AD37" s="94">
        <f t="shared" ca="1" si="30"/>
        <v>0.25</v>
      </c>
      <c r="AE37" s="94">
        <f t="shared" ca="1" si="31"/>
        <v>0.5</v>
      </c>
      <c r="AF37" s="94">
        <f t="shared" si="32"/>
        <v>0</v>
      </c>
      <c r="AG37" s="94">
        <f t="shared" si="33"/>
        <v>0</v>
      </c>
      <c r="AH37" s="95">
        <f t="shared" si="34"/>
        <v>0</v>
      </c>
      <c r="AI37" s="94">
        <f t="shared" si="35"/>
        <v>0</v>
      </c>
      <c r="AJ37" s="94">
        <f t="shared" ca="1" si="36"/>
        <v>0.75</v>
      </c>
      <c r="AK37" s="94">
        <f t="shared" ca="1" si="37"/>
        <v>1</v>
      </c>
      <c r="AL37" s="96" t="str">
        <f t="shared" si="38"/>
        <v/>
      </c>
      <c r="AM37" s="96" t="str">
        <f t="shared" si="25"/>
        <v>Work not yet Started.</v>
      </c>
      <c r="AN37" s="96" t="str">
        <f t="shared" ca="1" si="26"/>
        <v/>
      </c>
      <c r="AO37" s="96" t="str">
        <f t="shared" ca="1" si="27"/>
        <v/>
      </c>
      <c r="AP37" s="96" t="str">
        <f t="shared" ca="1" si="28"/>
        <v/>
      </c>
      <c r="AQ37" s="96" t="str">
        <f t="shared" ca="1" si="29"/>
        <v/>
      </c>
    </row>
    <row r="38" spans="1:43" ht="15.75" x14ac:dyDescent="0.25">
      <c r="A38" s="89">
        <v>20</v>
      </c>
      <c r="B38" s="18" t="s">
        <v>297</v>
      </c>
      <c r="C38" s="47">
        <f ca="1">--TRIM(RIGHT(SUBSTITUTE(LEFT(B38,_xlfn.AGGREGATE(16,6,FIND({0,1,2,3,4,5,6,7,8,9},B38,ROW(INDIRECT("1:"&amp;LEN(B38)))),1))," ",REPT(" ",LEN(B38))),LEN(B38)))</f>
        <v>1</v>
      </c>
      <c r="D38" s="43">
        <v>0</v>
      </c>
      <c r="E38" s="43">
        <v>0</v>
      </c>
      <c r="F38" s="43">
        <v>0</v>
      </c>
      <c r="G38" s="43">
        <v>0</v>
      </c>
      <c r="H38" s="43">
        <v>0</v>
      </c>
      <c r="I38" s="43">
        <v>0</v>
      </c>
      <c r="J38" s="43">
        <v>0</v>
      </c>
      <c r="K38" s="43">
        <v>0</v>
      </c>
      <c r="L38" s="43">
        <v>0</v>
      </c>
      <c r="M38" s="43">
        <v>0</v>
      </c>
      <c r="N38" s="90">
        <f t="shared" ca="1" si="1"/>
        <v>0</v>
      </c>
      <c r="O38" s="90">
        <f t="shared" ca="1" si="2"/>
        <v>0</v>
      </c>
      <c r="P38" s="103" t="str">
        <f t="shared" ca="1" si="3"/>
        <v xml:space="preserve">Work not yet Started. </v>
      </c>
      <c r="Q38" s="19">
        <f t="shared" ca="1" si="4"/>
        <v>0</v>
      </c>
      <c r="R38" s="19">
        <f t="shared" ca="1" si="5"/>
        <v>0</v>
      </c>
      <c r="S38" s="19">
        <f t="shared" ca="1" si="6"/>
        <v>0</v>
      </c>
      <c r="T38" s="19">
        <f t="shared" ca="1" si="7"/>
        <v>0</v>
      </c>
      <c r="U38" s="19">
        <f t="shared" ca="1" si="8"/>
        <v>0</v>
      </c>
      <c r="V38" s="19">
        <f t="shared" ca="1" si="9"/>
        <v>0</v>
      </c>
      <c r="W38" s="19">
        <f t="shared" ca="1" si="10"/>
        <v>0</v>
      </c>
      <c r="X38" s="19">
        <f t="shared" ca="1" si="11"/>
        <v>0</v>
      </c>
      <c r="Y38" s="19">
        <f t="shared" ca="1" si="12"/>
        <v>0</v>
      </c>
      <c r="Z38" s="19">
        <f t="shared" ca="1" si="13"/>
        <v>0</v>
      </c>
      <c r="AA38" s="92">
        <f t="shared" ca="1" si="14"/>
        <v>0.25</v>
      </c>
      <c r="AB38" s="93">
        <f t="shared" ca="1" si="15"/>
        <v>0.5</v>
      </c>
      <c r="AC38" s="93">
        <f t="shared" ca="1" si="16"/>
        <v>1</v>
      </c>
      <c r="AD38" s="94">
        <f t="shared" ca="1" si="30"/>
        <v>0.25</v>
      </c>
      <c r="AE38" s="94">
        <f t="shared" ca="1" si="31"/>
        <v>0.5</v>
      </c>
      <c r="AF38" s="94">
        <f t="shared" si="32"/>
        <v>0</v>
      </c>
      <c r="AG38" s="94">
        <f t="shared" si="33"/>
        <v>0</v>
      </c>
      <c r="AH38" s="95">
        <f t="shared" si="34"/>
        <v>0</v>
      </c>
      <c r="AI38" s="94">
        <f t="shared" si="35"/>
        <v>0</v>
      </c>
      <c r="AJ38" s="94">
        <f t="shared" ca="1" si="36"/>
        <v>0.75</v>
      </c>
      <c r="AK38" s="94">
        <f t="shared" ca="1" si="37"/>
        <v>1</v>
      </c>
      <c r="AL38" s="96" t="str">
        <f t="shared" si="38"/>
        <v/>
      </c>
      <c r="AM38" s="96" t="str">
        <f t="shared" si="25"/>
        <v>Work not yet Started.</v>
      </c>
      <c r="AN38" s="96" t="str">
        <f t="shared" ca="1" si="26"/>
        <v/>
      </c>
      <c r="AO38" s="96" t="str">
        <f t="shared" ca="1" si="27"/>
        <v/>
      </c>
      <c r="AP38" s="96" t="str">
        <f t="shared" ca="1" si="28"/>
        <v/>
      </c>
      <c r="AQ38" s="96" t="str">
        <f t="shared" ca="1" si="29"/>
        <v/>
      </c>
    </row>
    <row r="39" spans="1:43" ht="15.75" x14ac:dyDescent="0.25">
      <c r="A39" s="89"/>
      <c r="B39" s="18"/>
      <c r="C39" s="47"/>
      <c r="D39" s="43"/>
      <c r="E39" s="43"/>
      <c r="F39" s="43"/>
      <c r="G39" s="43"/>
      <c r="H39" s="43"/>
      <c r="I39" s="43"/>
      <c r="J39" s="43"/>
      <c r="K39" s="43"/>
      <c r="L39" s="43"/>
      <c r="M39" s="43"/>
      <c r="N39" s="90"/>
      <c r="O39" s="90"/>
      <c r="P39" s="96"/>
      <c r="Q39" s="19" t="e">
        <f t="shared" si="4"/>
        <v>#DIV/0!</v>
      </c>
      <c r="R39" s="19" t="e">
        <f t="shared" si="5"/>
        <v>#DIV/0!</v>
      </c>
      <c r="S39" s="19">
        <f t="shared" si="6"/>
        <v>0</v>
      </c>
      <c r="T39" s="19" t="e">
        <f t="shared" si="7"/>
        <v>#DIV/0!</v>
      </c>
      <c r="U39" s="19" t="e">
        <f t="shared" si="8"/>
        <v>#DIV/0!</v>
      </c>
      <c r="V39" s="19" t="e">
        <f t="shared" si="9"/>
        <v>#DIV/0!</v>
      </c>
      <c r="W39" s="19" t="e">
        <f t="shared" si="10"/>
        <v>#DIV/0!</v>
      </c>
      <c r="X39" s="19" t="e">
        <f t="shared" si="11"/>
        <v>#DIV/0!</v>
      </c>
      <c r="Y39" s="19" t="e">
        <f t="shared" si="12"/>
        <v>#DIV/0!</v>
      </c>
      <c r="Z39" s="19" t="e">
        <f t="shared" si="13"/>
        <v>#DIV/0!</v>
      </c>
      <c r="AA39" s="92">
        <f t="shared" si="14"/>
        <v>0</v>
      </c>
      <c r="AB39" s="93">
        <f t="shared" si="15"/>
        <v>0</v>
      </c>
      <c r="AC39" s="93">
        <f t="shared" si="16"/>
        <v>0</v>
      </c>
      <c r="AD39" s="94">
        <f t="shared" si="30"/>
        <v>0</v>
      </c>
      <c r="AE39" s="94">
        <f t="shared" si="31"/>
        <v>0</v>
      </c>
      <c r="AF39" s="94">
        <f t="shared" si="32"/>
        <v>0</v>
      </c>
      <c r="AG39" s="94">
        <f t="shared" si="33"/>
        <v>0</v>
      </c>
      <c r="AH39" s="95">
        <f t="shared" si="34"/>
        <v>0</v>
      </c>
      <c r="AI39" s="94">
        <f t="shared" si="35"/>
        <v>0</v>
      </c>
      <c r="AJ39" s="94">
        <f t="shared" si="36"/>
        <v>0</v>
      </c>
      <c r="AK39" s="94">
        <f t="shared" si="37"/>
        <v>0</v>
      </c>
      <c r="AL39" s="96" t="str">
        <f t="shared" si="38"/>
        <v/>
      </c>
      <c r="AM39" s="96" t="str">
        <f t="shared" si="25"/>
        <v>Work not yet Started.</v>
      </c>
      <c r="AN39" s="96" t="str">
        <f t="shared" si="26"/>
        <v/>
      </c>
      <c r="AO39" s="96" t="e">
        <f t="shared" si="27"/>
        <v>#DIV/0!</v>
      </c>
      <c r="AP39" s="96" t="e">
        <f t="shared" si="28"/>
        <v>#DIV/0!</v>
      </c>
      <c r="AQ39" s="96" t="str">
        <f t="shared" si="29"/>
        <v/>
      </c>
    </row>
    <row r="40" spans="1:43" ht="15.75" x14ac:dyDescent="0.25">
      <c r="A40" s="89"/>
      <c r="B40" s="18"/>
      <c r="C40" s="47"/>
      <c r="D40" s="43"/>
      <c r="E40" s="43"/>
      <c r="F40" s="43"/>
      <c r="G40" s="43"/>
      <c r="H40" s="43"/>
      <c r="I40" s="43"/>
      <c r="J40" s="43"/>
      <c r="K40" s="43"/>
      <c r="L40" s="43"/>
      <c r="M40" s="43"/>
      <c r="N40" s="90"/>
      <c r="O40" s="90"/>
      <c r="P40" s="96"/>
      <c r="Q40" s="19" t="e">
        <f t="shared" si="4"/>
        <v>#DIV/0!</v>
      </c>
      <c r="R40" s="19" t="e">
        <f t="shared" si="5"/>
        <v>#DIV/0!</v>
      </c>
      <c r="S40" s="19">
        <f t="shared" si="6"/>
        <v>0</v>
      </c>
      <c r="T40" s="19" t="e">
        <f t="shared" si="7"/>
        <v>#DIV/0!</v>
      </c>
      <c r="U40" s="19" t="e">
        <f t="shared" si="8"/>
        <v>#DIV/0!</v>
      </c>
      <c r="V40" s="19" t="e">
        <f t="shared" si="9"/>
        <v>#DIV/0!</v>
      </c>
      <c r="W40" s="19" t="e">
        <f t="shared" si="10"/>
        <v>#DIV/0!</v>
      </c>
      <c r="X40" s="19" t="e">
        <f t="shared" si="11"/>
        <v>#DIV/0!</v>
      </c>
      <c r="Y40" s="19" t="e">
        <f t="shared" si="12"/>
        <v>#DIV/0!</v>
      </c>
      <c r="Z40" s="19" t="e">
        <f t="shared" si="13"/>
        <v>#DIV/0!</v>
      </c>
      <c r="AA40" s="92">
        <f t="shared" si="14"/>
        <v>0</v>
      </c>
      <c r="AB40" s="93">
        <f t="shared" si="15"/>
        <v>0</v>
      </c>
      <c r="AC40" s="93">
        <f t="shared" si="16"/>
        <v>0</v>
      </c>
      <c r="AD40" s="94">
        <f t="shared" si="30"/>
        <v>0</v>
      </c>
      <c r="AE40" s="94">
        <f t="shared" si="31"/>
        <v>0</v>
      </c>
      <c r="AF40" s="94">
        <f t="shared" si="32"/>
        <v>0</v>
      </c>
      <c r="AG40" s="94">
        <f t="shared" si="33"/>
        <v>0</v>
      </c>
      <c r="AH40" s="95">
        <f t="shared" si="34"/>
        <v>0</v>
      </c>
      <c r="AI40" s="94">
        <f t="shared" si="35"/>
        <v>0</v>
      </c>
      <c r="AJ40" s="94">
        <f t="shared" si="36"/>
        <v>0</v>
      </c>
      <c r="AK40" s="94">
        <f t="shared" si="37"/>
        <v>0</v>
      </c>
      <c r="AL40" s="96" t="str">
        <f t="shared" si="38"/>
        <v/>
      </c>
      <c r="AM40" s="96" t="str">
        <f t="shared" si="25"/>
        <v>Work not yet Started.</v>
      </c>
      <c r="AN40" s="96" t="str">
        <f t="shared" si="26"/>
        <v/>
      </c>
      <c r="AO40" s="96" t="e">
        <f t="shared" si="27"/>
        <v>#DIV/0!</v>
      </c>
      <c r="AP40" s="96" t="e">
        <f t="shared" si="28"/>
        <v>#DIV/0!</v>
      </c>
      <c r="AQ40" s="96" t="str">
        <f t="shared" si="29"/>
        <v/>
      </c>
    </row>
    <row r="41" spans="1:43" ht="15.75" x14ac:dyDescent="0.25">
      <c r="A41" s="89"/>
      <c r="B41" s="18"/>
      <c r="C41" s="47"/>
      <c r="D41" s="43"/>
      <c r="E41" s="43"/>
      <c r="F41" s="43"/>
      <c r="G41" s="43"/>
      <c r="H41" s="43"/>
      <c r="I41" s="43"/>
      <c r="J41" s="43"/>
      <c r="K41" s="43"/>
      <c r="L41" s="43"/>
      <c r="M41" s="43"/>
      <c r="N41" s="90"/>
      <c r="O41" s="90"/>
      <c r="P41" s="96"/>
      <c r="Q41" s="19" t="e">
        <f t="shared" si="4"/>
        <v>#DIV/0!</v>
      </c>
      <c r="R41" s="19" t="e">
        <f t="shared" si="5"/>
        <v>#DIV/0!</v>
      </c>
      <c r="S41" s="19">
        <f t="shared" si="6"/>
        <v>0</v>
      </c>
      <c r="T41" s="19" t="e">
        <f t="shared" si="7"/>
        <v>#DIV/0!</v>
      </c>
      <c r="U41" s="19" t="e">
        <f t="shared" si="8"/>
        <v>#DIV/0!</v>
      </c>
      <c r="V41" s="19" t="e">
        <f t="shared" si="9"/>
        <v>#DIV/0!</v>
      </c>
      <c r="W41" s="19" t="e">
        <f t="shared" si="10"/>
        <v>#DIV/0!</v>
      </c>
      <c r="X41" s="19" t="e">
        <f t="shared" si="11"/>
        <v>#DIV/0!</v>
      </c>
      <c r="Y41" s="19" t="e">
        <f t="shared" si="12"/>
        <v>#DIV/0!</v>
      </c>
      <c r="Z41" s="19" t="e">
        <f t="shared" si="13"/>
        <v>#DIV/0!</v>
      </c>
      <c r="AA41" s="92">
        <f t="shared" si="14"/>
        <v>0</v>
      </c>
      <c r="AB41" s="93">
        <f t="shared" si="15"/>
        <v>0</v>
      </c>
      <c r="AC41" s="93">
        <f t="shared" si="16"/>
        <v>0</v>
      </c>
      <c r="AD41" s="94">
        <f t="shared" si="30"/>
        <v>0</v>
      </c>
      <c r="AE41" s="94">
        <f t="shared" si="31"/>
        <v>0</v>
      </c>
      <c r="AF41" s="94">
        <f t="shared" si="32"/>
        <v>0</v>
      </c>
      <c r="AG41" s="94">
        <f t="shared" si="33"/>
        <v>0</v>
      </c>
      <c r="AH41" s="95">
        <f t="shared" si="34"/>
        <v>0</v>
      </c>
      <c r="AI41" s="94">
        <f t="shared" si="35"/>
        <v>0</v>
      </c>
      <c r="AJ41" s="94">
        <f t="shared" si="36"/>
        <v>0</v>
      </c>
      <c r="AK41" s="94">
        <f t="shared" si="37"/>
        <v>0</v>
      </c>
      <c r="AL41" s="96" t="str">
        <f t="shared" si="38"/>
        <v/>
      </c>
      <c r="AM41" s="96" t="str">
        <f t="shared" si="25"/>
        <v>Work not yet Started.</v>
      </c>
      <c r="AN41" s="96" t="str">
        <f t="shared" si="26"/>
        <v/>
      </c>
      <c r="AO41" s="96" t="e">
        <f t="shared" si="27"/>
        <v>#DIV/0!</v>
      </c>
      <c r="AP41" s="96" t="e">
        <f t="shared" si="28"/>
        <v>#DIV/0!</v>
      </c>
      <c r="AQ41" s="96" t="str">
        <f t="shared" si="29"/>
        <v/>
      </c>
    </row>
    <row r="42" spans="1:43" ht="15.75" x14ac:dyDescent="0.25">
      <c r="A42" s="89"/>
      <c r="B42" s="18"/>
      <c r="C42" s="47"/>
      <c r="D42" s="43"/>
      <c r="E42" s="43"/>
      <c r="F42" s="43"/>
      <c r="G42" s="43"/>
      <c r="H42" s="43"/>
      <c r="I42" s="43"/>
      <c r="J42" s="43"/>
      <c r="K42" s="43"/>
      <c r="L42" s="43"/>
      <c r="M42" s="43"/>
      <c r="N42" s="90"/>
      <c r="O42" s="90"/>
      <c r="P42" s="96"/>
      <c r="Q42" s="19" t="e">
        <f t="shared" si="4"/>
        <v>#DIV/0!</v>
      </c>
      <c r="R42" s="19" t="e">
        <f t="shared" si="5"/>
        <v>#DIV/0!</v>
      </c>
      <c r="S42" s="19">
        <f t="shared" si="6"/>
        <v>0</v>
      </c>
      <c r="T42" s="19" t="e">
        <f t="shared" si="7"/>
        <v>#DIV/0!</v>
      </c>
      <c r="U42" s="19" t="e">
        <f t="shared" si="8"/>
        <v>#DIV/0!</v>
      </c>
      <c r="V42" s="19" t="e">
        <f t="shared" si="9"/>
        <v>#DIV/0!</v>
      </c>
      <c r="W42" s="19" t="e">
        <f t="shared" si="10"/>
        <v>#DIV/0!</v>
      </c>
      <c r="X42" s="19" t="e">
        <f t="shared" si="11"/>
        <v>#DIV/0!</v>
      </c>
      <c r="Y42" s="19" t="e">
        <f t="shared" si="12"/>
        <v>#DIV/0!</v>
      </c>
      <c r="Z42" s="19" t="e">
        <f t="shared" si="13"/>
        <v>#DIV/0!</v>
      </c>
      <c r="AA42" s="92">
        <f t="shared" si="14"/>
        <v>0</v>
      </c>
      <c r="AB42" s="93">
        <f t="shared" si="15"/>
        <v>0</v>
      </c>
      <c r="AC42" s="93">
        <f t="shared" si="16"/>
        <v>0</v>
      </c>
      <c r="AD42" s="94">
        <f t="shared" si="30"/>
        <v>0</v>
      </c>
      <c r="AE42" s="94">
        <f t="shared" si="31"/>
        <v>0</v>
      </c>
      <c r="AF42" s="94">
        <f t="shared" si="32"/>
        <v>0</v>
      </c>
      <c r="AG42" s="94">
        <f t="shared" si="33"/>
        <v>0</v>
      </c>
      <c r="AH42" s="95">
        <f t="shared" si="34"/>
        <v>0</v>
      </c>
      <c r="AI42" s="94">
        <f t="shared" si="35"/>
        <v>0</v>
      </c>
      <c r="AJ42" s="94">
        <f t="shared" si="36"/>
        <v>0</v>
      </c>
      <c r="AK42" s="94">
        <f t="shared" si="37"/>
        <v>0</v>
      </c>
      <c r="AL42" s="96" t="str">
        <f t="shared" si="38"/>
        <v/>
      </c>
      <c r="AM42" s="96" t="str">
        <f t="shared" si="25"/>
        <v>Work not yet Started.</v>
      </c>
      <c r="AN42" s="96" t="str">
        <f t="shared" si="26"/>
        <v/>
      </c>
      <c r="AO42" s="96" t="e">
        <f t="shared" si="27"/>
        <v>#DIV/0!</v>
      </c>
      <c r="AP42" s="96" t="e">
        <f t="shared" si="28"/>
        <v>#DIV/0!</v>
      </c>
      <c r="AQ42" s="96" t="str">
        <f t="shared" si="29"/>
        <v/>
      </c>
    </row>
    <row r="43" spans="1:43" ht="15.75" x14ac:dyDescent="0.25">
      <c r="A43" s="89"/>
      <c r="B43" s="18"/>
      <c r="C43" s="47"/>
      <c r="D43" s="43"/>
      <c r="E43" s="43"/>
      <c r="F43" s="43"/>
      <c r="G43" s="43"/>
      <c r="H43" s="43"/>
      <c r="I43" s="43"/>
      <c r="J43" s="43"/>
      <c r="K43" s="43"/>
      <c r="L43" s="43"/>
      <c r="M43" s="43"/>
      <c r="N43" s="90"/>
      <c r="O43" s="90"/>
      <c r="P43" s="96"/>
      <c r="Q43" s="19" t="e">
        <f t="shared" si="4"/>
        <v>#DIV/0!</v>
      </c>
      <c r="R43" s="19" t="e">
        <f t="shared" si="5"/>
        <v>#DIV/0!</v>
      </c>
      <c r="S43" s="19">
        <f t="shared" si="6"/>
        <v>0</v>
      </c>
      <c r="T43" s="19" t="e">
        <f t="shared" si="7"/>
        <v>#DIV/0!</v>
      </c>
      <c r="U43" s="19" t="e">
        <f t="shared" si="8"/>
        <v>#DIV/0!</v>
      </c>
      <c r="V43" s="19" t="e">
        <f t="shared" si="9"/>
        <v>#DIV/0!</v>
      </c>
      <c r="W43" s="19" t="e">
        <f t="shared" si="10"/>
        <v>#DIV/0!</v>
      </c>
      <c r="X43" s="19" t="e">
        <f t="shared" si="11"/>
        <v>#DIV/0!</v>
      </c>
      <c r="Y43" s="19" t="e">
        <f t="shared" si="12"/>
        <v>#DIV/0!</v>
      </c>
      <c r="Z43" s="19" t="e">
        <f t="shared" si="13"/>
        <v>#DIV/0!</v>
      </c>
      <c r="AA43" s="92">
        <f t="shared" si="14"/>
        <v>0</v>
      </c>
      <c r="AB43" s="93">
        <f t="shared" si="15"/>
        <v>0</v>
      </c>
      <c r="AC43" s="93">
        <f t="shared" si="16"/>
        <v>0</v>
      </c>
      <c r="AD43" s="94">
        <f t="shared" si="30"/>
        <v>0</v>
      </c>
      <c r="AE43" s="94">
        <f t="shared" si="31"/>
        <v>0</v>
      </c>
      <c r="AF43" s="94">
        <f t="shared" si="32"/>
        <v>0</v>
      </c>
      <c r="AG43" s="94">
        <f t="shared" si="33"/>
        <v>0</v>
      </c>
      <c r="AH43" s="95">
        <f t="shared" si="34"/>
        <v>0</v>
      </c>
      <c r="AI43" s="94">
        <f t="shared" si="35"/>
        <v>0</v>
      </c>
      <c r="AJ43" s="94">
        <f t="shared" si="36"/>
        <v>0</v>
      </c>
      <c r="AK43" s="94">
        <f t="shared" si="37"/>
        <v>0</v>
      </c>
      <c r="AL43" s="96" t="str">
        <f t="shared" si="38"/>
        <v/>
      </c>
      <c r="AM43" s="96" t="str">
        <f t="shared" si="25"/>
        <v>Work not yet Started.</v>
      </c>
      <c r="AN43" s="96" t="str">
        <f t="shared" si="26"/>
        <v/>
      </c>
      <c r="AO43" s="96" t="e">
        <f t="shared" si="27"/>
        <v>#DIV/0!</v>
      </c>
      <c r="AP43" s="96" t="e">
        <f t="shared" si="28"/>
        <v>#DIV/0!</v>
      </c>
      <c r="AQ43" s="96" t="str">
        <f t="shared" si="29"/>
        <v/>
      </c>
    </row>
    <row r="44" spans="1:43" ht="15.75" x14ac:dyDescent="0.25">
      <c r="A44" s="89"/>
      <c r="B44" s="18"/>
      <c r="C44" s="47"/>
      <c r="D44" s="43"/>
      <c r="E44" s="43"/>
      <c r="F44" s="43"/>
      <c r="G44" s="43"/>
      <c r="H44" s="43"/>
      <c r="I44" s="43"/>
      <c r="J44" s="43"/>
      <c r="K44" s="43"/>
      <c r="L44" s="43"/>
      <c r="M44" s="43"/>
      <c r="N44" s="90"/>
      <c r="O44" s="90"/>
      <c r="P44" s="96"/>
      <c r="Q44" s="19" t="e">
        <f t="shared" si="4"/>
        <v>#DIV/0!</v>
      </c>
      <c r="R44" s="19" t="e">
        <f t="shared" si="5"/>
        <v>#DIV/0!</v>
      </c>
      <c r="S44" s="19">
        <f t="shared" si="6"/>
        <v>0</v>
      </c>
      <c r="T44" s="19" t="e">
        <f t="shared" si="7"/>
        <v>#DIV/0!</v>
      </c>
      <c r="U44" s="19" t="e">
        <f t="shared" si="8"/>
        <v>#DIV/0!</v>
      </c>
      <c r="V44" s="19" t="e">
        <f t="shared" si="9"/>
        <v>#DIV/0!</v>
      </c>
      <c r="W44" s="19" t="e">
        <f t="shared" si="10"/>
        <v>#DIV/0!</v>
      </c>
      <c r="X44" s="19" t="e">
        <f t="shared" si="11"/>
        <v>#DIV/0!</v>
      </c>
      <c r="Y44" s="19" t="e">
        <f t="shared" si="12"/>
        <v>#DIV/0!</v>
      </c>
      <c r="Z44" s="19" t="e">
        <f t="shared" si="13"/>
        <v>#DIV/0!</v>
      </c>
      <c r="AA44" s="92">
        <f t="shared" si="14"/>
        <v>0</v>
      </c>
      <c r="AB44" s="93">
        <f t="shared" si="15"/>
        <v>0</v>
      </c>
      <c r="AC44" s="93">
        <f t="shared" si="16"/>
        <v>0</v>
      </c>
      <c r="AD44" s="94">
        <f t="shared" si="30"/>
        <v>0</v>
      </c>
      <c r="AE44" s="94">
        <f t="shared" si="31"/>
        <v>0</v>
      </c>
      <c r="AF44" s="94">
        <f t="shared" si="32"/>
        <v>0</v>
      </c>
      <c r="AG44" s="94">
        <f t="shared" si="33"/>
        <v>0</v>
      </c>
      <c r="AH44" s="95">
        <f t="shared" si="34"/>
        <v>0</v>
      </c>
      <c r="AI44" s="94">
        <f t="shared" si="35"/>
        <v>0</v>
      </c>
      <c r="AJ44" s="94">
        <f t="shared" si="36"/>
        <v>0</v>
      </c>
      <c r="AK44" s="94">
        <f t="shared" si="37"/>
        <v>0</v>
      </c>
      <c r="AL44" s="96" t="str">
        <f t="shared" si="38"/>
        <v/>
      </c>
      <c r="AM44" s="96" t="str">
        <f t="shared" si="25"/>
        <v>Work not yet Started.</v>
      </c>
      <c r="AN44" s="96" t="str">
        <f t="shared" si="26"/>
        <v/>
      </c>
      <c r="AO44" s="96" t="e">
        <f t="shared" si="27"/>
        <v>#DIV/0!</v>
      </c>
      <c r="AP44" s="96" t="e">
        <f t="shared" si="28"/>
        <v>#DIV/0!</v>
      </c>
      <c r="AQ44" s="96" t="str">
        <f t="shared" si="29"/>
        <v/>
      </c>
    </row>
    <row r="45" spans="1:43" ht="15.75" x14ac:dyDescent="0.25">
      <c r="A45" s="89"/>
      <c r="B45" s="18"/>
      <c r="C45" s="47"/>
      <c r="D45" s="43"/>
      <c r="E45" s="43"/>
      <c r="F45" s="43"/>
      <c r="G45" s="43"/>
      <c r="H45" s="43"/>
      <c r="I45" s="43"/>
      <c r="J45" s="43"/>
      <c r="K45" s="43"/>
      <c r="L45" s="43"/>
      <c r="M45" s="43"/>
      <c r="N45" s="90"/>
      <c r="O45" s="90"/>
      <c r="P45" s="96"/>
      <c r="Q45" s="19" t="e">
        <f t="shared" si="4"/>
        <v>#DIV/0!</v>
      </c>
      <c r="R45" s="19" t="e">
        <f t="shared" si="5"/>
        <v>#DIV/0!</v>
      </c>
      <c r="S45" s="19">
        <f t="shared" si="6"/>
        <v>0</v>
      </c>
      <c r="T45" s="19" t="e">
        <f t="shared" si="7"/>
        <v>#DIV/0!</v>
      </c>
      <c r="U45" s="19" t="e">
        <f t="shared" si="8"/>
        <v>#DIV/0!</v>
      </c>
      <c r="V45" s="19" t="e">
        <f t="shared" si="9"/>
        <v>#DIV/0!</v>
      </c>
      <c r="W45" s="19" t="e">
        <f t="shared" si="10"/>
        <v>#DIV/0!</v>
      </c>
      <c r="X45" s="19" t="e">
        <f t="shared" si="11"/>
        <v>#DIV/0!</v>
      </c>
      <c r="Y45" s="19" t="e">
        <f t="shared" si="12"/>
        <v>#DIV/0!</v>
      </c>
      <c r="Z45" s="19" t="e">
        <f t="shared" si="13"/>
        <v>#DIV/0!</v>
      </c>
      <c r="AA45" s="92">
        <f t="shared" si="14"/>
        <v>0</v>
      </c>
      <c r="AB45" s="93">
        <f t="shared" si="15"/>
        <v>0</v>
      </c>
      <c r="AC45" s="93">
        <f t="shared" si="16"/>
        <v>0</v>
      </c>
      <c r="AD45" s="94">
        <f t="shared" si="30"/>
        <v>0</v>
      </c>
      <c r="AE45" s="94">
        <f t="shared" si="31"/>
        <v>0</v>
      </c>
      <c r="AF45" s="94">
        <f t="shared" si="32"/>
        <v>0</v>
      </c>
      <c r="AG45" s="94">
        <f t="shared" si="33"/>
        <v>0</v>
      </c>
      <c r="AH45" s="95">
        <f t="shared" si="34"/>
        <v>0</v>
      </c>
      <c r="AI45" s="94">
        <f t="shared" si="35"/>
        <v>0</v>
      </c>
      <c r="AJ45" s="94">
        <f t="shared" si="36"/>
        <v>0</v>
      </c>
      <c r="AK45" s="94">
        <f t="shared" si="37"/>
        <v>0</v>
      </c>
      <c r="AL45" s="96" t="str">
        <f t="shared" ref="AL45:AL54" si="39">(IF(W113=(1+T113),"",IF(W113&gt;0,", RCC upto "&amp;W113&amp;" Slab","")))&amp;(IF(X113=T113,"",IF(X113&gt;0,", Brickwork upto "&amp;X113&amp;" Floor","")))&amp;(IF(Y113=T113,"",IF(Y113&gt;0,", Internal Plaster upto "&amp;Y113&amp;" Floor","")))&amp;(IF(Z113=T113,"",IF(Z113&gt;0,", External Plaster upto "&amp;Z113&amp;" Floor","")))&amp;(IF(AA113=T113,"",IF(AA113&gt;0,", Flooring upto "&amp;AA113&amp;" Floor","")))&amp;(IF(AB113=T113,"",IF(AB113&gt;0,", Painting upto "&amp;AB113&amp;" Floor","")))&amp;(IF(AC113=T113,"",IF(AC113&gt;0,", Finishing upto "&amp;AC113&amp;" Floor","")))&amp;(IF(AD113=T113,"",IF(AD113&gt;0,", Possession upto "&amp;AD113&amp;" Floor","")))</f>
        <v/>
      </c>
      <c r="AM45" s="96" t="str">
        <f t="shared" si="25"/>
        <v>Work not yet Started.</v>
      </c>
      <c r="AN45" s="96" t="str">
        <f t="shared" si="26"/>
        <v/>
      </c>
      <c r="AO45" s="96" t="e">
        <f t="shared" si="27"/>
        <v>#DIV/0!</v>
      </c>
      <c r="AP45" s="96" t="e">
        <f t="shared" si="28"/>
        <v>#DIV/0!</v>
      </c>
      <c r="AQ45" s="96" t="str">
        <f t="shared" si="29"/>
        <v/>
      </c>
    </row>
    <row r="46" spans="1:43" ht="15.75" x14ac:dyDescent="0.25">
      <c r="A46" s="97"/>
      <c r="B46" s="18"/>
      <c r="C46" s="47"/>
      <c r="D46" s="43"/>
      <c r="E46" s="43"/>
      <c r="F46" s="43"/>
      <c r="G46" s="43"/>
      <c r="H46" s="43"/>
      <c r="I46" s="43"/>
      <c r="J46" s="43"/>
      <c r="K46" s="43"/>
      <c r="L46" s="43"/>
      <c r="M46" s="43"/>
      <c r="N46" s="90"/>
      <c r="O46" s="90"/>
      <c r="P46" s="96"/>
      <c r="Q46" s="19" t="e">
        <f t="shared" si="4"/>
        <v>#DIV/0!</v>
      </c>
      <c r="R46" s="19" t="e">
        <f t="shared" si="5"/>
        <v>#DIV/0!</v>
      </c>
      <c r="S46" s="19">
        <f t="shared" si="6"/>
        <v>0</v>
      </c>
      <c r="T46" s="19" t="e">
        <f t="shared" si="7"/>
        <v>#DIV/0!</v>
      </c>
      <c r="U46" s="19" t="e">
        <f t="shared" si="8"/>
        <v>#DIV/0!</v>
      </c>
      <c r="V46" s="19" t="e">
        <f t="shared" si="9"/>
        <v>#DIV/0!</v>
      </c>
      <c r="W46" s="19" t="e">
        <f t="shared" si="10"/>
        <v>#DIV/0!</v>
      </c>
      <c r="X46" s="19" t="e">
        <f t="shared" si="11"/>
        <v>#DIV/0!</v>
      </c>
      <c r="Y46" s="19" t="e">
        <f t="shared" si="12"/>
        <v>#DIV/0!</v>
      </c>
      <c r="Z46" s="19" t="e">
        <f t="shared" si="13"/>
        <v>#DIV/0!</v>
      </c>
      <c r="AA46" s="92">
        <f t="shared" si="14"/>
        <v>0</v>
      </c>
      <c r="AB46" s="93">
        <f t="shared" si="15"/>
        <v>0</v>
      </c>
      <c r="AC46" s="93">
        <f t="shared" si="16"/>
        <v>0</v>
      </c>
      <c r="AD46" s="94">
        <f t="shared" si="30"/>
        <v>0</v>
      </c>
      <c r="AE46" s="94">
        <f t="shared" si="31"/>
        <v>0</v>
      </c>
      <c r="AF46" s="94">
        <f t="shared" si="32"/>
        <v>0</v>
      </c>
      <c r="AG46" s="94">
        <f t="shared" si="33"/>
        <v>0</v>
      </c>
      <c r="AH46" s="95">
        <f t="shared" si="34"/>
        <v>0</v>
      </c>
      <c r="AI46" s="94">
        <f t="shared" si="35"/>
        <v>0</v>
      </c>
      <c r="AJ46" s="94">
        <f t="shared" si="36"/>
        <v>0</v>
      </c>
      <c r="AK46" s="94">
        <f t="shared" si="37"/>
        <v>0</v>
      </c>
      <c r="AL46" s="96" t="str">
        <f t="shared" si="39"/>
        <v/>
      </c>
      <c r="AM46" s="96" t="str">
        <f t="shared" si="25"/>
        <v>Work not yet Started.</v>
      </c>
      <c r="AN46" s="96" t="str">
        <f t="shared" si="26"/>
        <v/>
      </c>
      <c r="AO46" s="96" t="e">
        <f t="shared" si="27"/>
        <v>#DIV/0!</v>
      </c>
      <c r="AP46" s="96" t="e">
        <f t="shared" si="28"/>
        <v>#DIV/0!</v>
      </c>
      <c r="AQ46" s="96" t="str">
        <f t="shared" si="29"/>
        <v/>
      </c>
    </row>
    <row r="47" spans="1:43" ht="15.75" x14ac:dyDescent="0.25">
      <c r="A47" s="97"/>
      <c r="B47" s="18"/>
      <c r="C47" s="47"/>
      <c r="D47" s="43"/>
      <c r="E47" s="43"/>
      <c r="F47" s="43"/>
      <c r="G47" s="43"/>
      <c r="H47" s="43"/>
      <c r="I47" s="43"/>
      <c r="J47" s="43"/>
      <c r="K47" s="43"/>
      <c r="L47" s="43"/>
      <c r="M47" s="43"/>
      <c r="N47" s="90"/>
      <c r="O47" s="90"/>
      <c r="P47" s="96"/>
      <c r="Q47" s="19" t="e">
        <f t="shared" si="4"/>
        <v>#DIV/0!</v>
      </c>
      <c r="R47" s="19" t="e">
        <f t="shared" si="5"/>
        <v>#DIV/0!</v>
      </c>
      <c r="S47" s="19">
        <f t="shared" si="6"/>
        <v>0</v>
      </c>
      <c r="T47" s="19" t="e">
        <f t="shared" si="7"/>
        <v>#DIV/0!</v>
      </c>
      <c r="U47" s="19" t="e">
        <f t="shared" si="8"/>
        <v>#DIV/0!</v>
      </c>
      <c r="V47" s="19" t="e">
        <f t="shared" si="9"/>
        <v>#DIV/0!</v>
      </c>
      <c r="W47" s="19" t="e">
        <f t="shared" si="10"/>
        <v>#DIV/0!</v>
      </c>
      <c r="X47" s="19" t="e">
        <f t="shared" si="11"/>
        <v>#DIV/0!</v>
      </c>
      <c r="Y47" s="19" t="e">
        <f t="shared" si="12"/>
        <v>#DIV/0!</v>
      </c>
      <c r="Z47" s="19" t="e">
        <f t="shared" si="13"/>
        <v>#DIV/0!</v>
      </c>
      <c r="AA47" s="92">
        <f t="shared" si="14"/>
        <v>0</v>
      </c>
      <c r="AB47" s="93">
        <f t="shared" si="15"/>
        <v>0</v>
      </c>
      <c r="AC47" s="93">
        <f t="shared" si="16"/>
        <v>0</v>
      </c>
      <c r="AD47" s="94">
        <f t="shared" si="30"/>
        <v>0</v>
      </c>
      <c r="AE47" s="94">
        <f t="shared" si="31"/>
        <v>0</v>
      </c>
      <c r="AF47" s="94">
        <f t="shared" si="32"/>
        <v>0</v>
      </c>
      <c r="AG47" s="94">
        <f t="shared" si="33"/>
        <v>0</v>
      </c>
      <c r="AH47" s="95">
        <f t="shared" si="34"/>
        <v>0</v>
      </c>
      <c r="AI47" s="94">
        <f t="shared" si="35"/>
        <v>0</v>
      </c>
      <c r="AJ47" s="94">
        <f t="shared" si="36"/>
        <v>0</v>
      </c>
      <c r="AK47" s="94">
        <f t="shared" si="37"/>
        <v>0</v>
      </c>
      <c r="AL47" s="96" t="str">
        <f t="shared" si="39"/>
        <v/>
      </c>
      <c r="AM47" s="96" t="str">
        <f t="shared" si="25"/>
        <v>Work not yet Started.</v>
      </c>
      <c r="AN47" s="96" t="str">
        <f t="shared" si="26"/>
        <v/>
      </c>
      <c r="AO47" s="96" t="e">
        <f t="shared" si="27"/>
        <v>#DIV/0!</v>
      </c>
      <c r="AP47" s="96" t="e">
        <f t="shared" si="28"/>
        <v>#DIV/0!</v>
      </c>
      <c r="AQ47" s="96" t="str">
        <f t="shared" si="29"/>
        <v/>
      </c>
    </row>
    <row r="48" spans="1:43" ht="15.75" x14ac:dyDescent="0.25">
      <c r="A48" s="97"/>
      <c r="B48" s="18"/>
      <c r="C48" s="47"/>
      <c r="D48" s="43"/>
      <c r="E48" s="43"/>
      <c r="F48" s="43"/>
      <c r="G48" s="43"/>
      <c r="H48" s="43"/>
      <c r="I48" s="43"/>
      <c r="J48" s="43"/>
      <c r="K48" s="43"/>
      <c r="L48" s="43"/>
      <c r="M48" s="43"/>
      <c r="N48" s="90"/>
      <c r="O48" s="90"/>
      <c r="P48" s="96"/>
      <c r="Q48" s="19" t="e">
        <f t="shared" si="4"/>
        <v>#DIV/0!</v>
      </c>
      <c r="R48" s="19" t="e">
        <f t="shared" si="5"/>
        <v>#DIV/0!</v>
      </c>
      <c r="S48" s="19">
        <f t="shared" si="6"/>
        <v>0</v>
      </c>
      <c r="T48" s="19" t="e">
        <f t="shared" si="7"/>
        <v>#DIV/0!</v>
      </c>
      <c r="U48" s="19" t="e">
        <f t="shared" si="8"/>
        <v>#DIV/0!</v>
      </c>
      <c r="V48" s="19" t="e">
        <f t="shared" si="9"/>
        <v>#DIV/0!</v>
      </c>
      <c r="W48" s="19" t="e">
        <f t="shared" si="10"/>
        <v>#DIV/0!</v>
      </c>
      <c r="X48" s="19" t="e">
        <f t="shared" si="11"/>
        <v>#DIV/0!</v>
      </c>
      <c r="Y48" s="19" t="e">
        <f t="shared" si="12"/>
        <v>#DIV/0!</v>
      </c>
      <c r="Z48" s="19" t="e">
        <f t="shared" si="13"/>
        <v>#DIV/0!</v>
      </c>
      <c r="AA48" s="92">
        <f t="shared" si="14"/>
        <v>0</v>
      </c>
      <c r="AB48" s="93">
        <f t="shared" si="15"/>
        <v>0</v>
      </c>
      <c r="AC48" s="93">
        <f t="shared" si="16"/>
        <v>0</v>
      </c>
      <c r="AD48" s="94">
        <f t="shared" si="30"/>
        <v>0</v>
      </c>
      <c r="AE48" s="94">
        <f t="shared" si="31"/>
        <v>0</v>
      </c>
      <c r="AF48" s="94">
        <f t="shared" si="32"/>
        <v>0</v>
      </c>
      <c r="AG48" s="94">
        <f t="shared" si="33"/>
        <v>0</v>
      </c>
      <c r="AH48" s="95">
        <f t="shared" si="34"/>
        <v>0</v>
      </c>
      <c r="AI48" s="94">
        <f t="shared" si="35"/>
        <v>0</v>
      </c>
      <c r="AJ48" s="94">
        <f t="shared" si="36"/>
        <v>0</v>
      </c>
      <c r="AK48" s="94">
        <f t="shared" si="37"/>
        <v>0</v>
      </c>
      <c r="AL48" s="96" t="str">
        <f t="shared" si="39"/>
        <v/>
      </c>
      <c r="AM48" s="96" t="str">
        <f t="shared" si="25"/>
        <v>Work not yet Started.</v>
      </c>
      <c r="AN48" s="96" t="str">
        <f t="shared" si="26"/>
        <v/>
      </c>
      <c r="AO48" s="96" t="e">
        <f t="shared" si="27"/>
        <v>#DIV/0!</v>
      </c>
      <c r="AP48" s="96" t="e">
        <f t="shared" si="28"/>
        <v>#DIV/0!</v>
      </c>
      <c r="AQ48" s="96" t="str">
        <f t="shared" si="29"/>
        <v/>
      </c>
    </row>
    <row r="49" spans="1:43" ht="15.75" x14ac:dyDescent="0.25">
      <c r="A49" s="97"/>
      <c r="B49" s="18"/>
      <c r="C49" s="47"/>
      <c r="D49" s="43"/>
      <c r="E49" s="43"/>
      <c r="F49" s="43"/>
      <c r="G49" s="43"/>
      <c r="H49" s="43"/>
      <c r="I49" s="43"/>
      <c r="J49" s="43"/>
      <c r="K49" s="43"/>
      <c r="L49" s="43"/>
      <c r="M49" s="43"/>
      <c r="N49" s="90"/>
      <c r="O49" s="90"/>
      <c r="P49" s="96"/>
      <c r="Q49" s="19" t="e">
        <f t="shared" si="4"/>
        <v>#DIV/0!</v>
      </c>
      <c r="R49" s="19" t="e">
        <f t="shared" si="5"/>
        <v>#DIV/0!</v>
      </c>
      <c r="S49" s="19">
        <f t="shared" si="6"/>
        <v>0</v>
      </c>
      <c r="T49" s="19" t="e">
        <f t="shared" si="7"/>
        <v>#DIV/0!</v>
      </c>
      <c r="U49" s="19" t="e">
        <f t="shared" si="8"/>
        <v>#DIV/0!</v>
      </c>
      <c r="V49" s="19" t="e">
        <f t="shared" si="9"/>
        <v>#DIV/0!</v>
      </c>
      <c r="W49" s="19" t="e">
        <f t="shared" si="10"/>
        <v>#DIV/0!</v>
      </c>
      <c r="X49" s="19" t="e">
        <f t="shared" si="11"/>
        <v>#DIV/0!</v>
      </c>
      <c r="Y49" s="19" t="e">
        <f t="shared" si="12"/>
        <v>#DIV/0!</v>
      </c>
      <c r="Z49" s="19" t="e">
        <f t="shared" si="13"/>
        <v>#DIV/0!</v>
      </c>
      <c r="AA49" s="92">
        <f t="shared" si="14"/>
        <v>0</v>
      </c>
      <c r="AB49" s="93">
        <f t="shared" si="15"/>
        <v>0</v>
      </c>
      <c r="AC49" s="93">
        <f t="shared" si="16"/>
        <v>0</v>
      </c>
      <c r="AD49" s="94">
        <f t="shared" si="30"/>
        <v>0</v>
      </c>
      <c r="AE49" s="94">
        <f t="shared" si="31"/>
        <v>0</v>
      </c>
      <c r="AF49" s="94">
        <f t="shared" si="32"/>
        <v>0</v>
      </c>
      <c r="AG49" s="94">
        <f t="shared" si="33"/>
        <v>0</v>
      </c>
      <c r="AH49" s="95">
        <f t="shared" si="34"/>
        <v>0</v>
      </c>
      <c r="AI49" s="94">
        <f t="shared" si="35"/>
        <v>0</v>
      </c>
      <c r="AJ49" s="94">
        <f t="shared" si="36"/>
        <v>0</v>
      </c>
      <c r="AK49" s="94">
        <f t="shared" si="37"/>
        <v>0</v>
      </c>
      <c r="AL49" s="96" t="str">
        <f t="shared" si="39"/>
        <v/>
      </c>
      <c r="AM49" s="96" t="str">
        <f t="shared" si="25"/>
        <v>Work not yet Started.</v>
      </c>
      <c r="AN49" s="96" t="str">
        <f t="shared" si="26"/>
        <v/>
      </c>
      <c r="AO49" s="96" t="e">
        <f t="shared" si="27"/>
        <v>#DIV/0!</v>
      </c>
      <c r="AP49" s="96" t="e">
        <f t="shared" si="28"/>
        <v>#DIV/0!</v>
      </c>
      <c r="AQ49" s="96" t="str">
        <f t="shared" si="29"/>
        <v/>
      </c>
    </row>
    <row r="50" spans="1:43" ht="15.75" x14ac:dyDescent="0.25">
      <c r="A50" s="97"/>
      <c r="B50" s="18"/>
      <c r="C50" s="47"/>
      <c r="D50" s="43"/>
      <c r="E50" s="43"/>
      <c r="F50" s="43"/>
      <c r="G50" s="43"/>
      <c r="H50" s="43"/>
      <c r="I50" s="43"/>
      <c r="J50" s="43"/>
      <c r="K50" s="43"/>
      <c r="L50" s="43"/>
      <c r="M50" s="43"/>
      <c r="N50" s="90"/>
      <c r="O50" s="90"/>
      <c r="P50" s="96"/>
      <c r="Q50" s="19" t="e">
        <f t="shared" si="4"/>
        <v>#DIV/0!</v>
      </c>
      <c r="R50" s="19" t="e">
        <f t="shared" si="5"/>
        <v>#DIV/0!</v>
      </c>
      <c r="S50" s="19">
        <f t="shared" si="6"/>
        <v>0</v>
      </c>
      <c r="T50" s="19" t="e">
        <f t="shared" si="7"/>
        <v>#DIV/0!</v>
      </c>
      <c r="U50" s="19" t="e">
        <f t="shared" si="8"/>
        <v>#DIV/0!</v>
      </c>
      <c r="V50" s="19" t="e">
        <f t="shared" si="9"/>
        <v>#DIV/0!</v>
      </c>
      <c r="W50" s="19" t="e">
        <f t="shared" si="10"/>
        <v>#DIV/0!</v>
      </c>
      <c r="X50" s="19" t="e">
        <f t="shared" si="11"/>
        <v>#DIV/0!</v>
      </c>
      <c r="Y50" s="19" t="e">
        <f t="shared" si="12"/>
        <v>#DIV/0!</v>
      </c>
      <c r="Z50" s="19" t="e">
        <f t="shared" si="13"/>
        <v>#DIV/0!</v>
      </c>
      <c r="AA50" s="92">
        <f t="shared" si="14"/>
        <v>0</v>
      </c>
      <c r="AB50" s="93">
        <f t="shared" si="15"/>
        <v>0</v>
      </c>
      <c r="AC50" s="93">
        <f t="shared" si="16"/>
        <v>0</v>
      </c>
      <c r="AD50" s="94">
        <f t="shared" si="30"/>
        <v>0</v>
      </c>
      <c r="AE50" s="94">
        <f t="shared" si="31"/>
        <v>0</v>
      </c>
      <c r="AF50" s="94">
        <f t="shared" si="32"/>
        <v>0</v>
      </c>
      <c r="AG50" s="94">
        <f t="shared" si="33"/>
        <v>0</v>
      </c>
      <c r="AH50" s="95">
        <f t="shared" si="34"/>
        <v>0</v>
      </c>
      <c r="AI50" s="94">
        <f t="shared" si="35"/>
        <v>0</v>
      </c>
      <c r="AJ50" s="94">
        <f t="shared" si="36"/>
        <v>0</v>
      </c>
      <c r="AK50" s="94">
        <f t="shared" si="37"/>
        <v>0</v>
      </c>
      <c r="AL50" s="96" t="str">
        <f t="shared" si="39"/>
        <v/>
      </c>
      <c r="AM50" s="96" t="str">
        <f t="shared" si="25"/>
        <v>Work not yet Started.</v>
      </c>
      <c r="AN50" s="96" t="str">
        <f t="shared" si="26"/>
        <v/>
      </c>
      <c r="AO50" s="96" t="e">
        <f t="shared" si="27"/>
        <v>#DIV/0!</v>
      </c>
      <c r="AP50" s="96" t="e">
        <f t="shared" si="28"/>
        <v>#DIV/0!</v>
      </c>
      <c r="AQ50" s="96" t="str">
        <f t="shared" si="29"/>
        <v/>
      </c>
    </row>
    <row r="51" spans="1:43" ht="15.75" x14ac:dyDescent="0.25">
      <c r="A51" s="97"/>
      <c r="B51" s="18"/>
      <c r="C51" s="47"/>
      <c r="D51" s="43"/>
      <c r="E51" s="43"/>
      <c r="F51" s="43"/>
      <c r="G51" s="43"/>
      <c r="H51" s="43"/>
      <c r="I51" s="43"/>
      <c r="J51" s="43"/>
      <c r="K51" s="43"/>
      <c r="L51" s="43"/>
      <c r="M51" s="43"/>
      <c r="N51" s="90"/>
      <c r="O51" s="90"/>
      <c r="P51" s="96"/>
      <c r="Q51" s="19" t="e">
        <f t="shared" si="4"/>
        <v>#DIV/0!</v>
      </c>
      <c r="R51" s="19" t="e">
        <f t="shared" si="5"/>
        <v>#DIV/0!</v>
      </c>
      <c r="S51" s="19">
        <f t="shared" si="6"/>
        <v>0</v>
      </c>
      <c r="T51" s="19" t="e">
        <f t="shared" si="7"/>
        <v>#DIV/0!</v>
      </c>
      <c r="U51" s="19" t="e">
        <f t="shared" si="8"/>
        <v>#DIV/0!</v>
      </c>
      <c r="V51" s="19" t="e">
        <f t="shared" si="9"/>
        <v>#DIV/0!</v>
      </c>
      <c r="W51" s="19" t="e">
        <f t="shared" si="10"/>
        <v>#DIV/0!</v>
      </c>
      <c r="X51" s="19" t="e">
        <f t="shared" si="11"/>
        <v>#DIV/0!</v>
      </c>
      <c r="Y51" s="19" t="e">
        <f t="shared" si="12"/>
        <v>#DIV/0!</v>
      </c>
      <c r="Z51" s="19" t="e">
        <f t="shared" si="13"/>
        <v>#DIV/0!</v>
      </c>
      <c r="AA51" s="92">
        <f t="shared" si="14"/>
        <v>0</v>
      </c>
      <c r="AB51" s="93">
        <f t="shared" si="15"/>
        <v>0</v>
      </c>
      <c r="AC51" s="93">
        <f t="shared" si="16"/>
        <v>0</v>
      </c>
      <c r="AD51" s="94">
        <f t="shared" si="30"/>
        <v>0</v>
      </c>
      <c r="AE51" s="94">
        <f t="shared" si="31"/>
        <v>0</v>
      </c>
      <c r="AF51" s="94">
        <f t="shared" si="32"/>
        <v>0</v>
      </c>
      <c r="AG51" s="94">
        <f t="shared" si="33"/>
        <v>0</v>
      </c>
      <c r="AH51" s="95">
        <f t="shared" si="34"/>
        <v>0</v>
      </c>
      <c r="AI51" s="94">
        <f t="shared" si="35"/>
        <v>0</v>
      </c>
      <c r="AJ51" s="94">
        <f t="shared" si="36"/>
        <v>0</v>
      </c>
      <c r="AK51" s="94">
        <f t="shared" si="37"/>
        <v>0</v>
      </c>
      <c r="AL51" s="96" t="str">
        <f t="shared" si="39"/>
        <v/>
      </c>
      <c r="AM51" s="96" t="str">
        <f t="shared" si="25"/>
        <v>Work not yet Started.</v>
      </c>
      <c r="AN51" s="96" t="str">
        <f t="shared" si="26"/>
        <v/>
      </c>
      <c r="AO51" s="96" t="e">
        <f t="shared" si="27"/>
        <v>#DIV/0!</v>
      </c>
      <c r="AP51" s="96" t="e">
        <f t="shared" si="28"/>
        <v>#DIV/0!</v>
      </c>
      <c r="AQ51" s="96" t="str">
        <f t="shared" si="29"/>
        <v/>
      </c>
    </row>
    <row r="52" spans="1:43" ht="15.75" x14ac:dyDescent="0.25">
      <c r="A52" s="97"/>
      <c r="B52" s="18"/>
      <c r="C52" s="47"/>
      <c r="D52" s="43"/>
      <c r="E52" s="43"/>
      <c r="F52" s="43"/>
      <c r="G52" s="43"/>
      <c r="H52" s="43"/>
      <c r="I52" s="43"/>
      <c r="J52" s="43"/>
      <c r="K52" s="43"/>
      <c r="L52" s="43"/>
      <c r="M52" s="43"/>
      <c r="N52" s="90"/>
      <c r="O52" s="90"/>
      <c r="P52" s="96"/>
      <c r="Q52" s="19" t="e">
        <f t="shared" si="4"/>
        <v>#DIV/0!</v>
      </c>
      <c r="R52" s="19" t="e">
        <f t="shared" si="5"/>
        <v>#DIV/0!</v>
      </c>
      <c r="S52" s="19">
        <f t="shared" si="6"/>
        <v>0</v>
      </c>
      <c r="T52" s="19" t="e">
        <f t="shared" si="7"/>
        <v>#DIV/0!</v>
      </c>
      <c r="U52" s="19" t="e">
        <f t="shared" si="8"/>
        <v>#DIV/0!</v>
      </c>
      <c r="V52" s="19" t="e">
        <f t="shared" si="9"/>
        <v>#DIV/0!</v>
      </c>
      <c r="W52" s="19" t="e">
        <f t="shared" si="10"/>
        <v>#DIV/0!</v>
      </c>
      <c r="X52" s="19" t="e">
        <f t="shared" si="11"/>
        <v>#DIV/0!</v>
      </c>
      <c r="Y52" s="19" t="e">
        <f t="shared" si="12"/>
        <v>#DIV/0!</v>
      </c>
      <c r="Z52" s="19" t="e">
        <f t="shared" si="13"/>
        <v>#DIV/0!</v>
      </c>
      <c r="AA52" s="92">
        <f t="shared" si="14"/>
        <v>0</v>
      </c>
      <c r="AB52" s="93">
        <f t="shared" si="15"/>
        <v>0</v>
      </c>
      <c r="AC52" s="93">
        <f t="shared" si="16"/>
        <v>0</v>
      </c>
      <c r="AD52" s="94">
        <f t="shared" si="30"/>
        <v>0</v>
      </c>
      <c r="AE52" s="94">
        <f t="shared" si="31"/>
        <v>0</v>
      </c>
      <c r="AF52" s="94">
        <f t="shared" si="32"/>
        <v>0</v>
      </c>
      <c r="AG52" s="94">
        <f t="shared" si="33"/>
        <v>0</v>
      </c>
      <c r="AH52" s="95">
        <f t="shared" si="34"/>
        <v>0</v>
      </c>
      <c r="AI52" s="94">
        <f t="shared" si="35"/>
        <v>0</v>
      </c>
      <c r="AJ52" s="94">
        <f t="shared" si="36"/>
        <v>0</v>
      </c>
      <c r="AK52" s="94">
        <f t="shared" si="37"/>
        <v>0</v>
      </c>
      <c r="AL52" s="96" t="str">
        <f t="shared" si="39"/>
        <v/>
      </c>
      <c r="AM52" s="96" t="str">
        <f t="shared" si="25"/>
        <v>Work not yet Started.</v>
      </c>
      <c r="AN52" s="96" t="str">
        <f t="shared" si="26"/>
        <v/>
      </c>
      <c r="AO52" s="96" t="e">
        <f t="shared" si="27"/>
        <v>#DIV/0!</v>
      </c>
      <c r="AP52" s="96" t="e">
        <f t="shared" si="28"/>
        <v>#DIV/0!</v>
      </c>
      <c r="AQ52" s="96" t="str">
        <f t="shared" si="29"/>
        <v/>
      </c>
    </row>
    <row r="53" spans="1:43" ht="15.75" x14ac:dyDescent="0.25">
      <c r="A53" s="97"/>
      <c r="B53" s="18"/>
      <c r="C53" s="47"/>
      <c r="D53" s="43"/>
      <c r="E53" s="43"/>
      <c r="F53" s="43"/>
      <c r="G53" s="43"/>
      <c r="H53" s="43"/>
      <c r="I53" s="43"/>
      <c r="J53" s="43"/>
      <c r="K53" s="43"/>
      <c r="L53" s="43"/>
      <c r="M53" s="43"/>
      <c r="N53" s="90"/>
      <c r="O53" s="90"/>
      <c r="P53" s="96"/>
      <c r="Q53" s="19" t="e">
        <f t="shared" si="4"/>
        <v>#DIV/0!</v>
      </c>
      <c r="R53" s="19" t="e">
        <f t="shared" si="5"/>
        <v>#DIV/0!</v>
      </c>
      <c r="S53" s="19">
        <f t="shared" si="6"/>
        <v>0</v>
      </c>
      <c r="T53" s="19" t="e">
        <f t="shared" si="7"/>
        <v>#DIV/0!</v>
      </c>
      <c r="U53" s="19" t="e">
        <f t="shared" si="8"/>
        <v>#DIV/0!</v>
      </c>
      <c r="V53" s="19" t="e">
        <f t="shared" si="9"/>
        <v>#DIV/0!</v>
      </c>
      <c r="W53" s="19" t="e">
        <f t="shared" si="10"/>
        <v>#DIV/0!</v>
      </c>
      <c r="X53" s="19" t="e">
        <f t="shared" si="11"/>
        <v>#DIV/0!</v>
      </c>
      <c r="Y53" s="19" t="e">
        <f t="shared" si="12"/>
        <v>#DIV/0!</v>
      </c>
      <c r="Z53" s="19" t="e">
        <f t="shared" si="13"/>
        <v>#DIV/0!</v>
      </c>
      <c r="AA53" s="92">
        <f t="shared" si="14"/>
        <v>0</v>
      </c>
      <c r="AB53" s="93">
        <f t="shared" si="15"/>
        <v>0</v>
      </c>
      <c r="AC53" s="93">
        <f t="shared" si="16"/>
        <v>0</v>
      </c>
      <c r="AD53" s="94">
        <f t="shared" si="30"/>
        <v>0</v>
      </c>
      <c r="AE53" s="94">
        <f t="shared" si="31"/>
        <v>0</v>
      </c>
      <c r="AF53" s="94">
        <f t="shared" si="32"/>
        <v>0</v>
      </c>
      <c r="AG53" s="94">
        <f t="shared" si="33"/>
        <v>0</v>
      </c>
      <c r="AH53" s="95">
        <f t="shared" si="34"/>
        <v>0</v>
      </c>
      <c r="AI53" s="94">
        <f t="shared" si="35"/>
        <v>0</v>
      </c>
      <c r="AJ53" s="94">
        <f t="shared" si="36"/>
        <v>0</v>
      </c>
      <c r="AK53" s="94">
        <f t="shared" si="37"/>
        <v>0</v>
      </c>
      <c r="AL53" s="96" t="str">
        <f t="shared" si="39"/>
        <v/>
      </c>
      <c r="AM53" s="96" t="str">
        <f t="shared" si="25"/>
        <v>Work not yet Started.</v>
      </c>
      <c r="AN53" s="96" t="str">
        <f t="shared" si="26"/>
        <v/>
      </c>
      <c r="AO53" s="96" t="e">
        <f t="shared" si="27"/>
        <v>#DIV/0!</v>
      </c>
      <c r="AP53" s="96" t="e">
        <f t="shared" si="28"/>
        <v>#DIV/0!</v>
      </c>
      <c r="AQ53" s="96" t="str">
        <f t="shared" si="29"/>
        <v/>
      </c>
    </row>
    <row r="54" spans="1:43" ht="15.75" x14ac:dyDescent="0.25">
      <c r="A54" s="97"/>
      <c r="B54" s="18"/>
      <c r="C54" s="47"/>
      <c r="D54" s="43"/>
      <c r="E54" s="43"/>
      <c r="F54" s="43"/>
      <c r="G54" s="43"/>
      <c r="H54" s="43"/>
      <c r="I54" s="43"/>
      <c r="J54" s="43"/>
      <c r="K54" s="43"/>
      <c r="L54" s="43"/>
      <c r="M54" s="43"/>
      <c r="N54" s="90"/>
      <c r="O54" s="90"/>
      <c r="P54" s="96"/>
      <c r="Q54" s="19" t="e">
        <f t="shared" si="4"/>
        <v>#DIV/0!</v>
      </c>
      <c r="R54" s="19" t="e">
        <f t="shared" si="5"/>
        <v>#DIV/0!</v>
      </c>
      <c r="S54" s="19">
        <f t="shared" si="6"/>
        <v>0</v>
      </c>
      <c r="T54" s="19" t="e">
        <f t="shared" si="7"/>
        <v>#DIV/0!</v>
      </c>
      <c r="U54" s="19" t="e">
        <f t="shared" si="8"/>
        <v>#DIV/0!</v>
      </c>
      <c r="V54" s="19" t="e">
        <f t="shared" si="9"/>
        <v>#DIV/0!</v>
      </c>
      <c r="W54" s="19" t="e">
        <f t="shared" si="10"/>
        <v>#DIV/0!</v>
      </c>
      <c r="X54" s="19" t="e">
        <f t="shared" si="11"/>
        <v>#DIV/0!</v>
      </c>
      <c r="Y54" s="19" t="e">
        <f t="shared" si="12"/>
        <v>#DIV/0!</v>
      </c>
      <c r="Z54" s="19" t="e">
        <f t="shared" si="13"/>
        <v>#DIV/0!</v>
      </c>
      <c r="AA54" s="92">
        <f t="shared" si="14"/>
        <v>0</v>
      </c>
      <c r="AB54" s="93">
        <f t="shared" si="15"/>
        <v>0</v>
      </c>
      <c r="AC54" s="93">
        <f t="shared" si="16"/>
        <v>0</v>
      </c>
      <c r="AD54" s="94">
        <f t="shared" si="30"/>
        <v>0</v>
      </c>
      <c r="AE54" s="94">
        <f t="shared" si="31"/>
        <v>0</v>
      </c>
      <c r="AF54" s="94">
        <f t="shared" si="32"/>
        <v>0</v>
      </c>
      <c r="AG54" s="94">
        <f t="shared" si="33"/>
        <v>0</v>
      </c>
      <c r="AH54" s="95">
        <f t="shared" si="34"/>
        <v>0</v>
      </c>
      <c r="AI54" s="94">
        <f t="shared" si="35"/>
        <v>0</v>
      </c>
      <c r="AJ54" s="94">
        <f t="shared" si="36"/>
        <v>0</v>
      </c>
      <c r="AK54" s="94">
        <f t="shared" si="37"/>
        <v>0</v>
      </c>
      <c r="AL54" s="96" t="str">
        <f t="shared" si="39"/>
        <v/>
      </c>
      <c r="AM54" s="96" t="str">
        <f t="shared" si="25"/>
        <v>Work not yet Started.</v>
      </c>
      <c r="AN54" s="96" t="str">
        <f t="shared" si="26"/>
        <v/>
      </c>
      <c r="AO54" s="96" t="e">
        <f t="shared" si="27"/>
        <v>#DIV/0!</v>
      </c>
      <c r="AP54" s="96" t="e">
        <f t="shared" si="28"/>
        <v>#DIV/0!</v>
      </c>
      <c r="AQ54" s="96" t="str">
        <f t="shared" si="29"/>
        <v/>
      </c>
    </row>
    <row r="55" spans="1:43" ht="15.75" x14ac:dyDescent="0.25">
      <c r="A55" s="97"/>
      <c r="B55" s="18"/>
      <c r="C55" s="47"/>
      <c r="D55" s="43"/>
      <c r="E55" s="43"/>
      <c r="F55" s="43"/>
      <c r="G55" s="43"/>
      <c r="H55" s="43"/>
      <c r="I55" s="43"/>
      <c r="J55" s="43"/>
      <c r="K55" s="43"/>
      <c r="L55" s="43"/>
      <c r="M55" s="43"/>
      <c r="N55" s="90"/>
      <c r="O55" s="90"/>
      <c r="P55" s="96"/>
      <c r="Q55" s="19" t="e">
        <f t="shared" si="4"/>
        <v>#DIV/0!</v>
      </c>
      <c r="R55" s="19" t="e">
        <f t="shared" si="5"/>
        <v>#DIV/0!</v>
      </c>
      <c r="S55" s="19">
        <f t="shared" si="6"/>
        <v>0</v>
      </c>
      <c r="T55" s="19" t="e">
        <f t="shared" si="7"/>
        <v>#DIV/0!</v>
      </c>
      <c r="U55" s="19" t="e">
        <f t="shared" si="8"/>
        <v>#DIV/0!</v>
      </c>
      <c r="V55" s="19" t="e">
        <f t="shared" si="9"/>
        <v>#DIV/0!</v>
      </c>
      <c r="W55" s="19" t="e">
        <f t="shared" si="10"/>
        <v>#DIV/0!</v>
      </c>
      <c r="X55" s="19" t="e">
        <f t="shared" si="11"/>
        <v>#DIV/0!</v>
      </c>
      <c r="Y55" s="19" t="e">
        <f t="shared" si="12"/>
        <v>#DIV/0!</v>
      </c>
      <c r="Z55" s="19" t="e">
        <f t="shared" si="13"/>
        <v>#DIV/0!</v>
      </c>
      <c r="AA55" s="92">
        <f t="shared" si="14"/>
        <v>0</v>
      </c>
      <c r="AB55" s="93">
        <f t="shared" si="15"/>
        <v>0</v>
      </c>
      <c r="AC55" s="93">
        <f t="shared" si="16"/>
        <v>0</v>
      </c>
      <c r="AD55" s="94">
        <f t="shared" ref="AD55:AD67" si="40">(IF(M40&gt;1,(C55/(M40+2)),C55/4))</f>
        <v>0</v>
      </c>
      <c r="AE55" s="94">
        <f t="shared" ref="AE55:AE67" si="41">(IF(M40&gt;1,(C55/(M40+2)+AD55),C55/4+AD55))</f>
        <v>0</v>
      </c>
      <c r="AF55" s="94">
        <f t="shared" ref="AF55:AF67" si="42">(IF(M40&gt;1,(C55/(M40+2)+AE55),0))</f>
        <v>0</v>
      </c>
      <c r="AG55" s="94">
        <f t="shared" ref="AG55:AG67" si="43">(IF(M40&gt;2,(C55/(M40+2)+AF55),0))</f>
        <v>0</v>
      </c>
      <c r="AH55" s="95">
        <f t="shared" ref="AH55:AH67" si="44">(IF(M40&gt;3,(C55/(M40+2)+AG55),0))</f>
        <v>0</v>
      </c>
      <c r="AI55" s="94">
        <f t="shared" ref="AI55:AI67" si="45">(IF(M40&gt;4,(C55/(M40+2)+AH55),0))</f>
        <v>0</v>
      </c>
      <c r="AJ55" s="94">
        <f t="shared" ref="AJ55:AJ67" si="46">(IF(M40=1,(C55/(M40+3)+AE55),IF(M40=0,(C55/4+AE55),IF(M40&gt;1,0))))</f>
        <v>0</v>
      </c>
      <c r="AK55" s="94">
        <f t="shared" ref="AK55:AK67" si="47">(IF(M40&gt;1.5,(C55/(M40+2)+AE55+MAX(0,AF55-AE55)+MAX(0,AG55-AF55)+MAX(0,AH55-AG55)+MAX(0,AI55-AH55)+MAX(0,AJ55-AI55)),IF(M40=1,(C55/(M40+3)+AJ55),IF(M40=0,C55/4+AJ55))))</f>
        <v>0</v>
      </c>
      <c r="AL55" s="96" t="str">
        <f t="shared" ref="AL55:AL67" si="48">(IF(W121=(1+T121),"",IF(W121&gt;0,", RCC upto "&amp;W121&amp;" Slab","")))&amp;(IF(X121=T121,"",IF(X121&gt;0,", Brickwork upto "&amp;X121&amp;" Floor","")))&amp;(IF(Y121=T121,"",IF(Y121&gt;0,", Internal Plaster upto "&amp;Y121&amp;" Floor","")))&amp;(IF(Z121=T121,"",IF(Z121&gt;0,", External Plaster upto "&amp;Z121&amp;" Floor","")))&amp;(IF(AA121=T121,"",IF(AA121&gt;0,", Flooring upto "&amp;AA121&amp;" Floor","")))&amp;(IF(AB121=T121,"",IF(AB121&gt;0,", Painting upto "&amp;AB121&amp;" Floor","")))&amp;(IF(AC121=T121,"",IF(AC121&gt;0,", Finishing upto "&amp;AC121&amp;" Floor","")))&amp;(IF(AD121=T121,"",IF(AD121&gt;0,", Possession upto "&amp;AD121&amp;" Floor","")))</f>
        <v/>
      </c>
      <c r="AM55" s="96" t="str">
        <f t="shared" si="25"/>
        <v>Work not yet Started.</v>
      </c>
      <c r="AN55" s="96" t="str">
        <f t="shared" si="26"/>
        <v/>
      </c>
      <c r="AO55" s="96" t="e">
        <f t="shared" si="27"/>
        <v>#DIV/0!</v>
      </c>
      <c r="AP55" s="96" t="e">
        <f t="shared" si="28"/>
        <v>#DIV/0!</v>
      </c>
      <c r="AQ55" s="96" t="str">
        <f t="shared" si="29"/>
        <v/>
      </c>
    </row>
    <row r="56" spans="1:43" ht="15.75" x14ac:dyDescent="0.25">
      <c r="A56" s="97"/>
      <c r="B56" s="18"/>
      <c r="C56" s="47"/>
      <c r="D56" s="43"/>
      <c r="E56" s="43"/>
      <c r="F56" s="43"/>
      <c r="G56" s="43"/>
      <c r="H56" s="43"/>
      <c r="I56" s="43"/>
      <c r="J56" s="43"/>
      <c r="K56" s="43"/>
      <c r="L56" s="43"/>
      <c r="M56" s="43"/>
      <c r="N56" s="90"/>
      <c r="O56" s="90"/>
      <c r="P56" s="96"/>
      <c r="Q56" s="19" t="e">
        <f t="shared" si="4"/>
        <v>#DIV/0!</v>
      </c>
      <c r="R56" s="19" t="e">
        <f t="shared" si="5"/>
        <v>#DIV/0!</v>
      </c>
      <c r="S56" s="19">
        <f t="shared" si="6"/>
        <v>0</v>
      </c>
      <c r="T56" s="19" t="e">
        <f t="shared" si="7"/>
        <v>#DIV/0!</v>
      </c>
      <c r="U56" s="19" t="e">
        <f t="shared" si="8"/>
        <v>#DIV/0!</v>
      </c>
      <c r="V56" s="19" t="e">
        <f t="shared" si="9"/>
        <v>#DIV/0!</v>
      </c>
      <c r="W56" s="19" t="e">
        <f t="shared" si="10"/>
        <v>#DIV/0!</v>
      </c>
      <c r="X56" s="19" t="e">
        <f t="shared" si="11"/>
        <v>#DIV/0!</v>
      </c>
      <c r="Y56" s="19" t="e">
        <f t="shared" si="12"/>
        <v>#DIV/0!</v>
      </c>
      <c r="Z56" s="19" t="e">
        <f t="shared" si="13"/>
        <v>#DIV/0!</v>
      </c>
      <c r="AA56" s="92">
        <f t="shared" si="14"/>
        <v>0</v>
      </c>
      <c r="AB56" s="93">
        <f t="shared" si="15"/>
        <v>0</v>
      </c>
      <c r="AC56" s="93">
        <f t="shared" si="16"/>
        <v>0</v>
      </c>
      <c r="AD56" s="94">
        <f t="shared" si="40"/>
        <v>0</v>
      </c>
      <c r="AE56" s="94">
        <f t="shared" si="41"/>
        <v>0</v>
      </c>
      <c r="AF56" s="94">
        <f t="shared" si="42"/>
        <v>0</v>
      </c>
      <c r="AG56" s="94">
        <f t="shared" si="43"/>
        <v>0</v>
      </c>
      <c r="AH56" s="95">
        <f t="shared" si="44"/>
        <v>0</v>
      </c>
      <c r="AI56" s="94">
        <f t="shared" si="45"/>
        <v>0</v>
      </c>
      <c r="AJ56" s="94">
        <f t="shared" si="46"/>
        <v>0</v>
      </c>
      <c r="AK56" s="94">
        <f t="shared" si="47"/>
        <v>0</v>
      </c>
      <c r="AL56" s="96" t="str">
        <f t="shared" si="48"/>
        <v/>
      </c>
      <c r="AM56" s="96" t="str">
        <f t="shared" si="25"/>
        <v>Work not yet Started.</v>
      </c>
      <c r="AN56" s="96" t="str">
        <f t="shared" si="26"/>
        <v/>
      </c>
      <c r="AO56" s="96" t="e">
        <f t="shared" si="27"/>
        <v>#DIV/0!</v>
      </c>
      <c r="AP56" s="96" t="e">
        <f t="shared" si="28"/>
        <v>#DIV/0!</v>
      </c>
      <c r="AQ56" s="96" t="str">
        <f t="shared" si="29"/>
        <v/>
      </c>
    </row>
    <row r="57" spans="1:43" ht="15.75" x14ac:dyDescent="0.25">
      <c r="A57" s="97"/>
      <c r="B57" s="18"/>
      <c r="C57" s="47"/>
      <c r="D57" s="43"/>
      <c r="E57" s="43"/>
      <c r="F57" s="43"/>
      <c r="G57" s="43"/>
      <c r="H57" s="43"/>
      <c r="I57" s="43"/>
      <c r="J57" s="43"/>
      <c r="K57" s="43"/>
      <c r="L57" s="43"/>
      <c r="M57" s="43"/>
      <c r="N57" s="90"/>
      <c r="O57" s="90"/>
      <c r="P57" s="96"/>
      <c r="Q57" s="19" t="e">
        <f t="shared" si="4"/>
        <v>#DIV/0!</v>
      </c>
      <c r="R57" s="19" t="e">
        <f t="shared" si="5"/>
        <v>#DIV/0!</v>
      </c>
      <c r="S57" s="19">
        <f t="shared" si="6"/>
        <v>0</v>
      </c>
      <c r="T57" s="19" t="e">
        <f t="shared" si="7"/>
        <v>#DIV/0!</v>
      </c>
      <c r="U57" s="19" t="e">
        <f t="shared" si="8"/>
        <v>#DIV/0!</v>
      </c>
      <c r="V57" s="19" t="e">
        <f t="shared" si="9"/>
        <v>#DIV/0!</v>
      </c>
      <c r="W57" s="19" t="e">
        <f t="shared" si="10"/>
        <v>#DIV/0!</v>
      </c>
      <c r="X57" s="19" t="e">
        <f t="shared" si="11"/>
        <v>#DIV/0!</v>
      </c>
      <c r="Y57" s="19" t="e">
        <f t="shared" si="12"/>
        <v>#DIV/0!</v>
      </c>
      <c r="Z57" s="19" t="e">
        <f t="shared" si="13"/>
        <v>#DIV/0!</v>
      </c>
      <c r="AA57" s="92">
        <f t="shared" si="14"/>
        <v>0</v>
      </c>
      <c r="AB57" s="93">
        <f t="shared" si="15"/>
        <v>0</v>
      </c>
      <c r="AC57" s="93">
        <f t="shared" si="16"/>
        <v>0</v>
      </c>
      <c r="AD57" s="94">
        <f t="shared" si="40"/>
        <v>0</v>
      </c>
      <c r="AE57" s="94">
        <f t="shared" si="41"/>
        <v>0</v>
      </c>
      <c r="AF57" s="94">
        <f t="shared" si="42"/>
        <v>0</v>
      </c>
      <c r="AG57" s="94">
        <f t="shared" si="43"/>
        <v>0</v>
      </c>
      <c r="AH57" s="95">
        <f t="shared" si="44"/>
        <v>0</v>
      </c>
      <c r="AI57" s="94">
        <f t="shared" si="45"/>
        <v>0</v>
      </c>
      <c r="AJ57" s="94">
        <f t="shared" si="46"/>
        <v>0</v>
      </c>
      <c r="AK57" s="94">
        <f t="shared" si="47"/>
        <v>0</v>
      </c>
      <c r="AL57" s="96" t="str">
        <f t="shared" si="48"/>
        <v/>
      </c>
      <c r="AM57" s="96" t="str">
        <f t="shared" si="25"/>
        <v>Work not yet Started.</v>
      </c>
      <c r="AN57" s="96" t="str">
        <f t="shared" si="26"/>
        <v/>
      </c>
      <c r="AO57" s="96" t="e">
        <f t="shared" si="27"/>
        <v>#DIV/0!</v>
      </c>
      <c r="AP57" s="96" t="e">
        <f t="shared" si="28"/>
        <v>#DIV/0!</v>
      </c>
      <c r="AQ57" s="96" t="str">
        <f t="shared" si="29"/>
        <v/>
      </c>
    </row>
    <row r="58" spans="1:43" ht="15.75" x14ac:dyDescent="0.25">
      <c r="A58" s="97"/>
      <c r="B58" s="18"/>
      <c r="C58" s="47"/>
      <c r="D58" s="43"/>
      <c r="E58" s="43"/>
      <c r="F58" s="43"/>
      <c r="G58" s="43"/>
      <c r="H58" s="43"/>
      <c r="I58" s="43"/>
      <c r="J58" s="43"/>
      <c r="K58" s="43"/>
      <c r="L58" s="43"/>
      <c r="M58" s="43"/>
      <c r="N58" s="90"/>
      <c r="O58" s="90"/>
      <c r="P58" s="102"/>
      <c r="Q58" s="19" t="e">
        <f t="shared" si="4"/>
        <v>#DIV/0!</v>
      </c>
      <c r="R58" s="19" t="e">
        <f t="shared" si="5"/>
        <v>#DIV/0!</v>
      </c>
      <c r="S58" s="19">
        <f t="shared" si="6"/>
        <v>0</v>
      </c>
      <c r="T58" s="19" t="e">
        <f t="shared" si="7"/>
        <v>#DIV/0!</v>
      </c>
      <c r="U58" s="19" t="e">
        <f t="shared" si="8"/>
        <v>#DIV/0!</v>
      </c>
      <c r="V58" s="19" t="e">
        <f t="shared" si="9"/>
        <v>#DIV/0!</v>
      </c>
      <c r="W58" s="19" t="e">
        <f t="shared" si="10"/>
        <v>#DIV/0!</v>
      </c>
      <c r="X58" s="19" t="e">
        <f t="shared" si="11"/>
        <v>#DIV/0!</v>
      </c>
      <c r="Y58" s="19" t="e">
        <f t="shared" si="12"/>
        <v>#DIV/0!</v>
      </c>
      <c r="Z58" s="19" t="e">
        <f t="shared" si="13"/>
        <v>#DIV/0!</v>
      </c>
      <c r="AA58" s="92">
        <f t="shared" si="14"/>
        <v>0</v>
      </c>
      <c r="AB58" s="93">
        <f t="shared" si="15"/>
        <v>0</v>
      </c>
      <c r="AC58" s="93">
        <f t="shared" si="16"/>
        <v>0</v>
      </c>
      <c r="AD58" s="94">
        <f t="shared" si="40"/>
        <v>0</v>
      </c>
      <c r="AE58" s="94">
        <f t="shared" si="41"/>
        <v>0</v>
      </c>
      <c r="AF58" s="94">
        <f t="shared" si="42"/>
        <v>0</v>
      </c>
      <c r="AG58" s="94">
        <f t="shared" si="43"/>
        <v>0</v>
      </c>
      <c r="AH58" s="95">
        <f t="shared" si="44"/>
        <v>0</v>
      </c>
      <c r="AI58" s="94">
        <f t="shared" si="45"/>
        <v>0</v>
      </c>
      <c r="AJ58" s="94">
        <f t="shared" si="46"/>
        <v>0</v>
      </c>
      <c r="AK58" s="94">
        <f t="shared" si="47"/>
        <v>0</v>
      </c>
      <c r="AL58" s="96" t="str">
        <f t="shared" si="48"/>
        <v/>
      </c>
      <c r="AM58" s="96" t="str">
        <f t="shared" si="25"/>
        <v>Work not yet Started.</v>
      </c>
      <c r="AN58" s="96" t="str">
        <f t="shared" si="26"/>
        <v/>
      </c>
      <c r="AO58" s="96" t="e">
        <f t="shared" si="27"/>
        <v>#DIV/0!</v>
      </c>
      <c r="AP58" s="96" t="e">
        <f t="shared" si="28"/>
        <v>#DIV/0!</v>
      </c>
      <c r="AQ58" s="96" t="str">
        <f t="shared" si="29"/>
        <v/>
      </c>
    </row>
    <row r="59" spans="1:43" ht="15.75" x14ac:dyDescent="0.25">
      <c r="A59" s="97"/>
      <c r="B59" s="18"/>
      <c r="C59" s="47"/>
      <c r="D59" s="43"/>
      <c r="E59" s="43"/>
      <c r="F59" s="43"/>
      <c r="G59" s="43"/>
      <c r="H59" s="43"/>
      <c r="I59" s="43"/>
      <c r="J59" s="43"/>
      <c r="K59" s="43"/>
      <c r="L59" s="43"/>
      <c r="M59" s="43"/>
      <c r="N59" s="90"/>
      <c r="O59" s="90"/>
      <c r="P59" s="96"/>
      <c r="Q59" s="19" t="e">
        <f t="shared" si="4"/>
        <v>#DIV/0!</v>
      </c>
      <c r="R59" s="19" t="e">
        <f t="shared" si="5"/>
        <v>#DIV/0!</v>
      </c>
      <c r="S59" s="19">
        <f t="shared" si="6"/>
        <v>0</v>
      </c>
      <c r="T59" s="19" t="e">
        <f t="shared" si="7"/>
        <v>#DIV/0!</v>
      </c>
      <c r="U59" s="19" t="e">
        <f t="shared" si="8"/>
        <v>#DIV/0!</v>
      </c>
      <c r="V59" s="19" t="e">
        <f t="shared" si="9"/>
        <v>#DIV/0!</v>
      </c>
      <c r="W59" s="19" t="e">
        <f t="shared" si="10"/>
        <v>#DIV/0!</v>
      </c>
      <c r="X59" s="19" t="e">
        <f t="shared" si="11"/>
        <v>#DIV/0!</v>
      </c>
      <c r="Y59" s="19" t="e">
        <f t="shared" si="12"/>
        <v>#DIV/0!</v>
      </c>
      <c r="Z59" s="19" t="e">
        <f t="shared" si="13"/>
        <v>#DIV/0!</v>
      </c>
      <c r="AA59" s="92">
        <f t="shared" si="14"/>
        <v>0</v>
      </c>
      <c r="AB59" s="93">
        <f t="shared" si="15"/>
        <v>0</v>
      </c>
      <c r="AC59" s="93">
        <f t="shared" si="16"/>
        <v>0</v>
      </c>
      <c r="AD59" s="94">
        <f t="shared" si="40"/>
        <v>0</v>
      </c>
      <c r="AE59" s="94">
        <f t="shared" si="41"/>
        <v>0</v>
      </c>
      <c r="AF59" s="94">
        <f t="shared" si="42"/>
        <v>0</v>
      </c>
      <c r="AG59" s="94">
        <f t="shared" si="43"/>
        <v>0</v>
      </c>
      <c r="AH59" s="95">
        <f t="shared" si="44"/>
        <v>0</v>
      </c>
      <c r="AI59" s="94">
        <f t="shared" si="45"/>
        <v>0</v>
      </c>
      <c r="AJ59" s="94">
        <f t="shared" si="46"/>
        <v>0</v>
      </c>
      <c r="AK59" s="94">
        <f t="shared" si="47"/>
        <v>0</v>
      </c>
      <c r="AL59" s="96" t="str">
        <f t="shared" si="48"/>
        <v/>
      </c>
      <c r="AM59" s="96" t="str">
        <f t="shared" si="25"/>
        <v>Work not yet Started.</v>
      </c>
      <c r="AN59" s="96" t="str">
        <f t="shared" si="26"/>
        <v/>
      </c>
      <c r="AO59" s="96" t="e">
        <f t="shared" si="27"/>
        <v>#DIV/0!</v>
      </c>
      <c r="AP59" s="96" t="e">
        <f t="shared" si="28"/>
        <v>#DIV/0!</v>
      </c>
      <c r="AQ59" s="96" t="str">
        <f t="shared" si="29"/>
        <v/>
      </c>
    </row>
    <row r="60" spans="1:43" ht="15.75" x14ac:dyDescent="0.25">
      <c r="A60" s="89"/>
      <c r="B60" s="18"/>
      <c r="C60" s="47"/>
      <c r="D60" s="43"/>
      <c r="E60" s="43"/>
      <c r="F60" s="43"/>
      <c r="G60" s="43"/>
      <c r="H60" s="43"/>
      <c r="I60" s="43"/>
      <c r="J60" s="43"/>
      <c r="K60" s="43"/>
      <c r="L60" s="43"/>
      <c r="M60" s="43"/>
      <c r="N60" s="90"/>
      <c r="O60" s="90"/>
      <c r="P60" s="96"/>
      <c r="Q60" s="19" t="e">
        <f t="shared" si="4"/>
        <v>#DIV/0!</v>
      </c>
      <c r="R60" s="19" t="e">
        <f t="shared" si="5"/>
        <v>#DIV/0!</v>
      </c>
      <c r="S60" s="19">
        <f t="shared" si="6"/>
        <v>0</v>
      </c>
      <c r="T60" s="19" t="e">
        <f t="shared" si="7"/>
        <v>#DIV/0!</v>
      </c>
      <c r="U60" s="19" t="e">
        <f t="shared" si="8"/>
        <v>#DIV/0!</v>
      </c>
      <c r="V60" s="19" t="e">
        <f t="shared" si="9"/>
        <v>#DIV/0!</v>
      </c>
      <c r="W60" s="19" t="e">
        <f t="shared" si="10"/>
        <v>#DIV/0!</v>
      </c>
      <c r="X60" s="19" t="e">
        <f t="shared" si="11"/>
        <v>#DIV/0!</v>
      </c>
      <c r="Y60" s="19" t="e">
        <f t="shared" si="12"/>
        <v>#DIV/0!</v>
      </c>
      <c r="Z60" s="19" t="e">
        <f t="shared" si="13"/>
        <v>#DIV/0!</v>
      </c>
      <c r="AA60" s="92">
        <f t="shared" si="14"/>
        <v>0</v>
      </c>
      <c r="AB60" s="93">
        <f t="shared" si="15"/>
        <v>0</v>
      </c>
      <c r="AC60" s="93">
        <f t="shared" si="16"/>
        <v>0</v>
      </c>
      <c r="AD60" s="94">
        <f t="shared" si="40"/>
        <v>0</v>
      </c>
      <c r="AE60" s="94">
        <f t="shared" si="41"/>
        <v>0</v>
      </c>
      <c r="AF60" s="94">
        <f t="shared" si="42"/>
        <v>0</v>
      </c>
      <c r="AG60" s="94">
        <f t="shared" si="43"/>
        <v>0</v>
      </c>
      <c r="AH60" s="95">
        <f t="shared" si="44"/>
        <v>0</v>
      </c>
      <c r="AI60" s="94">
        <f t="shared" si="45"/>
        <v>0</v>
      </c>
      <c r="AJ60" s="94">
        <f t="shared" si="46"/>
        <v>0</v>
      </c>
      <c r="AK60" s="94">
        <f t="shared" si="47"/>
        <v>0</v>
      </c>
      <c r="AL60" s="96" t="str">
        <f t="shared" si="48"/>
        <v/>
      </c>
      <c r="AM60" s="96" t="str">
        <f t="shared" si="25"/>
        <v>Work not yet Started.</v>
      </c>
      <c r="AN60" s="96" t="str">
        <f t="shared" si="26"/>
        <v/>
      </c>
      <c r="AO60" s="96" t="e">
        <f t="shared" si="27"/>
        <v>#DIV/0!</v>
      </c>
      <c r="AP60" s="96" t="e">
        <f t="shared" si="28"/>
        <v>#DIV/0!</v>
      </c>
      <c r="AQ60" s="96" t="str">
        <f t="shared" si="29"/>
        <v/>
      </c>
    </row>
    <row r="61" spans="1:43" ht="15.75" x14ac:dyDescent="0.25">
      <c r="A61" s="89"/>
      <c r="B61" s="18"/>
      <c r="C61" s="47"/>
      <c r="D61" s="43"/>
      <c r="E61" s="43"/>
      <c r="F61" s="43"/>
      <c r="G61" s="43"/>
      <c r="H61" s="43"/>
      <c r="I61" s="43"/>
      <c r="J61" s="43"/>
      <c r="K61" s="43"/>
      <c r="L61" s="43"/>
      <c r="M61" s="43"/>
      <c r="N61" s="90"/>
      <c r="O61" s="90"/>
      <c r="P61" s="96"/>
      <c r="Q61" s="19" t="e">
        <f t="shared" si="4"/>
        <v>#DIV/0!</v>
      </c>
      <c r="R61" s="19" t="e">
        <f t="shared" si="5"/>
        <v>#DIV/0!</v>
      </c>
      <c r="S61" s="19">
        <f t="shared" si="6"/>
        <v>0</v>
      </c>
      <c r="T61" s="19" t="e">
        <f t="shared" si="7"/>
        <v>#DIV/0!</v>
      </c>
      <c r="U61" s="19" t="e">
        <f t="shared" si="8"/>
        <v>#DIV/0!</v>
      </c>
      <c r="V61" s="19" t="e">
        <f t="shared" si="9"/>
        <v>#DIV/0!</v>
      </c>
      <c r="W61" s="19" t="e">
        <f t="shared" si="10"/>
        <v>#DIV/0!</v>
      </c>
      <c r="X61" s="19" t="e">
        <f t="shared" si="11"/>
        <v>#DIV/0!</v>
      </c>
      <c r="Y61" s="19" t="e">
        <f t="shared" si="12"/>
        <v>#DIV/0!</v>
      </c>
      <c r="Z61" s="19" t="e">
        <f t="shared" si="13"/>
        <v>#DIV/0!</v>
      </c>
      <c r="AA61" s="92">
        <f t="shared" si="14"/>
        <v>0</v>
      </c>
      <c r="AB61" s="93">
        <f t="shared" si="15"/>
        <v>0</v>
      </c>
      <c r="AC61" s="93">
        <f t="shared" si="16"/>
        <v>0</v>
      </c>
      <c r="AD61" s="94">
        <f t="shared" si="40"/>
        <v>0</v>
      </c>
      <c r="AE61" s="94">
        <f t="shared" si="41"/>
        <v>0</v>
      </c>
      <c r="AF61" s="94">
        <f t="shared" si="42"/>
        <v>0</v>
      </c>
      <c r="AG61" s="94">
        <f t="shared" si="43"/>
        <v>0</v>
      </c>
      <c r="AH61" s="95">
        <f t="shared" si="44"/>
        <v>0</v>
      </c>
      <c r="AI61" s="94">
        <f t="shared" si="45"/>
        <v>0</v>
      </c>
      <c r="AJ61" s="94">
        <f t="shared" si="46"/>
        <v>0</v>
      </c>
      <c r="AK61" s="94">
        <f t="shared" si="47"/>
        <v>0</v>
      </c>
      <c r="AL61" s="96" t="str">
        <f t="shared" si="48"/>
        <v/>
      </c>
      <c r="AM61" s="96" t="str">
        <f t="shared" si="25"/>
        <v>Work not yet Started.</v>
      </c>
      <c r="AN61" s="96" t="str">
        <f t="shared" si="26"/>
        <v/>
      </c>
      <c r="AO61" s="96" t="e">
        <f t="shared" si="27"/>
        <v>#DIV/0!</v>
      </c>
      <c r="AP61" s="96" t="e">
        <f t="shared" si="28"/>
        <v>#DIV/0!</v>
      </c>
      <c r="AQ61" s="96" t="str">
        <f t="shared" si="29"/>
        <v/>
      </c>
    </row>
    <row r="62" spans="1:43" ht="15.75" x14ac:dyDescent="0.25">
      <c r="A62" s="89"/>
      <c r="B62" s="18"/>
      <c r="C62" s="47"/>
      <c r="D62" s="43"/>
      <c r="E62" s="43"/>
      <c r="F62" s="43"/>
      <c r="G62" s="43"/>
      <c r="H62" s="43"/>
      <c r="I62" s="43"/>
      <c r="J62" s="43"/>
      <c r="K62" s="43"/>
      <c r="L62" s="43"/>
      <c r="M62" s="43"/>
      <c r="N62" s="90"/>
      <c r="O62" s="90"/>
      <c r="P62" s="96"/>
      <c r="Q62" s="19" t="e">
        <f t="shared" si="4"/>
        <v>#DIV/0!</v>
      </c>
      <c r="R62" s="19" t="e">
        <f t="shared" si="5"/>
        <v>#DIV/0!</v>
      </c>
      <c r="S62" s="19">
        <f t="shared" si="6"/>
        <v>0</v>
      </c>
      <c r="T62" s="19" t="e">
        <f t="shared" si="7"/>
        <v>#DIV/0!</v>
      </c>
      <c r="U62" s="19" t="e">
        <f t="shared" si="8"/>
        <v>#DIV/0!</v>
      </c>
      <c r="V62" s="19" t="e">
        <f t="shared" si="9"/>
        <v>#DIV/0!</v>
      </c>
      <c r="W62" s="19" t="e">
        <f t="shared" si="10"/>
        <v>#DIV/0!</v>
      </c>
      <c r="X62" s="19" t="e">
        <f t="shared" si="11"/>
        <v>#DIV/0!</v>
      </c>
      <c r="Y62" s="19" t="e">
        <f t="shared" si="12"/>
        <v>#DIV/0!</v>
      </c>
      <c r="Z62" s="19" t="e">
        <f t="shared" si="13"/>
        <v>#DIV/0!</v>
      </c>
      <c r="AA62" s="92">
        <f t="shared" si="14"/>
        <v>0</v>
      </c>
      <c r="AB62" s="93">
        <f t="shared" si="15"/>
        <v>0</v>
      </c>
      <c r="AC62" s="93">
        <f t="shared" si="16"/>
        <v>0</v>
      </c>
      <c r="AD62" s="94">
        <f t="shared" si="40"/>
        <v>0</v>
      </c>
      <c r="AE62" s="94">
        <f t="shared" si="41"/>
        <v>0</v>
      </c>
      <c r="AF62" s="94">
        <f t="shared" si="42"/>
        <v>0</v>
      </c>
      <c r="AG62" s="94">
        <f t="shared" si="43"/>
        <v>0</v>
      </c>
      <c r="AH62" s="95">
        <f t="shared" si="44"/>
        <v>0</v>
      </c>
      <c r="AI62" s="94">
        <f t="shared" si="45"/>
        <v>0</v>
      </c>
      <c r="AJ62" s="94">
        <f t="shared" si="46"/>
        <v>0</v>
      </c>
      <c r="AK62" s="94">
        <f t="shared" si="47"/>
        <v>0</v>
      </c>
      <c r="AL62" s="96" t="str">
        <f t="shared" si="48"/>
        <v/>
      </c>
      <c r="AM62" s="96" t="str">
        <f t="shared" si="25"/>
        <v>Work not yet Started.</v>
      </c>
      <c r="AN62" s="96" t="str">
        <f t="shared" si="26"/>
        <v/>
      </c>
      <c r="AO62" s="96" t="e">
        <f t="shared" si="27"/>
        <v>#DIV/0!</v>
      </c>
      <c r="AP62" s="96" t="e">
        <f t="shared" si="28"/>
        <v>#DIV/0!</v>
      </c>
      <c r="AQ62" s="96" t="str">
        <f t="shared" si="29"/>
        <v/>
      </c>
    </row>
    <row r="63" spans="1:43" ht="15.75" x14ac:dyDescent="0.25">
      <c r="A63" s="89"/>
      <c r="B63" s="18"/>
      <c r="C63" s="47"/>
      <c r="D63" s="43"/>
      <c r="E63" s="43"/>
      <c r="F63" s="43"/>
      <c r="G63" s="43"/>
      <c r="H63" s="43"/>
      <c r="I63" s="43"/>
      <c r="J63" s="43"/>
      <c r="K63" s="43"/>
      <c r="L63" s="43"/>
      <c r="M63" s="43"/>
      <c r="N63" s="90"/>
      <c r="O63" s="90"/>
      <c r="P63" s="96"/>
      <c r="Q63" s="19" t="e">
        <f t="shared" si="4"/>
        <v>#DIV/0!</v>
      </c>
      <c r="R63" s="19" t="e">
        <f t="shared" si="5"/>
        <v>#DIV/0!</v>
      </c>
      <c r="S63" s="19">
        <f t="shared" si="6"/>
        <v>0</v>
      </c>
      <c r="T63" s="19" t="e">
        <f t="shared" si="7"/>
        <v>#DIV/0!</v>
      </c>
      <c r="U63" s="19" t="e">
        <f t="shared" si="8"/>
        <v>#DIV/0!</v>
      </c>
      <c r="V63" s="19" t="e">
        <f t="shared" si="9"/>
        <v>#DIV/0!</v>
      </c>
      <c r="W63" s="19" t="e">
        <f t="shared" si="10"/>
        <v>#DIV/0!</v>
      </c>
      <c r="X63" s="19" t="e">
        <f t="shared" si="11"/>
        <v>#DIV/0!</v>
      </c>
      <c r="Y63" s="19" t="e">
        <f t="shared" si="12"/>
        <v>#DIV/0!</v>
      </c>
      <c r="Z63" s="19" t="e">
        <f t="shared" si="13"/>
        <v>#DIV/0!</v>
      </c>
      <c r="AA63" s="92">
        <f t="shared" si="14"/>
        <v>0</v>
      </c>
      <c r="AB63" s="93">
        <f t="shared" si="15"/>
        <v>0</v>
      </c>
      <c r="AC63" s="93">
        <f t="shared" si="16"/>
        <v>0</v>
      </c>
      <c r="AD63" s="94">
        <f t="shared" si="40"/>
        <v>0</v>
      </c>
      <c r="AE63" s="94">
        <f t="shared" si="41"/>
        <v>0</v>
      </c>
      <c r="AF63" s="94">
        <f t="shared" si="42"/>
        <v>0</v>
      </c>
      <c r="AG63" s="94">
        <f t="shared" si="43"/>
        <v>0</v>
      </c>
      <c r="AH63" s="95">
        <f t="shared" si="44"/>
        <v>0</v>
      </c>
      <c r="AI63" s="94">
        <f t="shared" si="45"/>
        <v>0</v>
      </c>
      <c r="AJ63" s="94">
        <f t="shared" si="46"/>
        <v>0</v>
      </c>
      <c r="AK63" s="94">
        <f t="shared" si="47"/>
        <v>0</v>
      </c>
      <c r="AL63" s="96" t="str">
        <f t="shared" si="48"/>
        <v/>
      </c>
      <c r="AM63" s="96" t="str">
        <f t="shared" si="25"/>
        <v>Work not yet Started.</v>
      </c>
      <c r="AN63" s="96" t="str">
        <f t="shared" si="26"/>
        <v/>
      </c>
      <c r="AO63" s="96" t="e">
        <f t="shared" si="27"/>
        <v>#DIV/0!</v>
      </c>
      <c r="AP63" s="96" t="e">
        <f t="shared" si="28"/>
        <v>#DIV/0!</v>
      </c>
      <c r="AQ63" s="96" t="str">
        <f t="shared" si="29"/>
        <v/>
      </c>
    </row>
    <row r="64" spans="1:43" ht="15.75" x14ac:dyDescent="0.25">
      <c r="A64" s="89"/>
      <c r="B64" s="18"/>
      <c r="C64" s="47"/>
      <c r="D64" s="43"/>
      <c r="E64" s="43"/>
      <c r="F64" s="43"/>
      <c r="G64" s="43"/>
      <c r="H64" s="43"/>
      <c r="I64" s="43"/>
      <c r="J64" s="43"/>
      <c r="K64" s="43"/>
      <c r="L64" s="43"/>
      <c r="M64" s="43"/>
      <c r="N64" s="90"/>
      <c r="O64" s="90"/>
      <c r="P64" s="96"/>
      <c r="Q64" s="19" t="e">
        <f t="shared" si="4"/>
        <v>#DIV/0!</v>
      </c>
      <c r="R64" s="19" t="e">
        <f t="shared" si="5"/>
        <v>#DIV/0!</v>
      </c>
      <c r="S64" s="19">
        <f t="shared" si="6"/>
        <v>0</v>
      </c>
      <c r="T64" s="19" t="e">
        <f t="shared" si="7"/>
        <v>#DIV/0!</v>
      </c>
      <c r="U64" s="19" t="e">
        <f t="shared" si="8"/>
        <v>#DIV/0!</v>
      </c>
      <c r="V64" s="19" t="e">
        <f t="shared" si="9"/>
        <v>#DIV/0!</v>
      </c>
      <c r="W64" s="19" t="e">
        <f t="shared" si="10"/>
        <v>#DIV/0!</v>
      </c>
      <c r="X64" s="19" t="e">
        <f t="shared" si="11"/>
        <v>#DIV/0!</v>
      </c>
      <c r="Y64" s="19" t="e">
        <f t="shared" si="12"/>
        <v>#DIV/0!</v>
      </c>
      <c r="Z64" s="19" t="e">
        <f t="shared" si="13"/>
        <v>#DIV/0!</v>
      </c>
      <c r="AA64" s="92">
        <f t="shared" si="14"/>
        <v>0</v>
      </c>
      <c r="AB64" s="93">
        <f t="shared" si="15"/>
        <v>0</v>
      </c>
      <c r="AC64" s="93">
        <f t="shared" si="16"/>
        <v>0</v>
      </c>
      <c r="AD64" s="94">
        <f t="shared" si="40"/>
        <v>0</v>
      </c>
      <c r="AE64" s="94">
        <f t="shared" si="41"/>
        <v>0</v>
      </c>
      <c r="AF64" s="94">
        <f t="shared" si="42"/>
        <v>0</v>
      </c>
      <c r="AG64" s="94">
        <f t="shared" si="43"/>
        <v>0</v>
      </c>
      <c r="AH64" s="95">
        <f t="shared" si="44"/>
        <v>0</v>
      </c>
      <c r="AI64" s="94">
        <f t="shared" si="45"/>
        <v>0</v>
      </c>
      <c r="AJ64" s="94">
        <f t="shared" si="46"/>
        <v>0</v>
      </c>
      <c r="AK64" s="94">
        <f t="shared" si="47"/>
        <v>0</v>
      </c>
      <c r="AL64" s="96" t="str">
        <f t="shared" si="48"/>
        <v/>
      </c>
      <c r="AM64" s="96" t="str">
        <f t="shared" si="25"/>
        <v>Work not yet Started.</v>
      </c>
      <c r="AN64" s="96" t="str">
        <f t="shared" si="26"/>
        <v/>
      </c>
      <c r="AO64" s="96" t="e">
        <f t="shared" si="27"/>
        <v>#DIV/0!</v>
      </c>
      <c r="AP64" s="96" t="e">
        <f t="shared" si="28"/>
        <v>#DIV/0!</v>
      </c>
      <c r="AQ64" s="96" t="str">
        <f t="shared" si="29"/>
        <v/>
      </c>
    </row>
    <row r="65" spans="1:43" ht="15.75" x14ac:dyDescent="0.25">
      <c r="A65" s="89"/>
      <c r="B65" s="18"/>
      <c r="C65" s="47"/>
      <c r="D65" s="43"/>
      <c r="E65" s="43"/>
      <c r="F65" s="43"/>
      <c r="G65" s="43"/>
      <c r="H65" s="43"/>
      <c r="I65" s="43"/>
      <c r="J65" s="43"/>
      <c r="K65" s="43"/>
      <c r="L65" s="43"/>
      <c r="M65" s="43"/>
      <c r="N65" s="90"/>
      <c r="O65" s="90"/>
      <c r="P65" s="96"/>
      <c r="Q65" s="19" t="e">
        <f t="shared" si="4"/>
        <v>#DIV/0!</v>
      </c>
      <c r="R65" s="19" t="e">
        <f t="shared" si="5"/>
        <v>#DIV/0!</v>
      </c>
      <c r="S65" s="19">
        <f t="shared" si="6"/>
        <v>0</v>
      </c>
      <c r="T65" s="19" t="e">
        <f t="shared" si="7"/>
        <v>#DIV/0!</v>
      </c>
      <c r="U65" s="19" t="e">
        <f t="shared" si="8"/>
        <v>#DIV/0!</v>
      </c>
      <c r="V65" s="19" t="e">
        <f t="shared" si="9"/>
        <v>#DIV/0!</v>
      </c>
      <c r="W65" s="19" t="e">
        <f t="shared" si="10"/>
        <v>#DIV/0!</v>
      </c>
      <c r="X65" s="19" t="e">
        <f t="shared" si="11"/>
        <v>#DIV/0!</v>
      </c>
      <c r="Y65" s="19" t="e">
        <f t="shared" si="12"/>
        <v>#DIV/0!</v>
      </c>
      <c r="Z65" s="19" t="e">
        <f t="shared" si="13"/>
        <v>#DIV/0!</v>
      </c>
      <c r="AA65" s="92">
        <f t="shared" si="14"/>
        <v>0</v>
      </c>
      <c r="AB65" s="93">
        <f t="shared" si="15"/>
        <v>0</v>
      </c>
      <c r="AC65" s="93">
        <f t="shared" si="16"/>
        <v>0</v>
      </c>
      <c r="AD65" s="94">
        <f t="shared" si="40"/>
        <v>0</v>
      </c>
      <c r="AE65" s="94">
        <f t="shared" si="41"/>
        <v>0</v>
      </c>
      <c r="AF65" s="94">
        <f t="shared" si="42"/>
        <v>0</v>
      </c>
      <c r="AG65" s="94">
        <f t="shared" si="43"/>
        <v>0</v>
      </c>
      <c r="AH65" s="95">
        <f t="shared" si="44"/>
        <v>0</v>
      </c>
      <c r="AI65" s="94">
        <f t="shared" si="45"/>
        <v>0</v>
      </c>
      <c r="AJ65" s="94">
        <f t="shared" si="46"/>
        <v>0</v>
      </c>
      <c r="AK65" s="94">
        <f t="shared" si="47"/>
        <v>0</v>
      </c>
      <c r="AL65" s="96" t="str">
        <f t="shared" si="48"/>
        <v/>
      </c>
      <c r="AM65" s="96" t="str">
        <f t="shared" si="25"/>
        <v>Work not yet Started.</v>
      </c>
      <c r="AN65" s="96" t="str">
        <f t="shared" si="26"/>
        <v/>
      </c>
      <c r="AO65" s="96" t="e">
        <f t="shared" si="27"/>
        <v>#DIV/0!</v>
      </c>
      <c r="AP65" s="96" t="e">
        <f t="shared" si="28"/>
        <v>#DIV/0!</v>
      </c>
      <c r="AQ65" s="96" t="str">
        <f t="shared" si="29"/>
        <v/>
      </c>
    </row>
    <row r="66" spans="1:43" ht="15.75" x14ac:dyDescent="0.25">
      <c r="A66" s="89"/>
      <c r="B66" s="18"/>
      <c r="C66" s="47"/>
      <c r="D66" s="43"/>
      <c r="E66" s="43"/>
      <c r="F66" s="43"/>
      <c r="G66" s="43"/>
      <c r="H66" s="43"/>
      <c r="I66" s="43"/>
      <c r="J66" s="43"/>
      <c r="K66" s="43"/>
      <c r="L66" s="43"/>
      <c r="M66" s="43"/>
      <c r="N66" s="90"/>
      <c r="O66" s="90"/>
      <c r="P66" s="96"/>
      <c r="Q66" s="19" t="e">
        <f t="shared" si="4"/>
        <v>#DIV/0!</v>
      </c>
      <c r="R66" s="19" t="e">
        <f t="shared" si="5"/>
        <v>#DIV/0!</v>
      </c>
      <c r="S66" s="19">
        <f t="shared" si="6"/>
        <v>0</v>
      </c>
      <c r="T66" s="19" t="e">
        <f t="shared" si="7"/>
        <v>#DIV/0!</v>
      </c>
      <c r="U66" s="19" t="e">
        <f t="shared" si="8"/>
        <v>#DIV/0!</v>
      </c>
      <c r="V66" s="19" t="e">
        <f t="shared" si="9"/>
        <v>#DIV/0!</v>
      </c>
      <c r="W66" s="19" t="e">
        <f t="shared" si="10"/>
        <v>#DIV/0!</v>
      </c>
      <c r="X66" s="19" t="e">
        <f t="shared" si="11"/>
        <v>#DIV/0!</v>
      </c>
      <c r="Y66" s="19" t="e">
        <f t="shared" si="12"/>
        <v>#DIV/0!</v>
      </c>
      <c r="Z66" s="19" t="e">
        <f t="shared" si="13"/>
        <v>#DIV/0!</v>
      </c>
      <c r="AA66" s="92">
        <f t="shared" si="14"/>
        <v>0</v>
      </c>
      <c r="AB66" s="93">
        <f t="shared" si="15"/>
        <v>0</v>
      </c>
      <c r="AC66" s="93">
        <f t="shared" si="16"/>
        <v>0</v>
      </c>
      <c r="AD66" s="94">
        <f t="shared" si="40"/>
        <v>0</v>
      </c>
      <c r="AE66" s="94">
        <f t="shared" si="41"/>
        <v>0</v>
      </c>
      <c r="AF66" s="94">
        <f t="shared" si="42"/>
        <v>0</v>
      </c>
      <c r="AG66" s="94">
        <f t="shared" si="43"/>
        <v>0</v>
      </c>
      <c r="AH66" s="95">
        <f t="shared" si="44"/>
        <v>0</v>
      </c>
      <c r="AI66" s="94">
        <f t="shared" si="45"/>
        <v>0</v>
      </c>
      <c r="AJ66" s="94">
        <f t="shared" si="46"/>
        <v>0</v>
      </c>
      <c r="AK66" s="94">
        <f t="shared" si="47"/>
        <v>0</v>
      </c>
      <c r="AL66" s="96" t="str">
        <f t="shared" si="48"/>
        <v/>
      </c>
      <c r="AM66" s="96" t="str">
        <f t="shared" si="25"/>
        <v>Work not yet Started.</v>
      </c>
      <c r="AN66" s="96" t="str">
        <f t="shared" si="26"/>
        <v/>
      </c>
      <c r="AO66" s="96" t="e">
        <f t="shared" si="27"/>
        <v>#DIV/0!</v>
      </c>
      <c r="AP66" s="96" t="e">
        <f t="shared" si="28"/>
        <v>#DIV/0!</v>
      </c>
      <c r="AQ66" s="96" t="str">
        <f t="shared" si="29"/>
        <v/>
      </c>
    </row>
    <row r="67" spans="1:43" ht="15.75" x14ac:dyDescent="0.25">
      <c r="A67" s="89"/>
      <c r="B67" s="18"/>
      <c r="C67" s="47"/>
      <c r="D67" s="43"/>
      <c r="E67" s="43"/>
      <c r="F67" s="43"/>
      <c r="G67" s="43"/>
      <c r="H67" s="43"/>
      <c r="I67" s="43"/>
      <c r="J67" s="43"/>
      <c r="K67" s="43"/>
      <c r="L67" s="43"/>
      <c r="M67" s="43"/>
      <c r="N67" s="90"/>
      <c r="O67" s="90"/>
      <c r="P67" s="96"/>
      <c r="Q67" s="19" t="e">
        <f t="shared" si="4"/>
        <v>#DIV/0!</v>
      </c>
      <c r="R67" s="19" t="e">
        <f t="shared" si="5"/>
        <v>#DIV/0!</v>
      </c>
      <c r="S67" s="19">
        <f t="shared" si="6"/>
        <v>0</v>
      </c>
      <c r="T67" s="19" t="e">
        <f t="shared" si="7"/>
        <v>#DIV/0!</v>
      </c>
      <c r="U67" s="19" t="e">
        <f t="shared" si="8"/>
        <v>#DIV/0!</v>
      </c>
      <c r="V67" s="19" t="e">
        <f t="shared" si="9"/>
        <v>#DIV/0!</v>
      </c>
      <c r="W67" s="19" t="e">
        <f t="shared" si="10"/>
        <v>#DIV/0!</v>
      </c>
      <c r="X67" s="19" t="e">
        <f t="shared" si="11"/>
        <v>#DIV/0!</v>
      </c>
      <c r="Y67" s="19" t="e">
        <f t="shared" si="12"/>
        <v>#DIV/0!</v>
      </c>
      <c r="Z67" s="19" t="e">
        <f t="shared" si="13"/>
        <v>#DIV/0!</v>
      </c>
      <c r="AA67" s="92">
        <f t="shared" si="14"/>
        <v>0</v>
      </c>
      <c r="AB67" s="93">
        <f t="shared" si="15"/>
        <v>0</v>
      </c>
      <c r="AC67" s="93">
        <f t="shared" si="16"/>
        <v>0</v>
      </c>
      <c r="AD67" s="94">
        <f t="shared" si="40"/>
        <v>0</v>
      </c>
      <c r="AE67" s="94">
        <f t="shared" si="41"/>
        <v>0</v>
      </c>
      <c r="AF67" s="94">
        <f t="shared" si="42"/>
        <v>0</v>
      </c>
      <c r="AG67" s="94">
        <f t="shared" si="43"/>
        <v>0</v>
      </c>
      <c r="AH67" s="95">
        <f t="shared" si="44"/>
        <v>0</v>
      </c>
      <c r="AI67" s="94">
        <f t="shared" si="45"/>
        <v>0</v>
      </c>
      <c r="AJ67" s="94">
        <f t="shared" si="46"/>
        <v>0</v>
      </c>
      <c r="AK67" s="94">
        <f t="shared" si="47"/>
        <v>0</v>
      </c>
      <c r="AL67" s="96" t="str">
        <f t="shared" si="48"/>
        <v/>
      </c>
      <c r="AM67" s="96" t="str">
        <f t="shared" si="25"/>
        <v>Work not yet Started.</v>
      </c>
      <c r="AN67" s="96" t="str">
        <f t="shared" si="26"/>
        <v/>
      </c>
      <c r="AO67" s="96" t="e">
        <f t="shared" si="27"/>
        <v>#DIV/0!</v>
      </c>
      <c r="AP67" s="96" t="e">
        <f t="shared" si="28"/>
        <v>#DIV/0!</v>
      </c>
      <c r="AQ67" s="96" t="str">
        <f t="shared" si="29"/>
        <v/>
      </c>
    </row>
    <row r="68" spans="1:43" ht="15.75" x14ac:dyDescent="0.25">
      <c r="A68" s="89"/>
      <c r="B68" s="18"/>
      <c r="C68" s="47"/>
      <c r="D68" s="43"/>
      <c r="E68" s="43"/>
      <c r="F68" s="43"/>
      <c r="G68" s="43"/>
      <c r="H68" s="43"/>
      <c r="I68" s="43"/>
      <c r="J68" s="43"/>
      <c r="K68" s="43"/>
      <c r="L68" s="43"/>
      <c r="M68" s="43"/>
      <c r="N68" s="90"/>
      <c r="O68" s="90"/>
      <c r="P68" s="96"/>
      <c r="Q68" s="19" t="e">
        <f t="shared" si="4"/>
        <v>#DIV/0!</v>
      </c>
      <c r="R68" s="19" t="e">
        <f t="shared" si="5"/>
        <v>#DIV/0!</v>
      </c>
      <c r="S68" s="19">
        <f t="shared" si="6"/>
        <v>0</v>
      </c>
      <c r="T68" s="19" t="e">
        <f t="shared" si="7"/>
        <v>#DIV/0!</v>
      </c>
      <c r="U68" s="19" t="e">
        <f t="shared" si="8"/>
        <v>#DIV/0!</v>
      </c>
      <c r="V68" s="19" t="e">
        <f t="shared" si="9"/>
        <v>#DIV/0!</v>
      </c>
      <c r="W68" s="19" t="e">
        <f t="shared" si="10"/>
        <v>#DIV/0!</v>
      </c>
      <c r="X68" s="19" t="e">
        <f t="shared" si="11"/>
        <v>#DIV/0!</v>
      </c>
      <c r="Y68" s="19" t="e">
        <f t="shared" si="12"/>
        <v>#DIV/0!</v>
      </c>
      <c r="Z68" s="19" t="e">
        <f t="shared" si="13"/>
        <v>#DIV/0!</v>
      </c>
      <c r="AA68" s="92">
        <f t="shared" si="14"/>
        <v>0</v>
      </c>
      <c r="AB68" s="93">
        <f t="shared" si="15"/>
        <v>0</v>
      </c>
      <c r="AC68" s="93">
        <f t="shared" si="16"/>
        <v>0</v>
      </c>
      <c r="AD68" s="94">
        <f t="shared" ref="AD68:AD69" si="49">(IF(M54&gt;1,(C68/(M54+2)),C68/4))</f>
        <v>0</v>
      </c>
      <c r="AE68" s="94">
        <f t="shared" ref="AE68:AE69" si="50">(IF(M54&gt;1,(C68/(M54+2)+AD68),C68/4+AD68))</f>
        <v>0</v>
      </c>
      <c r="AF68" s="94">
        <f t="shared" ref="AF68:AF69" si="51">(IF(M54&gt;1,(C68/(M54+2)+AE68),0))</f>
        <v>0</v>
      </c>
      <c r="AG68" s="94">
        <f t="shared" ref="AG68:AG69" si="52">(IF(M54&gt;2,(C68/(M54+2)+AF68),0))</f>
        <v>0</v>
      </c>
      <c r="AH68" s="95">
        <f t="shared" ref="AH68:AH69" si="53">(IF(M54&gt;3,(C68/(M54+2)+AG68),0))</f>
        <v>0</v>
      </c>
      <c r="AI68" s="94">
        <f t="shared" ref="AI68:AI69" si="54">(IF(M54&gt;4,(C68/(M54+2)+AH68),0))</f>
        <v>0</v>
      </c>
      <c r="AJ68" s="94">
        <f t="shared" ref="AJ68:AJ69" si="55">(IF(M54=1,(C68/(M54+3)+AE68),IF(M54=0,(C68/4+AE68),IF(M54&gt;1,0))))</f>
        <v>0</v>
      </c>
      <c r="AK68" s="94">
        <f t="shared" ref="AK68:AK69" si="56">(IF(M54&gt;1.5,(C68/(M54+2)+AE68+MAX(0,AF68-AE68)+MAX(0,AG68-AF68)+MAX(0,AH68-AG68)+MAX(0,AI68-AH68)+MAX(0,AJ68-AI68)),IF(M54=1,(C68/(M54+3)+AJ68),IF(M54=0,C68/4+AJ68))))</f>
        <v>0</v>
      </c>
      <c r="AL68" s="96" t="str">
        <f>(IF(W135=(1+T135),"",IF(W135&gt;0,", RCC upto "&amp;W135&amp;" Slab","")))&amp;(IF(X135=T135,"",IF(X135&gt;0,", Brickwork upto "&amp;X135&amp;" Floor","")))&amp;(IF(Y135=T135,"",IF(Y135&gt;0,", Internal Plaster upto "&amp;Y135&amp;" Floor","")))&amp;(IF(Z135=T135,"",IF(Z135&gt;0,", External Plaster upto "&amp;Z135&amp;" Floor","")))&amp;(IF(AA135=T135,"",IF(AA135&gt;0,", Flooring upto "&amp;AA135&amp;" Floor","")))&amp;(IF(AB135=T135,"",IF(AB135&gt;0,", Painting upto "&amp;AB135&amp;" Floor","")))&amp;(IF(AC135=T135,"",IF(AC135&gt;0,", Finishing upto "&amp;AC135&amp;" Floor","")))&amp;(IF(AD135=T135,"",IF(AD135&gt;0,", Possession upto "&amp;AD135&amp;" Floor","")))</f>
        <v/>
      </c>
      <c r="AM68" s="96" t="str">
        <f t="shared" si="25"/>
        <v>Work not yet Started.</v>
      </c>
      <c r="AN68" s="96" t="str">
        <f t="shared" si="26"/>
        <v/>
      </c>
      <c r="AO68" s="96" t="e">
        <f t="shared" si="27"/>
        <v>#DIV/0!</v>
      </c>
      <c r="AP68" s="96" t="e">
        <f t="shared" si="28"/>
        <v>#DIV/0!</v>
      </c>
      <c r="AQ68" s="96" t="str">
        <f t="shared" si="29"/>
        <v/>
      </c>
    </row>
    <row r="69" spans="1:43" ht="15.75" x14ac:dyDescent="0.25">
      <c r="A69" s="89"/>
      <c r="B69" s="18"/>
      <c r="C69" s="47"/>
      <c r="D69" s="43"/>
      <c r="E69" s="43"/>
      <c r="F69" s="43"/>
      <c r="G69" s="43"/>
      <c r="H69" s="43"/>
      <c r="I69" s="43"/>
      <c r="J69" s="43"/>
      <c r="K69" s="43"/>
      <c r="L69" s="43"/>
      <c r="M69" s="43"/>
      <c r="N69" s="90"/>
      <c r="O69" s="90"/>
      <c r="P69" s="96"/>
      <c r="Q69" s="19" t="e">
        <f t="shared" si="4"/>
        <v>#DIV/0!</v>
      </c>
      <c r="R69" s="19" t="e">
        <f t="shared" si="5"/>
        <v>#DIV/0!</v>
      </c>
      <c r="S69" s="19">
        <f t="shared" si="6"/>
        <v>0</v>
      </c>
      <c r="T69" s="19" t="e">
        <f t="shared" si="7"/>
        <v>#DIV/0!</v>
      </c>
      <c r="U69" s="19" t="e">
        <f t="shared" si="8"/>
        <v>#DIV/0!</v>
      </c>
      <c r="V69" s="19" t="e">
        <f t="shared" si="9"/>
        <v>#DIV/0!</v>
      </c>
      <c r="W69" s="19" t="e">
        <f t="shared" si="10"/>
        <v>#DIV/0!</v>
      </c>
      <c r="X69" s="19" t="e">
        <f t="shared" si="11"/>
        <v>#DIV/0!</v>
      </c>
      <c r="Y69" s="19" t="e">
        <f t="shared" si="12"/>
        <v>#DIV/0!</v>
      </c>
      <c r="Z69" s="19" t="e">
        <f t="shared" si="13"/>
        <v>#DIV/0!</v>
      </c>
      <c r="AA69" s="92">
        <f t="shared" si="14"/>
        <v>0</v>
      </c>
      <c r="AB69" s="93">
        <f t="shared" si="15"/>
        <v>0</v>
      </c>
      <c r="AC69" s="93">
        <f t="shared" si="16"/>
        <v>0</v>
      </c>
      <c r="AD69" s="94">
        <f t="shared" si="49"/>
        <v>0</v>
      </c>
      <c r="AE69" s="94">
        <f t="shared" si="50"/>
        <v>0</v>
      </c>
      <c r="AF69" s="94">
        <f t="shared" si="51"/>
        <v>0</v>
      </c>
      <c r="AG69" s="94">
        <f t="shared" si="52"/>
        <v>0</v>
      </c>
      <c r="AH69" s="95">
        <f t="shared" si="53"/>
        <v>0</v>
      </c>
      <c r="AI69" s="94">
        <f t="shared" si="54"/>
        <v>0</v>
      </c>
      <c r="AJ69" s="94">
        <f t="shared" si="55"/>
        <v>0</v>
      </c>
      <c r="AK69" s="94">
        <f t="shared" si="56"/>
        <v>0</v>
      </c>
      <c r="AL69" s="96" t="str">
        <f>(IF(W136=(1+T136),"",IF(W136&gt;0,", RCC upto "&amp;W136&amp;" Slab","")))&amp;(IF(X136=T136,"",IF(X136&gt;0,", Brickwork upto "&amp;X136&amp;" Floor","")))&amp;(IF(Y136=T136,"",IF(Y136&gt;0,", Internal Plaster upto "&amp;Y136&amp;" Floor","")))&amp;(IF(Z136=T136,"",IF(Z136&gt;0,", External Plaster upto "&amp;Z136&amp;" Floor","")))&amp;(IF(AA136=T136,"",IF(AA136&gt;0,", Flooring upto "&amp;AA136&amp;" Floor","")))&amp;(IF(AB136=T136,"",IF(AB136&gt;0,", Painting upto "&amp;AB136&amp;" Floor","")))&amp;(IF(AC136=T136,"",IF(AC136&gt;0,", Finishing upto "&amp;AC136&amp;" Floor","")))&amp;(IF(AD136=T136,"",IF(AD136&gt;0,", Possession upto "&amp;AD136&amp;" Floor","")))</f>
        <v/>
      </c>
      <c r="AM69" s="96" t="str">
        <f t="shared" si="25"/>
        <v>Work not yet Started.</v>
      </c>
      <c r="AN69" s="96" t="str">
        <f t="shared" si="26"/>
        <v/>
      </c>
      <c r="AO69" s="96" t="e">
        <f t="shared" si="27"/>
        <v>#DIV/0!</v>
      </c>
      <c r="AP69" s="96" t="e">
        <f t="shared" si="28"/>
        <v>#DIV/0!</v>
      </c>
      <c r="AQ69" s="96" t="str">
        <f t="shared" si="29"/>
        <v/>
      </c>
    </row>
  </sheetData>
  <mergeCells count="20">
    <mergeCell ref="A1:B1"/>
    <mergeCell ref="C1:H1"/>
    <mergeCell ref="A3:B3"/>
    <mergeCell ref="C3:H3"/>
    <mergeCell ref="A4:B4"/>
    <mergeCell ref="E4:F4"/>
    <mergeCell ref="G4:H4"/>
    <mergeCell ref="B16:C16"/>
    <mergeCell ref="A5:B5"/>
    <mergeCell ref="E5:F14"/>
    <mergeCell ref="G5:H14"/>
    <mergeCell ref="A6:B6"/>
    <mergeCell ref="A7:B7"/>
    <mergeCell ref="A8:B8"/>
    <mergeCell ref="A9:B9"/>
    <mergeCell ref="A10:B10"/>
    <mergeCell ref="A11:B11"/>
    <mergeCell ref="A12:B12"/>
    <mergeCell ref="A13:B13"/>
    <mergeCell ref="A14:B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8" sqref="C2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2" t="s">
        <v>99</v>
      </c>
      <c r="C3" s="262"/>
      <c r="D3" s="262"/>
      <c r="E3" s="262"/>
      <c r="F3" s="262"/>
      <c r="G3" s="262"/>
      <c r="H3" s="262"/>
    </row>
    <row r="4" spans="1:9" x14ac:dyDescent="0.25">
      <c r="A4" s="2"/>
      <c r="B4" s="3" t="s">
        <v>100</v>
      </c>
      <c r="C4" s="3" t="s">
        <v>101</v>
      </c>
      <c r="D4" s="3" t="s">
        <v>64</v>
      </c>
      <c r="E4" s="3" t="s">
        <v>102</v>
      </c>
      <c r="F4" s="3" t="s">
        <v>108</v>
      </c>
      <c r="G4" s="3" t="s">
        <v>109</v>
      </c>
      <c r="H4" s="3" t="s">
        <v>103</v>
      </c>
    </row>
    <row r="5" spans="1:9" ht="15" customHeight="1" x14ac:dyDescent="0.25">
      <c r="A5" s="2"/>
      <c r="B5" s="5" t="s">
        <v>104</v>
      </c>
      <c r="C5" s="6"/>
      <c r="D5" s="5"/>
      <c r="E5" s="5"/>
      <c r="F5" s="7">
        <f>E5*1.6</f>
        <v>0</v>
      </c>
      <c r="G5" s="7" t="e">
        <f>H5/F5</f>
        <v>#DIV/0!</v>
      </c>
      <c r="H5" s="8"/>
    </row>
    <row r="6" spans="1:9" x14ac:dyDescent="0.25">
      <c r="A6" s="2"/>
      <c r="B6" s="5" t="s">
        <v>104</v>
      </c>
      <c r="C6" s="9"/>
      <c r="D6" s="5"/>
      <c r="E6" s="5"/>
      <c r="F6" s="7">
        <f t="shared" ref="F6:F11" si="0">E6*1.6</f>
        <v>0</v>
      </c>
      <c r="G6" s="7" t="e">
        <f t="shared" ref="G6:G11" si="1">H6/F6</f>
        <v>#DIV/0!</v>
      </c>
      <c r="H6" s="8"/>
    </row>
    <row r="7" spans="1:9" ht="15" customHeight="1" x14ac:dyDescent="0.25">
      <c r="A7" s="2"/>
      <c r="B7" s="5" t="s">
        <v>104</v>
      </c>
      <c r="C7" s="6"/>
      <c r="D7" s="5"/>
      <c r="E7" s="5"/>
      <c r="F7" s="7">
        <f t="shared" si="0"/>
        <v>0</v>
      </c>
      <c r="G7" s="7" t="e">
        <f t="shared" si="1"/>
        <v>#DIV/0!</v>
      </c>
      <c r="H7" s="8"/>
    </row>
    <row r="8" spans="1:9" x14ac:dyDescent="0.25">
      <c r="A8" s="2"/>
      <c r="B8" s="5" t="s">
        <v>104</v>
      </c>
      <c r="C8" s="9"/>
      <c r="D8" s="5"/>
      <c r="E8" s="5"/>
      <c r="F8" s="7">
        <f t="shared" si="0"/>
        <v>0</v>
      </c>
      <c r="G8" s="7" t="e">
        <f t="shared" si="1"/>
        <v>#DIV/0!</v>
      </c>
      <c r="H8" s="8"/>
    </row>
    <row r="9" spans="1:9" ht="15" customHeight="1" x14ac:dyDescent="0.25">
      <c r="A9" s="2"/>
      <c r="B9" s="5" t="s">
        <v>104</v>
      </c>
      <c r="C9" s="9"/>
      <c r="D9" s="5"/>
      <c r="E9" s="5"/>
      <c r="F9" s="7">
        <f t="shared" si="0"/>
        <v>0</v>
      </c>
      <c r="G9" s="7" t="e">
        <f t="shared" si="1"/>
        <v>#DIV/0!</v>
      </c>
      <c r="H9" s="8"/>
    </row>
    <row r="10" spans="1:9" ht="15" customHeight="1" x14ac:dyDescent="0.25">
      <c r="A10" s="2"/>
      <c r="B10" s="5" t="s">
        <v>105</v>
      </c>
      <c r="C10" s="6"/>
      <c r="D10" s="5"/>
      <c r="E10" s="5"/>
      <c r="F10" s="7">
        <f t="shared" si="0"/>
        <v>0</v>
      </c>
      <c r="G10" s="7" t="e">
        <f t="shared" si="1"/>
        <v>#DIV/0!</v>
      </c>
      <c r="H10" s="8"/>
    </row>
    <row r="11" spans="1:9" ht="15" customHeight="1" x14ac:dyDescent="0.25">
      <c r="A11" s="2"/>
      <c r="B11" s="5" t="s">
        <v>105</v>
      </c>
      <c r="C11" s="6"/>
      <c r="D11" s="5"/>
      <c r="E11" s="5"/>
      <c r="F11" s="7">
        <f t="shared" si="0"/>
        <v>0</v>
      </c>
      <c r="G11" s="7" t="e">
        <f t="shared" si="1"/>
        <v>#DIV/0!</v>
      </c>
      <c r="H11" s="8"/>
    </row>
    <row r="12" spans="1:9" ht="15" customHeight="1" x14ac:dyDescent="0.25">
      <c r="A12" s="2"/>
      <c r="B12" s="10" t="s">
        <v>106</v>
      </c>
      <c r="C12" s="5"/>
      <c r="D12" s="5"/>
      <c r="E12" s="5"/>
      <c r="F12" s="5"/>
      <c r="G12" s="11" t="e">
        <f>AVERAGE(G5:G11)</f>
        <v>#DIV/0!</v>
      </c>
      <c r="H12" s="5"/>
    </row>
    <row r="13" spans="1:9" ht="15" customHeight="1" x14ac:dyDescent="0.25">
      <c r="B13" s="10" t="s">
        <v>107</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164</v>
      </c>
      <c r="E4" s="54" t="s">
        <v>174</v>
      </c>
      <c r="F4" s="54" t="s">
        <v>161</v>
      </c>
      <c r="G4" s="54" t="s">
        <v>179</v>
      </c>
      <c r="H4" s="54" t="s">
        <v>197</v>
      </c>
      <c r="J4" t="s">
        <v>179</v>
      </c>
      <c r="K4" t="s">
        <v>195</v>
      </c>
    </row>
    <row r="5" spans="2:11" x14ac:dyDescent="0.25">
      <c r="B5" s="53"/>
      <c r="C5" s="53"/>
      <c r="D5" s="54" t="s">
        <v>165</v>
      </c>
      <c r="E5" s="54" t="s">
        <v>172</v>
      </c>
      <c r="F5" s="54" t="s">
        <v>194</v>
      </c>
      <c r="G5" s="54" t="s">
        <v>180</v>
      </c>
      <c r="H5" s="54" t="s">
        <v>198</v>
      </c>
    </row>
    <row r="6" spans="2:11" x14ac:dyDescent="0.25">
      <c r="B6" s="53"/>
      <c r="C6" s="53"/>
      <c r="D6" s="54" t="s">
        <v>166</v>
      </c>
      <c r="E6" s="54" t="s">
        <v>173</v>
      </c>
      <c r="F6" s="54" t="s">
        <v>195</v>
      </c>
      <c r="G6" s="54" t="s">
        <v>181</v>
      </c>
      <c r="H6" s="54" t="s">
        <v>211</v>
      </c>
    </row>
    <row r="7" spans="2:11" x14ac:dyDescent="0.25">
      <c r="B7" s="53"/>
      <c r="C7" s="53"/>
      <c r="D7" s="54" t="s">
        <v>167</v>
      </c>
      <c r="E7" s="54" t="s">
        <v>175</v>
      </c>
      <c r="F7" s="54" t="s">
        <v>196</v>
      </c>
      <c r="G7" s="54" t="s">
        <v>182</v>
      </c>
      <c r="H7" s="54" t="s">
        <v>199</v>
      </c>
    </row>
    <row r="8" spans="2:11" x14ac:dyDescent="0.25">
      <c r="B8" s="53"/>
      <c r="C8" s="53"/>
      <c r="D8" s="54" t="s">
        <v>168</v>
      </c>
      <c r="E8" s="54" t="s">
        <v>176</v>
      </c>
      <c r="F8" s="54"/>
      <c r="G8" s="54" t="s">
        <v>183</v>
      </c>
      <c r="H8" s="54" t="s">
        <v>200</v>
      </c>
    </row>
    <row r="9" spans="2:11" x14ac:dyDescent="0.25">
      <c r="B9" s="53"/>
      <c r="C9" s="53"/>
      <c r="D9" s="54" t="s">
        <v>169</v>
      </c>
      <c r="E9" s="54" t="s">
        <v>174</v>
      </c>
      <c r="F9" s="54"/>
      <c r="G9" s="54" t="s">
        <v>184</v>
      </c>
      <c r="H9" s="54" t="s">
        <v>201</v>
      </c>
    </row>
    <row r="10" spans="2:11" x14ac:dyDescent="0.25">
      <c r="B10" s="53"/>
      <c r="C10" s="53"/>
      <c r="D10" s="54" t="s">
        <v>170</v>
      </c>
      <c r="E10" s="54" t="s">
        <v>177</v>
      </c>
      <c r="F10" s="54"/>
      <c r="G10" s="54" t="s">
        <v>185</v>
      </c>
      <c r="H10" s="54" t="s">
        <v>202</v>
      </c>
    </row>
    <row r="11" spans="2:11" x14ac:dyDescent="0.25">
      <c r="B11" s="53"/>
      <c r="C11" s="53"/>
      <c r="D11" s="54" t="s">
        <v>171</v>
      </c>
      <c r="E11" s="54" t="s">
        <v>178</v>
      </c>
      <c r="F11" s="54"/>
      <c r="G11" s="54" t="s">
        <v>186</v>
      </c>
      <c r="H11" s="54" t="s">
        <v>203</v>
      </c>
    </row>
    <row r="12" spans="2:11" x14ac:dyDescent="0.25">
      <c r="B12" s="53"/>
      <c r="C12" s="53"/>
      <c r="D12" s="54"/>
      <c r="E12" s="54"/>
      <c r="F12" s="54"/>
      <c r="G12" s="54" t="s">
        <v>187</v>
      </c>
      <c r="H12" s="54" t="s">
        <v>204</v>
      </c>
    </row>
    <row r="13" spans="2:11" x14ac:dyDescent="0.25">
      <c r="B13" s="53"/>
      <c r="C13" s="53"/>
      <c r="D13" s="54"/>
      <c r="E13" s="54"/>
      <c r="F13" s="54"/>
      <c r="G13" s="54" t="s">
        <v>188</v>
      </c>
      <c r="H13" s="54" t="s">
        <v>205</v>
      </c>
    </row>
    <row r="14" spans="2:11" x14ac:dyDescent="0.25">
      <c r="B14" s="53"/>
      <c r="C14" s="53"/>
      <c r="D14" s="54"/>
      <c r="E14" s="54"/>
      <c r="F14" s="54"/>
      <c r="G14" s="54" t="s">
        <v>189</v>
      </c>
      <c r="H14" s="54" t="s">
        <v>206</v>
      </c>
    </row>
    <row r="15" spans="2:11" x14ac:dyDescent="0.25">
      <c r="B15" s="53"/>
      <c r="C15" s="53"/>
      <c r="D15" s="54"/>
      <c r="E15" s="54"/>
      <c r="F15" s="54"/>
      <c r="G15" s="54" t="s">
        <v>190</v>
      </c>
      <c r="H15" s="54" t="s">
        <v>207</v>
      </c>
    </row>
    <row r="16" spans="2:11" x14ac:dyDescent="0.25">
      <c r="B16" s="53"/>
      <c r="C16" s="53"/>
      <c r="D16" s="54"/>
      <c r="E16" s="54"/>
      <c r="F16" s="54"/>
      <c r="G16" s="54" t="s">
        <v>191</v>
      </c>
      <c r="H16" s="54" t="s">
        <v>208</v>
      </c>
    </row>
    <row r="17" spans="2:8" x14ac:dyDescent="0.25">
      <c r="B17" s="53"/>
      <c r="C17" s="53"/>
      <c r="D17" s="54"/>
      <c r="E17" s="54"/>
      <c r="F17" s="54"/>
      <c r="G17" s="54" t="s">
        <v>192</v>
      </c>
      <c r="H17" s="54" t="s">
        <v>209</v>
      </c>
    </row>
    <row r="18" spans="2:8" x14ac:dyDescent="0.25">
      <c r="B18" s="53"/>
      <c r="C18" s="53"/>
      <c r="D18" s="54"/>
      <c r="E18" s="54"/>
      <c r="F18" s="54"/>
      <c r="G18" s="54" t="s">
        <v>193</v>
      </c>
      <c r="H18" s="54" t="s">
        <v>210</v>
      </c>
    </row>
    <row r="24" spans="2:8" x14ac:dyDescent="0.25">
      <c r="C24" t="s">
        <v>158</v>
      </c>
    </row>
    <row r="25" spans="2:8" x14ac:dyDescent="0.25">
      <c r="C25" t="s">
        <v>212</v>
      </c>
    </row>
    <row r="26" spans="2:8" x14ac:dyDescent="0.25">
      <c r="C26" t="s">
        <v>213</v>
      </c>
    </row>
    <row r="27" spans="2:8" x14ac:dyDescent="0.25">
      <c r="C27" t="s">
        <v>214</v>
      </c>
    </row>
    <row r="28" spans="2:8" x14ac:dyDescent="0.25">
      <c r="C28" t="s">
        <v>215</v>
      </c>
    </row>
    <row r="29" spans="2:8" x14ac:dyDescent="0.25">
      <c r="C29" t="s">
        <v>216</v>
      </c>
    </row>
    <row r="30" spans="2:8" x14ac:dyDescent="0.25">
      <c r="C30" t="s">
        <v>158</v>
      </c>
    </row>
    <row r="33" spans="3:11" x14ac:dyDescent="0.25">
      <c r="J33">
        <v>1</v>
      </c>
      <c r="K33">
        <v>2</v>
      </c>
    </row>
    <row r="34" spans="3:11" x14ac:dyDescent="0.25">
      <c r="C34" s="56" t="s">
        <v>222</v>
      </c>
      <c r="D34" s="54" t="s">
        <v>220</v>
      </c>
      <c r="E34" s="54" t="s">
        <v>225</v>
      </c>
      <c r="F34" s="54" t="s">
        <v>223</v>
      </c>
      <c r="G34" s="54" t="s">
        <v>224</v>
      </c>
      <c r="H34" s="54" t="s">
        <v>226</v>
      </c>
      <c r="J34" t="s">
        <v>179</v>
      </c>
      <c r="K34" t="s">
        <v>195</v>
      </c>
    </row>
    <row r="35" spans="3:11" x14ac:dyDescent="0.25">
      <c r="C35" s="53" t="s">
        <v>221</v>
      </c>
      <c r="D35" s="54" t="s">
        <v>159</v>
      </c>
      <c r="E35" s="54" t="s">
        <v>230</v>
      </c>
      <c r="F35" s="54" t="s">
        <v>232</v>
      </c>
      <c r="G35" s="54" t="s">
        <v>234</v>
      </c>
      <c r="H35" s="54"/>
    </row>
    <row r="36" spans="3:11" x14ac:dyDescent="0.25">
      <c r="C36" s="53"/>
      <c r="D36" s="54" t="s">
        <v>227</v>
      </c>
      <c r="E36" s="54" t="s">
        <v>231</v>
      </c>
      <c r="F36" s="54" t="s">
        <v>233</v>
      </c>
      <c r="G36" s="54" t="s">
        <v>235</v>
      </c>
      <c r="H36" s="54"/>
    </row>
    <row r="37" spans="3:11" x14ac:dyDescent="0.25">
      <c r="C37" s="53"/>
      <c r="D37" s="54" t="s">
        <v>228</v>
      </c>
      <c r="E37" s="54"/>
      <c r="F37" s="54"/>
      <c r="G37" s="54" t="s">
        <v>236</v>
      </c>
      <c r="H37" s="54"/>
    </row>
    <row r="38" spans="3:11" x14ac:dyDescent="0.25">
      <c r="C38" s="53"/>
      <c r="D38" s="54" t="s">
        <v>229</v>
      </c>
      <c r="E38" s="54"/>
      <c r="F38" s="54"/>
      <c r="G38" s="54" t="s">
        <v>236</v>
      </c>
      <c r="H38" s="54"/>
    </row>
    <row r="39" spans="3:11" x14ac:dyDescent="0.25">
      <c r="C39" s="53"/>
      <c r="D39" s="54"/>
      <c r="E39" s="54"/>
      <c r="F39" s="54"/>
      <c r="G39" s="54" t="s">
        <v>237</v>
      </c>
      <c r="H39" s="54"/>
    </row>
    <row r="40" spans="3:11" x14ac:dyDescent="0.25">
      <c r="C40" s="53"/>
      <c r="D40" s="54"/>
      <c r="E40" s="54"/>
      <c r="F40" s="54"/>
      <c r="G40" s="54" t="s">
        <v>238</v>
      </c>
      <c r="H40" s="54"/>
    </row>
    <row r="41" spans="3:11" x14ac:dyDescent="0.25">
      <c r="C41" s="53"/>
      <c r="D41" s="54"/>
      <c r="E41" s="54"/>
      <c r="F41" s="54"/>
      <c r="G41" s="54"/>
      <c r="H41" s="54"/>
    </row>
    <row r="43" spans="3:11" x14ac:dyDescent="0.25">
      <c r="C43" t="s">
        <v>239</v>
      </c>
    </row>
    <row r="44" spans="3:11" x14ac:dyDescent="0.25">
      <c r="C44" t="s">
        <v>161</v>
      </c>
      <c r="D44" t="s">
        <v>240</v>
      </c>
    </row>
    <row r="45" spans="3:11" x14ac:dyDescent="0.25">
      <c r="D45" t="s">
        <v>241</v>
      </c>
    </row>
    <row r="46" spans="3:11" x14ac:dyDescent="0.25">
      <c r="D46" t="s">
        <v>242</v>
      </c>
    </row>
    <row r="47" spans="3:11" x14ac:dyDescent="0.25">
      <c r="D47" t="s">
        <v>243</v>
      </c>
    </row>
    <row r="48" spans="3:11" x14ac:dyDescent="0.25">
      <c r="D48" t="s">
        <v>244</v>
      </c>
    </row>
    <row r="49" spans="3:4" x14ac:dyDescent="0.25">
      <c r="C49" t="s">
        <v>164</v>
      </c>
      <c r="D49" t="s">
        <v>245</v>
      </c>
    </row>
    <row r="50" spans="3:4" x14ac:dyDescent="0.25">
      <c r="D50" t="s">
        <v>246</v>
      </c>
    </row>
    <row r="51" spans="3:4" x14ac:dyDescent="0.25">
      <c r="D51" t="s">
        <v>247</v>
      </c>
    </row>
    <row r="52" spans="3:4" x14ac:dyDescent="0.25">
      <c r="D52" t="s">
        <v>250</v>
      </c>
    </row>
    <row r="53" spans="3:4" x14ac:dyDescent="0.25">
      <c r="D53" t="s">
        <v>248</v>
      </c>
    </row>
    <row r="54" spans="3:4" x14ac:dyDescent="0.25">
      <c r="D54" t="s">
        <v>249</v>
      </c>
    </row>
    <row r="55" spans="3:4" x14ac:dyDescent="0.25">
      <c r="D55" t="s">
        <v>251</v>
      </c>
    </row>
    <row r="56" spans="3:4" x14ac:dyDescent="0.25">
      <c r="D56" t="s">
        <v>252</v>
      </c>
    </row>
    <row r="57" spans="3:4" x14ac:dyDescent="0.25">
      <c r="D57" t="s">
        <v>253</v>
      </c>
    </row>
    <row r="58" spans="3:4" x14ac:dyDescent="0.25">
      <c r="D58" t="s">
        <v>255</v>
      </c>
    </row>
    <row r="59" spans="3:4" x14ac:dyDescent="0.25">
      <c r="D59" t="s">
        <v>264</v>
      </c>
    </row>
    <row r="60" spans="3:4" x14ac:dyDescent="0.25">
      <c r="C60" t="s">
        <v>179</v>
      </c>
      <c r="D60" t="s">
        <v>256</v>
      </c>
    </row>
    <row r="61" spans="3:4" x14ac:dyDescent="0.25">
      <c r="D61" t="s">
        <v>254</v>
      </c>
    </row>
    <row r="62" spans="3:4" x14ac:dyDescent="0.25">
      <c r="D62" t="s">
        <v>244</v>
      </c>
    </row>
    <row r="63" spans="3:4" x14ac:dyDescent="0.25">
      <c r="D63" t="s">
        <v>257</v>
      </c>
    </row>
    <row r="64" spans="3:4" x14ac:dyDescent="0.25">
      <c r="D64" t="s">
        <v>258</v>
      </c>
    </row>
    <row r="65" spans="3:4" x14ac:dyDescent="0.25">
      <c r="D65" t="s">
        <v>259</v>
      </c>
    </row>
    <row r="66" spans="3:4" x14ac:dyDescent="0.25">
      <c r="D66" t="s">
        <v>260</v>
      </c>
    </row>
    <row r="67" spans="3:4" x14ac:dyDescent="0.25">
      <c r="C67" t="s">
        <v>174</v>
      </c>
      <c r="D67" t="s">
        <v>261</v>
      </c>
    </row>
    <row r="68" spans="3:4" x14ac:dyDescent="0.25">
      <c r="D68" t="s">
        <v>262</v>
      </c>
    </row>
    <row r="69" spans="3:4" x14ac:dyDescent="0.25">
      <c r="D69" t="s">
        <v>263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5" x14ac:dyDescent="0.25"/>
  <cols>
    <col min="2" max="2" width="3" bestFit="1" customWidth="1"/>
    <col min="3" max="3" width="130" customWidth="1"/>
  </cols>
  <sheetData>
    <row r="2" spans="2:3" ht="15" customHeight="1" x14ac:dyDescent="0.25">
      <c r="B2" s="57">
        <v>1</v>
      </c>
      <c r="C2" s="59" t="s">
        <v>269</v>
      </c>
    </row>
    <row r="3" spans="2:3" x14ac:dyDescent="0.25">
      <c r="B3" s="57">
        <v>2</v>
      </c>
      <c r="C3" s="58" t="s">
        <v>270</v>
      </c>
    </row>
    <row r="4" spans="2:3" x14ac:dyDescent="0.25">
      <c r="B4" s="57">
        <v>3</v>
      </c>
      <c r="C4" s="57" t="s">
        <v>271</v>
      </c>
    </row>
    <row r="5" spans="2:3" ht="30" x14ac:dyDescent="0.25">
      <c r="B5" s="57">
        <v>4</v>
      </c>
      <c r="C5" s="58" t="s">
        <v>272</v>
      </c>
    </row>
    <row r="6" spans="2:3" x14ac:dyDescent="0.25">
      <c r="B6" s="57">
        <v>5</v>
      </c>
      <c r="C6" s="57" t="s">
        <v>273</v>
      </c>
    </row>
    <row r="7" spans="2:3" ht="30" x14ac:dyDescent="0.25">
      <c r="B7" s="57">
        <v>6</v>
      </c>
      <c r="C7" s="58" t="s">
        <v>274</v>
      </c>
    </row>
    <row r="8" spans="2:3" ht="90" x14ac:dyDescent="0.25">
      <c r="B8" s="57">
        <v>7</v>
      </c>
      <c r="C8" s="58" t="s">
        <v>275</v>
      </c>
    </row>
    <row r="9" spans="2:3" x14ac:dyDescent="0.25">
      <c r="B9" s="57">
        <v>8</v>
      </c>
      <c r="C9" s="57" t="s">
        <v>276</v>
      </c>
    </row>
    <row r="10" spans="2:3" x14ac:dyDescent="0.25">
      <c r="B10" s="57">
        <v>9</v>
      </c>
      <c r="C10" s="57" t="s">
        <v>277</v>
      </c>
    </row>
    <row r="11" spans="2:3" x14ac:dyDescent="0.25">
      <c r="B11" s="57">
        <v>10</v>
      </c>
      <c r="C11" s="57" t="s">
        <v>278</v>
      </c>
    </row>
    <row r="12" spans="2:3" x14ac:dyDescent="0.25">
      <c r="B12" s="57">
        <v>11</v>
      </c>
      <c r="C12" s="57" t="s">
        <v>279</v>
      </c>
    </row>
    <row r="13" spans="2:3" x14ac:dyDescent="0.25">
      <c r="B13" s="57">
        <v>12</v>
      </c>
      <c r="C13" s="57" t="s">
        <v>280</v>
      </c>
    </row>
    <row r="14" spans="2:3" x14ac:dyDescent="0.25">
      <c r="B14" s="57">
        <v>13</v>
      </c>
      <c r="C14" s="57" t="s">
        <v>281</v>
      </c>
    </row>
    <row r="15" spans="2:3" x14ac:dyDescent="0.25">
      <c r="B15" s="57">
        <v>14</v>
      </c>
      <c r="C15" s="57" t="s">
        <v>271</v>
      </c>
    </row>
    <row r="16" spans="2:3" x14ac:dyDescent="0.25">
      <c r="B16" s="57">
        <v>15</v>
      </c>
      <c r="C16" s="57" t="s">
        <v>284</v>
      </c>
    </row>
    <row r="17" spans="2:3" ht="31.5" customHeight="1" x14ac:dyDescent="0.25">
      <c r="B17" s="62">
        <v>16</v>
      </c>
      <c r="C17" s="64" t="s">
        <v>285</v>
      </c>
    </row>
    <row r="18" spans="2:3" x14ac:dyDescent="0.25">
      <c r="B18" s="63">
        <v>17</v>
      </c>
      <c r="C18" s="64" t="s">
        <v>286</v>
      </c>
    </row>
    <row r="19" spans="2:3" x14ac:dyDescent="0.25">
      <c r="B19" s="62">
        <v>18</v>
      </c>
      <c r="C19" s="57" t="s">
        <v>287</v>
      </c>
    </row>
    <row r="20" spans="2:3" x14ac:dyDescent="0.25">
      <c r="B20" s="63">
        <v>19</v>
      </c>
      <c r="C20" s="57"/>
    </row>
    <row r="21" spans="2:3" x14ac:dyDescent="0.25">
      <c r="B21" s="57">
        <v>20</v>
      </c>
      <c r="C21" s="57"/>
    </row>
    <row r="22" spans="2:3" x14ac:dyDescent="0.25">
      <c r="B22" s="57"/>
      <c r="C22" s="57"/>
    </row>
    <row r="23" spans="2:3" x14ac:dyDescent="0.25">
      <c r="B23" s="57"/>
      <c r="C23" s="57"/>
    </row>
    <row r="24" spans="2:3" x14ac:dyDescent="0.25">
      <c r="B24" s="57"/>
      <c r="C24" s="57"/>
    </row>
    <row r="25" spans="2:3" x14ac:dyDescent="0.25">
      <c r="B25" s="57"/>
      <c r="C25" s="57"/>
    </row>
    <row r="26" spans="2:3" x14ac:dyDescent="0.25">
      <c r="B26" s="57"/>
      <c r="C26" s="57"/>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Construction %</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2025-07-14T06:55:05Z</cp:lastPrinted>
  <dcterms:created xsi:type="dcterms:W3CDTF">2019-07-16T09:29:46Z</dcterms:created>
  <dcterms:modified xsi:type="dcterms:W3CDTF">2025-07-14T06:58:24Z</dcterms:modified>
</cp:coreProperties>
</file>