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Dump\July 2025\16-07-2025\"/>
    </mc:Choice>
  </mc:AlternateContent>
  <bookViews>
    <workbookView xWindow="0" yWindow="0" windowWidth="19200" windowHeight="6640" tabRatio="725"/>
  </bookViews>
  <sheets>
    <sheet name="Report" sheetId="1" r:id="rId1"/>
    <sheet name="Construction %" sheetId="7" r:id="rId2"/>
    <sheet name="valuation" sheetId="5" r:id="rId3"/>
    <sheet name="Research" sheetId="4" r:id="rId4"/>
    <sheet name="Remarks" sheetId="6" r:id="rId5"/>
  </sheets>
  <definedNames>
    <definedName name="_xlnm.Print_Area" localSheetId="0">Report!$A$1:$H$564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1" i="7" l="1"/>
  <c r="N11" i="7"/>
  <c r="D392" i="1" l="1"/>
  <c r="A169" i="1" l="1"/>
  <c r="A170" i="1"/>
  <c r="A171" i="1"/>
  <c r="A168" i="1"/>
  <c r="AL5" i="7"/>
  <c r="AI5" i="7"/>
  <c r="AH5" i="7"/>
  <c r="AG5" i="7"/>
  <c r="AF5" i="7"/>
  <c r="AL4" i="7"/>
  <c r="AI4" i="7"/>
  <c r="AH4" i="7"/>
  <c r="AG4" i="7"/>
  <c r="AF4" i="7"/>
  <c r="C4" i="7"/>
  <c r="C5" i="7"/>
  <c r="S5" i="7" l="1"/>
  <c r="AD5" i="7"/>
  <c r="AE5" i="7" s="1"/>
  <c r="AJ5" i="7" s="1"/>
  <c r="AK5" i="7" s="1"/>
  <c r="R5" i="7"/>
  <c r="AC5" i="7"/>
  <c r="Q5" i="7"/>
  <c r="AN5" i="7"/>
  <c r="AQ5" i="7" s="1"/>
  <c r="AB5" i="7"/>
  <c r="AA5" i="7"/>
  <c r="O5" i="7"/>
  <c r="C171" i="1" s="1"/>
  <c r="N5" i="7"/>
  <c r="B171" i="1" s="1"/>
  <c r="W5" i="7"/>
  <c r="U5" i="7"/>
  <c r="T5" i="7"/>
  <c r="Z5" i="7"/>
  <c r="Y5" i="7"/>
  <c r="X5" i="7"/>
  <c r="V5" i="7"/>
  <c r="Z4" i="7"/>
  <c r="N4" i="7"/>
  <c r="B170" i="1" s="1"/>
  <c r="Q4" i="7"/>
  <c r="AN4" i="7"/>
  <c r="AQ4" i="7" s="1"/>
  <c r="O4" i="7"/>
  <c r="C170" i="1" s="1"/>
  <c r="Y4" i="7"/>
  <c r="X4" i="7"/>
  <c r="W4" i="7"/>
  <c r="V4" i="7"/>
  <c r="AC4" i="7"/>
  <c r="T4" i="7"/>
  <c r="R4" i="7"/>
  <c r="U4" i="7"/>
  <c r="S4" i="7"/>
  <c r="AD4" i="7"/>
  <c r="AE4" i="7" s="1"/>
  <c r="AJ4" i="7" s="1"/>
  <c r="AK4" i="7" s="1"/>
  <c r="AA4" i="7"/>
  <c r="AB4" i="7"/>
  <c r="A222" i="1"/>
  <c r="G306" i="1"/>
  <c r="G305" i="1"/>
  <c r="G304" i="1"/>
  <c r="G303" i="1"/>
  <c r="G302" i="1"/>
  <c r="G301" i="1"/>
  <c r="G300" i="1"/>
  <c r="G299" i="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9" i="1"/>
  <c r="G268" i="1"/>
  <c r="G267" i="1"/>
  <c r="G266" i="1"/>
  <c r="G265" i="1"/>
  <c r="G264" i="1"/>
  <c r="G263" i="1"/>
  <c r="G262" i="1"/>
  <c r="G261" i="1"/>
  <c r="G260" i="1"/>
  <c r="G259" i="1"/>
  <c r="G258" i="1"/>
  <c r="G257" i="1"/>
  <c r="G256" i="1"/>
  <c r="J257" i="1"/>
  <c r="K257" i="1"/>
  <c r="AO4" i="7" l="1"/>
  <c r="AP4" i="7" s="1"/>
  <c r="AM4" i="7"/>
  <c r="AO5" i="7"/>
  <c r="AP5" i="7" s="1"/>
  <c r="AM5" i="7"/>
  <c r="J74" i="1"/>
  <c r="J242" i="1"/>
  <c r="J256" i="1"/>
  <c r="I276" i="1"/>
  <c r="J255" i="1"/>
  <c r="K255" i="1"/>
  <c r="K254" i="1"/>
  <c r="I255" i="1"/>
  <c r="I256" i="1"/>
  <c r="F305" i="1"/>
  <c r="H305" i="1" s="1"/>
  <c r="E305" i="1"/>
  <c r="E256" i="1"/>
  <c r="D287" i="1"/>
  <c r="D259" i="1"/>
  <c r="D256" i="1"/>
  <c r="J70" i="1"/>
  <c r="K113" i="1"/>
  <c r="P4" i="7" l="1"/>
  <c r="D170" i="1" s="1"/>
  <c r="P5" i="7"/>
  <c r="D171" i="1" s="1"/>
  <c r="F304" i="1"/>
  <c r="H304" i="1" s="1"/>
  <c r="E304" i="1" l="1"/>
  <c r="G67" i="1" l="1"/>
  <c r="C67" i="1"/>
  <c r="C70" i="1"/>
  <c r="C107" i="1"/>
  <c r="G107" i="1"/>
  <c r="F306" i="1" l="1"/>
  <c r="H306" i="1" s="1"/>
  <c r="E306" i="1"/>
  <c r="F303" i="1"/>
  <c r="E303" i="1"/>
  <c r="F302" i="1"/>
  <c r="H302" i="1" s="1"/>
  <c r="E302" i="1"/>
  <c r="F301" i="1"/>
  <c r="H301" i="1" s="1"/>
  <c r="E301" i="1"/>
  <c r="F300" i="1"/>
  <c r="H300" i="1" s="1"/>
  <c r="E300" i="1"/>
  <c r="F299" i="1"/>
  <c r="H299" i="1" s="1"/>
  <c r="E299" i="1"/>
  <c r="F298" i="1"/>
  <c r="H298" i="1" s="1"/>
  <c r="E298" i="1"/>
  <c r="F297" i="1"/>
  <c r="H297" i="1" s="1"/>
  <c r="E297" i="1"/>
  <c r="F296" i="1"/>
  <c r="H296" i="1" s="1"/>
  <c r="E296" i="1"/>
  <c r="F295" i="1"/>
  <c r="H295" i="1" s="1"/>
  <c r="E295" i="1"/>
  <c r="F294" i="1"/>
  <c r="H294" i="1" s="1"/>
  <c r="E294" i="1"/>
  <c r="F293" i="1"/>
  <c r="H293" i="1" s="1"/>
  <c r="E293" i="1"/>
  <c r="F292" i="1"/>
  <c r="H292" i="1" s="1"/>
  <c r="E292" i="1"/>
  <c r="F291" i="1"/>
  <c r="H291" i="1" s="1"/>
  <c r="E291" i="1"/>
  <c r="F290" i="1"/>
  <c r="H290" i="1" s="1"/>
  <c r="E290" i="1"/>
  <c r="F289" i="1"/>
  <c r="H289" i="1" s="1"/>
  <c r="E289" i="1"/>
  <c r="F288" i="1"/>
  <c r="H288" i="1" s="1"/>
  <c r="E288" i="1"/>
  <c r="F287" i="1"/>
  <c r="H287" i="1" s="1"/>
  <c r="E287" i="1"/>
  <c r="F286" i="1"/>
  <c r="H286" i="1" s="1"/>
  <c r="E286" i="1"/>
  <c r="F285" i="1"/>
  <c r="H285" i="1" s="1"/>
  <c r="E285" i="1"/>
  <c r="F284" i="1"/>
  <c r="H284" i="1" s="1"/>
  <c r="E284" i="1"/>
  <c r="F283" i="1"/>
  <c r="H283" i="1" s="1"/>
  <c r="E283" i="1"/>
  <c r="F282" i="1"/>
  <c r="H282" i="1" s="1"/>
  <c r="E282" i="1"/>
  <c r="F281" i="1"/>
  <c r="H281" i="1" s="1"/>
  <c r="E281" i="1"/>
  <c r="F280" i="1"/>
  <c r="H280" i="1" s="1"/>
  <c r="E280" i="1"/>
  <c r="F279" i="1"/>
  <c r="H279" i="1" s="1"/>
  <c r="E279" i="1"/>
  <c r="F278" i="1"/>
  <c r="H278" i="1" s="1"/>
  <c r="E278" i="1"/>
  <c r="F277" i="1"/>
  <c r="H277" i="1" s="1"/>
  <c r="E277" i="1"/>
  <c r="F276" i="1"/>
  <c r="H276" i="1" s="1"/>
  <c r="E276" i="1"/>
  <c r="F275" i="1"/>
  <c r="H275" i="1" s="1"/>
  <c r="E275" i="1"/>
  <c r="F274" i="1"/>
  <c r="H274" i="1" s="1"/>
  <c r="E274" i="1"/>
  <c r="F273" i="1"/>
  <c r="H273" i="1" s="1"/>
  <c r="E273" i="1"/>
  <c r="F272" i="1"/>
  <c r="H272" i="1" s="1"/>
  <c r="E272" i="1"/>
  <c r="F271" i="1"/>
  <c r="H271" i="1" s="1"/>
  <c r="E271" i="1"/>
  <c r="F270" i="1"/>
  <c r="H270" i="1" s="1"/>
  <c r="E270" i="1"/>
  <c r="F269" i="1"/>
  <c r="H269" i="1" s="1"/>
  <c r="E269" i="1"/>
  <c r="F268" i="1"/>
  <c r="H268" i="1" s="1"/>
  <c r="E268" i="1"/>
  <c r="F267" i="1"/>
  <c r="H267" i="1" s="1"/>
  <c r="E267" i="1"/>
  <c r="F266" i="1"/>
  <c r="H266" i="1" s="1"/>
  <c r="E266" i="1"/>
  <c r="F265" i="1"/>
  <c r="H265" i="1" s="1"/>
  <c r="E265" i="1"/>
  <c r="F264" i="1"/>
  <c r="H264" i="1" s="1"/>
  <c r="E264" i="1"/>
  <c r="F263" i="1"/>
  <c r="H263" i="1" s="1"/>
  <c r="E263" i="1"/>
  <c r="F262" i="1"/>
  <c r="H262" i="1" s="1"/>
  <c r="E262" i="1"/>
  <c r="F261" i="1"/>
  <c r="H261" i="1" s="1"/>
  <c r="E261" i="1"/>
  <c r="F260" i="1"/>
  <c r="E260" i="1"/>
  <c r="F259" i="1"/>
  <c r="H259" i="1" s="1"/>
  <c r="E259" i="1"/>
  <c r="F258" i="1"/>
  <c r="H258" i="1" s="1"/>
  <c r="E258" i="1"/>
  <c r="F257" i="1"/>
  <c r="E257" i="1"/>
  <c r="F256" i="1"/>
  <c r="H256" i="1" s="1"/>
  <c r="D301" i="1"/>
  <c r="D299" i="1"/>
  <c r="D297" i="1"/>
  <c r="D264" i="1"/>
  <c r="D262" i="1"/>
  <c r="D260" i="1"/>
  <c r="D269" i="1"/>
  <c r="D271" i="1"/>
  <c r="D273" i="1"/>
  <c r="D292" i="1"/>
  <c r="D290" i="1"/>
  <c r="D300" i="1"/>
  <c r="D298" i="1"/>
  <c r="D296" i="1"/>
  <c r="D291" i="1"/>
  <c r="D289" i="1"/>
  <c r="D272" i="1"/>
  <c r="D270" i="1"/>
  <c r="D268" i="1"/>
  <c r="D265" i="1"/>
  <c r="D263" i="1"/>
  <c r="E240" i="1" l="1"/>
  <c r="H260" i="1"/>
  <c r="G241" i="1" s="1"/>
  <c r="E241" i="1"/>
  <c r="H303" i="1"/>
  <c r="G239" i="1" s="1"/>
  <c r="E239" i="1"/>
  <c r="E242" i="1" s="1"/>
  <c r="H257" i="1"/>
  <c r="G240" i="1" s="1"/>
  <c r="C177"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3" i="1"/>
  <c r="A172" i="1"/>
  <c r="AM57" i="7"/>
  <c r="AL57" i="7"/>
  <c r="AI57" i="7"/>
  <c r="AH57" i="7"/>
  <c r="AG57" i="7"/>
  <c r="AF57" i="7"/>
  <c r="AL56" i="7"/>
  <c r="AI56" i="7"/>
  <c r="AH56" i="7"/>
  <c r="AG56" i="7"/>
  <c r="AF56" i="7"/>
  <c r="AM55" i="7"/>
  <c r="AL55" i="7"/>
  <c r="AI55" i="7"/>
  <c r="AH55" i="7"/>
  <c r="AG55" i="7"/>
  <c r="AF55" i="7"/>
  <c r="AM54" i="7"/>
  <c r="AL54" i="7"/>
  <c r="AI54" i="7"/>
  <c r="AH54" i="7"/>
  <c r="AG54" i="7"/>
  <c r="AF54" i="7"/>
  <c r="AL53" i="7"/>
  <c r="AI53" i="7"/>
  <c r="AH53" i="7"/>
  <c r="AG53" i="7"/>
  <c r="AF53" i="7"/>
  <c r="AL52" i="7"/>
  <c r="AI52" i="7"/>
  <c r="AH52" i="7"/>
  <c r="AG52" i="7"/>
  <c r="AF52" i="7"/>
  <c r="AL51" i="7"/>
  <c r="AI51" i="7"/>
  <c r="AH51" i="7"/>
  <c r="AG51" i="7"/>
  <c r="AF51" i="7"/>
  <c r="AL50" i="7"/>
  <c r="AI50" i="7"/>
  <c r="AH50" i="7"/>
  <c r="AG50" i="7"/>
  <c r="AF50" i="7"/>
  <c r="AL49" i="7"/>
  <c r="AI49" i="7"/>
  <c r="AH49" i="7"/>
  <c r="AG49" i="7"/>
  <c r="AF49" i="7"/>
  <c r="AL48" i="7"/>
  <c r="AI48" i="7"/>
  <c r="AH48" i="7"/>
  <c r="AG48" i="7"/>
  <c r="AF48" i="7"/>
  <c r="AL47" i="7"/>
  <c r="AI47" i="7"/>
  <c r="AH47" i="7"/>
  <c r="AG47" i="7"/>
  <c r="AF47" i="7"/>
  <c r="AL46" i="7"/>
  <c r="AI46" i="7"/>
  <c r="AH46" i="7"/>
  <c r="AG46" i="7"/>
  <c r="AF46" i="7"/>
  <c r="AL45" i="7"/>
  <c r="AI45" i="7"/>
  <c r="AH45" i="7"/>
  <c r="AG45" i="7"/>
  <c r="AF45" i="7"/>
  <c r="AL44" i="7"/>
  <c r="AI44" i="7"/>
  <c r="AH44" i="7"/>
  <c r="AG44" i="7"/>
  <c r="AF44" i="7"/>
  <c r="AL43" i="7"/>
  <c r="AI43" i="7"/>
  <c r="AH43" i="7"/>
  <c r="AG43" i="7"/>
  <c r="AF43" i="7"/>
  <c r="AL42" i="7"/>
  <c r="AI42" i="7"/>
  <c r="AH42" i="7"/>
  <c r="AG42" i="7"/>
  <c r="AF42" i="7"/>
  <c r="AL41" i="7"/>
  <c r="AI41" i="7"/>
  <c r="AH41" i="7"/>
  <c r="AG41" i="7"/>
  <c r="AF41" i="7"/>
  <c r="AL40" i="7"/>
  <c r="AI40" i="7"/>
  <c r="AH40" i="7"/>
  <c r="AG40" i="7"/>
  <c r="AF40" i="7"/>
  <c r="AL39" i="7"/>
  <c r="AI39" i="7"/>
  <c r="AH39" i="7"/>
  <c r="AG39" i="7"/>
  <c r="AF39" i="7"/>
  <c r="AL38" i="7"/>
  <c r="AI38" i="7"/>
  <c r="AH38" i="7"/>
  <c r="AG38" i="7"/>
  <c r="AF38" i="7"/>
  <c r="AL37" i="7"/>
  <c r="AI37" i="7"/>
  <c r="AH37" i="7"/>
  <c r="AG37" i="7"/>
  <c r="AF37" i="7"/>
  <c r="AL36" i="7"/>
  <c r="AI36" i="7"/>
  <c r="AH36" i="7"/>
  <c r="AG36" i="7"/>
  <c r="AF36" i="7"/>
  <c r="AL35" i="7"/>
  <c r="AI35" i="7"/>
  <c r="AH35" i="7"/>
  <c r="AG35" i="7"/>
  <c r="AF35" i="7"/>
  <c r="AL34" i="7"/>
  <c r="AI34" i="7"/>
  <c r="AH34" i="7"/>
  <c r="AG34" i="7"/>
  <c r="AF34" i="7"/>
  <c r="AL33" i="7"/>
  <c r="AI33" i="7"/>
  <c r="AH33" i="7"/>
  <c r="AG33" i="7"/>
  <c r="AF33" i="7"/>
  <c r="AL32" i="7"/>
  <c r="AI32" i="7"/>
  <c r="AH32" i="7"/>
  <c r="AG32" i="7"/>
  <c r="AF32" i="7"/>
  <c r="AL31" i="7"/>
  <c r="AI31" i="7"/>
  <c r="AH31" i="7"/>
  <c r="AG31" i="7"/>
  <c r="AF31" i="7"/>
  <c r="AL30" i="7"/>
  <c r="AI30" i="7"/>
  <c r="AH30" i="7"/>
  <c r="AG30" i="7"/>
  <c r="AF30" i="7"/>
  <c r="AL29" i="7"/>
  <c r="AI29" i="7"/>
  <c r="AH29" i="7"/>
  <c r="AG29" i="7"/>
  <c r="AF29" i="7"/>
  <c r="AL28" i="7"/>
  <c r="AI28" i="7"/>
  <c r="AH28" i="7"/>
  <c r="AG28" i="7"/>
  <c r="AF28" i="7"/>
  <c r="AL27" i="7"/>
  <c r="AI27" i="7"/>
  <c r="AH27" i="7"/>
  <c r="AG27" i="7"/>
  <c r="AF27" i="7"/>
  <c r="AL26" i="7"/>
  <c r="AI26" i="7"/>
  <c r="AH26" i="7"/>
  <c r="AG26" i="7"/>
  <c r="AF26" i="7"/>
  <c r="AL25" i="7"/>
  <c r="AI25" i="7"/>
  <c r="AH25" i="7"/>
  <c r="AG25" i="7"/>
  <c r="AF25" i="7"/>
  <c r="AL24" i="7"/>
  <c r="AI24" i="7"/>
  <c r="AH24" i="7"/>
  <c r="AG24" i="7"/>
  <c r="AF24" i="7"/>
  <c r="AL23" i="7"/>
  <c r="AI23" i="7"/>
  <c r="AH23" i="7"/>
  <c r="AG23" i="7"/>
  <c r="AF23" i="7"/>
  <c r="AL22" i="7"/>
  <c r="AI22" i="7"/>
  <c r="AH22" i="7"/>
  <c r="AG22" i="7"/>
  <c r="AF22" i="7"/>
  <c r="AL21" i="7"/>
  <c r="AI21" i="7"/>
  <c r="AH21" i="7"/>
  <c r="AG21" i="7"/>
  <c r="AF21" i="7"/>
  <c r="AL20" i="7"/>
  <c r="AI20" i="7"/>
  <c r="AH20" i="7"/>
  <c r="AG20" i="7"/>
  <c r="AL19" i="7"/>
  <c r="AI19" i="7"/>
  <c r="AH19" i="7"/>
  <c r="AG19" i="7"/>
  <c r="AF19" i="7"/>
  <c r="AL18" i="7"/>
  <c r="AI18" i="7"/>
  <c r="AH18" i="7"/>
  <c r="AG18" i="7"/>
  <c r="AF18" i="7"/>
  <c r="AL17" i="7"/>
  <c r="AI17" i="7"/>
  <c r="AH17" i="7"/>
  <c r="AG17" i="7"/>
  <c r="AF17" i="7"/>
  <c r="AL16" i="7"/>
  <c r="AI16" i="7"/>
  <c r="AH16" i="7"/>
  <c r="AG16" i="7"/>
  <c r="AF16" i="7"/>
  <c r="AL15" i="7"/>
  <c r="AI15" i="7"/>
  <c r="AH15" i="7"/>
  <c r="AG15" i="7"/>
  <c r="AF15" i="7"/>
  <c r="AL14" i="7"/>
  <c r="AI14" i="7"/>
  <c r="AH14" i="7"/>
  <c r="AG14" i="7"/>
  <c r="AF14" i="7"/>
  <c r="AL13" i="7"/>
  <c r="AI13" i="7"/>
  <c r="AH13" i="7"/>
  <c r="AG13" i="7"/>
  <c r="AF13" i="7"/>
  <c r="AL12" i="7"/>
  <c r="AI12" i="7"/>
  <c r="AH12" i="7"/>
  <c r="AG12" i="7"/>
  <c r="AF12" i="7"/>
  <c r="AN11" i="7"/>
  <c r="AQ11" i="7" s="1"/>
  <c r="AL11" i="7"/>
  <c r="AI11" i="7"/>
  <c r="AH11" i="7"/>
  <c r="AG11" i="7"/>
  <c r="AF11" i="7"/>
  <c r="AD11" i="7"/>
  <c r="AE11" i="7" s="1"/>
  <c r="AJ11" i="7" s="1"/>
  <c r="AK11" i="7" s="1"/>
  <c r="AC11" i="7"/>
  <c r="AB11" i="7"/>
  <c r="AA11" i="7"/>
  <c r="Z11" i="7"/>
  <c r="Y11" i="7"/>
  <c r="X11" i="7"/>
  <c r="W11" i="7"/>
  <c r="V11" i="7"/>
  <c r="U11" i="7"/>
  <c r="T11" i="7"/>
  <c r="S11" i="7"/>
  <c r="R11" i="7"/>
  <c r="Q11" i="7"/>
  <c r="AL10" i="7"/>
  <c r="AI10" i="7"/>
  <c r="AH10" i="7"/>
  <c r="AG10" i="7"/>
  <c r="AF10" i="7"/>
  <c r="AL9" i="7"/>
  <c r="AI9" i="7"/>
  <c r="AH9" i="7"/>
  <c r="AG9" i="7"/>
  <c r="AF9" i="7"/>
  <c r="AL8" i="7"/>
  <c r="AI8" i="7"/>
  <c r="AH8" i="7"/>
  <c r="AG8" i="7"/>
  <c r="AF8" i="7"/>
  <c r="AL7" i="7"/>
  <c r="AI7" i="7"/>
  <c r="AH7" i="7"/>
  <c r="AG7" i="7"/>
  <c r="AF7" i="7"/>
  <c r="AL6" i="7"/>
  <c r="AI6" i="7"/>
  <c r="AH6" i="7"/>
  <c r="AG6" i="7"/>
  <c r="AF6" i="7"/>
  <c r="AL3" i="7"/>
  <c r="AI3" i="7"/>
  <c r="AH3" i="7"/>
  <c r="AG3" i="7"/>
  <c r="AF3" i="7"/>
  <c r="AL2" i="7"/>
  <c r="AI2" i="7"/>
  <c r="AH2" i="7"/>
  <c r="AG2" i="7"/>
  <c r="AF2" i="7"/>
  <c r="J72" i="7"/>
  <c r="J71" i="7"/>
  <c r="J70" i="7"/>
  <c r="J69" i="7"/>
  <c r="C63" i="7"/>
  <c r="C20" i="7"/>
  <c r="C32" i="7"/>
  <c r="C16" i="7"/>
  <c r="C55" i="7"/>
  <c r="C9" i="7"/>
  <c r="C39" i="7"/>
  <c r="C50" i="7"/>
  <c r="C7" i="7"/>
  <c r="C33" i="7"/>
  <c r="C37" i="7"/>
  <c r="C3" i="7"/>
  <c r="C47" i="7"/>
  <c r="C17" i="7"/>
  <c r="C49" i="7"/>
  <c r="C42" i="7"/>
  <c r="C35" i="7"/>
  <c r="C28" i="7"/>
  <c r="C25" i="7"/>
  <c r="C29" i="7"/>
  <c r="C12" i="7"/>
  <c r="C46" i="7"/>
  <c r="C26" i="7"/>
  <c r="C22" i="7"/>
  <c r="C23" i="7"/>
  <c r="C45" i="7"/>
  <c r="C41" i="7"/>
  <c r="C51" i="7"/>
  <c r="C13" i="7"/>
  <c r="C19" i="7"/>
  <c r="C56" i="7"/>
  <c r="C2" i="7"/>
  <c r="C6" i="7"/>
  <c r="C57" i="7"/>
  <c r="C18" i="7"/>
  <c r="C44" i="7"/>
  <c r="C53" i="7"/>
  <c r="C38" i="7"/>
  <c r="C10" i="7"/>
  <c r="C52" i="7"/>
  <c r="C24" i="7"/>
  <c r="C15" i="7"/>
  <c r="C34" i="7"/>
  <c r="C40" i="7"/>
  <c r="C48" i="7"/>
  <c r="C8" i="7"/>
  <c r="C14" i="7"/>
  <c r="C31" i="7"/>
  <c r="C54" i="7"/>
  <c r="C30" i="7"/>
  <c r="H62" i="7"/>
  <c r="C21" i="7"/>
  <c r="C43" i="7"/>
  <c r="C27" i="7"/>
  <c r="C36" i="7"/>
  <c r="G242" i="1" l="1"/>
  <c r="G243" i="1" s="1"/>
  <c r="B177" i="1"/>
  <c r="E243" i="1"/>
  <c r="AM11" i="7"/>
  <c r="AO11" i="7"/>
  <c r="AP11" i="7" s="1"/>
  <c r="J67" i="7"/>
  <c r="J68" i="7" s="1"/>
  <c r="J73" i="7" s="1"/>
  <c r="J74" i="7" s="1"/>
  <c r="C66" i="7" s="1"/>
  <c r="C67" i="7"/>
  <c r="J61" i="7" s="1"/>
  <c r="J63" i="7" s="1"/>
  <c r="J65" i="7"/>
  <c r="D73" i="7"/>
  <c r="D72" i="7"/>
  <c r="D71" i="7"/>
  <c r="D70" i="7"/>
  <c r="D69" i="7"/>
  <c r="D74" i="7"/>
  <c r="D68" i="7"/>
  <c r="J66" i="7"/>
  <c r="C65" i="7" s="1"/>
  <c r="D65" i="7" s="1"/>
  <c r="J64" i="7"/>
  <c r="AN13" i="7"/>
  <c r="AQ13" i="7" s="1"/>
  <c r="AD13" i="7"/>
  <c r="AE13" i="7" s="1"/>
  <c r="AJ13" i="7" s="1"/>
  <c r="AK13" i="7" s="1"/>
  <c r="AB13" i="7"/>
  <c r="Z13" i="7"/>
  <c r="X13" i="7"/>
  <c r="V13" i="7"/>
  <c r="T13" i="7"/>
  <c r="R13" i="7"/>
  <c r="N13" i="7"/>
  <c r="B179" i="1" s="1"/>
  <c r="AA13" i="7"/>
  <c r="W13" i="7"/>
  <c r="S13" i="7"/>
  <c r="O13" i="7"/>
  <c r="C179" i="1" s="1"/>
  <c r="AC13" i="7"/>
  <c r="Y13" i="7"/>
  <c r="U13" i="7"/>
  <c r="Q13" i="7"/>
  <c r="AN15" i="7"/>
  <c r="AQ15" i="7" s="1"/>
  <c r="AD15" i="7"/>
  <c r="AE15" i="7" s="1"/>
  <c r="AJ15" i="7" s="1"/>
  <c r="AK15" i="7" s="1"/>
  <c r="AB15" i="7"/>
  <c r="Z15" i="7"/>
  <c r="X15" i="7"/>
  <c r="V15" i="7"/>
  <c r="T15" i="7"/>
  <c r="R15" i="7"/>
  <c r="N15" i="7"/>
  <c r="B181" i="1" s="1"/>
  <c r="AA15" i="7"/>
  <c r="W15" i="7"/>
  <c r="S15" i="7"/>
  <c r="O15" i="7"/>
  <c r="C181" i="1" s="1"/>
  <c r="AC15" i="7"/>
  <c r="Y15" i="7"/>
  <c r="U15" i="7"/>
  <c r="Q15" i="7"/>
  <c r="AN17" i="7"/>
  <c r="AQ17" i="7" s="1"/>
  <c r="AD17" i="7"/>
  <c r="AE17" i="7" s="1"/>
  <c r="AJ17" i="7" s="1"/>
  <c r="AK17" i="7" s="1"/>
  <c r="AB17" i="7"/>
  <c r="Z17" i="7"/>
  <c r="X17" i="7"/>
  <c r="V17" i="7"/>
  <c r="T17" i="7"/>
  <c r="R17" i="7"/>
  <c r="N17" i="7"/>
  <c r="B183" i="1" s="1"/>
  <c r="AA17" i="7"/>
  <c r="W17" i="7"/>
  <c r="S17" i="7"/>
  <c r="O17" i="7"/>
  <c r="C183" i="1" s="1"/>
  <c r="AC17" i="7"/>
  <c r="Y17" i="7"/>
  <c r="U17" i="7"/>
  <c r="Q17" i="7"/>
  <c r="AN19" i="7"/>
  <c r="AQ19" i="7" s="1"/>
  <c r="AD19" i="7"/>
  <c r="AE19" i="7" s="1"/>
  <c r="AJ19" i="7" s="1"/>
  <c r="AK19" i="7" s="1"/>
  <c r="AB19" i="7"/>
  <c r="Z19" i="7"/>
  <c r="X19" i="7"/>
  <c r="V19" i="7"/>
  <c r="T19" i="7"/>
  <c r="R19" i="7"/>
  <c r="N19" i="7"/>
  <c r="B185" i="1" s="1"/>
  <c r="AA19" i="7"/>
  <c r="W19" i="7"/>
  <c r="S19" i="7"/>
  <c r="O19" i="7"/>
  <c r="C185" i="1" s="1"/>
  <c r="AC19" i="7"/>
  <c r="Y19" i="7"/>
  <c r="U19" i="7"/>
  <c r="Q19" i="7"/>
  <c r="AN21" i="7"/>
  <c r="AQ21" i="7" s="1"/>
  <c r="AD21" i="7"/>
  <c r="AE21" i="7" s="1"/>
  <c r="AJ21" i="7" s="1"/>
  <c r="AK21" i="7" s="1"/>
  <c r="AB21" i="7"/>
  <c r="Z21" i="7"/>
  <c r="X21" i="7"/>
  <c r="V21" i="7"/>
  <c r="T21" i="7"/>
  <c r="R21" i="7"/>
  <c r="N21" i="7"/>
  <c r="B187" i="1" s="1"/>
  <c r="AC21" i="7"/>
  <c r="AA21" i="7"/>
  <c r="Y21" i="7"/>
  <c r="W21" i="7"/>
  <c r="U21" i="7"/>
  <c r="S21" i="7"/>
  <c r="Q21" i="7"/>
  <c r="O21" i="7"/>
  <c r="C187" i="1" s="1"/>
  <c r="AN2" i="7"/>
  <c r="AQ2" i="7" s="1"/>
  <c r="AD2" i="7"/>
  <c r="AE2" i="7" s="1"/>
  <c r="AJ2" i="7" s="1"/>
  <c r="AK2" i="7" s="1"/>
  <c r="AB2" i="7"/>
  <c r="Z2" i="7"/>
  <c r="X2" i="7"/>
  <c r="V2" i="7"/>
  <c r="T2" i="7"/>
  <c r="R2" i="7"/>
  <c r="N2" i="7"/>
  <c r="B168" i="1" s="1"/>
  <c r="AC2" i="7"/>
  <c r="Y2" i="7"/>
  <c r="U2" i="7"/>
  <c r="Q2" i="7"/>
  <c r="AA2" i="7"/>
  <c r="W2" i="7"/>
  <c r="S2" i="7"/>
  <c r="O2" i="7"/>
  <c r="C168" i="1" s="1"/>
  <c r="AN6" i="7"/>
  <c r="AQ6" i="7" s="1"/>
  <c r="AD6" i="7"/>
  <c r="AE6" i="7" s="1"/>
  <c r="AJ6" i="7" s="1"/>
  <c r="AK6" i="7" s="1"/>
  <c r="AB6" i="7"/>
  <c r="Z6" i="7"/>
  <c r="X6" i="7"/>
  <c r="V6" i="7"/>
  <c r="T6" i="7"/>
  <c r="R6" i="7"/>
  <c r="N6" i="7"/>
  <c r="B172" i="1" s="1"/>
  <c r="AC6" i="7"/>
  <c r="Y6" i="7"/>
  <c r="U6" i="7"/>
  <c r="Q6" i="7"/>
  <c r="AA6" i="7"/>
  <c r="W6" i="7"/>
  <c r="S6" i="7"/>
  <c r="O6" i="7"/>
  <c r="C172" i="1" s="1"/>
  <c r="AN8" i="7"/>
  <c r="AQ8" i="7" s="1"/>
  <c r="AD8" i="7"/>
  <c r="AE8" i="7" s="1"/>
  <c r="AJ8" i="7" s="1"/>
  <c r="AK8" i="7" s="1"/>
  <c r="AB8" i="7"/>
  <c r="Z8" i="7"/>
  <c r="X8" i="7"/>
  <c r="V8" i="7"/>
  <c r="T8" i="7"/>
  <c r="R8" i="7"/>
  <c r="N8" i="7"/>
  <c r="B174" i="1" s="1"/>
  <c r="AC8" i="7"/>
  <c r="Y8" i="7"/>
  <c r="U8" i="7"/>
  <c r="Q8" i="7"/>
  <c r="AA8" i="7"/>
  <c r="W8" i="7"/>
  <c r="S8" i="7"/>
  <c r="O8" i="7"/>
  <c r="C174" i="1" s="1"/>
  <c r="AN10" i="7"/>
  <c r="AQ10" i="7" s="1"/>
  <c r="AD10" i="7"/>
  <c r="AE10" i="7" s="1"/>
  <c r="AJ10" i="7" s="1"/>
  <c r="AK10" i="7" s="1"/>
  <c r="AB10" i="7"/>
  <c r="Z10" i="7"/>
  <c r="X10" i="7"/>
  <c r="V10" i="7"/>
  <c r="T10" i="7"/>
  <c r="R10" i="7"/>
  <c r="N10" i="7"/>
  <c r="B176" i="1" s="1"/>
  <c r="AC10" i="7"/>
  <c r="Y10" i="7"/>
  <c r="U10" i="7"/>
  <c r="Q10" i="7"/>
  <c r="AA10" i="7"/>
  <c r="W10" i="7"/>
  <c r="S10" i="7"/>
  <c r="O10" i="7"/>
  <c r="C176" i="1" s="1"/>
  <c r="AN23" i="7"/>
  <c r="AQ23" i="7" s="1"/>
  <c r="AD23" i="7"/>
  <c r="AE23" i="7" s="1"/>
  <c r="AJ23" i="7" s="1"/>
  <c r="AK23" i="7" s="1"/>
  <c r="AB23" i="7"/>
  <c r="Z23" i="7"/>
  <c r="X23" i="7"/>
  <c r="V23" i="7"/>
  <c r="T23" i="7"/>
  <c r="R23" i="7"/>
  <c r="N23" i="7"/>
  <c r="B189" i="1" s="1"/>
  <c r="AC23" i="7"/>
  <c r="AA23" i="7"/>
  <c r="Y23" i="7"/>
  <c r="W23" i="7"/>
  <c r="U23" i="7"/>
  <c r="S23" i="7"/>
  <c r="Q23" i="7"/>
  <c r="O23" i="7"/>
  <c r="C189" i="1" s="1"/>
  <c r="AN25" i="7"/>
  <c r="AQ25" i="7" s="1"/>
  <c r="AD25" i="7"/>
  <c r="AE25" i="7" s="1"/>
  <c r="AJ25" i="7" s="1"/>
  <c r="AK25" i="7" s="1"/>
  <c r="AB25" i="7"/>
  <c r="Z25" i="7"/>
  <c r="X25" i="7"/>
  <c r="V25" i="7"/>
  <c r="T25" i="7"/>
  <c r="R25" i="7"/>
  <c r="N25" i="7"/>
  <c r="B191" i="1" s="1"/>
  <c r="AC25" i="7"/>
  <c r="AA25" i="7"/>
  <c r="Y25" i="7"/>
  <c r="W25" i="7"/>
  <c r="U25" i="7"/>
  <c r="S25" i="7"/>
  <c r="Q25" i="7"/>
  <c r="O25" i="7"/>
  <c r="C191" i="1" s="1"/>
  <c r="AN27" i="7"/>
  <c r="AQ27" i="7" s="1"/>
  <c r="AD27" i="7"/>
  <c r="AE27" i="7" s="1"/>
  <c r="AJ27" i="7" s="1"/>
  <c r="AK27" i="7" s="1"/>
  <c r="AB27" i="7"/>
  <c r="Z27" i="7"/>
  <c r="X27" i="7"/>
  <c r="V27" i="7"/>
  <c r="T27" i="7"/>
  <c r="R27" i="7"/>
  <c r="N27" i="7"/>
  <c r="B193" i="1" s="1"/>
  <c r="AC27" i="7"/>
  <c r="AA27" i="7"/>
  <c r="Y27" i="7"/>
  <c r="W27" i="7"/>
  <c r="U27" i="7"/>
  <c r="S27" i="7"/>
  <c r="Q27" i="7"/>
  <c r="O27" i="7"/>
  <c r="C193" i="1" s="1"/>
  <c r="AN29" i="7"/>
  <c r="AQ29" i="7" s="1"/>
  <c r="AD29" i="7"/>
  <c r="AE29" i="7" s="1"/>
  <c r="AJ29" i="7" s="1"/>
  <c r="AK29" i="7" s="1"/>
  <c r="AB29" i="7"/>
  <c r="Z29" i="7"/>
  <c r="X29" i="7"/>
  <c r="V29" i="7"/>
  <c r="T29" i="7"/>
  <c r="R29" i="7"/>
  <c r="N29" i="7"/>
  <c r="B195" i="1" s="1"/>
  <c r="AC29" i="7"/>
  <c r="AA29" i="7"/>
  <c r="Y29" i="7"/>
  <c r="W29" i="7"/>
  <c r="U29" i="7"/>
  <c r="S29" i="7"/>
  <c r="Q29" i="7"/>
  <c r="O29" i="7"/>
  <c r="C195" i="1" s="1"/>
  <c r="AN31" i="7"/>
  <c r="AQ31" i="7" s="1"/>
  <c r="AD31" i="7"/>
  <c r="AE31" i="7" s="1"/>
  <c r="AJ31" i="7" s="1"/>
  <c r="AK31" i="7" s="1"/>
  <c r="AB31" i="7"/>
  <c r="Z31" i="7"/>
  <c r="X31" i="7"/>
  <c r="V31" i="7"/>
  <c r="T31" i="7"/>
  <c r="R31" i="7"/>
  <c r="N31" i="7"/>
  <c r="B197" i="1" s="1"/>
  <c r="AC31" i="7"/>
  <c r="AA31" i="7"/>
  <c r="Y31" i="7"/>
  <c r="W31" i="7"/>
  <c r="U31" i="7"/>
  <c r="S31" i="7"/>
  <c r="Q31" i="7"/>
  <c r="O31" i="7"/>
  <c r="C197" i="1" s="1"/>
  <c r="AN33" i="7"/>
  <c r="AQ33" i="7" s="1"/>
  <c r="AD33" i="7"/>
  <c r="AE33" i="7" s="1"/>
  <c r="AJ33" i="7" s="1"/>
  <c r="AK33" i="7" s="1"/>
  <c r="AB33" i="7"/>
  <c r="Z33" i="7"/>
  <c r="X33" i="7"/>
  <c r="V33" i="7"/>
  <c r="T33" i="7"/>
  <c r="R33" i="7"/>
  <c r="N33" i="7"/>
  <c r="B199" i="1" s="1"/>
  <c r="AC33" i="7"/>
  <c r="AA33" i="7"/>
  <c r="Y33" i="7"/>
  <c r="W33" i="7"/>
  <c r="U33" i="7"/>
  <c r="S33" i="7"/>
  <c r="Q33" i="7"/>
  <c r="O33" i="7"/>
  <c r="C199" i="1" s="1"/>
  <c r="AN35" i="7"/>
  <c r="AQ35" i="7" s="1"/>
  <c r="AD35" i="7"/>
  <c r="AE35" i="7" s="1"/>
  <c r="AJ35" i="7" s="1"/>
  <c r="AK35" i="7" s="1"/>
  <c r="AB35" i="7"/>
  <c r="Z35" i="7"/>
  <c r="X35" i="7"/>
  <c r="V35" i="7"/>
  <c r="T35" i="7"/>
  <c r="R35" i="7"/>
  <c r="N35" i="7"/>
  <c r="B201" i="1" s="1"/>
  <c r="AC35" i="7"/>
  <c r="AA35" i="7"/>
  <c r="Y35" i="7"/>
  <c r="W35" i="7"/>
  <c r="U35" i="7"/>
  <c r="S35" i="7"/>
  <c r="Q35" i="7"/>
  <c r="O35" i="7"/>
  <c r="C201" i="1" s="1"/>
  <c r="AN37" i="7"/>
  <c r="AQ37" i="7" s="1"/>
  <c r="AD37" i="7"/>
  <c r="AE37" i="7" s="1"/>
  <c r="AJ37" i="7" s="1"/>
  <c r="AK37" i="7" s="1"/>
  <c r="AB37" i="7"/>
  <c r="Z37" i="7"/>
  <c r="X37" i="7"/>
  <c r="V37" i="7"/>
  <c r="T37" i="7"/>
  <c r="R37" i="7"/>
  <c r="N37" i="7"/>
  <c r="B203" i="1" s="1"/>
  <c r="AC37" i="7"/>
  <c r="AA37" i="7"/>
  <c r="Y37" i="7"/>
  <c r="W37" i="7"/>
  <c r="U37" i="7"/>
  <c r="S37" i="7"/>
  <c r="Q37" i="7"/>
  <c r="O37" i="7"/>
  <c r="C203" i="1" s="1"/>
  <c r="AC39" i="7"/>
  <c r="AA39" i="7"/>
  <c r="Y39" i="7"/>
  <c r="AN39" i="7"/>
  <c r="AQ39" i="7" s="1"/>
  <c r="AB39" i="7"/>
  <c r="X39" i="7"/>
  <c r="V39" i="7"/>
  <c r="T39" i="7"/>
  <c r="R39" i="7"/>
  <c r="N39" i="7"/>
  <c r="B205" i="1" s="1"/>
  <c r="AD39" i="7"/>
  <c r="AE39" i="7" s="1"/>
  <c r="AJ39" i="7" s="1"/>
  <c r="AK39" i="7" s="1"/>
  <c r="Z39" i="7"/>
  <c r="W39" i="7"/>
  <c r="U39" i="7"/>
  <c r="S39" i="7"/>
  <c r="Q39" i="7"/>
  <c r="O39" i="7"/>
  <c r="C205" i="1" s="1"/>
  <c r="AN54" i="7"/>
  <c r="AQ54" i="7" s="1"/>
  <c r="AD54" i="7"/>
  <c r="AE54" i="7" s="1"/>
  <c r="AJ54" i="7" s="1"/>
  <c r="AK54" i="7" s="1"/>
  <c r="AB54" i="7"/>
  <c r="Z54" i="7"/>
  <c r="X54" i="7"/>
  <c r="V54" i="7"/>
  <c r="T54" i="7"/>
  <c r="R54" i="7"/>
  <c r="N54" i="7"/>
  <c r="B220" i="1" s="1"/>
  <c r="AA54" i="7"/>
  <c r="W54" i="7"/>
  <c r="S54" i="7"/>
  <c r="O54" i="7"/>
  <c r="C220" i="1" s="1"/>
  <c r="AC54" i="7"/>
  <c r="Y54" i="7"/>
  <c r="U54" i="7"/>
  <c r="Q54" i="7"/>
  <c r="AC3" i="7"/>
  <c r="AA3" i="7"/>
  <c r="Y3" i="7"/>
  <c r="W3" i="7"/>
  <c r="U3" i="7"/>
  <c r="S3" i="7"/>
  <c r="Q3" i="7"/>
  <c r="O3" i="7"/>
  <c r="C169" i="1" s="1"/>
  <c r="AN3" i="7"/>
  <c r="AQ3" i="7" s="1"/>
  <c r="AB3" i="7"/>
  <c r="X3" i="7"/>
  <c r="T3" i="7"/>
  <c r="AD3" i="7"/>
  <c r="AE3" i="7" s="1"/>
  <c r="AJ3" i="7" s="1"/>
  <c r="AK3" i="7" s="1"/>
  <c r="Z3" i="7"/>
  <c r="V3" i="7"/>
  <c r="R3" i="7"/>
  <c r="N3" i="7"/>
  <c r="B169" i="1" s="1"/>
  <c r="AC7" i="7"/>
  <c r="AA7" i="7"/>
  <c r="Y7" i="7"/>
  <c r="W7" i="7"/>
  <c r="U7" i="7"/>
  <c r="S7" i="7"/>
  <c r="Q7" i="7"/>
  <c r="O7" i="7"/>
  <c r="C173" i="1" s="1"/>
  <c r="AN7" i="7"/>
  <c r="AQ7" i="7" s="1"/>
  <c r="AB7" i="7"/>
  <c r="X7" i="7"/>
  <c r="T7" i="7"/>
  <c r="AD7" i="7"/>
  <c r="AE7" i="7" s="1"/>
  <c r="AJ7" i="7" s="1"/>
  <c r="AK7" i="7" s="1"/>
  <c r="Z7" i="7"/>
  <c r="V7" i="7"/>
  <c r="R7" i="7"/>
  <c r="N7" i="7"/>
  <c r="B173" i="1" s="1"/>
  <c r="AC9" i="7"/>
  <c r="AA9" i="7"/>
  <c r="Y9" i="7"/>
  <c r="W9" i="7"/>
  <c r="U9" i="7"/>
  <c r="S9" i="7"/>
  <c r="Q9" i="7"/>
  <c r="O9" i="7"/>
  <c r="C175" i="1" s="1"/>
  <c r="AN9" i="7"/>
  <c r="AQ9" i="7" s="1"/>
  <c r="AB9" i="7"/>
  <c r="X9" i="7"/>
  <c r="T9" i="7"/>
  <c r="AD9" i="7"/>
  <c r="AE9" i="7" s="1"/>
  <c r="AJ9" i="7" s="1"/>
  <c r="AK9" i="7" s="1"/>
  <c r="Z9" i="7"/>
  <c r="V9" i="7"/>
  <c r="R9" i="7"/>
  <c r="N9" i="7"/>
  <c r="B175" i="1" s="1"/>
  <c r="AC12" i="7"/>
  <c r="AA12" i="7"/>
  <c r="Y12" i="7"/>
  <c r="W12" i="7"/>
  <c r="U12" i="7"/>
  <c r="S12" i="7"/>
  <c r="Q12" i="7"/>
  <c r="O12" i="7"/>
  <c r="C178" i="1" s="1"/>
  <c r="AD12" i="7"/>
  <c r="AE12" i="7" s="1"/>
  <c r="AJ12" i="7" s="1"/>
  <c r="AK12" i="7" s="1"/>
  <c r="Z12" i="7"/>
  <c r="V12" i="7"/>
  <c r="R12" i="7"/>
  <c r="N12" i="7"/>
  <c r="B178" i="1" s="1"/>
  <c r="AN12" i="7"/>
  <c r="AQ12" i="7" s="1"/>
  <c r="AB12" i="7"/>
  <c r="X12" i="7"/>
  <c r="T12" i="7"/>
  <c r="AC14" i="7"/>
  <c r="AA14" i="7"/>
  <c r="Y14" i="7"/>
  <c r="W14" i="7"/>
  <c r="U14" i="7"/>
  <c r="S14" i="7"/>
  <c r="Q14" i="7"/>
  <c r="O14" i="7"/>
  <c r="C180" i="1" s="1"/>
  <c r="AD14" i="7"/>
  <c r="AE14" i="7" s="1"/>
  <c r="AJ14" i="7" s="1"/>
  <c r="AK14" i="7" s="1"/>
  <c r="Z14" i="7"/>
  <c r="V14" i="7"/>
  <c r="R14" i="7"/>
  <c r="N14" i="7"/>
  <c r="B180" i="1" s="1"/>
  <c r="AN14" i="7"/>
  <c r="AQ14" i="7" s="1"/>
  <c r="AB14" i="7"/>
  <c r="X14" i="7"/>
  <c r="T14" i="7"/>
  <c r="AC16" i="7"/>
  <c r="AA16" i="7"/>
  <c r="Y16" i="7"/>
  <c r="W16" i="7"/>
  <c r="U16" i="7"/>
  <c r="S16" i="7"/>
  <c r="Q16" i="7"/>
  <c r="O16" i="7"/>
  <c r="C182" i="1" s="1"/>
  <c r="AD16" i="7"/>
  <c r="AE16" i="7" s="1"/>
  <c r="AJ16" i="7" s="1"/>
  <c r="AK16" i="7" s="1"/>
  <c r="Z16" i="7"/>
  <c r="V16" i="7"/>
  <c r="R16" i="7"/>
  <c r="N16" i="7"/>
  <c r="B182" i="1" s="1"/>
  <c r="AN16" i="7"/>
  <c r="AQ16" i="7" s="1"/>
  <c r="AB16" i="7"/>
  <c r="X16" i="7"/>
  <c r="T16" i="7"/>
  <c r="AC18" i="7"/>
  <c r="AA18" i="7"/>
  <c r="Y18" i="7"/>
  <c r="W18" i="7"/>
  <c r="U18" i="7"/>
  <c r="S18" i="7"/>
  <c r="Q18" i="7"/>
  <c r="O18" i="7"/>
  <c r="C184" i="1" s="1"/>
  <c r="AD18" i="7"/>
  <c r="AE18" i="7" s="1"/>
  <c r="AJ18" i="7" s="1"/>
  <c r="AK18" i="7" s="1"/>
  <c r="Z18" i="7"/>
  <c r="V18" i="7"/>
  <c r="R18" i="7"/>
  <c r="N18" i="7"/>
  <c r="B184" i="1" s="1"/>
  <c r="AN18" i="7"/>
  <c r="AQ18" i="7" s="1"/>
  <c r="AB18" i="7"/>
  <c r="X18" i="7"/>
  <c r="T18" i="7"/>
  <c r="AC20" i="7"/>
  <c r="AA20" i="7"/>
  <c r="Y20" i="7"/>
  <c r="W20" i="7"/>
  <c r="U20" i="7"/>
  <c r="S20" i="7"/>
  <c r="Q20" i="7"/>
  <c r="O20" i="7"/>
  <c r="C186" i="1" s="1"/>
  <c r="AD20" i="7"/>
  <c r="AE20" i="7" s="1"/>
  <c r="AJ20" i="7" s="1"/>
  <c r="Z20" i="7"/>
  <c r="V20" i="7"/>
  <c r="R20" i="7"/>
  <c r="N20" i="7"/>
  <c r="B186" i="1" s="1"/>
  <c r="AN20" i="7"/>
  <c r="AQ20" i="7" s="1"/>
  <c r="AB20" i="7"/>
  <c r="X20" i="7"/>
  <c r="T20" i="7"/>
  <c r="AC22" i="7"/>
  <c r="AA22" i="7"/>
  <c r="Y22" i="7"/>
  <c r="W22" i="7"/>
  <c r="U22" i="7"/>
  <c r="S22" i="7"/>
  <c r="Q22" i="7"/>
  <c r="O22" i="7"/>
  <c r="C188" i="1" s="1"/>
  <c r="AN22" i="7"/>
  <c r="AQ22" i="7" s="1"/>
  <c r="AD22" i="7"/>
  <c r="AE22" i="7" s="1"/>
  <c r="AJ22" i="7" s="1"/>
  <c r="AK22" i="7" s="1"/>
  <c r="AB22" i="7"/>
  <c r="Z22" i="7"/>
  <c r="X22" i="7"/>
  <c r="V22" i="7"/>
  <c r="T22" i="7"/>
  <c r="R22" i="7"/>
  <c r="N22" i="7"/>
  <c r="B188" i="1" s="1"/>
  <c r="AC24" i="7"/>
  <c r="AA24" i="7"/>
  <c r="Y24" i="7"/>
  <c r="W24" i="7"/>
  <c r="U24" i="7"/>
  <c r="S24" i="7"/>
  <c r="Q24" i="7"/>
  <c r="O24" i="7"/>
  <c r="C190" i="1" s="1"/>
  <c r="AN24" i="7"/>
  <c r="AQ24" i="7" s="1"/>
  <c r="AD24" i="7"/>
  <c r="AE24" i="7" s="1"/>
  <c r="AJ24" i="7" s="1"/>
  <c r="AK24" i="7" s="1"/>
  <c r="AB24" i="7"/>
  <c r="Z24" i="7"/>
  <c r="X24" i="7"/>
  <c r="V24" i="7"/>
  <c r="T24" i="7"/>
  <c r="R24" i="7"/>
  <c r="N24" i="7"/>
  <c r="B190" i="1" s="1"/>
  <c r="AC26" i="7"/>
  <c r="AA26" i="7"/>
  <c r="Y26" i="7"/>
  <c r="W26" i="7"/>
  <c r="U26" i="7"/>
  <c r="S26" i="7"/>
  <c r="Q26" i="7"/>
  <c r="O26" i="7"/>
  <c r="C192" i="1" s="1"/>
  <c r="AN26" i="7"/>
  <c r="AQ26" i="7" s="1"/>
  <c r="AD26" i="7"/>
  <c r="AE26" i="7" s="1"/>
  <c r="AJ26" i="7" s="1"/>
  <c r="AK26" i="7" s="1"/>
  <c r="AB26" i="7"/>
  <c r="Z26" i="7"/>
  <c r="X26" i="7"/>
  <c r="V26" i="7"/>
  <c r="T26" i="7"/>
  <c r="R26" i="7"/>
  <c r="N26" i="7"/>
  <c r="B192" i="1" s="1"/>
  <c r="AC28" i="7"/>
  <c r="AA28" i="7"/>
  <c r="Y28" i="7"/>
  <c r="W28" i="7"/>
  <c r="U28" i="7"/>
  <c r="S28" i="7"/>
  <c r="Q28" i="7"/>
  <c r="O28" i="7"/>
  <c r="C194" i="1" s="1"/>
  <c r="AN28" i="7"/>
  <c r="AQ28" i="7" s="1"/>
  <c r="AD28" i="7"/>
  <c r="AE28" i="7" s="1"/>
  <c r="AJ28" i="7" s="1"/>
  <c r="AK28" i="7" s="1"/>
  <c r="AB28" i="7"/>
  <c r="Z28" i="7"/>
  <c r="X28" i="7"/>
  <c r="V28" i="7"/>
  <c r="T28" i="7"/>
  <c r="R28" i="7"/>
  <c r="N28" i="7"/>
  <c r="B194" i="1" s="1"/>
  <c r="AC30" i="7"/>
  <c r="AA30" i="7"/>
  <c r="Y30" i="7"/>
  <c r="W30" i="7"/>
  <c r="U30" i="7"/>
  <c r="S30" i="7"/>
  <c r="Q30" i="7"/>
  <c r="O30" i="7"/>
  <c r="C196" i="1" s="1"/>
  <c r="AN30" i="7"/>
  <c r="AQ30" i="7" s="1"/>
  <c r="AD30" i="7"/>
  <c r="AE30" i="7" s="1"/>
  <c r="AJ30" i="7" s="1"/>
  <c r="AK30" i="7" s="1"/>
  <c r="AB30" i="7"/>
  <c r="Z30" i="7"/>
  <c r="X30" i="7"/>
  <c r="V30" i="7"/>
  <c r="T30" i="7"/>
  <c r="R30" i="7"/>
  <c r="N30" i="7"/>
  <c r="B196" i="1" s="1"/>
  <c r="AC32" i="7"/>
  <c r="AA32" i="7"/>
  <c r="Y32" i="7"/>
  <c r="W32" i="7"/>
  <c r="U32" i="7"/>
  <c r="S32" i="7"/>
  <c r="Q32" i="7"/>
  <c r="O32" i="7"/>
  <c r="C198" i="1" s="1"/>
  <c r="AN32" i="7"/>
  <c r="AQ32" i="7" s="1"/>
  <c r="AD32" i="7"/>
  <c r="AE32" i="7" s="1"/>
  <c r="AJ32" i="7" s="1"/>
  <c r="AK32" i="7" s="1"/>
  <c r="AB32" i="7"/>
  <c r="Z32" i="7"/>
  <c r="X32" i="7"/>
  <c r="V32" i="7"/>
  <c r="T32" i="7"/>
  <c r="R32" i="7"/>
  <c r="N32" i="7"/>
  <c r="B198" i="1" s="1"/>
  <c r="AC34" i="7"/>
  <c r="AA34" i="7"/>
  <c r="Y34" i="7"/>
  <c r="W34" i="7"/>
  <c r="U34" i="7"/>
  <c r="S34" i="7"/>
  <c r="Q34" i="7"/>
  <c r="O34" i="7"/>
  <c r="C200" i="1" s="1"/>
  <c r="AN34" i="7"/>
  <c r="AQ34" i="7" s="1"/>
  <c r="AD34" i="7"/>
  <c r="AE34" i="7" s="1"/>
  <c r="AJ34" i="7" s="1"/>
  <c r="AK34" i="7" s="1"/>
  <c r="AB34" i="7"/>
  <c r="Z34" i="7"/>
  <c r="X34" i="7"/>
  <c r="V34" i="7"/>
  <c r="T34" i="7"/>
  <c r="R34" i="7"/>
  <c r="N34" i="7"/>
  <c r="B200" i="1" s="1"/>
  <c r="AC36" i="7"/>
  <c r="AA36" i="7"/>
  <c r="Y36" i="7"/>
  <c r="W36" i="7"/>
  <c r="U36" i="7"/>
  <c r="S36" i="7"/>
  <c r="Q36" i="7"/>
  <c r="O36" i="7"/>
  <c r="C202" i="1" s="1"/>
  <c r="AN36" i="7"/>
  <c r="AQ36" i="7" s="1"/>
  <c r="AD36" i="7"/>
  <c r="AE36" i="7" s="1"/>
  <c r="AJ36" i="7" s="1"/>
  <c r="AK36" i="7" s="1"/>
  <c r="AB36" i="7"/>
  <c r="Z36" i="7"/>
  <c r="X36" i="7"/>
  <c r="V36" i="7"/>
  <c r="T36" i="7"/>
  <c r="R36" i="7"/>
  <c r="N36" i="7"/>
  <c r="B202" i="1" s="1"/>
  <c r="AC38" i="7"/>
  <c r="AA38" i="7"/>
  <c r="Y38" i="7"/>
  <c r="W38" i="7"/>
  <c r="U38" i="7"/>
  <c r="S38" i="7"/>
  <c r="Q38" i="7"/>
  <c r="O38" i="7"/>
  <c r="C204" i="1" s="1"/>
  <c r="AN38" i="7"/>
  <c r="AQ38" i="7" s="1"/>
  <c r="AD38" i="7"/>
  <c r="AE38" i="7" s="1"/>
  <c r="AJ38" i="7" s="1"/>
  <c r="AK38" i="7" s="1"/>
  <c r="AB38" i="7"/>
  <c r="Z38" i="7"/>
  <c r="X38" i="7"/>
  <c r="V38" i="7"/>
  <c r="T38" i="7"/>
  <c r="R38" i="7"/>
  <c r="N38" i="7"/>
  <c r="B204" i="1" s="1"/>
  <c r="AN40" i="7"/>
  <c r="AQ40" i="7" s="1"/>
  <c r="AD40" i="7"/>
  <c r="AE40" i="7" s="1"/>
  <c r="AJ40" i="7" s="1"/>
  <c r="AK40" i="7" s="1"/>
  <c r="AB40" i="7"/>
  <c r="Z40" i="7"/>
  <c r="X40" i="7"/>
  <c r="V40" i="7"/>
  <c r="T40" i="7"/>
  <c r="R40" i="7"/>
  <c r="N40" i="7"/>
  <c r="B206" i="1" s="1"/>
  <c r="AC40" i="7"/>
  <c r="Y40" i="7"/>
  <c r="U40" i="7"/>
  <c r="Q40" i="7"/>
  <c r="AA40" i="7"/>
  <c r="W40" i="7"/>
  <c r="S40" i="7"/>
  <c r="O40" i="7"/>
  <c r="C206" i="1" s="1"/>
  <c r="AN42" i="7"/>
  <c r="AQ42" i="7" s="1"/>
  <c r="AD42" i="7"/>
  <c r="AE42" i="7" s="1"/>
  <c r="AJ42" i="7" s="1"/>
  <c r="AK42" i="7" s="1"/>
  <c r="AB42" i="7"/>
  <c r="Z42" i="7"/>
  <c r="X42" i="7"/>
  <c r="V42" i="7"/>
  <c r="T42" i="7"/>
  <c r="R42" i="7"/>
  <c r="N42" i="7"/>
  <c r="B208" i="1" s="1"/>
  <c r="AC42" i="7"/>
  <c r="Y42" i="7"/>
  <c r="U42" i="7"/>
  <c r="Q42" i="7"/>
  <c r="AA42" i="7"/>
  <c r="W42" i="7"/>
  <c r="S42" i="7"/>
  <c r="O42" i="7"/>
  <c r="C208" i="1" s="1"/>
  <c r="AN44" i="7"/>
  <c r="AQ44" i="7" s="1"/>
  <c r="AD44" i="7"/>
  <c r="AE44" i="7" s="1"/>
  <c r="AJ44" i="7" s="1"/>
  <c r="AK44" i="7" s="1"/>
  <c r="AB44" i="7"/>
  <c r="Z44" i="7"/>
  <c r="X44" i="7"/>
  <c r="V44" i="7"/>
  <c r="T44" i="7"/>
  <c r="R44" i="7"/>
  <c r="N44" i="7"/>
  <c r="B210" i="1" s="1"/>
  <c r="AC44" i="7"/>
  <c r="Y44" i="7"/>
  <c r="U44" i="7"/>
  <c r="Q44" i="7"/>
  <c r="AA44" i="7"/>
  <c r="W44" i="7"/>
  <c r="S44" i="7"/>
  <c r="O44" i="7"/>
  <c r="C210" i="1" s="1"/>
  <c r="AN46" i="7"/>
  <c r="AQ46" i="7" s="1"/>
  <c r="AD46" i="7"/>
  <c r="AE46" i="7" s="1"/>
  <c r="AJ46" i="7" s="1"/>
  <c r="AK46" i="7" s="1"/>
  <c r="AB46" i="7"/>
  <c r="Z46" i="7"/>
  <c r="X46" i="7"/>
  <c r="V46" i="7"/>
  <c r="T46" i="7"/>
  <c r="R46" i="7"/>
  <c r="N46" i="7"/>
  <c r="B212" i="1" s="1"/>
  <c r="AC46" i="7"/>
  <c r="Y46" i="7"/>
  <c r="U46" i="7"/>
  <c r="Q46" i="7"/>
  <c r="AA46" i="7"/>
  <c r="W46" i="7"/>
  <c r="S46" i="7"/>
  <c r="O46" i="7"/>
  <c r="C212" i="1" s="1"/>
  <c r="AN48" i="7"/>
  <c r="AQ48" i="7" s="1"/>
  <c r="AD48" i="7"/>
  <c r="AE48" i="7" s="1"/>
  <c r="AJ48" i="7" s="1"/>
  <c r="AK48" i="7" s="1"/>
  <c r="AB48" i="7"/>
  <c r="Z48" i="7"/>
  <c r="X48" i="7"/>
  <c r="V48" i="7"/>
  <c r="T48" i="7"/>
  <c r="R48" i="7"/>
  <c r="N48" i="7"/>
  <c r="B214" i="1" s="1"/>
  <c r="AC48" i="7"/>
  <c r="Y48" i="7"/>
  <c r="U48" i="7"/>
  <c r="Q48" i="7"/>
  <c r="AA48" i="7"/>
  <c r="W48" i="7"/>
  <c r="S48" i="7"/>
  <c r="O48" i="7"/>
  <c r="C214" i="1" s="1"/>
  <c r="AN50" i="7"/>
  <c r="AQ50" i="7" s="1"/>
  <c r="AD50" i="7"/>
  <c r="AE50" i="7" s="1"/>
  <c r="AJ50" i="7" s="1"/>
  <c r="AK50" i="7" s="1"/>
  <c r="AB50" i="7"/>
  <c r="Z50" i="7"/>
  <c r="X50" i="7"/>
  <c r="V50" i="7"/>
  <c r="T50" i="7"/>
  <c r="R50" i="7"/>
  <c r="N50" i="7"/>
  <c r="B216" i="1" s="1"/>
  <c r="AC50" i="7"/>
  <c r="Y50" i="7"/>
  <c r="U50" i="7"/>
  <c r="Q50" i="7"/>
  <c r="AA50" i="7"/>
  <c r="W50" i="7"/>
  <c r="S50" i="7"/>
  <c r="O50" i="7"/>
  <c r="C216" i="1" s="1"/>
  <c r="AN52" i="7"/>
  <c r="AQ52" i="7" s="1"/>
  <c r="AD52" i="7"/>
  <c r="AE52" i="7" s="1"/>
  <c r="AJ52" i="7" s="1"/>
  <c r="AK52" i="7" s="1"/>
  <c r="AB52" i="7"/>
  <c r="Z52" i="7"/>
  <c r="X52" i="7"/>
  <c r="V52" i="7"/>
  <c r="T52" i="7"/>
  <c r="R52" i="7"/>
  <c r="N52" i="7"/>
  <c r="B218" i="1" s="1"/>
  <c r="AC52" i="7"/>
  <c r="Y52" i="7"/>
  <c r="U52" i="7"/>
  <c r="Q52" i="7"/>
  <c r="AA52" i="7"/>
  <c r="W52" i="7"/>
  <c r="S52" i="7"/>
  <c r="O52" i="7"/>
  <c r="C218" i="1" s="1"/>
  <c r="AN56" i="7"/>
  <c r="AQ56" i="7" s="1"/>
  <c r="AD56" i="7"/>
  <c r="AE56" i="7" s="1"/>
  <c r="AJ56" i="7" s="1"/>
  <c r="AK56" i="7" s="1"/>
  <c r="AB56" i="7"/>
  <c r="Z56" i="7"/>
  <c r="X56" i="7"/>
  <c r="V56" i="7"/>
  <c r="T56" i="7"/>
  <c r="R56" i="7"/>
  <c r="N56" i="7"/>
  <c r="B222" i="1" s="1"/>
  <c r="AC56" i="7"/>
  <c r="Y56" i="7"/>
  <c r="U56" i="7"/>
  <c r="Q56" i="7"/>
  <c r="AA56" i="7"/>
  <c r="W56" i="7"/>
  <c r="S56" i="7"/>
  <c r="O56" i="7"/>
  <c r="C222" i="1" s="1"/>
  <c r="AC41" i="7"/>
  <c r="AA41" i="7"/>
  <c r="Y41" i="7"/>
  <c r="W41" i="7"/>
  <c r="U41" i="7"/>
  <c r="S41" i="7"/>
  <c r="Q41" i="7"/>
  <c r="O41" i="7"/>
  <c r="C207" i="1" s="1"/>
  <c r="AN41" i="7"/>
  <c r="AQ41" i="7" s="1"/>
  <c r="AB41" i="7"/>
  <c r="X41" i="7"/>
  <c r="T41" i="7"/>
  <c r="AD41" i="7"/>
  <c r="AE41" i="7" s="1"/>
  <c r="AJ41" i="7" s="1"/>
  <c r="AK41" i="7" s="1"/>
  <c r="Z41" i="7"/>
  <c r="V41" i="7"/>
  <c r="R41" i="7"/>
  <c r="N41" i="7"/>
  <c r="B207" i="1" s="1"/>
  <c r="AC43" i="7"/>
  <c r="AA43" i="7"/>
  <c r="Y43" i="7"/>
  <c r="W43" i="7"/>
  <c r="U43" i="7"/>
  <c r="S43" i="7"/>
  <c r="Q43" i="7"/>
  <c r="O43" i="7"/>
  <c r="C209" i="1" s="1"/>
  <c r="AN43" i="7"/>
  <c r="AQ43" i="7" s="1"/>
  <c r="AB43" i="7"/>
  <c r="X43" i="7"/>
  <c r="T43" i="7"/>
  <c r="AD43" i="7"/>
  <c r="AE43" i="7" s="1"/>
  <c r="AJ43" i="7" s="1"/>
  <c r="AK43" i="7" s="1"/>
  <c r="Z43" i="7"/>
  <c r="V43" i="7"/>
  <c r="R43" i="7"/>
  <c r="N43" i="7"/>
  <c r="B209" i="1" s="1"/>
  <c r="AC45" i="7"/>
  <c r="AA45" i="7"/>
  <c r="Y45" i="7"/>
  <c r="W45" i="7"/>
  <c r="U45" i="7"/>
  <c r="S45" i="7"/>
  <c r="Q45" i="7"/>
  <c r="O45" i="7"/>
  <c r="C211" i="1" s="1"/>
  <c r="AN45" i="7"/>
  <c r="AQ45" i="7" s="1"/>
  <c r="AB45" i="7"/>
  <c r="X45" i="7"/>
  <c r="T45" i="7"/>
  <c r="AD45" i="7"/>
  <c r="AE45" i="7" s="1"/>
  <c r="AJ45" i="7" s="1"/>
  <c r="AK45" i="7" s="1"/>
  <c r="Z45" i="7"/>
  <c r="V45" i="7"/>
  <c r="R45" i="7"/>
  <c r="N45" i="7"/>
  <c r="B211" i="1" s="1"/>
  <c r="AC47" i="7"/>
  <c r="AA47" i="7"/>
  <c r="Y47" i="7"/>
  <c r="W47" i="7"/>
  <c r="U47" i="7"/>
  <c r="S47" i="7"/>
  <c r="Q47" i="7"/>
  <c r="O47" i="7"/>
  <c r="C213" i="1" s="1"/>
  <c r="AN47" i="7"/>
  <c r="AQ47" i="7" s="1"/>
  <c r="AB47" i="7"/>
  <c r="X47" i="7"/>
  <c r="T47" i="7"/>
  <c r="AD47" i="7"/>
  <c r="AE47" i="7" s="1"/>
  <c r="AJ47" i="7" s="1"/>
  <c r="AK47" i="7" s="1"/>
  <c r="Z47" i="7"/>
  <c r="V47" i="7"/>
  <c r="R47" i="7"/>
  <c r="N47" i="7"/>
  <c r="B213" i="1" s="1"/>
  <c r="AC49" i="7"/>
  <c r="AA49" i="7"/>
  <c r="Y49" i="7"/>
  <c r="W49" i="7"/>
  <c r="U49" i="7"/>
  <c r="S49" i="7"/>
  <c r="Q49" i="7"/>
  <c r="O49" i="7"/>
  <c r="C215" i="1" s="1"/>
  <c r="AN49" i="7"/>
  <c r="AQ49" i="7" s="1"/>
  <c r="AB49" i="7"/>
  <c r="X49" i="7"/>
  <c r="T49" i="7"/>
  <c r="AD49" i="7"/>
  <c r="AE49" i="7" s="1"/>
  <c r="AJ49" i="7" s="1"/>
  <c r="AK49" i="7" s="1"/>
  <c r="Z49" i="7"/>
  <c r="V49" i="7"/>
  <c r="R49" i="7"/>
  <c r="N49" i="7"/>
  <c r="B215" i="1" s="1"/>
  <c r="AC51" i="7"/>
  <c r="AA51" i="7"/>
  <c r="Y51" i="7"/>
  <c r="W51" i="7"/>
  <c r="U51" i="7"/>
  <c r="S51" i="7"/>
  <c r="Q51" i="7"/>
  <c r="O51" i="7"/>
  <c r="C217" i="1" s="1"/>
  <c r="AN51" i="7"/>
  <c r="AQ51" i="7" s="1"/>
  <c r="AB51" i="7"/>
  <c r="X51" i="7"/>
  <c r="T51" i="7"/>
  <c r="AD51" i="7"/>
  <c r="AE51" i="7" s="1"/>
  <c r="AJ51" i="7" s="1"/>
  <c r="AK51" i="7" s="1"/>
  <c r="Z51" i="7"/>
  <c r="V51" i="7"/>
  <c r="R51" i="7"/>
  <c r="N51" i="7"/>
  <c r="B217" i="1" s="1"/>
  <c r="AC53" i="7"/>
  <c r="AA53" i="7"/>
  <c r="Y53" i="7"/>
  <c r="W53" i="7"/>
  <c r="U53" i="7"/>
  <c r="S53" i="7"/>
  <c r="Q53" i="7"/>
  <c r="O53" i="7"/>
  <c r="C219" i="1" s="1"/>
  <c r="AB53" i="7"/>
  <c r="X53" i="7"/>
  <c r="T53" i="7"/>
  <c r="AN53" i="7"/>
  <c r="AQ53" i="7" s="1"/>
  <c r="AD53" i="7"/>
  <c r="AE53" i="7" s="1"/>
  <c r="AJ53" i="7" s="1"/>
  <c r="AK53" i="7" s="1"/>
  <c r="Z53" i="7"/>
  <c r="V53" i="7"/>
  <c r="R53" i="7"/>
  <c r="N53" i="7"/>
  <c r="B219" i="1" s="1"/>
  <c r="AC55" i="7"/>
  <c r="AA55" i="7"/>
  <c r="Y55" i="7"/>
  <c r="W55" i="7"/>
  <c r="U55" i="7"/>
  <c r="S55" i="7"/>
  <c r="Q55" i="7"/>
  <c r="O55" i="7"/>
  <c r="C221" i="1" s="1"/>
  <c r="AN55" i="7"/>
  <c r="AQ55" i="7" s="1"/>
  <c r="AD55" i="7"/>
  <c r="AE55" i="7" s="1"/>
  <c r="AJ55" i="7" s="1"/>
  <c r="AK55" i="7" s="1"/>
  <c r="Z55" i="7"/>
  <c r="V55" i="7"/>
  <c r="R55" i="7"/>
  <c r="N55" i="7"/>
  <c r="B221" i="1" s="1"/>
  <c r="AB55" i="7"/>
  <c r="X55" i="7"/>
  <c r="T55" i="7"/>
  <c r="AC57" i="7"/>
  <c r="AA57" i="7"/>
  <c r="Y57" i="7"/>
  <c r="W57" i="7"/>
  <c r="U57" i="7"/>
  <c r="S57" i="7"/>
  <c r="Q57" i="7"/>
  <c r="O57" i="7"/>
  <c r="C223" i="1" s="1"/>
  <c r="AB57" i="7"/>
  <c r="X57" i="7"/>
  <c r="T57" i="7"/>
  <c r="AN57" i="7"/>
  <c r="AQ57" i="7" s="1"/>
  <c r="AD57" i="7"/>
  <c r="AE57" i="7" s="1"/>
  <c r="AJ57" i="7" s="1"/>
  <c r="AK57" i="7" s="1"/>
  <c r="Z57" i="7"/>
  <c r="V57" i="7"/>
  <c r="R57" i="7"/>
  <c r="N57" i="7"/>
  <c r="B223" i="1" s="1"/>
  <c r="AM56" i="7" l="1"/>
  <c r="AM52" i="7"/>
  <c r="AM53" i="7"/>
  <c r="P11" i="7"/>
  <c r="D177" i="1" s="1"/>
  <c r="AF20" i="7"/>
  <c r="AK20" i="7" s="1"/>
  <c r="AM20" i="7" s="1"/>
  <c r="D67" i="7"/>
  <c r="AO54" i="7"/>
  <c r="AP54" i="7" s="1"/>
  <c r="AO55" i="7"/>
  <c r="AP55" i="7" s="1"/>
  <c r="AO57" i="7"/>
  <c r="AP57" i="7" s="1"/>
  <c r="AO53" i="7"/>
  <c r="AP53" i="7" s="1"/>
  <c r="AO51" i="7"/>
  <c r="AP51" i="7" s="1"/>
  <c r="AM51" i="7"/>
  <c r="AO49" i="7"/>
  <c r="AP49" i="7" s="1"/>
  <c r="AM49" i="7"/>
  <c r="AO47" i="7"/>
  <c r="AP47" i="7" s="1"/>
  <c r="AM47" i="7"/>
  <c r="AO45" i="7"/>
  <c r="AP45" i="7" s="1"/>
  <c r="AM45" i="7"/>
  <c r="AO43" i="7"/>
  <c r="AP43" i="7" s="1"/>
  <c r="AM43" i="7"/>
  <c r="AO41" i="7"/>
  <c r="AP41" i="7" s="1"/>
  <c r="AM41" i="7"/>
  <c r="AO56" i="7"/>
  <c r="AP56" i="7" s="1"/>
  <c r="AO52" i="7"/>
  <c r="AP52" i="7" s="1"/>
  <c r="AM50" i="7"/>
  <c r="AO50" i="7"/>
  <c r="AP50" i="7" s="1"/>
  <c r="AM48" i="7"/>
  <c r="AO48" i="7"/>
  <c r="AP48" i="7" s="1"/>
  <c r="AM46" i="7"/>
  <c r="AO46" i="7"/>
  <c r="AP46" i="7" s="1"/>
  <c r="AM44" i="7"/>
  <c r="AO44" i="7"/>
  <c r="AP44" i="7" s="1"/>
  <c r="AM42" i="7"/>
  <c r="AO42" i="7"/>
  <c r="AP42" i="7" s="1"/>
  <c r="AM40" i="7"/>
  <c r="AO40" i="7"/>
  <c r="AP40" i="7" s="1"/>
  <c r="E65" i="7"/>
  <c r="D66" i="7"/>
  <c r="AO19" i="7"/>
  <c r="AP19" i="7" s="1"/>
  <c r="AM19" i="7"/>
  <c r="AO17" i="7"/>
  <c r="AP17" i="7" s="1"/>
  <c r="AM17" i="7"/>
  <c r="AO15" i="7"/>
  <c r="AP15" i="7" s="1"/>
  <c r="AM15" i="7"/>
  <c r="AO13" i="7"/>
  <c r="AP13" i="7" s="1"/>
  <c r="AM13" i="7"/>
  <c r="AO38" i="7"/>
  <c r="AP38" i="7" s="1"/>
  <c r="AM38" i="7"/>
  <c r="AO36" i="7"/>
  <c r="AP36" i="7" s="1"/>
  <c r="AM36" i="7"/>
  <c r="AO34" i="7"/>
  <c r="AP34" i="7" s="1"/>
  <c r="AM34" i="7"/>
  <c r="AO32" i="7"/>
  <c r="AP32" i="7" s="1"/>
  <c r="AM32" i="7"/>
  <c r="AO30" i="7"/>
  <c r="AP30" i="7" s="1"/>
  <c r="AM30" i="7"/>
  <c r="AO28" i="7"/>
  <c r="AP28" i="7" s="1"/>
  <c r="AM28" i="7"/>
  <c r="AO26" i="7"/>
  <c r="AP26" i="7" s="1"/>
  <c r="AM26" i="7"/>
  <c r="AO24" i="7"/>
  <c r="AP24" i="7" s="1"/>
  <c r="AM24" i="7"/>
  <c r="AO22" i="7"/>
  <c r="AP22" i="7" s="1"/>
  <c r="AM22" i="7"/>
  <c r="AO20" i="7"/>
  <c r="AP20" i="7" s="1"/>
  <c r="AO18" i="7"/>
  <c r="AP18" i="7" s="1"/>
  <c r="AM18" i="7"/>
  <c r="AO16" i="7"/>
  <c r="AP16" i="7" s="1"/>
  <c r="AM16" i="7"/>
  <c r="AO14" i="7"/>
  <c r="AP14" i="7" s="1"/>
  <c r="AM14" i="7"/>
  <c r="AO12" i="7"/>
  <c r="AP12" i="7" s="1"/>
  <c r="AM12" i="7"/>
  <c r="AO9" i="7"/>
  <c r="AP9" i="7" s="1"/>
  <c r="AM9" i="7"/>
  <c r="AO7" i="7"/>
  <c r="AP7" i="7" s="1"/>
  <c r="AM7" i="7"/>
  <c r="AO3" i="7"/>
  <c r="AP3" i="7" s="1"/>
  <c r="AM3" i="7"/>
  <c r="AO39" i="7"/>
  <c r="AP39" i="7" s="1"/>
  <c r="AM39" i="7"/>
  <c r="AO37" i="7"/>
  <c r="AP37" i="7" s="1"/>
  <c r="AM37" i="7"/>
  <c r="AO35" i="7"/>
  <c r="AP35" i="7" s="1"/>
  <c r="AM35" i="7"/>
  <c r="AO33" i="7"/>
  <c r="AP33" i="7" s="1"/>
  <c r="AM33" i="7"/>
  <c r="AO31" i="7"/>
  <c r="AP31" i="7" s="1"/>
  <c r="AM31" i="7"/>
  <c r="AO29" i="7"/>
  <c r="AP29" i="7" s="1"/>
  <c r="AM29" i="7"/>
  <c r="AO27" i="7"/>
  <c r="AP27" i="7" s="1"/>
  <c r="AM27" i="7"/>
  <c r="AO25" i="7"/>
  <c r="AP25" i="7" s="1"/>
  <c r="AM25" i="7"/>
  <c r="AO23" i="7"/>
  <c r="AP23" i="7" s="1"/>
  <c r="AM23" i="7"/>
  <c r="AM10" i="7"/>
  <c r="AO10" i="7"/>
  <c r="AP10" i="7" s="1"/>
  <c r="AM8" i="7"/>
  <c r="AO8" i="7"/>
  <c r="AP8" i="7" s="1"/>
  <c r="AM6" i="7"/>
  <c r="AO6" i="7"/>
  <c r="AP6" i="7" s="1"/>
  <c r="AM2" i="7"/>
  <c r="AO2" i="7"/>
  <c r="AP2" i="7" s="1"/>
  <c r="AO21" i="7"/>
  <c r="AP21" i="7" s="1"/>
  <c r="AM21" i="7"/>
  <c r="J62" i="7"/>
  <c r="G65" i="7"/>
  <c r="P2" i="7" l="1"/>
  <c r="D168" i="1" s="1"/>
  <c r="I62" i="7"/>
  <c r="I63" i="7" s="1"/>
  <c r="I61" i="7" s="1"/>
  <c r="P54" i="7"/>
  <c r="D220" i="1" s="1"/>
  <c r="P12" i="7"/>
  <c r="D178" i="1" s="1"/>
  <c r="P25" i="7"/>
  <c r="D191" i="1" s="1"/>
  <c r="P29" i="7"/>
  <c r="D195" i="1" s="1"/>
  <c r="P33" i="7"/>
  <c r="D199" i="1" s="1"/>
  <c r="P37" i="7"/>
  <c r="D203" i="1" s="1"/>
  <c r="P13" i="7"/>
  <c r="D179" i="1" s="1"/>
  <c r="P17" i="7"/>
  <c r="D183" i="1" s="1"/>
  <c r="P44" i="7"/>
  <c r="D210" i="1" s="1"/>
  <c r="P52" i="7"/>
  <c r="D218" i="1" s="1"/>
  <c r="P56" i="7"/>
  <c r="D222" i="1" s="1"/>
  <c r="P53" i="7"/>
  <c r="D219" i="1" s="1"/>
  <c r="P57" i="7"/>
  <c r="D223" i="1" s="1"/>
  <c r="P15" i="7"/>
  <c r="D181" i="1" s="1"/>
  <c r="P19" i="7"/>
  <c r="D185" i="1" s="1"/>
  <c r="P8" i="7"/>
  <c r="D174" i="1" s="1"/>
  <c r="P3" i="7"/>
  <c r="D169" i="1" s="1"/>
  <c r="P9" i="7"/>
  <c r="D175" i="1" s="1"/>
  <c r="P24" i="7"/>
  <c r="D190" i="1" s="1"/>
  <c r="P28" i="7"/>
  <c r="D194" i="1" s="1"/>
  <c r="P32" i="7"/>
  <c r="D198" i="1" s="1"/>
  <c r="P36" i="7"/>
  <c r="D202" i="1" s="1"/>
  <c r="P40" i="7"/>
  <c r="D206" i="1" s="1"/>
  <c r="P48" i="7"/>
  <c r="D214" i="1" s="1"/>
  <c r="P55" i="7"/>
  <c r="D221" i="1" s="1"/>
  <c r="P27" i="7"/>
  <c r="D193" i="1" s="1"/>
  <c r="P35" i="7"/>
  <c r="D201" i="1" s="1"/>
  <c r="P39" i="7"/>
  <c r="D205" i="1" s="1"/>
  <c r="P14" i="7"/>
  <c r="D180" i="1" s="1"/>
  <c r="P18" i="7"/>
  <c r="D184" i="1" s="1"/>
  <c r="P38" i="7"/>
  <c r="D204" i="1" s="1"/>
  <c r="P43" i="7"/>
  <c r="D209" i="1" s="1"/>
  <c r="P47" i="7"/>
  <c r="D213" i="1" s="1"/>
  <c r="P51" i="7"/>
  <c r="D217" i="1" s="1"/>
  <c r="P21" i="7"/>
  <c r="D187" i="1" s="1"/>
  <c r="P23" i="7"/>
  <c r="D189" i="1" s="1"/>
  <c r="P31" i="7"/>
  <c r="D197" i="1" s="1"/>
  <c r="P6" i="7"/>
  <c r="D172" i="1" s="1"/>
  <c r="P10" i="7"/>
  <c r="D176" i="1" s="1"/>
  <c r="P7" i="7"/>
  <c r="D173" i="1" s="1"/>
  <c r="P22" i="7"/>
  <c r="D188" i="1" s="1"/>
  <c r="P26" i="7"/>
  <c r="D192" i="1" s="1"/>
  <c r="P30" i="7"/>
  <c r="D196" i="1" s="1"/>
  <c r="P34" i="7"/>
  <c r="D200" i="1" s="1"/>
  <c r="P16" i="7"/>
  <c r="D182" i="1" s="1"/>
  <c r="P20" i="7"/>
  <c r="D186" i="1" s="1"/>
  <c r="P42" i="7"/>
  <c r="D208" i="1" s="1"/>
  <c r="P46" i="7"/>
  <c r="D212" i="1" s="1"/>
  <c r="P50" i="7"/>
  <c r="D216" i="1" s="1"/>
  <c r="P41" i="7"/>
  <c r="D207" i="1" s="1"/>
  <c r="P45" i="7"/>
  <c r="D211" i="1" s="1"/>
  <c r="P49" i="7"/>
  <c r="D215" i="1" s="1"/>
  <c r="D295" i="1" l="1"/>
  <c r="D284" i="1"/>
  <c r="D282" i="1"/>
  <c r="D279" i="1"/>
  <c r="D277" i="1"/>
  <c r="D280" i="1"/>
  <c r="D285" i="1"/>
  <c r="D283" i="1"/>
  <c r="D281" i="1"/>
  <c r="D278" i="1"/>
  <c r="D257" i="1"/>
  <c r="D258" i="1"/>
  <c r="D261" i="1"/>
  <c r="D266" i="1"/>
  <c r="D267" i="1"/>
  <c r="D274" i="1"/>
  <c r="D275" i="1"/>
  <c r="D276" i="1"/>
  <c r="D286" i="1"/>
  <c r="D288" i="1"/>
  <c r="D293" i="1"/>
  <c r="D294" i="1"/>
  <c r="D302" i="1"/>
  <c r="D303" i="1"/>
  <c r="D304" i="1"/>
  <c r="D305" i="1"/>
  <c r="D306" i="1"/>
  <c r="C239" i="1" l="1"/>
  <c r="C241" i="1"/>
  <c r="C240" i="1"/>
  <c r="N305" i="1"/>
  <c r="N304" i="1"/>
  <c r="N303" i="1"/>
  <c r="N302" i="1"/>
  <c r="N301" i="1"/>
  <c r="N300" i="1"/>
  <c r="N299" i="1"/>
  <c r="N298" i="1"/>
  <c r="N297" i="1"/>
  <c r="N296" i="1"/>
  <c r="N295" i="1"/>
  <c r="N294" i="1"/>
  <c r="N293" i="1"/>
  <c r="N292" i="1"/>
  <c r="N291" i="1"/>
  <c r="N290" i="1"/>
  <c r="N289" i="1"/>
  <c r="N288" i="1"/>
  <c r="N287" i="1"/>
  <c r="N286" i="1"/>
  <c r="N285" i="1"/>
  <c r="N284" i="1"/>
  <c r="N283" i="1"/>
  <c r="N282" i="1"/>
  <c r="N281" i="1"/>
  <c r="N280" i="1"/>
  <c r="N279" i="1"/>
  <c r="N278" i="1"/>
  <c r="N277" i="1"/>
  <c r="N276" i="1"/>
  <c r="N275" i="1"/>
  <c r="N274" i="1"/>
  <c r="N273" i="1"/>
  <c r="N272" i="1"/>
  <c r="N271" i="1"/>
  <c r="N270" i="1"/>
  <c r="N269" i="1"/>
  <c r="N268" i="1"/>
  <c r="N267" i="1"/>
  <c r="N266" i="1"/>
  <c r="N265" i="1"/>
  <c r="N264" i="1"/>
  <c r="N263" i="1"/>
  <c r="N262" i="1"/>
  <c r="N261" i="1"/>
  <c r="N260" i="1"/>
  <c r="N259" i="1"/>
  <c r="N258" i="1"/>
  <c r="N257" i="1"/>
  <c r="N256" i="1"/>
  <c r="N255" i="1"/>
  <c r="L255" i="1"/>
  <c r="D316" i="1"/>
  <c r="D315" i="1"/>
  <c r="D314" i="1"/>
  <c r="D313" i="1"/>
  <c r="D312" i="1"/>
  <c r="D311" i="1"/>
  <c r="D310" i="1"/>
  <c r="D309" i="1"/>
  <c r="D308" i="1"/>
  <c r="D307" i="1"/>
  <c r="C242" i="1" l="1"/>
  <c r="C243" i="1" s="1"/>
  <c r="I31" i="1"/>
  <c r="I45" i="1" l="1"/>
  <c r="B319" i="1" l="1"/>
  <c r="F250" i="1" l="1"/>
  <c r="H250" i="1" s="1"/>
  <c r="F251" i="1"/>
  <c r="H251" i="1" s="1"/>
  <c r="F252" i="1"/>
  <c r="H252" i="1" s="1"/>
  <c r="F249" i="1"/>
  <c r="H249" i="1" s="1"/>
  <c r="S33" i="1" l="1"/>
  <c r="F11" i="5" l="1"/>
  <c r="G11" i="5" s="1"/>
  <c r="F10" i="5"/>
  <c r="G10" i="5" s="1"/>
  <c r="F9" i="5"/>
  <c r="G9" i="5" s="1"/>
  <c r="F8" i="5"/>
  <c r="G8" i="5" s="1"/>
  <c r="F7" i="5"/>
  <c r="G7" i="5" s="1"/>
  <c r="F6" i="5"/>
  <c r="G6" i="5" s="1"/>
  <c r="F5" i="5"/>
  <c r="G5" i="5" s="1"/>
  <c r="G12" i="5" s="1"/>
  <c r="D346" i="1"/>
  <c r="B320" i="1"/>
  <c r="A250" i="1"/>
  <c r="A251" i="1" s="1"/>
  <c r="A252" i="1" s="1"/>
  <c r="F236" i="1"/>
  <c r="C152" i="1"/>
  <c r="C138" i="1"/>
  <c r="C124" i="1"/>
  <c r="D118" i="1"/>
  <c r="E44" i="1"/>
  <c r="E45" i="1" s="1"/>
  <c r="E28" i="1"/>
  <c r="E26" i="1"/>
  <c r="C16" i="1"/>
  <c r="I15" i="1"/>
  <c r="Z13" i="1"/>
  <c r="E8" i="1"/>
  <c r="E3" i="1"/>
  <c r="H153" i="1"/>
  <c r="H125" i="1"/>
  <c r="H139" i="1"/>
  <c r="J124" i="1" l="1"/>
  <c r="J126" i="1" s="1"/>
  <c r="J127" i="1"/>
  <c r="J128" i="1"/>
  <c r="J129" i="1"/>
  <c r="C128" i="1" s="1"/>
  <c r="J143" i="1"/>
  <c r="E142" i="1"/>
  <c r="D147" i="1"/>
  <c r="D149" i="1"/>
  <c r="D143" i="1"/>
  <c r="J142" i="1"/>
  <c r="D148" i="1"/>
  <c r="J138" i="1"/>
  <c r="J140" i="1" s="1"/>
  <c r="D146" i="1"/>
  <c r="J141" i="1"/>
  <c r="D145" i="1"/>
  <c r="D151" i="1"/>
  <c r="D150" i="1"/>
  <c r="D144" i="1"/>
  <c r="D132" i="1"/>
  <c r="D134" i="1"/>
  <c r="D133" i="1"/>
  <c r="D137" i="1"/>
  <c r="D131" i="1"/>
  <c r="D136" i="1"/>
  <c r="D130" i="1"/>
  <c r="D135" i="1"/>
  <c r="C158" i="1"/>
  <c r="J152" i="1" s="1"/>
  <c r="J154" i="1" s="1"/>
  <c r="D161" i="1"/>
  <c r="D163" i="1"/>
  <c r="J157" i="1"/>
  <c r="C156" i="1" s="1"/>
  <c r="D156" i="1" s="1"/>
  <c r="D162" i="1"/>
  <c r="J156" i="1"/>
  <c r="D160" i="1"/>
  <c r="J155" i="1"/>
  <c r="D159" i="1"/>
  <c r="D165" i="1"/>
  <c r="D164" i="1"/>
  <c r="B153" i="1"/>
  <c r="B139" i="1"/>
  <c r="B125" i="1"/>
  <c r="J130" i="1" s="1"/>
  <c r="C142" i="1" l="1"/>
  <c r="D142" i="1" s="1"/>
  <c r="I139" i="1" s="1"/>
  <c r="I140" i="1" s="1"/>
  <c r="D128" i="1"/>
  <c r="D158" i="1"/>
  <c r="J163" i="1"/>
  <c r="J160" i="1"/>
  <c r="J162" i="1"/>
  <c r="J161" i="1"/>
  <c r="J158" i="1"/>
  <c r="J159" i="1" s="1"/>
  <c r="J164" i="1" s="1"/>
  <c r="J165" i="1" s="1"/>
  <c r="C157" i="1" s="1"/>
  <c r="E156" i="1" s="1"/>
  <c r="J149" i="1"/>
  <c r="J146" i="1"/>
  <c r="J148" i="1"/>
  <c r="J147" i="1"/>
  <c r="J144" i="1"/>
  <c r="J145" i="1" s="1"/>
  <c r="J134" i="1"/>
  <c r="J132" i="1"/>
  <c r="J133" i="1"/>
  <c r="J131" i="1"/>
  <c r="J136" i="1" s="1"/>
  <c r="J137" i="1" s="1"/>
  <c r="C129" i="1" s="1"/>
  <c r="J135" i="1"/>
  <c r="G142" i="1" l="1"/>
  <c r="J125" i="1"/>
  <c r="J150" i="1"/>
  <c r="J151" i="1" s="1"/>
  <c r="J139" i="1" s="1"/>
  <c r="I138" i="1" s="1"/>
  <c r="C140" i="1" s="1"/>
  <c r="D157" i="1"/>
  <c r="I153" i="1" s="1"/>
  <c r="J153" i="1"/>
  <c r="G156" i="1"/>
  <c r="E128" i="1"/>
  <c r="D129" i="1"/>
  <c r="I125" i="1" s="1"/>
  <c r="G128" i="1"/>
  <c r="D122" i="1" s="1"/>
  <c r="F123" i="1" l="1"/>
  <c r="D123" i="1"/>
  <c r="I154" i="1"/>
  <c r="I152" i="1" s="1"/>
  <c r="C154" i="1" s="1"/>
  <c r="I126" i="1"/>
  <c r="I124" i="1" s="1"/>
  <c r="C126"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106" authorId="1" shapeId="0">
      <text>
        <r>
          <rPr>
            <b/>
            <sz val="9"/>
            <color indexed="81"/>
            <rFont val="Tahoma"/>
            <family val="2"/>
          </rPr>
          <t>SACHIN:</t>
        </r>
        <r>
          <rPr>
            <sz val="9"/>
            <color indexed="81"/>
            <rFont val="Tahoma"/>
            <family val="2"/>
          </rPr>
          <t xml:space="preserve">
Survey Nos.</t>
        </r>
      </text>
    </comment>
    <comment ref="C108" authorId="1" shapeId="0">
      <text>
        <r>
          <rPr>
            <b/>
            <sz val="9"/>
            <color indexed="81"/>
            <rFont val="Tahoma"/>
            <family val="2"/>
          </rPr>
          <t>SACHIN:</t>
        </r>
        <r>
          <rPr>
            <sz val="9"/>
            <color indexed="81"/>
            <rFont val="Tahoma"/>
            <family val="2"/>
          </rPr>
          <t xml:space="preserve">
Height from AMSL</t>
        </r>
      </text>
    </comment>
    <comment ref="D111"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229"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<sst xmlns="http://schemas.openxmlformats.org/spreadsheetml/2006/main" count="1263" uniqueCount="507">
  <si>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</si>
  <si>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</si>
  <si>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</si>
  <si>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</si>
  <si>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</si>
  <si>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</si>
  <si>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</si>
  <si>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</si>
  <si>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</si>
  <si>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</si>
  <si>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</si>
  <si>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</si>
  <si>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</si>
  <si>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</si>
  <si>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</si>
  <si>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</si>
  <si>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</si>
  <si>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</si>
  <si>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</si>
  <si>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</si>
  <si>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</si>
  <si>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</si>
  <si>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</si>
  <si>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</si>
  <si>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</si>
  <si>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</si>
  <si>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</si>
  <si>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</si>
  <si>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</si>
  <si>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</si>
  <si>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</si>
  <si>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</si>
  <si>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</si>
  <si>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</si>
  <si>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</si>
  <si>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</si>
  <si>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</si>
  <si>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</si>
  <si>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</si>
  <si>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</si>
  <si>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</si>
  <si>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</si>
  <si>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</si>
  <si>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</si>
  <si>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</si>
  <si>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</si>
  <si>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</si>
  <si>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</si>
  <si>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</si>
  <si>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</si>
  <si>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</si>
  <si>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</si>
  <si>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</si>
  <si>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</si>
  <si>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</si>
  <si>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</si>
  <si>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</si>
  <si>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</si>
  <si>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</si>
  <si>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</si>
  <si>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</si>
  <si>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</si>
  <si>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</si>
  <si>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</si>
  <si>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</si>
  <si>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</si>
  <si>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</si>
  <si>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</si>
  <si>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</si>
  <si>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</si>
  <si>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</si>
  <si>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</si>
  <si>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</si>
  <si>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</si>
  <si>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</si>
  <si>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</si>
  <si>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</si>
  <si>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</si>
  <si>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</si>
  <si>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</si>
  <si>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</si>
  <si>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</si>
  <si>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</si>
  <si>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</si>
  <si>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</si>
  <si>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</si>
  <si>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</si>
  <si>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</si>
  <si>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</si>
  <si>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</si>
  <si>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</si>
  <si>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</si>
  <si>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</si>
  <si>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</si>
  <si>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</si>
  <si>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</si>
  <si>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</si>
  <si>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</si>
  <si>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</si>
  <si>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</si>
  <si>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</si>
  <si>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</si>
  <si>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</si>
  <si>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</si>
  <si>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</si>
  <si>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</si>
  <si>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</si>
  <si>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</si>
  <si>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</si>
  <si>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</si>
  <si>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</si>
  <si>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</si>
  <si>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</si>
  <si>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r>
      <t xml:space="preserve">Shop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</si>
  <si>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</si>
  <si>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</si>
  <si>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</si>
  <si>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</si>
  <si>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</si>
  <si>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</si>
  <si>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</si>
  <si>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</si>
  <si>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</si>
  <si>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</si>
  <si>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</si>
  <si>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</si>
  <si>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</si>
  <si>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</si>
  <si>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</si>
  <si>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</si>
  <si>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</si>
  <si>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</si>
  <si>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</si>
  <si>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</si>
  <si>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</si>
  <si>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</si>
  <si>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</si>
  <si>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</si>
  <si>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</si>
  <si>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</si>
  <si>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</si>
  <si>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</si>
  <si>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</si>
  <si>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</si>
  <si>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</si>
  <si>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</si>
  <si>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</si>
  <si>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Attached Loft area</t>
  </si>
  <si>
    <t xml:space="preserve">Recommended Rates of the Property : </t>
  </si>
  <si>
    <t>Recommended rate of the Shop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</si>
  <si>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</si>
  <si>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</si>
  <si>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</si>
  <si>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</si>
  <si>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</si>
  <si>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</si>
  <si>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</si>
  <si>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</si>
  <si>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</si>
  <si>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</si>
  <si>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</si>
  <si>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</si>
  <si>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</si>
  <si>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</si>
  <si>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</si>
  <si>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</si>
  <si>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Floor Rise Rate from    Floor</t>
  </si>
  <si>
    <t>Shop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</si>
  <si>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</si>
  <si>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</si>
  <si>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</si>
  <si>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</si>
  <si>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</si>
  <si>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</si>
  <si>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</si>
  <si>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</si>
  <si>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</si>
  <si>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</si>
  <si>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</si>
  <si>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</si>
  <si>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</si>
  <si>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</si>
  <si>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</si>
  <si>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</si>
  <si>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</si>
  <si>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</si>
  <si>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</si>
  <si>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</si>
  <si>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</si>
  <si>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</si>
  <si>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</si>
  <si>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</si>
  <si>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</si>
  <si>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</si>
  <si>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</si>
  <si>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</si>
  <si>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</si>
  <si>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</si>
  <si>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</si>
  <si>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</si>
  <si>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</si>
  <si>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</si>
  <si>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</si>
  <si>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</si>
  <si>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</si>
  <si>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</si>
  <si>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</si>
  <si>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</si>
  <si>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</si>
  <si>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</si>
  <si>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</si>
  <si>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</si>
  <si>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</si>
  <si>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</si>
  <si>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</si>
  <si>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</si>
  <si>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</si>
  <si>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</si>
  <si>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</si>
  <si>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</si>
  <si>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</si>
  <si>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</si>
  <si>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</si>
  <si>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</si>
  <si>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</si>
  <si>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</si>
  <si>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</si>
  <si>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</si>
  <si>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</si>
  <si>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</si>
  <si>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</si>
  <si>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</si>
  <si>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</si>
  <si>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</si>
  <si>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</si>
  <si>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</si>
  <si>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</si>
  <si>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</si>
  <si>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</si>
  <si>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</si>
  <si>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</si>
  <si>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</si>
  <si>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</si>
  <si>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</si>
  <si>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</si>
  <si>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</si>
  <si>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</si>
  <si>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</si>
  <si>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</si>
  <si>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</si>
  <si>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</si>
  <si>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</si>
  <si>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</si>
  <si>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</si>
  <si>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</si>
  <si>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</si>
  <si>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</si>
  <si>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</si>
  <si>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</si>
  <si>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</si>
  <si>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</si>
  <si>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</si>
  <si>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</si>
  <si>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</si>
  <si>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</si>
  <si>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</si>
  <si>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</si>
  <si>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</si>
  <si>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</si>
  <si>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</si>
  <si>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</si>
  <si>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</si>
  <si>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</si>
  <si>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</si>
  <si>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</si>
  <si>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</si>
  <si>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</si>
  <si>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</si>
  <si>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</si>
  <si>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</si>
  <si>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</si>
  <si>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</si>
  <si>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</si>
  <si>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</si>
  <si>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</si>
  <si>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</si>
  <si>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B Wing = 1B + G + 1st to 19th Floor</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</si>
  <si>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</si>
  <si>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</si>
  <si>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</si>
  <si>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</si>
  <si>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Residential</t>
  </si>
  <si>
    <t>Plot Area Details :</t>
  </si>
  <si>
    <t>Details of Plot Area</t>
  </si>
  <si>
    <t>Plot/
Bunglow
No</t>
  </si>
  <si>
    <t>Plot Type</t>
  </si>
  <si>
    <t>Plot Area
(Sq.Ft.)</t>
  </si>
  <si>
    <t>Permissible Built
up Area on Basic
FSI
(In Sq.ft)</t>
  </si>
  <si>
    <t>Survey No</t>
  </si>
  <si>
    <t>Vardoli</t>
  </si>
  <si>
    <t>Vardoli Road</t>
  </si>
  <si>
    <t>The Reserves - Wadhwa Wise City</t>
  </si>
  <si>
    <t>As per RERA - 31/12/2025</t>
  </si>
  <si>
    <t>Club Magnolia, Tennis Court, Childrens Play Area, Yoga lawn, Jogging Track, Open Gymnasium, Flower Garden etc</t>
  </si>
  <si>
    <t xml:space="preserve">as per sale Brochure on 99acres </t>
  </si>
  <si>
    <t>Area under Plot (Sq.Mt)</t>
  </si>
  <si>
    <t>Detached</t>
  </si>
  <si>
    <t>Semi Detached</t>
  </si>
  <si>
    <t>Row House</t>
  </si>
  <si>
    <t>A-40</t>
  </si>
  <si>
    <t>A-41</t>
  </si>
  <si>
    <t>A-42</t>
  </si>
  <si>
    <t>B-09</t>
  </si>
  <si>
    <t>B-10</t>
  </si>
  <si>
    <t>B-11</t>
  </si>
  <si>
    <t>B-12</t>
  </si>
  <si>
    <t>B-13</t>
  </si>
  <si>
    <t>B-14</t>
  </si>
  <si>
    <t>B-15</t>
  </si>
  <si>
    <t>B-16</t>
  </si>
  <si>
    <t>C-09</t>
  </si>
  <si>
    <t>C-10</t>
  </si>
  <si>
    <t>C-11</t>
  </si>
  <si>
    <t>C-12</t>
  </si>
  <si>
    <t>C-13</t>
  </si>
  <si>
    <t>C-14</t>
  </si>
  <si>
    <t>C-15</t>
  </si>
  <si>
    <t>C-16</t>
  </si>
  <si>
    <t>D-07</t>
  </si>
  <si>
    <t>D-08</t>
  </si>
  <si>
    <t>D-09</t>
  </si>
  <si>
    <t>D-10</t>
  </si>
  <si>
    <t>D-11</t>
  </si>
  <si>
    <t>D-12</t>
  </si>
  <si>
    <t>E-12</t>
  </si>
  <si>
    <t>E-11</t>
  </si>
  <si>
    <t>E-13</t>
  </si>
  <si>
    <t>E-14</t>
  </si>
  <si>
    <t>E-15</t>
  </si>
  <si>
    <t>E-16</t>
  </si>
  <si>
    <t>F-15</t>
  </si>
  <si>
    <t>F-16</t>
  </si>
  <si>
    <t>F-17</t>
  </si>
  <si>
    <t>F-18</t>
  </si>
  <si>
    <t>F-19</t>
  </si>
  <si>
    <t>F-20</t>
  </si>
  <si>
    <t>F-21</t>
  </si>
  <si>
    <t>F-22</t>
  </si>
  <si>
    <t>G-15</t>
  </si>
  <si>
    <t>G-16</t>
  </si>
  <si>
    <t>G-17</t>
  </si>
  <si>
    <t>G-18</t>
  </si>
  <si>
    <t>G-19</t>
  </si>
  <si>
    <t>G-20</t>
  </si>
  <si>
    <t>G-21</t>
  </si>
  <si>
    <t>H-14</t>
  </si>
  <si>
    <t>H-15</t>
  </si>
  <si>
    <t>H-16</t>
  </si>
  <si>
    <t>H-17</t>
  </si>
  <si>
    <t>H-18</t>
  </si>
  <si>
    <t>Plot No. A-36 to A-39 Not mentioned in Approved Layout</t>
  </si>
  <si>
    <t>G-22</t>
  </si>
  <si>
    <t>P52000021144</t>
  </si>
  <si>
    <t>Magnolia Cluster 3</t>
  </si>
  <si>
    <t>Wadhwa Construction And Infrastructure Private Limited</t>
  </si>
  <si>
    <t>Approved Plans, Cost Sheet, EC</t>
  </si>
  <si>
    <t>Nitesh Patil</t>
  </si>
  <si>
    <t>18.972442,73.194071</t>
  </si>
  <si>
    <t>https://maps.app.goo.gl/oR1AaqiqST8d2BqS6</t>
  </si>
  <si>
    <t>Internal Road</t>
  </si>
  <si>
    <t>18.00 M Wide Road</t>
  </si>
  <si>
    <t>12.00M Wide Road/Other Plot</t>
  </si>
  <si>
    <t>Open Plot</t>
  </si>
  <si>
    <t>Open Plot/Kirki River</t>
  </si>
  <si>
    <t>Other Plot</t>
  </si>
  <si>
    <t>SEIAA-EC-0000002284</t>
  </si>
  <si>
    <t>Net Plot Area = 846129.39Sq.Mt
Total B.U.A = 458145.51Sq.Mt</t>
  </si>
  <si>
    <t>11.7KM from Panvel Railway Station</t>
  </si>
  <si>
    <t>G+2</t>
  </si>
  <si>
    <t>Built Up Area (Sq.Ft)</t>
  </si>
  <si>
    <t>Plot/ Banglow No</t>
  </si>
  <si>
    <t>Disburse-ment %</t>
  </si>
  <si>
    <t>G + 1</t>
  </si>
  <si>
    <t>Plot/ Banglow no</t>
  </si>
  <si>
    <t>Floor</t>
  </si>
  <si>
    <t>RCC</t>
  </si>
  <si>
    <t>Brick work</t>
  </si>
  <si>
    <t>Ext. Plaster</t>
  </si>
  <si>
    <t>Flooring</t>
  </si>
  <si>
    <t>Painting</t>
  </si>
  <si>
    <t>Finishing</t>
  </si>
  <si>
    <t>G + 2</t>
  </si>
  <si>
    <t>We have considered plot nos from RERA.</t>
  </si>
  <si>
    <t>Carpet Area
(Sq.Ft)</t>
  </si>
  <si>
    <t>Terrace Area
(Sq.Ft)</t>
  </si>
  <si>
    <t>CIDCO/NAINA/Panvel/Wardoli/BP-00682/CC/2024/0515</t>
  </si>
  <si>
    <t>Not Provided</t>
  </si>
  <si>
    <t>CIDCO/NAINA/Panvel/Wardoli/BP-00651/CC/2023/0408</t>
  </si>
  <si>
    <t>CIDCO/NAINA/Wardoli/BP-00622/CC/2023/0393</t>
  </si>
  <si>
    <t>CIDCO/NAINA/Panvel/Wardoli/BP-00576/CC/2022/0260</t>
  </si>
  <si>
    <t>CIDCO/NAINA/Panvel/Wardoli/BP-00572/CC/2022/0256</t>
  </si>
  <si>
    <t>CIDCO/NAINA/Panvel/Wardoli/BP-00574/CC/2022/0258</t>
  </si>
  <si>
    <t>CIDCO/NAINA/Panvel/Wardoli/BP-00579/CC/2022/0263</t>
  </si>
  <si>
    <t>CIDCO/NAINA/Panvel/Wardoli/BP-00578/CC/2022/0262</t>
  </si>
  <si>
    <t>CIDCO/NAINA/Panvel/Wardoli/BP-00570/CC/2022/0268</t>
  </si>
  <si>
    <t>CIDCO/NAINA/Panvel/Wardoli/BP-00575/CC/2022/0259</t>
  </si>
  <si>
    <t>CIDCO/NAINA/Panvel/Wardoli/BP-00573/CC/2022/0257</t>
  </si>
  <si>
    <t>Commencement-CC No
Valid Up to: 
(Plot No.A41)</t>
  </si>
  <si>
    <t xml:space="preserve">Approved Floor plan No.(Plot No.A40)  </t>
  </si>
  <si>
    <t>Commencement-CC No
Valid Up to: 
(Plot No.A40)</t>
  </si>
  <si>
    <t>CIDCO/NAINA/Panvel/Wardoli/BP-00648/CC/2024/0499</t>
  </si>
  <si>
    <t>Approved Floor plan No.  (Plot No.H18)</t>
  </si>
  <si>
    <t>Commencement-CC No
Valid Up to: (Plot No.H18)</t>
  </si>
  <si>
    <t xml:space="preserve">Approved Floor plan No.(Plot No.F22)  </t>
  </si>
  <si>
    <t>Commencement-CC No
Valid Up to: (Plot No.F22)</t>
  </si>
  <si>
    <t xml:space="preserve">Approved Floor plan No. (Plot No.C16) </t>
  </si>
  <si>
    <t xml:space="preserve">Commencement-CC No
Valid Up to: (Plot No.C16) </t>
  </si>
  <si>
    <t xml:space="preserve">Approved Floor plan No.(Plot No.C09 &amp; G15)  </t>
  </si>
  <si>
    <t>Commencement-CC No
Valid Up to: (Plot No.C09 &amp; G15)</t>
  </si>
  <si>
    <t xml:space="preserve">Approved Floor plan No.(Plot No.A42)  </t>
  </si>
  <si>
    <t xml:space="preserve">Commencement-CC No
Valid Up to:(Plot No.A42)  </t>
  </si>
  <si>
    <t xml:space="preserve">Approved Floor plan No.(Plot No.G22)  </t>
  </si>
  <si>
    <t xml:space="preserve">Commencement-CC No
Valid Up to: (Plot No.G22) </t>
  </si>
  <si>
    <t xml:space="preserve">Approved Floor plan No.(Plot No.D12 &amp; E16)  </t>
  </si>
  <si>
    <t>Commencement-CC No
Valid Up to: (Plot No.D12 &amp; E16)</t>
  </si>
  <si>
    <t xml:space="preserve">Approved Floor plan No. (Plot No.B16)   </t>
  </si>
  <si>
    <t xml:space="preserve">Commencement-CC No
Valid Up to:(Plot No.B16)   </t>
  </si>
  <si>
    <t xml:space="preserve">Approved Floor plan No.(Plot No.B09 &amp; F15)  </t>
  </si>
  <si>
    <t>Commencement-CC No
Valid Up to: .(Plot No.B09 &amp; F15)</t>
  </si>
  <si>
    <t>CIDCO/NAINA/Panvel/Wardoli/BP-00533/CC/2021/0107</t>
  </si>
  <si>
    <t>CIDCO/NAINA/Panvel/Wardoli/BP-00532/CC/2021/0106</t>
  </si>
  <si>
    <t xml:space="preserve">Approved Floor plan No. (Plot No.D7, D9, D11, E12 &amp; E14) </t>
  </si>
  <si>
    <t xml:space="preserve">Commencement-CC No
Valid Up to: (Plot No.D7, D9, D11, E12 &amp; E14) </t>
  </si>
  <si>
    <t xml:space="preserve">Approved Floor plan No.(Plot No.B11, B13, B15, C10, C12, C14, F17, F19, F21, G16, G18, G20)  </t>
  </si>
  <si>
    <t>CIDCO/NAINA/Panvel/Wardoli/BP-00529/CC/2021/0098</t>
  </si>
  <si>
    <t>Row House = 37Units (B.U.A = 171.27 Sq.Mt)</t>
  </si>
  <si>
    <t>Commencement-CC No
Valid Up to: (Plot No.B11, B13, B15, C10, C12, C14, F17, F19, F21, G16, G18, G20)</t>
  </si>
  <si>
    <t>CIDCO/NAINA/Panvel/Wardoli/BP-00530/CC/2021/0099</t>
  </si>
  <si>
    <t xml:space="preserve">Row House = G + 1st to 2nd Floor
</t>
  </si>
  <si>
    <t xml:space="preserve">Approved Floor plan No.(Plot No.A41)  </t>
  </si>
  <si>
    <t xml:space="preserve">Approved Floor plan No.(Plot No.H14)  </t>
  </si>
  <si>
    <t>Commencement-CC No
Valid Up to: (Plot No.H14)</t>
  </si>
  <si>
    <t>A40</t>
  </si>
  <si>
    <t>A41</t>
  </si>
  <si>
    <t>A42</t>
  </si>
  <si>
    <t>B16</t>
  </si>
  <si>
    <t>B09 &amp; F15</t>
  </si>
  <si>
    <t>For Plot Nos A36 to A42 demarcation not done and construction work not started. For Plot Nos. B09 to H18 demarcation completed and Construction work is in process at the time of Visit.</t>
  </si>
  <si>
    <t>Kirki River is located at 0.03km in South direction of Project.</t>
  </si>
  <si>
    <t>H17</t>
  </si>
  <si>
    <t>F22</t>
  </si>
  <si>
    <t>C16</t>
  </si>
  <si>
    <t>D8 &amp; D10</t>
  </si>
  <si>
    <t>D7,D9,D11
E12,E14</t>
  </si>
  <si>
    <t>B10, B12, B14, C11,C13, C15, F16, F18, F20</t>
  </si>
  <si>
    <t>B11,B13, B16, C10,C12, C14,F17,F19,F21,G16,G18,G20</t>
  </si>
  <si>
    <t>Mr.Kundan 7977246118</t>
  </si>
  <si>
    <t>Mr.Mahadev 9820740932</t>
  </si>
  <si>
    <t xml:space="preserve">Approved Floor plan No.(Plot No. H15)  </t>
  </si>
  <si>
    <t>Commencement-CC NoValid Up to: (Plot No.H15)</t>
  </si>
  <si>
    <t>CIDCO/NAINA/Panvel/Wardoli/BP-00621/CC/2023/0394</t>
  </si>
  <si>
    <t>H15</t>
  </si>
  <si>
    <t>CIDCO/NAINA/PANVEL/VARDOLI/LT-OO593/CC/2023/0311</t>
  </si>
  <si>
    <t>Total Net Built-up Area = 246.36 sq.m
Proposed No. of units = 3</t>
  </si>
  <si>
    <t>Total Net Built-up Area = 179.89 sq.m
Proposed No. of units = 7</t>
  </si>
  <si>
    <t>Total Net Built-up Area 179.89 sq.m
Proposed No. of units = 7</t>
  </si>
  <si>
    <t xml:space="preserve">Total Net Built-up Area = 163.08 sq.m
Proposed No. of units = 6
</t>
  </si>
  <si>
    <t xml:space="preserve">Total Net Built-up Area 163.92 sq.m
Proposed No. of units = 6
</t>
  </si>
  <si>
    <t>Total Net Built-up Area 163.17 sq.m
No of units proposed Sale component Residential –6 shall be read as Sale component = 02 units.</t>
  </si>
  <si>
    <r>
      <t xml:space="preserve">Commencement-CC No
Valid Up to: (Plot No.D8 &amp; D10)  
</t>
    </r>
    <r>
      <rPr>
        <sz val="12"/>
        <color rgb="FFFF0000"/>
        <rFont val="Times New Roman"/>
        <family val="1"/>
      </rPr>
      <t>(Plot No. E11, E13 &amp; E15)</t>
    </r>
  </si>
  <si>
    <t>Total Net Built-up Area 201.34 sq.m
No of units proposed Sale component Residential – 9 shall be read as Sale component = 02 units.</t>
  </si>
  <si>
    <t>Total Net Built-up Area 163.17 sq.m
No of units proposed Sale component Residential –6 shall be read as Sale component = 01 units.</t>
  </si>
  <si>
    <t>Total Net Built-up Area 301.53 sq.m
No of units proposed Sale component Residential – 4 shall be read as Sale component = 01 unit.</t>
  </si>
  <si>
    <t>Total Net Built-up Area 317.67 sq.m
No of units proposed Sale component Residential – 6 shall be read as Sale component = 01 unit.</t>
  </si>
  <si>
    <t>Total Net Built-up Area = 321.05 sq.m
No of units proposed Sale component Residential – 4 shall be read as Sale component = 01 unit.</t>
  </si>
  <si>
    <r>
      <t xml:space="preserve">Proposed Amenities :                                                                                                                                                                                                                         </t>
    </r>
    <r>
      <rPr>
        <b/>
        <sz val="12"/>
        <color theme="1"/>
        <rFont val="Times New Roman"/>
        <family val="1"/>
      </rPr>
      <t xml:space="preserve">                                               </t>
    </r>
  </si>
  <si>
    <t xml:space="preserve">Approved Floor plan No.(Plot No. H16)  </t>
  </si>
  <si>
    <t>Commencement-CC NoValid Up to: (Plot No.H16)</t>
  </si>
  <si>
    <t>CIDCO/NAINA/Panvel/Wardoli/BP-00620/CC/2023/0395</t>
  </si>
  <si>
    <t>Total Net Built-up Area  = 321.05 sq.m
No of units proposed Sale component Residential – 4 shall be read as Sale component = 01 unit.</t>
  </si>
  <si>
    <t>We considered Gross carpet area = Net carpet + Balcony.</t>
  </si>
  <si>
    <t>Please provide approved CC for plot nos.A40, A41, H18, H14, H15, F22, C16, C09, G15, A42, G22, D12, E16, B16, B09, F15, D08, D10, D7, D9, D11, E12, E14.</t>
  </si>
  <si>
    <t xml:space="preserve">Project is located at 11.7km from Panvel Railway Station &amp; 
4.2km from proposed Bhingar Railway Station.
Habitation located at approx 1km from project.
Wadhwa Construction And Infrastructure Private Limited other Project Wadhwa Wise City is at 1km distance from this project. </t>
  </si>
  <si>
    <t>Total Net Built-up Area 163.83 sq.m</t>
  </si>
  <si>
    <t xml:space="preserve">Commencement-CC No
Valid Up to: .(Plot No.B10, B14, C11, C13, C15, F16, F18, F20, G17, G19, G21)  </t>
  </si>
  <si>
    <t xml:space="preserve">Approved Floor plan No.(Plot No.B10, B14, C11, C13, C15, F16, F18, F20, G17, G19, G21)  </t>
  </si>
  <si>
    <t>Salable Area
(Sq.Ft)
 Loading
45%</t>
  </si>
  <si>
    <t>56 Plots</t>
  </si>
  <si>
    <t>A-36</t>
  </si>
  <si>
    <t>A-37</t>
  </si>
  <si>
    <t>A-38</t>
  </si>
  <si>
    <t>A-39</t>
  </si>
  <si>
    <t>Total Saleable Area</t>
  </si>
  <si>
    <t>Ground Floor + 2nd Floor</t>
  </si>
  <si>
    <t>Plot A36 to A42
Plot B9 to B16
Plot C9 to C16
Plot D7 to D12
Plot E11 to E16
Plot F15 to F22
Plot G15 to G22
Plot H14 to H18</t>
  </si>
  <si>
    <t>Approved Floor plan No. (Plot No.D8 &amp; D10)  
(Plot No. E11, E13 &amp; E15)</t>
  </si>
  <si>
    <t>Environmental Clearance Certificate (EC) No
Valid Up for: RZ 04</t>
  </si>
  <si>
    <t>Row House = 56</t>
  </si>
  <si>
    <t>Plot no. A36 to A39, H17 were not mentioned in approved plan and Floor Plans were not Provided.</t>
  </si>
  <si>
    <t>Recommended rate of the Row House Per Sq. Ft.</t>
  </si>
  <si>
    <t>10000 TO 9000 AS DISCUSSED WITH SMITH SIR ON 11/09/2024.</t>
  </si>
  <si>
    <t>40 &amp; Others (43/0, 44/1, 50/1(Part), 51/1, 51/2, 51/4, 51/5, 52/0, 53/0, 61/2)</t>
  </si>
  <si>
    <t>Photographs :</t>
  </si>
  <si>
    <t>1. As per the site visit dated 19/12/2024, the site engineer guided us that Building No. H18 is not yet started and Building No. H17 is under construction.
2. As per the site visit dated 05/04/2025, the site engineer guided us that Building No. H17 is not yet started and Building No. H18 is under construction.
3. We are maintaining the same construction stage for Building No. 17 as per the last visit dated 25/02/2025.
4. Please provide an architect certificate for Bldg No. 17 &amp; 18 to confirm building naming &amp; stage of construction.</t>
  </si>
  <si>
    <t>Miss. Siya Chaudhary</t>
  </si>
  <si>
    <t>Pooja Kawale</t>
  </si>
  <si>
    <t>1. As per the site visit dated 19/12/2024, the site engineer guided us that Building No. H18 is not yet started and Building No. H17 is under construction.
2. As per the site visit dated 05/04/2025, the site engineer guided us that Building No. H17 is not yet started and Building No. H18 is under construction.
3. We are maintaining the same construction stage for Building No. H17 as per the last visit dated 25/02/2025.
4. Please provide an architect certificate for Bldg No. 17 &amp; 18 to confirm building naming &amp; stage of construction.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</si>
</sst>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64" formatCode="0.0"/>
    <numFmt numFmtId="165" formatCode="_(* #,##0.00_);_(* \(#,##0.00\);_(* &quot;-&quot;??_);_(@_)"/>
    <numFmt numFmtId="166" formatCode="_(* #,##0_);_(* \(#,##0\);_(* &quot;-&quot;??_);_(@_)"/>
    <numFmt numFmtId="167" formatCode="_ * #,##0_ ;_ * \-#,##0_ ;_ * &quot;-&quot;??_ ;_ @_ "/>
    <numFmt numFmtId="168" formatCode="0.000"/>
  </numFmts>
  <fonts count="35"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2"/>
      <color rgb="FFFFFF00"/>
      <name val="Times New Roman"/>
      <family val="1"/>
    </font>
    <font>
      <sz val="11"/>
      <color rgb="FFFF0000"/>
      <name val="Times New Roman"/>
      <family val="1"/>
    </font>
    <font>
      <b/>
      <sz val="11"/>
      <color theme="1"/>
      <name val="Times New Roman"/>
      <family val="1"/>
    </font>
    <font>
      <sz val="11"/>
      <color theme="1"/>
      <name val="Calibri"/>
      <family val="2"/>
    </font>
  </fonts>
  <fills count="14">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rgb="FF92D050"/>
        <bgColor indexed="64"/>
      </patternFill>
    </fill>
    <fill>
      <patternFill patternType="solid">
        <fgColor theme="9"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theme="4" tint="-0.249977111117893"/>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340">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15" fillId="0" borderId="1" xfId="1" applyFont="1" applyBorder="1" applyAlignment="1" applyProtection="1">
      <alignment horizontal="center" vertical="top" wrapText="1"/>
      <protection locked="0"/>
    </xf>
    <xf numFmtId="1" fontId="15" fillId="0" borderId="1" xfId="1" applyNumberFormat="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0" fontId="0" fillId="0" borderId="25" xfId="0" applyBorder="1"/>
    <xf numFmtId="0" fontId="0" fillId="0" borderId="8" xfId="0" applyBorder="1"/>
    <xf numFmtId="0" fontId="0" fillId="0" borderId="1" xfId="0" applyBorder="1" applyAlignment="1">
      <alignment vertical="top" wrapText="1"/>
    </xf>
    <xf numFmtId="164" fontId="7" fillId="0" borderId="0" xfId="1" applyNumberFormat="1" applyFont="1"/>
    <xf numFmtId="1" fontId="6" fillId="0" borderId="3" xfId="1" applyNumberFormat="1" applyFont="1" applyBorder="1" applyAlignment="1" applyProtection="1">
      <alignment horizontal="center" vertical="center" wrapText="1"/>
      <protection locked="0"/>
    </xf>
    <xf numFmtId="1" fontId="4" fillId="0" borderId="3" xfId="1" applyNumberFormat="1" applyFont="1" applyBorder="1" applyAlignment="1" applyProtection="1">
      <alignment horizontal="center" vertical="top" wrapText="1"/>
      <protection locked="0"/>
    </xf>
    <xf numFmtId="1" fontId="31" fillId="0" borderId="0" xfId="1" applyNumberFormat="1" applyFont="1" applyAlignment="1">
      <alignment horizontal="center" vertical="center" wrapText="1"/>
    </xf>
    <xf numFmtId="168" fontId="7" fillId="0" borderId="0" xfId="1" applyNumberFormat="1" applyFont="1" applyAlignment="1">
      <alignment horizontal="center" vertical="center"/>
    </xf>
    <xf numFmtId="0" fontId="4" fillId="0" borderId="8" xfId="1" applyFont="1" applyBorder="1" applyAlignment="1" applyProtection="1">
      <alignment horizontal="center" vertical="top" wrapText="1"/>
      <protection locked="0"/>
    </xf>
    <xf numFmtId="0" fontId="4" fillId="0" borderId="16" xfId="1" applyFont="1" applyBorder="1" applyAlignment="1" applyProtection="1">
      <alignment horizontal="center" vertical="top" wrapText="1"/>
      <protection locked="0"/>
    </xf>
    <xf numFmtId="0" fontId="6" fillId="0" borderId="16" xfId="1" applyFont="1" applyBorder="1" applyAlignment="1" applyProtection="1">
      <alignment horizontal="center" vertical="top" wrapText="1"/>
      <protection locked="0"/>
    </xf>
    <xf numFmtId="9" fontId="12" fillId="0" borderId="16" xfId="1" applyNumberFormat="1" applyFont="1" applyBorder="1" applyAlignment="1" applyProtection="1">
      <alignment horizontal="center" vertical="top" wrapText="1"/>
      <protection locked="0"/>
    </xf>
    <xf numFmtId="0" fontId="8" fillId="0" borderId="0" xfId="1" applyFont="1" applyAlignment="1" applyProtection="1">
      <alignment horizontal="center" vertical="top" wrapText="1"/>
      <protection locked="0"/>
    </xf>
    <xf numFmtId="0" fontId="25" fillId="0" borderId="0" xfId="0" applyFont="1"/>
    <xf numFmtId="0" fontId="12" fillId="0" borderId="0" xfId="1" applyFont="1" applyAlignment="1" applyProtection="1">
      <alignment horizontal="center" vertical="top"/>
      <protection locked="0"/>
    </xf>
    <xf numFmtId="0" fontId="15" fillId="0" borderId="0" xfId="1" applyFont="1" applyAlignment="1" applyProtection="1">
      <alignment horizontal="center" vertical="top"/>
      <protection locked="0"/>
    </xf>
    <xf numFmtId="0" fontId="6" fillId="0" borderId="0" xfId="1" applyFont="1" applyAlignment="1" applyProtection="1">
      <alignment horizontal="center" vertical="top"/>
      <protection locked="0"/>
    </xf>
    <xf numFmtId="0" fontId="13" fillId="0" borderId="0" xfId="1" applyFont="1" applyAlignment="1" applyProtection="1">
      <alignment vertical="top"/>
      <protection locked="0"/>
    </xf>
    <xf numFmtId="0" fontId="13" fillId="0" borderId="0" xfId="1" applyFont="1" applyAlignment="1" applyProtection="1">
      <alignment horizontal="center" vertical="top" wrapText="1"/>
      <protection locked="0"/>
    </xf>
    <xf numFmtId="0" fontId="13" fillId="0" borderId="0" xfId="1" applyFont="1" applyAlignment="1" applyProtection="1">
      <alignment vertical="top" wrapText="1"/>
      <protection locked="0"/>
    </xf>
    <xf numFmtId="0" fontId="7" fillId="0" borderId="0" xfId="1" applyFont="1" applyAlignment="1" applyProtection="1">
      <alignment vertical="top" wrapText="1"/>
      <protection locked="0"/>
    </xf>
    <xf numFmtId="0" fontId="7" fillId="0" borderId="0" xfId="1" applyFont="1" applyAlignment="1" applyProtection="1">
      <alignment horizontal="center" vertical="top" wrapText="1"/>
      <protection locked="0"/>
    </xf>
    <xf numFmtId="9" fontId="7" fillId="0" borderId="0" xfId="8" applyFont="1" applyFill="1" applyBorder="1" applyAlignment="1" applyProtection="1">
      <alignment vertical="center" wrapText="1"/>
      <protection locked="0"/>
    </xf>
    <xf numFmtId="0" fontId="16" fillId="0" borderId="3" xfId="0" applyFont="1" applyBorder="1" applyAlignment="1">
      <alignment horizontal="center" vertical="top" wrapText="1"/>
    </xf>
    <xf numFmtId="0" fontId="16" fillId="0" borderId="3" xfId="0" applyFont="1" applyBorder="1" applyAlignment="1">
      <alignment horizontal="left" vertical="top" wrapText="1"/>
    </xf>
    <xf numFmtId="0" fontId="7" fillId="0" borderId="32" xfId="1" applyFont="1" applyBorder="1" applyAlignment="1" applyProtection="1">
      <alignment vertical="top" wrapText="1"/>
      <protection locked="0"/>
    </xf>
    <xf numFmtId="0" fontId="7" fillId="0" borderId="33" xfId="1" applyFont="1" applyBorder="1" applyAlignment="1" applyProtection="1">
      <alignment vertical="top" wrapText="1"/>
      <protection locked="0"/>
    </xf>
    <xf numFmtId="0" fontId="7" fillId="0" borderId="3" xfId="1" applyFont="1" applyBorder="1" applyAlignment="1" applyProtection="1">
      <alignment vertical="top" wrapText="1"/>
      <protection locked="0"/>
    </xf>
    <xf numFmtId="9" fontId="7" fillId="0" borderId="1" xfId="8" applyFont="1" applyFill="1" applyBorder="1" applyAlignment="1" applyProtection="1">
      <alignment horizontal="center" vertical="center" wrapText="1"/>
      <protection locked="0"/>
    </xf>
    <xf numFmtId="0" fontId="7" fillId="0" borderId="1" xfId="1" applyFont="1" applyBorder="1"/>
    <xf numFmtId="0" fontId="18" fillId="0" borderId="1" xfId="0" applyFont="1" applyBorder="1" applyProtection="1">
      <protection hidden="1"/>
    </xf>
    <xf numFmtId="1" fontId="0" fillId="0" borderId="1" xfId="0" applyNumberFormat="1" applyBorder="1"/>
    <xf numFmtId="1" fontId="0" fillId="0" borderId="1" xfId="0" applyNumberFormat="1" applyBorder="1" applyAlignment="1">
      <alignment horizontal="right"/>
    </xf>
    <xf numFmtId="0" fontId="25" fillId="0" borderId="1" xfId="0" applyFont="1" applyBorder="1"/>
    <xf numFmtId="0" fontId="32" fillId="0" borderId="1" xfId="0" applyFont="1" applyBorder="1" applyAlignment="1">
      <alignment horizontal="center" vertical="top" wrapText="1"/>
    </xf>
    <xf numFmtId="0" fontId="10" fillId="0" borderId="0" xfId="1" applyFont="1" applyAlignment="1">
      <alignment horizontal="center" vertical="center"/>
    </xf>
    <xf numFmtId="1" fontId="7" fillId="0" borderId="0" xfId="1" applyNumberFormat="1" applyFont="1" applyAlignment="1">
      <alignment horizontal="center" vertical="top" wrapText="1"/>
    </xf>
    <xf numFmtId="1" fontId="7" fillId="0" borderId="1" xfId="1"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wrapText="1"/>
      <protection locked="0"/>
    </xf>
    <xf numFmtId="0" fontId="7" fillId="4" borderId="1" xfId="1" applyFont="1" applyFill="1" applyBorder="1" applyAlignment="1" applyProtection="1">
      <alignment horizontal="center" vertical="top" wrapText="1"/>
      <protection locked="0"/>
    </xf>
    <xf numFmtId="9" fontId="7" fillId="4" borderId="1" xfId="8" applyFont="1" applyFill="1" applyBorder="1" applyAlignment="1" applyProtection="1">
      <alignment horizontal="center" vertical="center" wrapText="1"/>
      <protection locked="0"/>
    </xf>
    <xf numFmtId="0" fontId="20" fillId="4" borderId="1" xfId="0" applyFont="1" applyFill="1" applyBorder="1"/>
    <xf numFmtId="9" fontId="7" fillId="4" borderId="1" xfId="8" applyFont="1" applyFill="1" applyBorder="1" applyAlignment="1" applyProtection="1">
      <alignment horizontal="center" vertical="top" wrapText="1"/>
      <protection locked="0"/>
    </xf>
    <xf numFmtId="0" fontId="7" fillId="4" borderId="1" xfId="1" applyFont="1" applyFill="1" applyBorder="1"/>
    <xf numFmtId="0" fontId="18" fillId="4" borderId="1" xfId="0" applyFont="1" applyFill="1" applyBorder="1" applyProtection="1">
      <protection hidden="1"/>
    </xf>
    <xf numFmtId="1" fontId="0" fillId="4" borderId="1" xfId="0" applyNumberFormat="1" applyFill="1" applyBorder="1"/>
    <xf numFmtId="1" fontId="0" fillId="4" borderId="1" xfId="0" applyNumberFormat="1" applyFill="1" applyBorder="1" applyAlignment="1">
      <alignment horizontal="right"/>
    </xf>
    <xf numFmtId="0" fontId="25" fillId="4" borderId="1" xfId="0" applyFont="1" applyFill="1" applyBorder="1"/>
    <xf numFmtId="0" fontId="0" fillId="4" borderId="0" xfId="0" applyFill="1"/>
    <xf numFmtId="0" fontId="12" fillId="3" borderId="0" xfId="1" applyFont="1" applyFill="1"/>
    <xf numFmtId="0" fontId="13" fillId="0" borderId="1" xfId="1" applyFont="1" applyBorder="1" applyAlignment="1" applyProtection="1">
      <alignment horizontal="center" vertical="top"/>
      <protection locked="0"/>
    </xf>
    <xf numFmtId="0" fontId="16" fillId="4" borderId="1" xfId="0" applyFont="1" applyFill="1" applyBorder="1" applyAlignment="1">
      <alignment horizontal="center" vertical="top" wrapText="1"/>
    </xf>
    <xf numFmtId="0" fontId="8" fillId="0" borderId="1" xfId="1" applyFont="1" applyBorder="1" applyAlignment="1" applyProtection="1">
      <alignment vertical="top" wrapText="1"/>
      <protection locked="0"/>
    </xf>
    <xf numFmtId="0" fontId="8" fillId="4" borderId="1" xfId="1" applyFont="1" applyFill="1" applyBorder="1" applyAlignment="1" applyProtection="1">
      <alignment vertical="top" wrapText="1"/>
      <protection locked="0"/>
    </xf>
    <xf numFmtId="0" fontId="13" fillId="4" borderId="1" xfId="1" applyFont="1" applyFill="1" applyBorder="1" applyAlignment="1" applyProtection="1">
      <alignment horizontal="center" vertical="top"/>
      <protection locked="0"/>
    </xf>
    <xf numFmtId="0" fontId="30" fillId="0" borderId="0" xfId="0" applyFont="1"/>
    <xf numFmtId="0" fontId="17" fillId="0" borderId="1" xfId="1" applyFont="1" applyBorder="1" applyAlignment="1" applyProtection="1">
      <alignment horizontal="center" vertical="top"/>
      <protection locked="0"/>
    </xf>
    <xf numFmtId="0" fontId="10" fillId="0" borderId="1" xfId="1" applyFont="1" applyBorder="1" applyAlignment="1" applyProtection="1">
      <alignment horizontal="center" vertical="top" wrapText="1"/>
      <protection locked="0"/>
    </xf>
    <xf numFmtId="0" fontId="10" fillId="0" borderId="7" xfId="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6" fillId="0" borderId="36" xfId="1" applyFont="1" applyBorder="1" applyAlignment="1" applyProtection="1">
      <alignment horizontal="center" vertical="top" wrapText="1"/>
      <protection locked="0"/>
    </xf>
    <xf numFmtId="9" fontId="12" fillId="0" borderId="36" xfId="1" applyNumberFormat="1" applyFont="1" applyBorder="1" applyAlignment="1" applyProtection="1">
      <alignment horizontal="center" vertical="top" wrapText="1"/>
      <protection locked="0"/>
    </xf>
    <xf numFmtId="0" fontId="12" fillId="0" borderId="1" xfId="1" applyFont="1" applyBorder="1" applyAlignment="1" applyProtection="1">
      <alignment vertical="top" wrapText="1"/>
      <protection locked="0"/>
    </xf>
    <xf numFmtId="0" fontId="6" fillId="6" borderId="1" xfId="1" applyFont="1" applyFill="1" applyBorder="1" applyAlignment="1" applyProtection="1">
      <alignment vertical="top" wrapText="1"/>
      <protection locked="0"/>
    </xf>
    <xf numFmtId="1" fontId="17" fillId="0" borderId="1" xfId="1" applyNumberFormat="1" applyFont="1" applyBorder="1" applyAlignment="1" applyProtection="1">
      <alignment horizontal="center" vertical="top" wrapText="1"/>
      <protection locked="0"/>
    </xf>
    <xf numFmtId="9" fontId="17" fillId="0" borderId="1" xfId="8" applyFont="1" applyFill="1" applyBorder="1" applyAlignment="1" applyProtection="1">
      <alignment horizontal="center" vertical="top" wrapText="1"/>
      <protection locked="0"/>
    </xf>
    <xf numFmtId="1" fontId="8" fillId="0" borderId="1" xfId="1" applyNumberFormat="1" applyFont="1" applyBorder="1" applyAlignment="1" applyProtection="1">
      <alignment horizontal="center" vertical="top" wrapText="1"/>
      <protection locked="0"/>
    </xf>
    <xf numFmtId="1" fontId="13" fillId="0" borderId="1" xfId="1" applyNumberFormat="1" applyFont="1" applyBorder="1" applyAlignment="1" applyProtection="1">
      <alignment horizontal="center" vertical="top" wrapText="1"/>
      <protection locked="0"/>
    </xf>
    <xf numFmtId="1" fontId="4" fillId="0" borderId="1" xfId="1" applyNumberFormat="1" applyFont="1" applyBorder="1" applyAlignment="1" applyProtection="1">
      <alignment horizontal="center" vertical="top" wrapText="1"/>
      <protection locked="0"/>
    </xf>
    <xf numFmtId="1" fontId="8" fillId="0" borderId="1" xfId="1" applyNumberFormat="1" applyFont="1" applyBorder="1" applyAlignment="1" applyProtection="1">
      <alignment horizontal="center" vertical="center" wrapText="1"/>
      <protection locked="0"/>
    </xf>
    <xf numFmtId="1" fontId="4" fillId="0" borderId="1" xfId="1" applyNumberFormat="1" applyFont="1" applyBorder="1" applyAlignment="1" applyProtection="1">
      <alignment horizontal="center" vertical="center" wrapText="1"/>
      <protection locked="0"/>
    </xf>
    <xf numFmtId="1" fontId="10" fillId="0" borderId="1" xfId="1" applyNumberFormat="1" applyFont="1" applyBorder="1" applyAlignment="1" applyProtection="1">
      <alignment horizontal="center" vertical="center" wrapText="1"/>
      <protection locked="0"/>
    </xf>
    <xf numFmtId="0" fontId="16" fillId="12" borderId="1" xfId="0" applyFont="1" applyFill="1" applyBorder="1" applyAlignment="1">
      <alignment horizontal="center" vertical="top" wrapText="1"/>
    </xf>
    <xf numFmtId="0" fontId="8" fillId="12" borderId="1" xfId="1" applyFont="1" applyFill="1" applyBorder="1" applyAlignment="1" applyProtection="1">
      <alignment vertical="top" wrapText="1"/>
      <protection locked="0"/>
    </xf>
    <xf numFmtId="0" fontId="13" fillId="12" borderId="1" xfId="1" applyFont="1" applyFill="1" applyBorder="1" applyAlignment="1" applyProtection="1">
      <alignment horizontal="center" vertical="top"/>
      <protection locked="0"/>
    </xf>
    <xf numFmtId="0" fontId="7" fillId="12" borderId="1" xfId="1" applyFont="1" applyFill="1" applyBorder="1" applyAlignment="1" applyProtection="1">
      <alignment horizontal="center" vertical="top" wrapText="1"/>
      <protection locked="0"/>
    </xf>
    <xf numFmtId="9" fontId="7" fillId="12" borderId="1" xfId="8" applyFont="1" applyFill="1" applyBorder="1" applyAlignment="1" applyProtection="1">
      <alignment horizontal="center" vertical="center" wrapText="1"/>
      <protection locked="0"/>
    </xf>
    <xf numFmtId="0" fontId="25" fillId="12" borderId="1" xfId="0" applyFont="1" applyFill="1" applyBorder="1"/>
    <xf numFmtId="9" fontId="7" fillId="12" borderId="1" xfId="8" applyFont="1" applyFill="1" applyBorder="1" applyAlignment="1" applyProtection="1">
      <alignment horizontal="center" vertical="top" wrapText="1"/>
      <protection locked="0"/>
    </xf>
    <xf numFmtId="0" fontId="7" fillId="12" borderId="1" xfId="1" applyFont="1" applyFill="1" applyBorder="1"/>
    <xf numFmtId="0" fontId="18" fillId="12" borderId="1" xfId="0" applyFont="1" applyFill="1" applyBorder="1" applyProtection="1">
      <protection hidden="1"/>
    </xf>
    <xf numFmtId="1" fontId="0" fillId="12" borderId="1" xfId="0" applyNumberFormat="1" applyFill="1" applyBorder="1"/>
    <xf numFmtId="1" fontId="0" fillId="12" borderId="1" xfId="0" applyNumberFormat="1" applyFill="1" applyBorder="1" applyAlignment="1">
      <alignment horizontal="right"/>
    </xf>
    <xf numFmtId="0" fontId="0" fillId="12" borderId="0" xfId="0" applyFill="1"/>
    <xf numFmtId="0" fontId="7" fillId="2" borderId="1" xfId="1" applyFont="1" applyFill="1" applyBorder="1" applyAlignment="1" applyProtection="1">
      <alignment horizontal="center" vertical="top" wrapText="1"/>
      <protection locked="0"/>
    </xf>
    <xf numFmtId="0" fontId="25" fillId="7" borderId="1" xfId="0" applyFont="1" applyFill="1" applyBorder="1"/>
    <xf numFmtId="0" fontId="20" fillId="7" borderId="1" xfId="0" applyFont="1" applyFill="1" applyBorder="1"/>
    <xf numFmtId="0" fontId="34" fillId="12" borderId="1" xfId="0" applyFont="1" applyFill="1" applyBorder="1"/>
    <xf numFmtId="0" fontId="7" fillId="13" borderId="1" xfId="1" applyFont="1" applyFill="1" applyBorder="1" applyAlignment="1" applyProtection="1">
      <alignment horizontal="center" vertical="top" wrapText="1"/>
      <protection locked="0"/>
    </xf>
    <xf numFmtId="0" fontId="12" fillId="0" borderId="1" xfId="1" applyFont="1" applyBorder="1" applyAlignment="1" applyProtection="1">
      <alignment horizontal="left" vertical="top"/>
      <protection locked="0"/>
    </xf>
    <xf numFmtId="0" fontId="7" fillId="0" borderId="0" xfId="1" applyFont="1" applyAlignment="1">
      <alignment horizontal="center" vertical="center"/>
    </xf>
    <xf numFmtId="1" fontId="4" fillId="0" borderId="1" xfId="1"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vertical="top" wrapText="1"/>
      <protection locked="0"/>
    </xf>
    <xf numFmtId="1" fontId="13" fillId="0" borderId="1" xfId="0" applyNumberFormat="1" applyFont="1" applyBorder="1" applyAlignment="1" applyProtection="1">
      <alignment vertical="top" wrapText="1"/>
      <protection locked="0"/>
    </xf>
    <xf numFmtId="1" fontId="8" fillId="0" borderId="1"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0" fontId="7" fillId="0" borderId="25" xfId="1" applyFont="1" applyBorder="1" applyAlignment="1">
      <alignment horizontal="center"/>
    </xf>
    <xf numFmtId="0" fontId="7" fillId="0" borderId="0" xfId="1" applyFont="1" applyAlignment="1">
      <alignment horizontal="center"/>
    </xf>
    <xf numFmtId="167" fontId="12" fillId="5" borderId="1" xfId="9" applyNumberFormat="1" applyFont="1" applyFill="1" applyBorder="1" applyAlignment="1" applyProtection="1">
      <alignment horizontal="left" vertical="top"/>
      <protection locked="0"/>
    </xf>
    <xf numFmtId="167" fontId="12" fillId="5" borderId="5" xfId="9" applyNumberFormat="1" applyFont="1" applyFill="1" applyBorder="1" applyAlignment="1" applyProtection="1">
      <alignment horizontal="left" vertical="top"/>
      <protection locked="0"/>
    </xf>
    <xf numFmtId="0" fontId="13" fillId="0" borderId="1" xfId="1" applyFont="1" applyBorder="1" applyAlignment="1" applyProtection="1">
      <alignment horizontal="center" vertical="top"/>
      <protection locked="0"/>
    </xf>
    <xf numFmtId="0" fontId="6" fillId="5" borderId="4" xfId="1" applyFont="1" applyFill="1" applyBorder="1" applyAlignment="1" applyProtection="1">
      <alignment horizontal="left" vertical="top"/>
      <protection locked="0"/>
    </xf>
    <xf numFmtId="0" fontId="6" fillId="5" borderId="1" xfId="1" applyFont="1" applyFill="1" applyBorder="1" applyAlignment="1" applyProtection="1">
      <alignment horizontal="left" vertical="top"/>
      <protection locked="0"/>
    </xf>
    <xf numFmtId="1" fontId="6" fillId="0" borderId="1" xfId="1" applyNumberFormat="1" applyFont="1" applyBorder="1" applyAlignment="1" applyProtection="1">
      <alignment horizontal="center" vertical="center" wrapText="1"/>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6" fillId="0" borderId="1" xfId="1" applyFont="1" applyBorder="1" applyAlignment="1" applyProtection="1">
      <alignment horizontal="left" vertical="top"/>
      <protection locked="0"/>
    </xf>
    <xf numFmtId="0" fontId="10" fillId="0" borderId="1" xfId="0" applyFont="1" applyBorder="1" applyAlignment="1" applyProtection="1">
      <alignment horizontal="center" vertical="center"/>
      <protection locked="0"/>
    </xf>
    <xf numFmtId="0" fontId="6" fillId="0" borderId="1" xfId="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6" fillId="6" borderId="8" xfId="1" applyFont="1" applyFill="1" applyBorder="1" applyAlignment="1" applyProtection="1">
      <alignment horizontal="left" vertical="top" wrapText="1"/>
      <protection locked="0"/>
    </xf>
    <xf numFmtId="0" fontId="6" fillId="6" borderId="9" xfId="1" applyFont="1" applyFill="1" applyBorder="1" applyAlignment="1" applyProtection="1">
      <alignment horizontal="left" vertical="top" wrapText="1"/>
      <protection locked="0"/>
    </xf>
    <xf numFmtId="0" fontId="6" fillId="6" borderId="21" xfId="1" applyFont="1" applyFill="1" applyBorder="1" applyAlignment="1" applyProtection="1">
      <alignment horizontal="left" vertical="top" wrapText="1"/>
      <protection locked="0"/>
    </xf>
    <xf numFmtId="14" fontId="6" fillId="6" borderId="8" xfId="1" applyNumberFormat="1" applyFont="1" applyFill="1" applyBorder="1" applyAlignment="1" applyProtection="1">
      <alignment horizontal="left" vertical="top" wrapText="1"/>
      <protection locked="0"/>
    </xf>
    <xf numFmtId="0" fontId="6" fillId="5" borderId="8" xfId="1" applyFont="1" applyFill="1" applyBorder="1" applyAlignment="1" applyProtection="1">
      <alignment horizontal="left" vertical="top" wrapText="1"/>
      <protection locked="0"/>
    </xf>
    <xf numFmtId="0" fontId="6" fillId="5" borderId="9" xfId="1" applyFont="1" applyFill="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12" fillId="0" borderId="1" xfId="1" applyFont="1" applyBorder="1" applyAlignment="1" applyProtection="1">
      <alignment horizontal="left" vertical="top" wrapText="1"/>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12" fillId="0" borderId="8" xfId="1" applyFont="1" applyBorder="1" applyAlignment="1" applyProtection="1">
      <alignment horizontal="left" vertical="top" wrapText="1"/>
      <protection locked="0"/>
    </xf>
    <xf numFmtId="0" fontId="12" fillId="0" borderId="21" xfId="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14" fontId="12" fillId="0" borderId="8" xfId="1" applyNumberFormat="1" applyFont="1" applyBorder="1" applyAlignment="1" applyProtection="1">
      <alignment horizontal="left" vertical="top" wrapText="1"/>
      <protection locked="0"/>
    </xf>
    <xf numFmtId="14" fontId="12" fillId="0" borderId="9" xfId="1" applyNumberFormat="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12" fillId="9" borderId="8" xfId="1" applyFont="1" applyFill="1" applyBorder="1" applyAlignment="1" applyProtection="1">
      <alignment horizontal="left" vertical="top" wrapText="1"/>
      <protection locked="0"/>
    </xf>
    <xf numFmtId="0" fontId="12" fillId="9" borderId="9" xfId="1" applyFont="1" applyFill="1" applyBorder="1" applyAlignment="1" applyProtection="1">
      <alignment horizontal="left" vertical="top" wrapText="1"/>
      <protection locked="0"/>
    </xf>
    <xf numFmtId="0" fontId="6" fillId="7" borderId="8" xfId="1" applyFont="1" applyFill="1" applyBorder="1" applyAlignment="1" applyProtection="1">
      <alignment horizontal="left" vertical="top" wrapText="1"/>
      <protection locked="0"/>
    </xf>
    <xf numFmtId="0" fontId="6" fillId="7" borderId="9" xfId="1" applyFont="1" applyFill="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5" fillId="0" borderId="25" xfId="1" applyFont="1" applyBorder="1" applyAlignment="1" applyProtection="1">
      <alignment horizontal="left" vertical="top"/>
      <protection locked="0"/>
    </xf>
    <xf numFmtId="0" fontId="15" fillId="0" borderId="0" xfId="1" applyFont="1" applyAlignment="1" applyProtection="1">
      <alignment horizontal="left" vertical="top"/>
      <protection locked="0"/>
    </xf>
    <xf numFmtId="0" fontId="15" fillId="0" borderId="26" xfId="1" applyFont="1" applyBorder="1" applyAlignment="1" applyProtection="1">
      <alignment horizontal="left" vertical="top"/>
      <protection locked="0"/>
    </xf>
    <xf numFmtId="0" fontId="6" fillId="0" borderId="1" xfId="1" applyFont="1" applyBorder="1" applyAlignment="1" applyProtection="1">
      <alignment vertical="top"/>
      <protection locked="0"/>
    </xf>
    <xf numFmtId="1" fontId="8" fillId="0" borderId="1" xfId="0" applyNumberFormat="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1" fontId="10" fillId="0" borderId="3" xfId="0" applyNumberFormat="1"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1" fontId="8" fillId="0" borderId="1" xfId="1" applyNumberFormat="1" applyFont="1" applyBorder="1" applyAlignment="1" applyProtection="1">
      <alignment horizontal="center" vertical="center" wrapText="1"/>
      <protection locked="0"/>
    </xf>
    <xf numFmtId="1" fontId="8" fillId="0" borderId="39" xfId="0" applyNumberFormat="1" applyFont="1" applyBorder="1" applyAlignment="1" applyProtection="1">
      <alignment horizontal="center" vertical="center" wrapText="1"/>
      <protection locked="0"/>
    </xf>
    <xf numFmtId="1" fontId="8" fillId="0" borderId="40" xfId="0" applyNumberFormat="1" applyFont="1" applyBorder="1" applyAlignment="1" applyProtection="1">
      <alignment horizontal="center" vertical="center" wrapText="1"/>
      <protection locked="0"/>
    </xf>
    <xf numFmtId="1" fontId="10" fillId="0" borderId="40" xfId="0" applyNumberFormat="1" applyFont="1" applyBorder="1" applyAlignment="1" applyProtection="1">
      <alignment horizontal="center" vertical="center"/>
      <protection locked="0"/>
    </xf>
    <xf numFmtId="0" fontId="10" fillId="0" borderId="40" xfId="0" applyFont="1" applyBorder="1" applyAlignment="1" applyProtection="1">
      <alignment horizontal="center" vertical="center"/>
      <protection locked="0"/>
    </xf>
    <xf numFmtId="1" fontId="10" fillId="0" borderId="40" xfId="0" applyNumberFormat="1" applyFont="1" applyBorder="1" applyAlignment="1" applyProtection="1">
      <alignment horizontal="center" vertical="top" wrapText="1"/>
      <protection locked="0"/>
    </xf>
    <xf numFmtId="0" fontId="10" fillId="0" borderId="40" xfId="0" applyFont="1" applyBorder="1" applyAlignment="1" applyProtection="1">
      <alignment horizontal="center" vertical="top" wrapText="1"/>
      <protection locked="0"/>
    </xf>
    <xf numFmtId="14" fontId="6" fillId="6" borderId="9" xfId="1" applyNumberFormat="1" applyFont="1" applyFill="1" applyBorder="1" applyAlignment="1" applyProtection="1">
      <alignment horizontal="left" vertical="top" wrapText="1"/>
      <protection locked="0"/>
    </xf>
    <xf numFmtId="0" fontId="10" fillId="0" borderId="8" xfId="0" applyFont="1" applyBorder="1" applyAlignment="1" applyProtection="1">
      <alignment horizontal="center" vertical="top" wrapText="1"/>
      <protection locked="0"/>
    </xf>
    <xf numFmtId="0" fontId="10" fillId="0" borderId="9" xfId="0"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5" fillId="0" borderId="19" xfId="1" applyFont="1" applyBorder="1" applyAlignment="1" applyProtection="1">
      <alignment horizontal="left" vertical="top"/>
      <protection locked="0"/>
    </xf>
    <xf numFmtId="0" fontId="15" fillId="0" borderId="2" xfId="1" applyFont="1" applyBorder="1" applyAlignment="1" applyProtection="1">
      <alignment horizontal="left" vertical="top"/>
      <protection locked="0"/>
    </xf>
    <xf numFmtId="0" fontId="15" fillId="0" borderId="20" xfId="1" applyFont="1" applyBorder="1" applyAlignment="1" applyProtection="1">
      <alignment horizontal="left" vertical="top"/>
      <protection locked="0"/>
    </xf>
    <xf numFmtId="0" fontId="7" fillId="0" borderId="5" xfId="1" applyFont="1" applyBorder="1" applyAlignment="1" applyProtection="1">
      <alignment horizontal="center" vertical="top" wrapText="1"/>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0" fontId="8" fillId="5" borderId="37" xfId="1" applyFont="1" applyFill="1" applyBorder="1" applyAlignment="1" applyProtection="1">
      <alignment horizontal="left" vertical="top"/>
      <protection locked="0"/>
    </xf>
    <xf numFmtId="0" fontId="8" fillId="5" borderId="30" xfId="1" applyFont="1" applyFill="1" applyBorder="1" applyAlignment="1" applyProtection="1">
      <alignment horizontal="left" vertical="top"/>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16" fillId="0" borderId="1" xfId="1" applyFont="1" applyBorder="1" applyAlignment="1" applyProtection="1">
      <alignment horizontal="center" vertical="top" wrapText="1"/>
      <protection locked="0"/>
    </xf>
    <xf numFmtId="167" fontId="15" fillId="5" borderId="1" xfId="9" applyNumberFormat="1" applyFont="1" applyFill="1" applyBorder="1" applyAlignment="1" applyProtection="1">
      <alignment horizontal="left" vertical="top"/>
      <protection locked="0"/>
    </xf>
    <xf numFmtId="167" fontId="15" fillId="5" borderId="5" xfId="9" applyNumberFormat="1" applyFont="1" applyFill="1" applyBorder="1" applyAlignment="1" applyProtection="1">
      <alignment horizontal="left" vertical="top"/>
      <protection locked="0"/>
    </xf>
    <xf numFmtId="0" fontId="8" fillId="5" borderId="6" xfId="1" applyFont="1" applyFill="1" applyBorder="1" applyAlignment="1" applyProtection="1">
      <alignment horizontal="left" vertical="top"/>
      <protection locked="0"/>
    </xf>
    <xf numFmtId="0" fontId="8" fillId="5" borderId="7" xfId="1" applyFont="1" applyFill="1" applyBorder="1" applyAlignment="1" applyProtection="1">
      <alignment horizontal="left" vertical="top"/>
      <protection locked="0"/>
    </xf>
    <xf numFmtId="167" fontId="12" fillId="5" borderId="7" xfId="9" applyNumberFormat="1" applyFont="1" applyFill="1" applyBorder="1" applyAlignment="1" applyProtection="1">
      <alignment horizontal="left" vertical="top"/>
      <protection locked="0"/>
    </xf>
    <xf numFmtId="167" fontId="12" fillId="5" borderId="38" xfId="9" applyNumberFormat="1" applyFont="1" applyFill="1" applyBorder="1" applyAlignment="1" applyProtection="1">
      <alignment horizontal="left" vertical="top"/>
      <protection locked="0"/>
    </xf>
    <xf numFmtId="1" fontId="6" fillId="0" borderId="1" xfId="0" applyNumberFormat="1" applyFont="1" applyBorder="1" applyAlignment="1" applyProtection="1">
      <alignment horizontal="center" vertical="center" wrapText="1"/>
      <protection locked="0"/>
    </xf>
    <xf numFmtId="1" fontId="8" fillId="0" borderId="16" xfId="0"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top" wrapText="1"/>
      <protection locked="0"/>
    </xf>
    <xf numFmtId="1" fontId="4" fillId="0" borderId="1" xfId="1" applyNumberFormat="1" applyFont="1" applyBorder="1" applyAlignment="1" applyProtection="1">
      <alignment horizontal="center" vertical="top" wrapText="1"/>
      <protection locked="0"/>
    </xf>
    <xf numFmtId="1" fontId="17" fillId="0" borderId="1" xfId="0" applyNumberFormat="1" applyFont="1" applyBorder="1" applyAlignment="1" applyProtection="1">
      <alignment vertical="top" wrapText="1"/>
      <protection locked="0"/>
    </xf>
    <xf numFmtId="0" fontId="8" fillId="0" borderId="42" xfId="1" applyFont="1" applyBorder="1" applyAlignment="1" applyProtection="1">
      <alignment horizontal="left" vertical="top" wrapText="1"/>
      <protection locked="0"/>
    </xf>
    <xf numFmtId="0" fontId="8" fillId="0" borderId="20" xfId="1" applyFont="1" applyBorder="1" applyAlignment="1" applyProtection="1">
      <alignment horizontal="left" vertical="top" wrapText="1"/>
      <protection locked="0"/>
    </xf>
    <xf numFmtId="0" fontId="8" fillId="0" borderId="19" xfId="1" applyFont="1" applyBorder="1" applyAlignment="1" applyProtection="1">
      <alignment horizontal="left" vertical="top" wrapText="1"/>
      <protection locked="0"/>
    </xf>
    <xf numFmtId="0" fontId="8" fillId="0" borderId="2" xfId="1" applyFont="1" applyBorder="1" applyAlignment="1" applyProtection="1">
      <alignment horizontal="left" vertical="top" wrapText="1"/>
      <protection locked="0"/>
    </xf>
    <xf numFmtId="0" fontId="8" fillId="0" borderId="43" xfId="1" applyFont="1" applyBorder="1" applyAlignment="1" applyProtection="1">
      <alignment horizontal="left" vertical="top" wrapText="1"/>
      <protection locked="0"/>
    </xf>
    <xf numFmtId="1"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1" fontId="7" fillId="0" borderId="1"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0" fontId="8" fillId="5" borderId="1" xfId="1" applyFont="1" applyFill="1" applyBorder="1" applyAlignment="1" applyProtection="1">
      <alignment horizontal="center" vertical="center" wrapText="1"/>
      <protection locked="0"/>
    </xf>
    <xf numFmtId="0" fontId="10" fillId="0" borderId="1" xfId="1" applyFont="1" applyBorder="1" applyAlignment="1">
      <alignment horizontal="left" vertical="top"/>
    </xf>
    <xf numFmtId="0" fontId="14" fillId="0" borderId="8" xfId="1" applyFont="1" applyBorder="1" applyAlignment="1" applyProtection="1">
      <alignment horizontal="left" vertical="top" wrapText="1"/>
      <protection locked="0"/>
    </xf>
    <xf numFmtId="0" fontId="14" fillId="0" borderId="21" xfId="1" applyFont="1" applyBorder="1" applyAlignment="1" applyProtection="1">
      <alignment horizontal="left" vertical="top" wrapText="1"/>
      <protection locked="0"/>
    </xf>
    <xf numFmtId="0" fontId="14" fillId="0" borderId="9"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7" fillId="0" borderId="1" xfId="1" applyFont="1" applyBorder="1" applyAlignment="1" applyProtection="1">
      <alignment horizontal="left" vertical="top" wrapText="1"/>
      <protection locked="0"/>
    </xf>
    <xf numFmtId="0" fontId="11" fillId="0" borderId="1" xfId="1" applyFont="1" applyBorder="1" applyAlignment="1" applyProtection="1">
      <alignment horizontal="center" vertical="top" wrapText="1"/>
      <protection locked="0"/>
    </xf>
    <xf numFmtId="14"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vertical="top"/>
      <protection locked="0"/>
    </xf>
    <xf numFmtId="0" fontId="7"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3" fillId="0" borderId="1" xfId="1" applyFont="1" applyBorder="1" applyAlignment="1" applyProtection="1">
      <alignment horizontal="center"/>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2" fontId="6" fillId="0" borderId="1" xfId="1" applyNumberFormat="1" applyFont="1" applyBorder="1" applyAlignment="1" applyProtection="1">
      <alignment horizontal="left" vertical="top" wrapText="1"/>
      <protection locked="0"/>
    </xf>
    <xf numFmtId="0" fontId="13" fillId="6" borderId="1" xfId="1" applyFont="1" applyFill="1" applyBorder="1" applyAlignment="1" applyProtection="1">
      <alignment horizontal="left" vertical="top"/>
      <protection locked="0"/>
    </xf>
    <xf numFmtId="1"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8" fillId="0" borderId="1" xfId="1" applyFont="1" applyBorder="1" applyAlignment="1" applyProtection="1">
      <alignment horizontal="left" vertical="top"/>
      <protection locked="0"/>
    </xf>
    <xf numFmtId="0" fontId="27" fillId="0" borderId="1" xfId="10" applyFill="1" applyBorder="1" applyAlignment="1" applyProtection="1">
      <alignment horizontal="left" vertical="top" wrapText="1"/>
      <protection locked="0"/>
    </xf>
    <xf numFmtId="1" fontId="8" fillId="0" borderId="40" xfId="0" applyNumberFormat="1" applyFont="1" applyBorder="1" applyAlignment="1" applyProtection="1">
      <alignment horizontal="center" vertical="top" wrapText="1"/>
      <protection locked="0"/>
    </xf>
    <xf numFmtId="1" fontId="8" fillId="0" borderId="41" xfId="0" applyNumberFormat="1" applyFont="1" applyBorder="1" applyAlignment="1" applyProtection="1">
      <alignment horizontal="center" vertical="top" wrapText="1"/>
      <protection locked="0"/>
    </xf>
    <xf numFmtId="0" fontId="10" fillId="0" borderId="8" xfId="1" applyFont="1" applyBorder="1" applyAlignment="1" applyProtection="1">
      <alignment horizontal="left" vertical="top"/>
      <protection locked="0"/>
    </xf>
    <xf numFmtId="0" fontId="10" fillId="0" borderId="21" xfId="1" applyFont="1" applyBorder="1" applyAlignment="1" applyProtection="1">
      <alignment horizontal="left" vertical="top"/>
      <protection locked="0"/>
    </xf>
    <xf numFmtId="0" fontId="10" fillId="0" borderId="9" xfId="1" applyFont="1" applyBorder="1" applyAlignment="1" applyProtection="1">
      <alignment horizontal="left" vertical="top"/>
      <protection locked="0"/>
    </xf>
    <xf numFmtId="1" fontId="17" fillId="0" borderId="1" xfId="1" applyNumberFormat="1" applyFont="1" applyBorder="1" applyAlignment="1" applyProtection="1">
      <alignment horizontal="center" vertical="top" wrapText="1"/>
      <protection locked="0"/>
    </xf>
    <xf numFmtId="0" fontId="8" fillId="5" borderId="30" xfId="1" applyFont="1" applyFill="1" applyBorder="1" applyAlignment="1" applyProtection="1">
      <alignment horizontal="center" vertical="top"/>
      <protection locked="0"/>
    </xf>
    <xf numFmtId="0" fontId="8" fillId="5" borderId="31" xfId="1" applyFont="1" applyFill="1" applyBorder="1" applyAlignment="1" applyProtection="1">
      <alignment horizontal="center" vertical="top"/>
      <protection locked="0"/>
    </xf>
    <xf numFmtId="0" fontId="14" fillId="0" borderId="17" xfId="1" applyFont="1" applyBorder="1" applyAlignment="1" applyProtection="1">
      <alignment horizontal="left" vertical="top" wrapText="1"/>
      <protection locked="0"/>
    </xf>
    <xf numFmtId="0" fontId="14" fillId="0" borderId="24"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2" fillId="5" borderId="8" xfId="1" applyFont="1" applyFill="1" applyBorder="1" applyAlignment="1" applyProtection="1">
      <alignment horizontal="left" vertical="top" wrapText="1"/>
      <protection locked="0"/>
    </xf>
    <xf numFmtId="0" fontId="12" fillId="5" borderId="9" xfId="1" applyFont="1" applyFill="1" applyBorder="1" applyAlignment="1" applyProtection="1">
      <alignment horizontal="left" vertical="top" wrapText="1"/>
      <protection locked="0"/>
    </xf>
    <xf numFmtId="0" fontId="12" fillId="10" borderId="8" xfId="1" applyFont="1" applyFill="1" applyBorder="1" applyAlignment="1" applyProtection="1">
      <alignment horizontal="left" vertical="top" wrapText="1"/>
      <protection locked="0"/>
    </xf>
    <xf numFmtId="0" fontId="12" fillId="10" borderId="9" xfId="1" applyFont="1" applyFill="1" applyBorder="1" applyAlignment="1" applyProtection="1">
      <alignment horizontal="left" vertical="top" wrapText="1"/>
      <protection locked="0"/>
    </xf>
    <xf numFmtId="0" fontId="6" fillId="9" borderId="8" xfId="1" applyFont="1" applyFill="1" applyBorder="1" applyAlignment="1" applyProtection="1">
      <alignment horizontal="left" vertical="top" wrapText="1"/>
      <protection locked="0"/>
    </xf>
    <xf numFmtId="0" fontId="6" fillId="9" borderId="9" xfId="1" applyFont="1" applyFill="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12" fillId="0" borderId="8" xfId="1" applyFont="1" applyBorder="1" applyAlignment="1" applyProtection="1">
      <alignment horizontal="center" vertical="top" wrapText="1"/>
      <protection locked="0"/>
    </xf>
    <xf numFmtId="0" fontId="12" fillId="0" borderId="21" xfId="1" applyFont="1" applyBorder="1" applyAlignment="1" applyProtection="1">
      <alignment horizontal="center" vertical="top" wrapText="1"/>
      <protection locked="0"/>
    </xf>
    <xf numFmtId="0" fontId="12" fillId="0" borderId="9" xfId="1" applyFont="1" applyBorder="1" applyAlignment="1" applyProtection="1">
      <alignment horizontal="center" vertical="top" wrapText="1"/>
      <protection locked="0"/>
    </xf>
    <xf numFmtId="0" fontId="6" fillId="8" borderId="8" xfId="1" applyFont="1" applyFill="1" applyBorder="1" applyAlignment="1" applyProtection="1">
      <alignment horizontal="left" vertical="top" wrapText="1"/>
      <protection locked="0"/>
    </xf>
    <xf numFmtId="0" fontId="6" fillId="8" borderId="9" xfId="1" applyFont="1" applyFill="1" applyBorder="1" applyAlignment="1" applyProtection="1">
      <alignment horizontal="left" vertical="top" wrapText="1"/>
      <protection locked="0"/>
    </xf>
    <xf numFmtId="0" fontId="6" fillId="6" borderId="17" xfId="1" applyFont="1" applyFill="1" applyBorder="1" applyAlignment="1" applyProtection="1">
      <alignment horizontal="left" vertical="top" wrapText="1"/>
      <protection locked="0"/>
    </xf>
    <xf numFmtId="0" fontId="6" fillId="6" borderId="18" xfId="1" applyFont="1" applyFill="1" applyBorder="1" applyAlignment="1" applyProtection="1">
      <alignment horizontal="left" vertical="top" wrapText="1"/>
      <protection locked="0"/>
    </xf>
    <xf numFmtId="0" fontId="6" fillId="6" borderId="19" xfId="1" applyFont="1" applyFill="1" applyBorder="1" applyAlignment="1" applyProtection="1">
      <alignment horizontal="left" vertical="top" wrapText="1"/>
      <protection locked="0"/>
    </xf>
    <xf numFmtId="0" fontId="6" fillId="6" borderId="20" xfId="1" applyFont="1" applyFill="1" applyBorder="1" applyAlignment="1" applyProtection="1">
      <alignment horizontal="left" vertical="top" wrapText="1"/>
      <protection locked="0"/>
    </xf>
    <xf numFmtId="0" fontId="12" fillId="7" borderId="8" xfId="1" applyFont="1" applyFill="1" applyBorder="1" applyAlignment="1" applyProtection="1">
      <alignment horizontal="left" vertical="top" wrapText="1"/>
      <protection locked="0"/>
    </xf>
    <xf numFmtId="0" fontId="12" fillId="7" borderId="9" xfId="1" applyFont="1" applyFill="1" applyBorder="1" applyAlignment="1" applyProtection="1">
      <alignment horizontal="left" vertical="top" wrapText="1"/>
      <protection locked="0"/>
    </xf>
    <xf numFmtId="0" fontId="12" fillId="11" borderId="8" xfId="1" applyFont="1" applyFill="1" applyBorder="1" applyAlignment="1" applyProtection="1">
      <alignment horizontal="left" vertical="top" wrapText="1"/>
      <protection locked="0"/>
    </xf>
    <xf numFmtId="0" fontId="12" fillId="11" borderId="9" xfId="1" applyFont="1" applyFill="1" applyBorder="1" applyAlignment="1" applyProtection="1">
      <alignment horizontal="left" vertical="top" wrapText="1"/>
      <protection locked="0"/>
    </xf>
    <xf numFmtId="0" fontId="7" fillId="0" borderId="0" xfId="0" applyFont="1" applyAlignment="1">
      <alignment horizontal="center" vertical="center" wrapText="1"/>
    </xf>
    <xf numFmtId="1" fontId="8" fillId="0" borderId="3" xfId="0" applyNumberFormat="1" applyFont="1" applyBorder="1" applyAlignment="1" applyProtection="1">
      <alignment horizontal="center" vertical="center" wrapText="1"/>
      <protection locked="0"/>
    </xf>
    <xf numFmtId="1" fontId="10" fillId="0" borderId="3" xfId="0" applyNumberFormat="1" applyFont="1" applyBorder="1" applyAlignment="1" applyProtection="1">
      <alignment horizontal="center" vertical="top" wrapText="1"/>
      <protection locked="0"/>
    </xf>
    <xf numFmtId="0" fontId="10" fillId="0" borderId="3" xfId="0"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1" fontId="8" fillId="0" borderId="35" xfId="0" applyNumberFormat="1" applyFont="1" applyBorder="1" applyAlignment="1" applyProtection="1">
      <alignment horizontal="center" vertical="top" wrapText="1"/>
      <protection locked="0"/>
    </xf>
    <xf numFmtId="0" fontId="33" fillId="0" borderId="17" xfId="0" applyFont="1" applyBorder="1" applyAlignment="1">
      <alignment horizontal="center" vertical="top" wrapText="1"/>
    </xf>
    <xf numFmtId="0" fontId="33" fillId="0" borderId="18" xfId="0" applyFont="1" applyBorder="1" applyAlignment="1">
      <alignment horizontal="center" vertical="top" wrapText="1"/>
    </xf>
    <xf numFmtId="0" fontId="9"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png"/><Relationship Id="rId21" Type="http://schemas.openxmlformats.org/officeDocument/2006/relationships/image" Target="../media/image21.jpeg"/><Relationship Id="rId42" Type="http://schemas.openxmlformats.org/officeDocument/2006/relationships/image" Target="../media/image42.jpeg"/><Relationship Id="rId47" Type="http://schemas.openxmlformats.org/officeDocument/2006/relationships/image" Target="../media/image47.jpeg"/><Relationship Id="rId63" Type="http://schemas.openxmlformats.org/officeDocument/2006/relationships/image" Target="../media/image63.png"/><Relationship Id="rId68" Type="http://schemas.openxmlformats.org/officeDocument/2006/relationships/image" Target="../media/image68.png"/><Relationship Id="rId16" Type="http://schemas.openxmlformats.org/officeDocument/2006/relationships/image" Target="../media/image16.jpeg"/><Relationship Id="rId11" Type="http://schemas.openxmlformats.org/officeDocument/2006/relationships/image" Target="../media/image11.png"/><Relationship Id="rId24" Type="http://schemas.openxmlformats.org/officeDocument/2006/relationships/image" Target="../media/image24.jpeg"/><Relationship Id="rId32" Type="http://schemas.openxmlformats.org/officeDocument/2006/relationships/image" Target="../media/image32.jpeg"/><Relationship Id="rId37" Type="http://schemas.openxmlformats.org/officeDocument/2006/relationships/image" Target="../media/image37.jpeg"/><Relationship Id="rId40" Type="http://schemas.openxmlformats.org/officeDocument/2006/relationships/image" Target="../media/image40.jpeg"/><Relationship Id="rId45" Type="http://schemas.openxmlformats.org/officeDocument/2006/relationships/image" Target="../media/image45.jpeg"/><Relationship Id="rId53" Type="http://schemas.openxmlformats.org/officeDocument/2006/relationships/image" Target="../media/image53.jpeg"/><Relationship Id="rId58" Type="http://schemas.openxmlformats.org/officeDocument/2006/relationships/image" Target="../media/image58.png"/><Relationship Id="rId66" Type="http://schemas.openxmlformats.org/officeDocument/2006/relationships/image" Target="../media/image66.png"/><Relationship Id="rId74" Type="http://schemas.openxmlformats.org/officeDocument/2006/relationships/image" Target="../media/image74.png"/><Relationship Id="rId5" Type="http://schemas.openxmlformats.org/officeDocument/2006/relationships/image" Target="../media/image5.png"/><Relationship Id="rId61" Type="http://schemas.openxmlformats.org/officeDocument/2006/relationships/image" Target="../media/image61.png"/><Relationship Id="rId19" Type="http://schemas.openxmlformats.org/officeDocument/2006/relationships/image" Target="../media/image1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jpeg"/><Relationship Id="rId35" Type="http://schemas.openxmlformats.org/officeDocument/2006/relationships/image" Target="../media/image35.jpeg"/><Relationship Id="rId43" Type="http://schemas.openxmlformats.org/officeDocument/2006/relationships/image" Target="../media/image43.jpeg"/><Relationship Id="rId48" Type="http://schemas.openxmlformats.org/officeDocument/2006/relationships/image" Target="../media/image48.jpeg"/><Relationship Id="rId56" Type="http://schemas.openxmlformats.org/officeDocument/2006/relationships/image" Target="../media/image56.png"/><Relationship Id="rId64" Type="http://schemas.openxmlformats.org/officeDocument/2006/relationships/image" Target="../media/image64.png"/><Relationship Id="rId69" Type="http://schemas.openxmlformats.org/officeDocument/2006/relationships/image" Target="../media/image69.png"/><Relationship Id="rId77" Type="http://schemas.openxmlformats.org/officeDocument/2006/relationships/image" Target="../media/image77.png"/><Relationship Id="rId8" Type="http://schemas.openxmlformats.org/officeDocument/2006/relationships/image" Target="../media/image8.png"/><Relationship Id="rId51" Type="http://schemas.openxmlformats.org/officeDocument/2006/relationships/image" Target="../media/image51.jpeg"/><Relationship Id="rId72" Type="http://schemas.openxmlformats.org/officeDocument/2006/relationships/image" Target="../media/image72.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jpeg"/><Relationship Id="rId38" Type="http://schemas.openxmlformats.org/officeDocument/2006/relationships/image" Target="../media/image38.jpeg"/><Relationship Id="rId46" Type="http://schemas.openxmlformats.org/officeDocument/2006/relationships/image" Target="../media/image46.jpeg"/><Relationship Id="rId59" Type="http://schemas.openxmlformats.org/officeDocument/2006/relationships/image" Target="../media/image59.png"/><Relationship Id="rId67" Type="http://schemas.openxmlformats.org/officeDocument/2006/relationships/image" Target="../media/image67.png"/><Relationship Id="rId20" Type="http://schemas.openxmlformats.org/officeDocument/2006/relationships/image" Target="../media/image20.png"/><Relationship Id="rId41" Type="http://schemas.openxmlformats.org/officeDocument/2006/relationships/image" Target="../media/image41.jpeg"/><Relationship Id="rId54" Type="http://schemas.openxmlformats.org/officeDocument/2006/relationships/image" Target="../media/image54.jpeg"/><Relationship Id="rId62" Type="http://schemas.openxmlformats.org/officeDocument/2006/relationships/image" Target="../media/image62.png"/><Relationship Id="rId70" Type="http://schemas.openxmlformats.org/officeDocument/2006/relationships/image" Target="../media/image70.png"/><Relationship Id="rId75" Type="http://schemas.openxmlformats.org/officeDocument/2006/relationships/image" Target="../media/image75.png"/><Relationship Id="rId1" Type="http://schemas.openxmlformats.org/officeDocument/2006/relationships/image" Target="../media/image1.png"/><Relationship Id="rId6" Type="http://schemas.openxmlformats.org/officeDocument/2006/relationships/image" Target="../media/image6.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jpeg"/><Relationship Id="rId36" Type="http://schemas.openxmlformats.org/officeDocument/2006/relationships/image" Target="../media/image36.jpeg"/><Relationship Id="rId49" Type="http://schemas.openxmlformats.org/officeDocument/2006/relationships/image" Target="../media/image49.jpeg"/><Relationship Id="rId57" Type="http://schemas.openxmlformats.org/officeDocument/2006/relationships/image" Target="../media/image57.png"/><Relationship Id="rId10" Type="http://schemas.openxmlformats.org/officeDocument/2006/relationships/image" Target="../media/image10.png"/><Relationship Id="rId31" Type="http://schemas.openxmlformats.org/officeDocument/2006/relationships/image" Target="../media/image31.jpeg"/><Relationship Id="rId44" Type="http://schemas.openxmlformats.org/officeDocument/2006/relationships/image" Target="../media/image44.jpeg"/><Relationship Id="rId52" Type="http://schemas.openxmlformats.org/officeDocument/2006/relationships/image" Target="../media/image52.jpeg"/><Relationship Id="rId60" Type="http://schemas.openxmlformats.org/officeDocument/2006/relationships/image" Target="../media/image60.png"/><Relationship Id="rId65" Type="http://schemas.openxmlformats.org/officeDocument/2006/relationships/image" Target="../media/image65.png"/><Relationship Id="rId73" Type="http://schemas.openxmlformats.org/officeDocument/2006/relationships/image" Target="../media/image73.png"/><Relationship Id="rId4" Type="http://schemas.openxmlformats.org/officeDocument/2006/relationships/image" Target="../media/image4.png"/><Relationship Id="rId9" Type="http://schemas.openxmlformats.org/officeDocument/2006/relationships/image" Target="../media/image9.png"/><Relationship Id="rId13" Type="http://schemas.openxmlformats.org/officeDocument/2006/relationships/image" Target="../media/image13.png"/><Relationship Id="rId18" Type="http://schemas.openxmlformats.org/officeDocument/2006/relationships/image" Target="../media/image18.jpeg"/><Relationship Id="rId39" Type="http://schemas.openxmlformats.org/officeDocument/2006/relationships/image" Target="../media/image39.jpeg"/><Relationship Id="rId34" Type="http://schemas.openxmlformats.org/officeDocument/2006/relationships/image" Target="../media/image34.jpeg"/><Relationship Id="rId50" Type="http://schemas.openxmlformats.org/officeDocument/2006/relationships/image" Target="../media/image50.jpeg"/><Relationship Id="rId55" Type="http://schemas.openxmlformats.org/officeDocument/2006/relationships/image" Target="../media/image55.jpeg"/><Relationship Id="rId76" Type="http://schemas.openxmlformats.org/officeDocument/2006/relationships/image" Target="../media/image76.png"/><Relationship Id="rId7" Type="http://schemas.openxmlformats.org/officeDocument/2006/relationships/image" Target="../media/image7.png"/><Relationship Id="rId71" Type="http://schemas.openxmlformats.org/officeDocument/2006/relationships/image" Target="../media/image71.png"/><Relationship Id="rId2" Type="http://schemas.openxmlformats.org/officeDocument/2006/relationships/image" Target="../media/image2.png"/><Relationship Id="rId29" Type="http://schemas.openxmlformats.org/officeDocument/2006/relationships/image" Target="../media/image29.jpeg"/></Relationships>
</file>

<file path=xl/drawings/_rels/drawing2.xml.rels><?xml version="1.0" encoding="UTF-8" standalone="yes"?>
<Relationships xmlns="http://schemas.openxmlformats.org/package/2006/relationships"><Relationship Id="rId2" Type="http://schemas.openxmlformats.org/officeDocument/2006/relationships/image" Target="../media/image81.png"/><Relationship Id="rId1" Type="http://schemas.openxmlformats.org/officeDocument/2006/relationships/image" Target="../media/image80.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79.png"/><Relationship Id="rId1" Type="http://schemas.openxmlformats.org/officeDocument/2006/relationships/image" Target="../media/image78.png"/></Relationships>
</file>

<file path=xl/drawings/drawing1.xml><?xml version="1.0" encoding="utf-8"?>
<xdr:wsDr xmlns:xdr="http://schemas.openxmlformats.org/drawingml/2006/spreadsheetDrawing" xmlns:a="http://schemas.openxmlformats.org/drawingml/2006/main">
  <xdr:twoCellAnchor editAs="oneCell">
    <xdr:from>
      <xdr:col>0</xdr:col>
      <xdr:colOff>595507</xdr:colOff>
      <xdr:row>528</xdr:row>
      <xdr:rowOff>104775</xdr:rowOff>
    </xdr:from>
    <xdr:to>
      <xdr:col>7</xdr:col>
      <xdr:colOff>85725</xdr:colOff>
      <xdr:row>539</xdr:row>
      <xdr:rowOff>50802</xdr:rowOff>
    </xdr:to>
    <xdr:pic>
      <xdr:nvPicPr>
        <xdr:cNvPr id="42" name="Picture 41">
          <a:extLst>
            <a:ext uri="{FF2B5EF4-FFF2-40B4-BE49-F238E27FC236}">
              <a16:creationId xmlns:a16="http://schemas.microsoft.com/office/drawing/2014/main" id="{00000000-0008-0000-0000-00002A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595507" y="70961250"/>
          <a:ext cx="5033768" cy="2146301"/>
        </a:xfrm>
        <a:prstGeom prst="rect">
          <a:avLst/>
        </a:prstGeom>
        <a:ln>
          <a:solidFill>
            <a:schemeClr val="tx1"/>
          </a:solidFill>
        </a:ln>
      </xdr:spPr>
    </xdr:pic>
    <xdr:clientData/>
  </xdr:twoCellAnchor>
  <xdr:twoCellAnchor>
    <xdr:from>
      <xdr:col>0</xdr:col>
      <xdr:colOff>397072</xdr:colOff>
      <xdr:row>540</xdr:row>
      <xdr:rowOff>101782</xdr:rowOff>
    </xdr:from>
    <xdr:to>
      <xdr:col>7</xdr:col>
      <xdr:colOff>121541</xdr:colOff>
      <xdr:row>554</xdr:row>
      <xdr:rowOff>146233</xdr:rowOff>
    </xdr:to>
    <xdr:grpSp>
      <xdr:nvGrpSpPr>
        <xdr:cNvPr id="43" name="Group 42">
          <a:extLst>
            <a:ext uri="{FF2B5EF4-FFF2-40B4-BE49-F238E27FC236}">
              <a16:creationId xmlns:a16="http://schemas.microsoft.com/office/drawing/2014/main" id="{00000000-0008-0000-0000-00002B000000}"/>
            </a:ext>
          </a:extLst>
        </xdr:cNvPr>
        <xdr:cNvGrpSpPr/>
      </xdr:nvGrpSpPr>
      <xdr:grpSpPr>
        <a:xfrm>
          <a:off x="397072" y="117710132"/>
          <a:ext cx="5541069" cy="2800351"/>
          <a:chOff x="757934" y="3578406"/>
          <a:chExt cx="5372100" cy="2844801"/>
        </a:xfrm>
      </xdr:grpSpPr>
      <xdr:pic>
        <xdr:nvPicPr>
          <xdr:cNvPr id="44" name="Picture 43">
            <a:extLst>
              <a:ext uri="{FF2B5EF4-FFF2-40B4-BE49-F238E27FC236}">
                <a16:creationId xmlns:a16="http://schemas.microsoft.com/office/drawing/2014/main" id="{00000000-0008-0000-0000-00002C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757934" y="3578406"/>
            <a:ext cx="5372100" cy="2844801"/>
          </a:xfrm>
          <a:prstGeom prst="rect">
            <a:avLst/>
          </a:prstGeom>
          <a:ln>
            <a:solidFill>
              <a:schemeClr val="tx1"/>
            </a:solidFill>
          </a:ln>
        </xdr:spPr>
      </xdr:pic>
      <xdr:sp macro="" textlink="">
        <xdr:nvSpPr>
          <xdr:cNvPr id="45" name="Freeform 44">
            <a:extLst>
              <a:ext uri="{FF2B5EF4-FFF2-40B4-BE49-F238E27FC236}">
                <a16:creationId xmlns:a16="http://schemas.microsoft.com/office/drawing/2014/main" id="{00000000-0008-0000-0000-00002D000000}"/>
              </a:ext>
            </a:extLst>
          </xdr:cNvPr>
          <xdr:cNvSpPr/>
        </xdr:nvSpPr>
        <xdr:spPr>
          <a:xfrm>
            <a:off x="2781300" y="4368800"/>
            <a:ext cx="1016000" cy="1219200"/>
          </a:xfrm>
          <a:custGeom>
            <a:avLst/>
            <a:gdLst>
              <a:gd name="connsiteX0" fmla="*/ 342900 w 1016000"/>
              <a:gd name="connsiteY0" fmla="*/ 0 h 1219200"/>
              <a:gd name="connsiteX1" fmla="*/ 774700 w 1016000"/>
              <a:gd name="connsiteY1" fmla="*/ 25400 h 1219200"/>
              <a:gd name="connsiteX2" fmla="*/ 1016000 w 1016000"/>
              <a:gd name="connsiteY2" fmla="*/ 1219200 h 1219200"/>
              <a:gd name="connsiteX3" fmla="*/ 698500 w 1016000"/>
              <a:gd name="connsiteY3" fmla="*/ 1168400 h 1219200"/>
              <a:gd name="connsiteX4" fmla="*/ 152400 w 1016000"/>
              <a:gd name="connsiteY4" fmla="*/ 1168400 h 1219200"/>
              <a:gd name="connsiteX5" fmla="*/ 0 w 1016000"/>
              <a:gd name="connsiteY5" fmla="*/ 1003300 h 1219200"/>
              <a:gd name="connsiteX6" fmla="*/ 342900 w 1016000"/>
              <a:gd name="connsiteY6" fmla="*/ 0 h 1219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016000" h="1219200">
                <a:moveTo>
                  <a:pt x="342900" y="0"/>
                </a:moveTo>
                <a:lnTo>
                  <a:pt x="774700" y="25400"/>
                </a:lnTo>
                <a:lnTo>
                  <a:pt x="1016000" y="1219200"/>
                </a:lnTo>
                <a:lnTo>
                  <a:pt x="698500" y="1168400"/>
                </a:lnTo>
                <a:lnTo>
                  <a:pt x="152400" y="1168400"/>
                </a:lnTo>
                <a:lnTo>
                  <a:pt x="0" y="1003300"/>
                </a:lnTo>
                <a:lnTo>
                  <a:pt x="342900" y="0"/>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46" name="TextBox 40">
            <a:extLst>
              <a:ext uri="{FF2B5EF4-FFF2-40B4-BE49-F238E27FC236}">
                <a16:creationId xmlns:a16="http://schemas.microsoft.com/office/drawing/2014/main" id="{00000000-0008-0000-0000-00002E000000}"/>
              </a:ext>
            </a:extLst>
          </xdr:cNvPr>
          <xdr:cNvSpPr txBox="1"/>
        </xdr:nvSpPr>
        <xdr:spPr>
          <a:xfrm>
            <a:off x="760971" y="6044350"/>
            <a:ext cx="2214607" cy="374141"/>
          </a:xfrm>
          <a:prstGeom prst="rect">
            <a:avLst/>
          </a:prstGeom>
          <a:solidFill>
            <a:schemeClr val="bg1">
              <a:lumMod val="9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Magnolia Cluster 3</a:t>
            </a:r>
            <a:endParaRPr lang="en-IN" b="1">
              <a:solidFill>
                <a:srgbClr val="FF0000"/>
              </a:solidFill>
            </a:endParaRPr>
          </a:p>
        </xdr:txBody>
      </xdr:sp>
    </xdr:grpSp>
    <xdr:clientData/>
  </xdr:twoCellAnchor>
  <xdr:twoCellAnchor editAs="oneCell">
    <xdr:from>
      <xdr:col>8</xdr:col>
      <xdr:colOff>800100</xdr:colOff>
      <xdr:row>15</xdr:row>
      <xdr:rowOff>104775</xdr:rowOff>
    </xdr:from>
    <xdr:to>
      <xdr:col>12</xdr:col>
      <xdr:colOff>761561</xdr:colOff>
      <xdr:row>16</xdr:row>
      <xdr:rowOff>122506</xdr:rowOff>
    </xdr:to>
    <xdr:pic>
      <xdr:nvPicPr>
        <xdr:cNvPr id="47" name="Picture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3"/>
        <a:stretch>
          <a:fillRect/>
        </a:stretch>
      </xdr:blipFill>
      <xdr:spPr>
        <a:xfrm>
          <a:off x="7181850" y="3886200"/>
          <a:ext cx="3514286" cy="619048"/>
        </a:xfrm>
        <a:prstGeom prst="rect">
          <a:avLst/>
        </a:prstGeom>
        <a:ln>
          <a:solidFill>
            <a:schemeClr val="tx1"/>
          </a:solidFill>
        </a:ln>
      </xdr:spPr>
    </xdr:pic>
    <xdr:clientData/>
  </xdr:twoCellAnchor>
  <xdr:twoCellAnchor editAs="oneCell">
    <xdr:from>
      <xdr:col>8</xdr:col>
      <xdr:colOff>57150</xdr:colOff>
      <xdr:row>50</xdr:row>
      <xdr:rowOff>180975</xdr:rowOff>
    </xdr:from>
    <xdr:to>
      <xdr:col>9</xdr:col>
      <xdr:colOff>695100</xdr:colOff>
      <xdr:row>53</xdr:row>
      <xdr:rowOff>257175</xdr:rowOff>
    </xdr:to>
    <xdr:pic>
      <xdr:nvPicPr>
        <xdr:cNvPr id="50" name="Picture 49">
          <a:extLst>
            <a:ext uri="{FF2B5EF4-FFF2-40B4-BE49-F238E27FC236}">
              <a16:creationId xmlns:a16="http://schemas.microsoft.com/office/drawing/2014/main" id="{00000000-0008-0000-0000-000032000000}"/>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6438900" y="11801475"/>
          <a:ext cx="1800000" cy="987755"/>
        </a:xfrm>
        <a:prstGeom prst="rect">
          <a:avLst/>
        </a:prstGeom>
        <a:ln>
          <a:solidFill>
            <a:schemeClr val="tx1"/>
          </a:solidFill>
        </a:ln>
      </xdr:spPr>
    </xdr:pic>
    <xdr:clientData/>
  </xdr:twoCellAnchor>
  <xdr:twoCellAnchor editAs="oneCell">
    <xdr:from>
      <xdr:col>11</xdr:col>
      <xdr:colOff>446433</xdr:colOff>
      <xdr:row>245</xdr:row>
      <xdr:rowOff>2898</xdr:rowOff>
    </xdr:from>
    <xdr:to>
      <xdr:col>16</xdr:col>
      <xdr:colOff>283595</xdr:colOff>
      <xdr:row>256</xdr:row>
      <xdr:rowOff>7312</xdr:rowOff>
    </xdr:to>
    <xdr:pic>
      <xdr:nvPicPr>
        <xdr:cNvPr id="51" name="Picture 50">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5"/>
        <a:stretch>
          <a:fillRect/>
        </a:stretch>
      </xdr:blipFill>
      <xdr:spPr>
        <a:xfrm>
          <a:off x="9449629" y="57832072"/>
          <a:ext cx="3978467" cy="1122567"/>
        </a:xfrm>
        <a:prstGeom prst="rect">
          <a:avLst/>
        </a:prstGeom>
        <a:ln>
          <a:solidFill>
            <a:schemeClr val="tx1"/>
          </a:solidFill>
        </a:ln>
      </xdr:spPr>
    </xdr:pic>
    <xdr:clientData/>
  </xdr:twoCellAnchor>
  <xdr:twoCellAnchor editAs="oneCell">
    <xdr:from>
      <xdr:col>8</xdr:col>
      <xdr:colOff>66675</xdr:colOff>
      <xdr:row>44</xdr:row>
      <xdr:rowOff>28575</xdr:rowOff>
    </xdr:from>
    <xdr:to>
      <xdr:col>10</xdr:col>
      <xdr:colOff>662625</xdr:colOff>
      <xdr:row>50</xdr:row>
      <xdr:rowOff>252354</xdr:rowOff>
    </xdr:to>
    <xdr:pic>
      <xdr:nvPicPr>
        <xdr:cNvPr id="52" name="Picture 5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6"/>
        <a:stretch>
          <a:fillRect/>
        </a:stretch>
      </xdr:blipFill>
      <xdr:spPr>
        <a:xfrm>
          <a:off x="6448425" y="10029825"/>
          <a:ext cx="2520000" cy="1672821"/>
        </a:xfrm>
        <a:prstGeom prst="rect">
          <a:avLst/>
        </a:prstGeom>
        <a:ln>
          <a:solidFill>
            <a:schemeClr val="tx1"/>
          </a:solidFill>
        </a:ln>
      </xdr:spPr>
    </xdr:pic>
    <xdr:clientData/>
  </xdr:twoCellAnchor>
  <xdr:twoCellAnchor editAs="oneCell">
    <xdr:from>
      <xdr:col>8</xdr:col>
      <xdr:colOff>76200</xdr:colOff>
      <xdr:row>53</xdr:row>
      <xdr:rowOff>38100</xdr:rowOff>
    </xdr:from>
    <xdr:to>
      <xdr:col>9</xdr:col>
      <xdr:colOff>714150</xdr:colOff>
      <xdr:row>56</xdr:row>
      <xdr:rowOff>119721</xdr:rowOff>
    </xdr:to>
    <xdr:pic>
      <xdr:nvPicPr>
        <xdr:cNvPr id="53" name="Picture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6457950" y="12973050"/>
          <a:ext cx="1800000" cy="957921"/>
        </a:xfrm>
        <a:prstGeom prst="rect">
          <a:avLst/>
        </a:prstGeom>
        <a:ln>
          <a:solidFill>
            <a:schemeClr val="tx1"/>
          </a:solidFill>
        </a:ln>
      </xdr:spPr>
    </xdr:pic>
    <xdr:clientData/>
  </xdr:twoCellAnchor>
  <xdr:twoCellAnchor editAs="oneCell">
    <xdr:from>
      <xdr:col>8</xdr:col>
      <xdr:colOff>513935</xdr:colOff>
      <xdr:row>258</xdr:row>
      <xdr:rowOff>8696</xdr:rowOff>
    </xdr:from>
    <xdr:to>
      <xdr:col>13</xdr:col>
      <xdr:colOff>131363</xdr:colOff>
      <xdr:row>263</xdr:row>
      <xdr:rowOff>81781</xdr:rowOff>
    </xdr:to>
    <xdr:pic>
      <xdr:nvPicPr>
        <xdr:cNvPr id="54" name="Picture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8"/>
        <a:stretch>
          <a:fillRect/>
        </a:stretch>
      </xdr:blipFill>
      <xdr:spPr>
        <a:xfrm>
          <a:off x="6891544" y="60190131"/>
          <a:ext cx="3957515" cy="1265781"/>
        </a:xfrm>
        <a:prstGeom prst="rect">
          <a:avLst/>
        </a:prstGeom>
        <a:ln>
          <a:solidFill>
            <a:schemeClr val="tx1"/>
          </a:solidFill>
        </a:ln>
      </xdr:spPr>
    </xdr:pic>
    <xdr:clientData/>
  </xdr:twoCellAnchor>
  <xdr:twoCellAnchor editAs="oneCell">
    <xdr:from>
      <xdr:col>9</xdr:col>
      <xdr:colOff>220732</xdr:colOff>
      <xdr:row>258</xdr:row>
      <xdr:rowOff>315983</xdr:rowOff>
    </xdr:from>
    <xdr:to>
      <xdr:col>14</xdr:col>
      <xdr:colOff>161181</xdr:colOff>
      <xdr:row>264</xdr:row>
      <xdr:rowOff>39565</xdr:rowOff>
    </xdr:to>
    <xdr:pic>
      <xdr:nvPicPr>
        <xdr:cNvPr id="56" name="Picture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9"/>
        <a:stretch>
          <a:fillRect/>
        </a:stretch>
      </xdr:blipFill>
      <xdr:spPr>
        <a:xfrm>
          <a:off x="7757906" y="60497418"/>
          <a:ext cx="3957515" cy="1115060"/>
        </a:xfrm>
        <a:prstGeom prst="rect">
          <a:avLst/>
        </a:prstGeom>
        <a:ln>
          <a:solidFill>
            <a:schemeClr val="tx1"/>
          </a:solidFill>
        </a:ln>
      </xdr:spPr>
    </xdr:pic>
    <xdr:clientData/>
  </xdr:twoCellAnchor>
  <xdr:twoCellAnchor editAs="oneCell">
    <xdr:from>
      <xdr:col>9</xdr:col>
      <xdr:colOff>123825</xdr:colOff>
      <xdr:row>263</xdr:row>
      <xdr:rowOff>19050</xdr:rowOff>
    </xdr:from>
    <xdr:to>
      <xdr:col>14</xdr:col>
      <xdr:colOff>304274</xdr:colOff>
      <xdr:row>267</xdr:row>
      <xdr:rowOff>56998</xdr:rowOff>
    </xdr:to>
    <xdr:pic>
      <xdr:nvPicPr>
        <xdr:cNvPr id="58" name="Picture 57">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10"/>
        <a:stretch>
          <a:fillRect/>
        </a:stretch>
      </xdr:blipFill>
      <xdr:spPr>
        <a:xfrm>
          <a:off x="7667625" y="54759225"/>
          <a:ext cx="4200000" cy="1219048"/>
        </a:xfrm>
        <a:prstGeom prst="rect">
          <a:avLst/>
        </a:prstGeom>
        <a:ln>
          <a:solidFill>
            <a:schemeClr val="tx1"/>
          </a:solidFill>
        </a:ln>
      </xdr:spPr>
    </xdr:pic>
    <xdr:clientData/>
  </xdr:twoCellAnchor>
  <xdr:twoCellAnchor editAs="oneCell">
    <xdr:from>
      <xdr:col>8</xdr:col>
      <xdr:colOff>57150</xdr:colOff>
      <xdr:row>104</xdr:row>
      <xdr:rowOff>0</xdr:rowOff>
    </xdr:from>
    <xdr:to>
      <xdr:col>11</xdr:col>
      <xdr:colOff>75869</xdr:colOff>
      <xdr:row>111</xdr:row>
      <xdr:rowOff>140610</xdr:rowOff>
    </xdr:to>
    <xdr:pic>
      <xdr:nvPicPr>
        <xdr:cNvPr id="59" name="Picture 58">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11"/>
        <a:stretch>
          <a:fillRect/>
        </a:stretch>
      </xdr:blipFill>
      <xdr:spPr>
        <a:xfrm>
          <a:off x="6438900" y="29260800"/>
          <a:ext cx="2647619" cy="1552381"/>
        </a:xfrm>
        <a:prstGeom prst="rect">
          <a:avLst/>
        </a:prstGeom>
        <a:ln>
          <a:solidFill>
            <a:schemeClr val="tx1"/>
          </a:solidFill>
        </a:ln>
      </xdr:spPr>
    </xdr:pic>
    <xdr:clientData/>
  </xdr:twoCellAnchor>
  <xdr:twoCellAnchor editAs="oneCell">
    <xdr:from>
      <xdr:col>11</xdr:col>
      <xdr:colOff>76200</xdr:colOff>
      <xdr:row>104</xdr:row>
      <xdr:rowOff>0</xdr:rowOff>
    </xdr:from>
    <xdr:to>
      <xdr:col>15</xdr:col>
      <xdr:colOff>673875</xdr:colOff>
      <xdr:row>113</xdr:row>
      <xdr:rowOff>3420</xdr:rowOff>
    </xdr:to>
    <xdr:pic>
      <xdr:nvPicPr>
        <xdr:cNvPr id="60" name="Picture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9086850" y="29194126"/>
          <a:ext cx="3960000" cy="1815241"/>
        </a:xfrm>
        <a:prstGeom prst="rect">
          <a:avLst/>
        </a:prstGeom>
        <a:ln>
          <a:solidFill>
            <a:schemeClr val="tx1"/>
          </a:solidFill>
        </a:ln>
      </xdr:spPr>
    </xdr:pic>
    <xdr:clientData/>
  </xdr:twoCellAnchor>
  <xdr:twoCellAnchor editAs="oneCell">
    <xdr:from>
      <xdr:col>8</xdr:col>
      <xdr:colOff>47625</xdr:colOff>
      <xdr:row>60</xdr:row>
      <xdr:rowOff>742950</xdr:rowOff>
    </xdr:from>
    <xdr:to>
      <xdr:col>11</xdr:col>
      <xdr:colOff>37773</xdr:colOff>
      <xdr:row>65</xdr:row>
      <xdr:rowOff>373370</xdr:rowOff>
    </xdr:to>
    <xdr:pic>
      <xdr:nvPicPr>
        <xdr:cNvPr id="61" name="Picture 60">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13"/>
        <a:stretch>
          <a:fillRect/>
        </a:stretch>
      </xdr:blipFill>
      <xdr:spPr>
        <a:xfrm>
          <a:off x="6429375" y="27060525"/>
          <a:ext cx="2619048" cy="1409524"/>
        </a:xfrm>
        <a:prstGeom prst="rect">
          <a:avLst/>
        </a:prstGeom>
        <a:ln>
          <a:solidFill>
            <a:schemeClr val="tx1"/>
          </a:solidFill>
        </a:ln>
      </xdr:spPr>
    </xdr:pic>
    <xdr:clientData/>
  </xdr:twoCellAnchor>
  <xdr:twoCellAnchor editAs="oneCell">
    <xdr:from>
      <xdr:col>11</xdr:col>
      <xdr:colOff>76200</xdr:colOff>
      <xdr:row>60</xdr:row>
      <xdr:rowOff>752475</xdr:rowOff>
    </xdr:from>
    <xdr:to>
      <xdr:col>15</xdr:col>
      <xdr:colOff>673875</xdr:colOff>
      <xdr:row>65</xdr:row>
      <xdr:rowOff>738431</xdr:rowOff>
    </xdr:to>
    <xdr:pic>
      <xdr:nvPicPr>
        <xdr:cNvPr id="62" name="Picture 61">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9086850" y="27070050"/>
          <a:ext cx="3960000" cy="1772515"/>
        </a:xfrm>
        <a:prstGeom prst="rect">
          <a:avLst/>
        </a:prstGeom>
        <a:ln>
          <a:solidFill>
            <a:schemeClr val="tx1"/>
          </a:solidFill>
        </a:ln>
      </xdr:spPr>
    </xdr:pic>
    <xdr:clientData/>
  </xdr:twoCellAnchor>
  <xdr:twoCellAnchor editAs="oneCell">
    <xdr:from>
      <xdr:col>8</xdr:col>
      <xdr:colOff>762000</xdr:colOff>
      <xdr:row>317</xdr:row>
      <xdr:rowOff>85725</xdr:rowOff>
    </xdr:from>
    <xdr:to>
      <xdr:col>14</xdr:col>
      <xdr:colOff>599447</xdr:colOff>
      <xdr:row>324</xdr:row>
      <xdr:rowOff>306113</xdr:rowOff>
    </xdr:to>
    <xdr:pic>
      <xdr:nvPicPr>
        <xdr:cNvPr id="64" name="Picture 63">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15"/>
        <a:stretch>
          <a:fillRect/>
        </a:stretch>
      </xdr:blipFill>
      <xdr:spPr>
        <a:xfrm>
          <a:off x="7143750" y="68694300"/>
          <a:ext cx="5019048" cy="1466667"/>
        </a:xfrm>
        <a:prstGeom prst="rect">
          <a:avLst/>
        </a:prstGeom>
        <a:ln>
          <a:solidFill>
            <a:schemeClr val="tx1"/>
          </a:solidFill>
        </a:ln>
      </xdr:spPr>
    </xdr:pic>
    <xdr:clientData/>
  </xdr:twoCellAnchor>
  <xdr:twoCellAnchor editAs="oneCell">
    <xdr:from>
      <xdr:col>8</xdr:col>
      <xdr:colOff>641903</xdr:colOff>
      <xdr:row>290</xdr:row>
      <xdr:rowOff>9526</xdr:rowOff>
    </xdr:from>
    <xdr:to>
      <xdr:col>13</xdr:col>
      <xdr:colOff>258503</xdr:colOff>
      <xdr:row>294</xdr:row>
      <xdr:rowOff>244029</xdr:rowOff>
    </xdr:to>
    <xdr:pic>
      <xdr:nvPicPr>
        <xdr:cNvPr id="67" name="Picture 66">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7019512" y="69964439"/>
          <a:ext cx="3956687" cy="1228415"/>
        </a:xfrm>
        <a:prstGeom prst="rect">
          <a:avLst/>
        </a:prstGeom>
        <a:ln>
          <a:solidFill>
            <a:schemeClr val="tx1"/>
          </a:solidFill>
        </a:ln>
      </xdr:spPr>
    </xdr:pic>
    <xdr:clientData/>
  </xdr:twoCellAnchor>
  <xdr:twoCellAnchor editAs="oneCell">
    <xdr:from>
      <xdr:col>8</xdr:col>
      <xdr:colOff>790575</xdr:colOff>
      <xdr:row>271</xdr:row>
      <xdr:rowOff>85726</xdr:rowOff>
    </xdr:from>
    <xdr:to>
      <xdr:col>13</xdr:col>
      <xdr:colOff>407175</xdr:colOff>
      <xdr:row>275</xdr:row>
      <xdr:rowOff>167193</xdr:rowOff>
    </xdr:to>
    <xdr:pic>
      <xdr:nvPicPr>
        <xdr:cNvPr id="69" name="Picture 68">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17"/>
        <a:stretch>
          <a:fillRect/>
        </a:stretch>
      </xdr:blipFill>
      <xdr:spPr>
        <a:xfrm>
          <a:off x="7172325" y="56807101"/>
          <a:ext cx="3960000" cy="1300669"/>
        </a:xfrm>
        <a:prstGeom prst="rect">
          <a:avLst/>
        </a:prstGeom>
        <a:ln>
          <a:solidFill>
            <a:schemeClr val="tx1"/>
          </a:solidFill>
        </a:ln>
      </xdr:spPr>
    </xdr:pic>
    <xdr:clientData/>
  </xdr:twoCellAnchor>
  <xdr:twoCellAnchor editAs="oneCell">
    <xdr:from>
      <xdr:col>8</xdr:col>
      <xdr:colOff>800100</xdr:colOff>
      <xdr:row>295</xdr:row>
      <xdr:rowOff>19050</xdr:rowOff>
    </xdr:from>
    <xdr:to>
      <xdr:col>13</xdr:col>
      <xdr:colOff>416700</xdr:colOff>
      <xdr:row>301</xdr:row>
      <xdr:rowOff>84852</xdr:rowOff>
    </xdr:to>
    <xdr:pic>
      <xdr:nvPicPr>
        <xdr:cNvPr id="72" name="Picture 71">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7181850" y="64798575"/>
          <a:ext cx="3960000" cy="1265953"/>
        </a:xfrm>
        <a:prstGeom prst="rect">
          <a:avLst/>
        </a:prstGeom>
        <a:ln>
          <a:solidFill>
            <a:schemeClr val="tx1"/>
          </a:solidFill>
        </a:ln>
      </xdr:spPr>
    </xdr:pic>
    <xdr:clientData/>
  </xdr:twoCellAnchor>
  <xdr:twoCellAnchor editAs="oneCell">
    <xdr:from>
      <xdr:col>8</xdr:col>
      <xdr:colOff>838200</xdr:colOff>
      <xdr:row>282</xdr:row>
      <xdr:rowOff>228600</xdr:rowOff>
    </xdr:from>
    <xdr:to>
      <xdr:col>14</xdr:col>
      <xdr:colOff>475647</xdr:colOff>
      <xdr:row>286</xdr:row>
      <xdr:rowOff>285539</xdr:rowOff>
    </xdr:to>
    <xdr:pic>
      <xdr:nvPicPr>
        <xdr:cNvPr id="74" name="Picture 73">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19"/>
        <a:stretch>
          <a:fillRect/>
        </a:stretch>
      </xdr:blipFill>
      <xdr:spPr>
        <a:xfrm>
          <a:off x="7219950" y="60969525"/>
          <a:ext cx="4819048" cy="1695238"/>
        </a:xfrm>
        <a:prstGeom prst="rect">
          <a:avLst/>
        </a:prstGeom>
        <a:ln>
          <a:solidFill>
            <a:schemeClr val="tx1"/>
          </a:solidFill>
        </a:ln>
      </xdr:spPr>
    </xdr:pic>
    <xdr:clientData/>
  </xdr:twoCellAnchor>
  <xdr:twoCellAnchor editAs="oneCell">
    <xdr:from>
      <xdr:col>8</xdr:col>
      <xdr:colOff>209550</xdr:colOff>
      <xdr:row>57</xdr:row>
      <xdr:rowOff>285750</xdr:rowOff>
    </xdr:from>
    <xdr:to>
      <xdr:col>10</xdr:col>
      <xdr:colOff>85500</xdr:colOff>
      <xdr:row>62</xdr:row>
      <xdr:rowOff>64776</xdr:rowOff>
    </xdr:to>
    <xdr:pic>
      <xdr:nvPicPr>
        <xdr:cNvPr id="75" name="Picture 74">
          <a:extLst>
            <a:ext uri="{FF2B5EF4-FFF2-40B4-BE49-F238E27FC236}">
              <a16:creationId xmlns:a16="http://schemas.microsoft.com/office/drawing/2014/main" id="{00000000-0008-0000-0000-00004B000000}"/>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6591300" y="15240000"/>
          <a:ext cx="1800000" cy="1069456"/>
        </a:xfrm>
        <a:prstGeom prst="rect">
          <a:avLst/>
        </a:prstGeom>
        <a:ln>
          <a:solidFill>
            <a:schemeClr val="tx1"/>
          </a:solidFill>
        </a:ln>
      </xdr:spPr>
    </xdr:pic>
    <xdr:clientData/>
  </xdr:twoCellAnchor>
  <xdr:twoCellAnchor editAs="oneCell">
    <xdr:from>
      <xdr:col>8</xdr:col>
      <xdr:colOff>762000</xdr:colOff>
      <xdr:row>266</xdr:row>
      <xdr:rowOff>200026</xdr:rowOff>
    </xdr:from>
    <xdr:to>
      <xdr:col>13</xdr:col>
      <xdr:colOff>378600</xdr:colOff>
      <xdr:row>271</xdr:row>
      <xdr:rowOff>136382</xdr:rowOff>
    </xdr:to>
    <xdr:pic>
      <xdr:nvPicPr>
        <xdr:cNvPr id="76" name="Picture 75">
          <a:extLst>
            <a:ext uri="{FF2B5EF4-FFF2-40B4-BE49-F238E27FC236}">
              <a16:creationId xmlns:a16="http://schemas.microsoft.com/office/drawing/2014/main" id="{00000000-0008-0000-0000-00004C000000}"/>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7143750" y="55730776"/>
          <a:ext cx="3960000" cy="1126981"/>
        </a:xfrm>
        <a:prstGeom prst="rect">
          <a:avLst/>
        </a:prstGeom>
        <a:ln>
          <a:solidFill>
            <a:schemeClr val="tx1"/>
          </a:solidFill>
        </a:ln>
      </xdr:spPr>
    </xdr:pic>
    <xdr:clientData/>
  </xdr:twoCellAnchor>
  <xdr:twoCellAnchor editAs="oneCell">
    <xdr:from>
      <xdr:col>8</xdr:col>
      <xdr:colOff>914400</xdr:colOff>
      <xdr:row>275</xdr:row>
      <xdr:rowOff>304800</xdr:rowOff>
    </xdr:from>
    <xdr:to>
      <xdr:col>13</xdr:col>
      <xdr:colOff>351952</xdr:colOff>
      <xdr:row>278</xdr:row>
      <xdr:rowOff>161793</xdr:rowOff>
    </xdr:to>
    <xdr:pic>
      <xdr:nvPicPr>
        <xdr:cNvPr id="78" name="Picture 77">
          <a:extLst>
            <a:ext uri="{FF2B5EF4-FFF2-40B4-BE49-F238E27FC236}">
              <a16:creationId xmlns:a16="http://schemas.microsoft.com/office/drawing/2014/main" id="{00000000-0008-0000-0000-00004E000000}"/>
            </a:ext>
          </a:extLst>
        </xdr:cNvPr>
        <xdr:cNvPicPr>
          <a:picLocks noChangeAspect="1"/>
        </xdr:cNvPicPr>
      </xdr:nvPicPr>
      <xdr:blipFill>
        <a:blip xmlns:r="http://schemas.openxmlformats.org/officeDocument/2006/relationships" r:embed="rId22"/>
        <a:stretch>
          <a:fillRect/>
        </a:stretch>
      </xdr:blipFill>
      <xdr:spPr>
        <a:xfrm>
          <a:off x="7296150" y="58245375"/>
          <a:ext cx="3780952" cy="1057143"/>
        </a:xfrm>
        <a:prstGeom prst="rect">
          <a:avLst/>
        </a:prstGeom>
        <a:ln>
          <a:solidFill>
            <a:schemeClr val="tx1"/>
          </a:solidFill>
        </a:ln>
      </xdr:spPr>
    </xdr:pic>
    <xdr:clientData/>
  </xdr:twoCellAnchor>
  <xdr:twoCellAnchor editAs="oneCell">
    <xdr:from>
      <xdr:col>8</xdr:col>
      <xdr:colOff>473765</xdr:colOff>
      <xdr:row>278</xdr:row>
      <xdr:rowOff>364434</xdr:rowOff>
    </xdr:from>
    <xdr:to>
      <xdr:col>13</xdr:col>
      <xdr:colOff>90365</xdr:colOff>
      <xdr:row>281</xdr:row>
      <xdr:rowOff>323262</xdr:rowOff>
    </xdr:to>
    <xdr:pic>
      <xdr:nvPicPr>
        <xdr:cNvPr id="80" name="Picture 79">
          <a:extLst>
            <a:ext uri="{FF2B5EF4-FFF2-40B4-BE49-F238E27FC236}">
              <a16:creationId xmlns:a16="http://schemas.microsoft.com/office/drawing/2014/main" id="{00000000-0008-0000-0000-000050000000}"/>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a:ext>
          </a:extLst>
        </a:blip>
        <a:stretch>
          <a:fillRect/>
        </a:stretch>
      </xdr:blipFill>
      <xdr:spPr>
        <a:xfrm>
          <a:off x="6851374" y="66111782"/>
          <a:ext cx="3956687" cy="1143240"/>
        </a:xfrm>
        <a:prstGeom prst="rect">
          <a:avLst/>
        </a:prstGeom>
        <a:ln>
          <a:solidFill>
            <a:schemeClr val="tx1"/>
          </a:solidFill>
        </a:ln>
      </xdr:spPr>
    </xdr:pic>
    <xdr:clientData/>
  </xdr:twoCellAnchor>
  <xdr:twoCellAnchor editAs="oneCell">
    <xdr:from>
      <xdr:col>14</xdr:col>
      <xdr:colOff>390525</xdr:colOff>
      <xdr:row>266</xdr:row>
      <xdr:rowOff>342900</xdr:rowOff>
    </xdr:from>
    <xdr:to>
      <xdr:col>20</xdr:col>
      <xdr:colOff>102375</xdr:colOff>
      <xdr:row>272</xdr:row>
      <xdr:rowOff>190107</xdr:rowOff>
    </xdr:to>
    <xdr:pic>
      <xdr:nvPicPr>
        <xdr:cNvPr id="81" name="Picture 80">
          <a:extLst>
            <a:ext uri="{FF2B5EF4-FFF2-40B4-BE49-F238E27FC236}">
              <a16:creationId xmlns:a16="http://schemas.microsoft.com/office/drawing/2014/main" id="{00000000-0008-0000-0000-000051000000}"/>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11953875" y="55873650"/>
          <a:ext cx="3960000" cy="1237858"/>
        </a:xfrm>
        <a:prstGeom prst="rect">
          <a:avLst/>
        </a:prstGeom>
        <a:ln>
          <a:solidFill>
            <a:schemeClr val="tx1"/>
          </a:solidFill>
        </a:ln>
      </xdr:spPr>
    </xdr:pic>
    <xdr:clientData/>
  </xdr:twoCellAnchor>
  <xdr:twoCellAnchor editAs="oneCell">
    <xdr:from>
      <xdr:col>14</xdr:col>
      <xdr:colOff>295275</xdr:colOff>
      <xdr:row>275</xdr:row>
      <xdr:rowOff>342900</xdr:rowOff>
    </xdr:from>
    <xdr:to>
      <xdr:col>20</xdr:col>
      <xdr:colOff>7125</xdr:colOff>
      <xdr:row>278</xdr:row>
      <xdr:rowOff>305874</xdr:rowOff>
    </xdr:to>
    <xdr:pic>
      <xdr:nvPicPr>
        <xdr:cNvPr id="82" name="Picture 81">
          <a:extLst>
            <a:ext uri="{FF2B5EF4-FFF2-40B4-BE49-F238E27FC236}">
              <a16:creationId xmlns:a16="http://schemas.microsoft.com/office/drawing/2014/main" id="{00000000-0008-0000-0000-000052000000}"/>
            </a:ext>
          </a:extLst>
        </xdr:cNvPr>
        <xdr:cNvPicPr>
          <a:picLocks noChangeAspect="1"/>
        </xdr:cNvPicPr>
      </xdr:nvPicPr>
      <xdr:blipFill>
        <a:blip xmlns:r="http://schemas.openxmlformats.org/officeDocument/2006/relationships" r:embed="rId25"/>
        <a:stretch>
          <a:fillRect/>
        </a:stretch>
      </xdr:blipFill>
      <xdr:spPr>
        <a:xfrm>
          <a:off x="11858625" y="58283475"/>
          <a:ext cx="3960000" cy="1163124"/>
        </a:xfrm>
        <a:prstGeom prst="rect">
          <a:avLst/>
        </a:prstGeom>
        <a:ln>
          <a:solidFill>
            <a:schemeClr val="tx1"/>
          </a:solidFill>
        </a:ln>
      </xdr:spPr>
    </xdr:pic>
    <xdr:clientData/>
  </xdr:twoCellAnchor>
  <xdr:twoCellAnchor editAs="oneCell">
    <xdr:from>
      <xdr:col>8</xdr:col>
      <xdr:colOff>400878</xdr:colOff>
      <xdr:row>99</xdr:row>
      <xdr:rowOff>310183</xdr:rowOff>
    </xdr:from>
    <xdr:to>
      <xdr:col>17</xdr:col>
      <xdr:colOff>120451</xdr:colOff>
      <xdr:row>102</xdr:row>
      <xdr:rowOff>94733</xdr:rowOff>
    </xdr:to>
    <xdr:pic>
      <xdr:nvPicPr>
        <xdr:cNvPr id="83" name="Picture 82">
          <a:extLst>
            <a:ext uri="{FF2B5EF4-FFF2-40B4-BE49-F238E27FC236}">
              <a16:creationId xmlns:a16="http://schemas.microsoft.com/office/drawing/2014/main" id="{00000000-0008-0000-0000-000053000000}"/>
            </a:ext>
          </a:extLst>
        </xdr:cNvPr>
        <xdr:cNvPicPr>
          <a:picLocks noChangeAspect="1"/>
        </xdr:cNvPicPr>
      </xdr:nvPicPr>
      <xdr:blipFill>
        <a:blip xmlns:r="http://schemas.openxmlformats.org/officeDocument/2006/relationships" r:embed="rId26"/>
        <a:stretch>
          <a:fillRect/>
        </a:stretch>
      </xdr:blipFill>
      <xdr:spPr>
        <a:xfrm>
          <a:off x="6778487" y="35594096"/>
          <a:ext cx="7099378" cy="819876"/>
        </a:xfrm>
        <a:prstGeom prst="rect">
          <a:avLst/>
        </a:prstGeom>
        <a:ln>
          <a:solidFill>
            <a:schemeClr val="tx1"/>
          </a:solidFill>
        </a:ln>
      </xdr:spPr>
    </xdr:pic>
    <xdr:clientData/>
  </xdr:twoCellAnchor>
  <xdr:twoCellAnchor editAs="oneCell">
    <xdr:from>
      <xdr:col>8</xdr:col>
      <xdr:colOff>771525</xdr:colOff>
      <xdr:row>301</xdr:row>
      <xdr:rowOff>342900</xdr:rowOff>
    </xdr:from>
    <xdr:to>
      <xdr:col>13</xdr:col>
      <xdr:colOff>388125</xdr:colOff>
      <xdr:row>305</xdr:row>
      <xdr:rowOff>175723</xdr:rowOff>
    </xdr:to>
    <xdr:pic>
      <xdr:nvPicPr>
        <xdr:cNvPr id="85" name="Picture 84">
          <a:extLst>
            <a:ext uri="{FF2B5EF4-FFF2-40B4-BE49-F238E27FC236}">
              <a16:creationId xmlns:a16="http://schemas.microsoft.com/office/drawing/2014/main" id="{00000000-0008-0000-0000-000055000000}"/>
            </a:ext>
          </a:extLst>
        </xdr:cNvPr>
        <xdr:cNvPicPr>
          <a:picLocks noChangeAspect="1"/>
        </xdr:cNvPicPr>
      </xdr:nvPicPr>
      <xdr:blipFill>
        <a:blip xmlns:r="http://schemas.openxmlformats.org/officeDocument/2006/relationships" r:embed="rId27"/>
        <a:stretch>
          <a:fillRect/>
        </a:stretch>
      </xdr:blipFill>
      <xdr:spPr>
        <a:xfrm>
          <a:off x="7153275" y="67370325"/>
          <a:ext cx="3960000" cy="1204424"/>
        </a:xfrm>
        <a:prstGeom prst="rect">
          <a:avLst/>
        </a:prstGeom>
        <a:ln>
          <a:solidFill>
            <a:schemeClr val="tx1"/>
          </a:solidFill>
        </a:ln>
      </xdr:spPr>
    </xdr:pic>
    <xdr:clientData/>
  </xdr:twoCellAnchor>
  <xdr:oneCellAnchor>
    <xdr:from>
      <xdr:col>8</xdr:col>
      <xdr:colOff>400878</xdr:colOff>
      <xdr:row>102</xdr:row>
      <xdr:rowOff>310183</xdr:rowOff>
    </xdr:from>
    <xdr:ext cx="7099378" cy="819876"/>
    <xdr:pic>
      <xdr:nvPicPr>
        <xdr:cNvPr id="86" name="Picture 85">
          <a:extLst>
            <a:ext uri="{FF2B5EF4-FFF2-40B4-BE49-F238E27FC236}">
              <a16:creationId xmlns:a16="http://schemas.microsoft.com/office/drawing/2014/main" id="{00000000-0008-0000-0000-000056000000}"/>
            </a:ext>
          </a:extLst>
        </xdr:cNvPr>
        <xdr:cNvPicPr>
          <a:picLocks noChangeAspect="1"/>
        </xdr:cNvPicPr>
      </xdr:nvPicPr>
      <xdr:blipFill>
        <a:blip xmlns:r="http://schemas.openxmlformats.org/officeDocument/2006/relationships" r:embed="rId26"/>
        <a:stretch>
          <a:fillRect/>
        </a:stretch>
      </xdr:blipFill>
      <xdr:spPr>
        <a:xfrm>
          <a:off x="6778487" y="35594096"/>
          <a:ext cx="7099378" cy="819876"/>
        </a:xfrm>
        <a:prstGeom prst="rect">
          <a:avLst/>
        </a:prstGeom>
        <a:ln>
          <a:solidFill>
            <a:schemeClr val="tx1"/>
          </a:solidFill>
        </a:ln>
      </xdr:spPr>
    </xdr:pic>
    <xdr:clientData/>
  </xdr:oneCellAnchor>
  <xdr:twoCellAnchor>
    <xdr:from>
      <xdr:col>8</xdr:col>
      <xdr:colOff>142875</xdr:colOff>
      <xdr:row>345</xdr:row>
      <xdr:rowOff>176492</xdr:rowOff>
    </xdr:from>
    <xdr:to>
      <xdr:col>15</xdr:col>
      <xdr:colOff>641968</xdr:colOff>
      <xdr:row>388</xdr:row>
      <xdr:rowOff>147154</xdr:rowOff>
    </xdr:to>
    <xdr:grpSp>
      <xdr:nvGrpSpPr>
        <xdr:cNvPr id="165" name="Group 164">
          <a:extLst>
            <a:ext uri="{FF2B5EF4-FFF2-40B4-BE49-F238E27FC236}">
              <a16:creationId xmlns:a16="http://schemas.microsoft.com/office/drawing/2014/main" id="{639902AD-D49A-4D4D-AD6A-BA0C08A8DACD}"/>
            </a:ext>
          </a:extLst>
        </xdr:cNvPr>
        <xdr:cNvGrpSpPr/>
      </xdr:nvGrpSpPr>
      <xdr:grpSpPr>
        <a:xfrm>
          <a:off x="7394575" y="80986592"/>
          <a:ext cx="6772893" cy="8428862"/>
          <a:chOff x="221655" y="0"/>
          <a:chExt cx="6490318" cy="8562212"/>
        </a:xfrm>
      </xdr:grpSpPr>
      <xdr:pic>
        <xdr:nvPicPr>
          <xdr:cNvPr id="166" name="Picture 165">
            <a:extLst>
              <a:ext uri="{FF2B5EF4-FFF2-40B4-BE49-F238E27FC236}">
                <a16:creationId xmlns:a16="http://schemas.microsoft.com/office/drawing/2014/main" id="{DD243B11-9D57-4E6A-A41E-8D069AAF7F4F}"/>
              </a:ext>
            </a:extLst>
          </xdr:cNvPr>
          <xdr:cNvPicPr>
            <a:picLocks noChangeAspect="1"/>
          </xdr:cNvPicPr>
        </xdr:nvPicPr>
        <xdr:blipFill>
          <a:blip xmlns:r="http://schemas.openxmlformats.org/officeDocument/2006/relationships" r:embed="rId28" cstate="screen">
            <a:extLst>
              <a:ext uri="{28A0092B-C50C-407E-A947-70E740481C1C}">
                <a14:useLocalDpi xmlns:a14="http://schemas.microsoft.com/office/drawing/2010/main"/>
              </a:ext>
            </a:extLst>
          </a:blip>
          <a:stretch>
            <a:fillRect/>
          </a:stretch>
        </xdr:blipFill>
        <xdr:spPr>
          <a:xfrm>
            <a:off x="221655" y="0"/>
            <a:ext cx="2876000" cy="2160000"/>
          </a:xfrm>
          <a:prstGeom prst="rect">
            <a:avLst/>
          </a:prstGeom>
          <a:ln>
            <a:solidFill>
              <a:schemeClr val="tx1"/>
            </a:solidFill>
          </a:ln>
        </xdr:spPr>
      </xdr:pic>
      <xdr:pic>
        <xdr:nvPicPr>
          <xdr:cNvPr id="167" name="Picture 166">
            <a:extLst>
              <a:ext uri="{FF2B5EF4-FFF2-40B4-BE49-F238E27FC236}">
                <a16:creationId xmlns:a16="http://schemas.microsoft.com/office/drawing/2014/main" id="{FB43DFC1-0523-4177-9DE5-A81108C7E2B1}"/>
              </a:ext>
            </a:extLst>
          </xdr:cNvPr>
          <xdr:cNvPicPr>
            <a:picLocks noChangeAspect="1"/>
          </xdr:cNvPicPr>
        </xdr:nvPicPr>
        <xdr:blipFill>
          <a:blip xmlns:r="http://schemas.openxmlformats.org/officeDocument/2006/relationships" r:embed="rId29" cstate="screen">
            <a:extLst>
              <a:ext uri="{28A0092B-C50C-407E-A947-70E740481C1C}">
                <a14:useLocalDpi xmlns:a14="http://schemas.microsoft.com/office/drawing/2010/main"/>
              </a:ext>
            </a:extLst>
          </a:blip>
          <a:stretch>
            <a:fillRect/>
          </a:stretch>
        </xdr:blipFill>
        <xdr:spPr>
          <a:xfrm>
            <a:off x="3263793" y="0"/>
            <a:ext cx="1617750" cy="2160000"/>
          </a:xfrm>
          <a:prstGeom prst="rect">
            <a:avLst/>
          </a:prstGeom>
          <a:ln>
            <a:solidFill>
              <a:schemeClr val="tx1"/>
            </a:solidFill>
          </a:ln>
        </xdr:spPr>
      </xdr:pic>
      <xdr:pic>
        <xdr:nvPicPr>
          <xdr:cNvPr id="168" name="Picture 167">
            <a:extLst>
              <a:ext uri="{FF2B5EF4-FFF2-40B4-BE49-F238E27FC236}">
                <a16:creationId xmlns:a16="http://schemas.microsoft.com/office/drawing/2014/main" id="{2EDC9CC8-4344-464B-9E16-CC9443948929}"/>
              </a:ext>
            </a:extLst>
          </xdr:cNvPr>
          <xdr:cNvPicPr>
            <a:picLocks noChangeAspect="1"/>
          </xdr:cNvPicPr>
        </xdr:nvPicPr>
        <xdr:blipFill>
          <a:blip xmlns:r="http://schemas.openxmlformats.org/officeDocument/2006/relationships" r:embed="rId30" cstate="screen">
            <a:extLst>
              <a:ext uri="{28A0092B-C50C-407E-A947-70E740481C1C}">
                <a14:useLocalDpi xmlns:a14="http://schemas.microsoft.com/office/drawing/2010/main"/>
              </a:ext>
            </a:extLst>
          </a:blip>
          <a:stretch>
            <a:fillRect/>
          </a:stretch>
        </xdr:blipFill>
        <xdr:spPr>
          <a:xfrm>
            <a:off x="5089510" y="0"/>
            <a:ext cx="1617750" cy="2160000"/>
          </a:xfrm>
          <a:prstGeom prst="rect">
            <a:avLst/>
          </a:prstGeom>
          <a:ln>
            <a:solidFill>
              <a:schemeClr val="tx1"/>
            </a:solidFill>
          </a:ln>
        </xdr:spPr>
      </xdr:pic>
      <xdr:pic>
        <xdr:nvPicPr>
          <xdr:cNvPr id="169" name="Picture 168">
            <a:extLst>
              <a:ext uri="{FF2B5EF4-FFF2-40B4-BE49-F238E27FC236}">
                <a16:creationId xmlns:a16="http://schemas.microsoft.com/office/drawing/2014/main" id="{08ECE99E-25D4-4E3A-B588-07C6C293E955}"/>
              </a:ext>
            </a:extLst>
          </xdr:cNvPr>
          <xdr:cNvPicPr>
            <a:picLocks noChangeAspect="1"/>
          </xdr:cNvPicPr>
        </xdr:nvPicPr>
        <xdr:blipFill>
          <a:blip xmlns:r="http://schemas.openxmlformats.org/officeDocument/2006/relationships" r:embed="rId31" cstate="screen">
            <a:extLst>
              <a:ext uri="{28A0092B-C50C-407E-A947-70E740481C1C}">
                <a14:useLocalDpi xmlns:a14="http://schemas.microsoft.com/office/drawing/2010/main"/>
              </a:ext>
            </a:extLst>
          </a:blip>
          <a:stretch>
            <a:fillRect/>
          </a:stretch>
        </xdr:blipFill>
        <xdr:spPr>
          <a:xfrm>
            <a:off x="3566195" y="2292534"/>
            <a:ext cx="1482938" cy="1980000"/>
          </a:xfrm>
          <a:prstGeom prst="rect">
            <a:avLst/>
          </a:prstGeom>
          <a:ln>
            <a:solidFill>
              <a:schemeClr val="tx1"/>
            </a:solidFill>
          </a:ln>
        </xdr:spPr>
      </xdr:pic>
      <xdr:pic>
        <xdr:nvPicPr>
          <xdr:cNvPr id="170" name="Picture 169">
            <a:extLst>
              <a:ext uri="{FF2B5EF4-FFF2-40B4-BE49-F238E27FC236}">
                <a16:creationId xmlns:a16="http://schemas.microsoft.com/office/drawing/2014/main" id="{F9EE4EA4-2456-4CDC-B29D-48AF2D41E565}"/>
              </a:ext>
            </a:extLst>
          </xdr:cNvPr>
          <xdr:cNvPicPr>
            <a:picLocks noChangeAspect="1"/>
          </xdr:cNvPicPr>
        </xdr:nvPicPr>
        <xdr:blipFill>
          <a:blip xmlns:r="http://schemas.openxmlformats.org/officeDocument/2006/relationships" r:embed="rId32" cstate="screen">
            <a:extLst>
              <a:ext uri="{28A0092B-C50C-407E-A947-70E740481C1C}">
                <a14:useLocalDpi xmlns:a14="http://schemas.microsoft.com/office/drawing/2010/main"/>
              </a:ext>
            </a:extLst>
          </a:blip>
          <a:stretch>
            <a:fillRect/>
          </a:stretch>
        </xdr:blipFill>
        <xdr:spPr>
          <a:xfrm>
            <a:off x="276995" y="2304857"/>
            <a:ext cx="1482938" cy="1980000"/>
          </a:xfrm>
          <a:prstGeom prst="rect">
            <a:avLst/>
          </a:prstGeom>
          <a:ln>
            <a:solidFill>
              <a:schemeClr val="tx1"/>
            </a:solidFill>
          </a:ln>
        </xdr:spPr>
      </xdr:pic>
      <xdr:pic>
        <xdr:nvPicPr>
          <xdr:cNvPr id="171" name="Picture 170">
            <a:extLst>
              <a:ext uri="{FF2B5EF4-FFF2-40B4-BE49-F238E27FC236}">
                <a16:creationId xmlns:a16="http://schemas.microsoft.com/office/drawing/2014/main" id="{8EF1A019-246B-448E-89B1-1627F5B72D1E}"/>
              </a:ext>
            </a:extLst>
          </xdr:cNvPr>
          <xdr:cNvPicPr>
            <a:picLocks noChangeAspect="1"/>
          </xdr:cNvPicPr>
        </xdr:nvPicPr>
        <xdr:blipFill>
          <a:blip xmlns:r="http://schemas.openxmlformats.org/officeDocument/2006/relationships" r:embed="rId33" cstate="screen">
            <a:extLst>
              <a:ext uri="{28A0092B-C50C-407E-A947-70E740481C1C}">
                <a14:useLocalDpi xmlns:a14="http://schemas.microsoft.com/office/drawing/2010/main"/>
              </a:ext>
            </a:extLst>
          </a:blip>
          <a:stretch>
            <a:fillRect/>
          </a:stretch>
        </xdr:blipFill>
        <xdr:spPr>
          <a:xfrm>
            <a:off x="1926131" y="2304857"/>
            <a:ext cx="1482938" cy="1980000"/>
          </a:xfrm>
          <a:prstGeom prst="rect">
            <a:avLst/>
          </a:prstGeom>
          <a:ln>
            <a:solidFill>
              <a:schemeClr val="tx1"/>
            </a:solidFill>
          </a:ln>
        </xdr:spPr>
      </xdr:pic>
      <xdr:pic>
        <xdr:nvPicPr>
          <xdr:cNvPr id="172" name="Picture 171">
            <a:extLst>
              <a:ext uri="{FF2B5EF4-FFF2-40B4-BE49-F238E27FC236}">
                <a16:creationId xmlns:a16="http://schemas.microsoft.com/office/drawing/2014/main" id="{F5C79FC6-528D-469E-B095-BC54D67711BB}"/>
              </a:ext>
            </a:extLst>
          </xdr:cNvPr>
          <xdr:cNvPicPr>
            <a:picLocks noChangeAspect="1"/>
          </xdr:cNvPicPr>
        </xdr:nvPicPr>
        <xdr:blipFill>
          <a:blip xmlns:r="http://schemas.openxmlformats.org/officeDocument/2006/relationships" r:embed="rId34" cstate="screen">
            <a:extLst>
              <a:ext uri="{28A0092B-C50C-407E-A947-70E740481C1C}">
                <a14:useLocalDpi xmlns:a14="http://schemas.microsoft.com/office/drawing/2010/main"/>
              </a:ext>
            </a:extLst>
          </a:blip>
          <a:stretch>
            <a:fillRect/>
          </a:stretch>
        </xdr:blipFill>
        <xdr:spPr>
          <a:xfrm>
            <a:off x="5206259" y="2304857"/>
            <a:ext cx="1482938" cy="1980000"/>
          </a:xfrm>
          <a:prstGeom prst="rect">
            <a:avLst/>
          </a:prstGeom>
          <a:ln>
            <a:solidFill>
              <a:schemeClr val="tx1"/>
            </a:solidFill>
          </a:ln>
        </xdr:spPr>
      </xdr:pic>
      <xdr:pic>
        <xdr:nvPicPr>
          <xdr:cNvPr id="173" name="Picture 172">
            <a:extLst>
              <a:ext uri="{FF2B5EF4-FFF2-40B4-BE49-F238E27FC236}">
                <a16:creationId xmlns:a16="http://schemas.microsoft.com/office/drawing/2014/main" id="{78F5A99C-9E04-43CB-871E-05DA0CC0D0C0}"/>
              </a:ext>
            </a:extLst>
          </xdr:cNvPr>
          <xdr:cNvPicPr>
            <a:picLocks noChangeAspect="1"/>
          </xdr:cNvPicPr>
        </xdr:nvPicPr>
        <xdr:blipFill>
          <a:blip xmlns:r="http://schemas.openxmlformats.org/officeDocument/2006/relationships" r:embed="rId35" cstate="screen">
            <a:extLst>
              <a:ext uri="{28A0092B-C50C-407E-A947-70E740481C1C}">
                <a14:useLocalDpi xmlns:a14="http://schemas.microsoft.com/office/drawing/2010/main"/>
              </a:ext>
            </a:extLst>
          </a:blip>
          <a:stretch>
            <a:fillRect/>
          </a:stretch>
        </xdr:blipFill>
        <xdr:spPr>
          <a:xfrm>
            <a:off x="276995" y="4462650"/>
            <a:ext cx="1482938" cy="1980000"/>
          </a:xfrm>
          <a:prstGeom prst="rect">
            <a:avLst/>
          </a:prstGeom>
          <a:ln>
            <a:solidFill>
              <a:schemeClr val="tx1"/>
            </a:solidFill>
          </a:ln>
        </xdr:spPr>
      </xdr:pic>
      <xdr:pic>
        <xdr:nvPicPr>
          <xdr:cNvPr id="174" name="Picture 173">
            <a:extLst>
              <a:ext uri="{FF2B5EF4-FFF2-40B4-BE49-F238E27FC236}">
                <a16:creationId xmlns:a16="http://schemas.microsoft.com/office/drawing/2014/main" id="{27FC598D-F1EE-4F66-AC30-2E2EE2A814DD}"/>
              </a:ext>
            </a:extLst>
          </xdr:cNvPr>
          <xdr:cNvPicPr>
            <a:picLocks noChangeAspect="1"/>
          </xdr:cNvPicPr>
        </xdr:nvPicPr>
        <xdr:blipFill>
          <a:blip xmlns:r="http://schemas.openxmlformats.org/officeDocument/2006/relationships" r:embed="rId36" cstate="screen">
            <a:extLst>
              <a:ext uri="{28A0092B-C50C-407E-A947-70E740481C1C}">
                <a14:useLocalDpi xmlns:a14="http://schemas.microsoft.com/office/drawing/2010/main"/>
              </a:ext>
            </a:extLst>
          </a:blip>
          <a:stretch>
            <a:fillRect/>
          </a:stretch>
        </xdr:blipFill>
        <xdr:spPr>
          <a:xfrm>
            <a:off x="1926131" y="4462650"/>
            <a:ext cx="1482938" cy="1980000"/>
          </a:xfrm>
          <a:prstGeom prst="rect">
            <a:avLst/>
          </a:prstGeom>
          <a:ln>
            <a:solidFill>
              <a:schemeClr val="tx1"/>
            </a:solidFill>
          </a:ln>
        </xdr:spPr>
      </xdr:pic>
      <xdr:pic>
        <xdr:nvPicPr>
          <xdr:cNvPr id="175" name="Picture 174">
            <a:extLst>
              <a:ext uri="{FF2B5EF4-FFF2-40B4-BE49-F238E27FC236}">
                <a16:creationId xmlns:a16="http://schemas.microsoft.com/office/drawing/2014/main" id="{4968B2F7-D8EC-4BEA-90D7-39DF6BC247E9}"/>
              </a:ext>
            </a:extLst>
          </xdr:cNvPr>
          <xdr:cNvPicPr>
            <a:picLocks noChangeAspect="1"/>
          </xdr:cNvPicPr>
        </xdr:nvPicPr>
        <xdr:blipFill>
          <a:blip xmlns:r="http://schemas.openxmlformats.org/officeDocument/2006/relationships" r:embed="rId37" cstate="screen">
            <a:extLst>
              <a:ext uri="{28A0092B-C50C-407E-A947-70E740481C1C}">
                <a14:useLocalDpi xmlns:a14="http://schemas.microsoft.com/office/drawing/2010/main"/>
              </a:ext>
            </a:extLst>
          </a:blip>
          <a:stretch>
            <a:fillRect/>
          </a:stretch>
        </xdr:blipFill>
        <xdr:spPr>
          <a:xfrm>
            <a:off x="3575267" y="4462650"/>
            <a:ext cx="1482938" cy="1980000"/>
          </a:xfrm>
          <a:prstGeom prst="rect">
            <a:avLst/>
          </a:prstGeom>
          <a:ln>
            <a:solidFill>
              <a:schemeClr val="tx1"/>
            </a:solidFill>
          </a:ln>
        </xdr:spPr>
      </xdr:pic>
      <xdr:pic>
        <xdr:nvPicPr>
          <xdr:cNvPr id="176" name="Picture 175">
            <a:extLst>
              <a:ext uri="{FF2B5EF4-FFF2-40B4-BE49-F238E27FC236}">
                <a16:creationId xmlns:a16="http://schemas.microsoft.com/office/drawing/2014/main" id="{C00C7ED9-0B65-42DE-84D4-F6A7C27FE53F}"/>
              </a:ext>
            </a:extLst>
          </xdr:cNvPr>
          <xdr:cNvPicPr>
            <a:picLocks noChangeAspect="1"/>
          </xdr:cNvPicPr>
        </xdr:nvPicPr>
        <xdr:blipFill>
          <a:blip xmlns:r="http://schemas.openxmlformats.org/officeDocument/2006/relationships" r:embed="rId38" cstate="screen">
            <a:extLst>
              <a:ext uri="{28A0092B-C50C-407E-A947-70E740481C1C}">
                <a14:useLocalDpi xmlns:a14="http://schemas.microsoft.com/office/drawing/2010/main"/>
              </a:ext>
            </a:extLst>
          </a:blip>
          <a:stretch>
            <a:fillRect/>
          </a:stretch>
        </xdr:blipFill>
        <xdr:spPr>
          <a:xfrm>
            <a:off x="5229035" y="4462650"/>
            <a:ext cx="1482938" cy="1980000"/>
          </a:xfrm>
          <a:prstGeom prst="rect">
            <a:avLst/>
          </a:prstGeom>
          <a:ln>
            <a:solidFill>
              <a:schemeClr val="tx1"/>
            </a:solidFill>
          </a:ln>
        </xdr:spPr>
      </xdr:pic>
      <xdr:pic>
        <xdr:nvPicPr>
          <xdr:cNvPr id="177" name="Picture 176">
            <a:extLst>
              <a:ext uri="{FF2B5EF4-FFF2-40B4-BE49-F238E27FC236}">
                <a16:creationId xmlns:a16="http://schemas.microsoft.com/office/drawing/2014/main" id="{88C421F9-EF96-408F-BE4C-0A0F6474EE05}"/>
              </a:ext>
            </a:extLst>
          </xdr:cNvPr>
          <xdr:cNvPicPr>
            <a:picLocks noChangeAspect="1"/>
          </xdr:cNvPicPr>
        </xdr:nvPicPr>
        <xdr:blipFill>
          <a:blip xmlns:r="http://schemas.openxmlformats.org/officeDocument/2006/relationships" r:embed="rId39" cstate="screen">
            <a:extLst>
              <a:ext uri="{28A0092B-C50C-407E-A947-70E740481C1C}">
                <a14:useLocalDpi xmlns:a14="http://schemas.microsoft.com/office/drawing/2010/main"/>
              </a:ext>
            </a:extLst>
          </a:blip>
          <a:stretch>
            <a:fillRect/>
          </a:stretch>
        </xdr:blipFill>
        <xdr:spPr>
          <a:xfrm>
            <a:off x="1926131" y="6575184"/>
            <a:ext cx="1482938" cy="1980000"/>
          </a:xfrm>
          <a:prstGeom prst="rect">
            <a:avLst/>
          </a:prstGeom>
          <a:ln>
            <a:solidFill>
              <a:schemeClr val="tx1"/>
            </a:solidFill>
          </a:ln>
        </xdr:spPr>
      </xdr:pic>
      <xdr:pic>
        <xdr:nvPicPr>
          <xdr:cNvPr id="178" name="Picture 177">
            <a:extLst>
              <a:ext uri="{FF2B5EF4-FFF2-40B4-BE49-F238E27FC236}">
                <a16:creationId xmlns:a16="http://schemas.microsoft.com/office/drawing/2014/main" id="{6C888486-4EE4-4366-896B-43EC8231BD15}"/>
              </a:ext>
            </a:extLst>
          </xdr:cNvPr>
          <xdr:cNvPicPr>
            <a:picLocks noChangeAspect="1"/>
          </xdr:cNvPicPr>
        </xdr:nvPicPr>
        <xdr:blipFill>
          <a:blip xmlns:r="http://schemas.openxmlformats.org/officeDocument/2006/relationships" r:embed="rId40" cstate="screen">
            <a:extLst>
              <a:ext uri="{28A0092B-C50C-407E-A947-70E740481C1C}">
                <a14:useLocalDpi xmlns:a14="http://schemas.microsoft.com/office/drawing/2010/main"/>
              </a:ext>
            </a:extLst>
          </a:blip>
          <a:stretch>
            <a:fillRect/>
          </a:stretch>
        </xdr:blipFill>
        <xdr:spPr>
          <a:xfrm>
            <a:off x="5229035" y="6582212"/>
            <a:ext cx="1482938" cy="1980000"/>
          </a:xfrm>
          <a:prstGeom prst="rect">
            <a:avLst/>
          </a:prstGeom>
          <a:ln>
            <a:solidFill>
              <a:schemeClr val="tx1"/>
            </a:solidFill>
          </a:ln>
        </xdr:spPr>
      </xdr:pic>
      <xdr:pic>
        <xdr:nvPicPr>
          <xdr:cNvPr id="179" name="Picture 178">
            <a:extLst>
              <a:ext uri="{FF2B5EF4-FFF2-40B4-BE49-F238E27FC236}">
                <a16:creationId xmlns:a16="http://schemas.microsoft.com/office/drawing/2014/main" id="{B08839AF-A925-4043-94C5-8D866EB2E7F1}"/>
              </a:ext>
            </a:extLst>
          </xdr:cNvPr>
          <xdr:cNvPicPr>
            <a:picLocks noChangeAspect="1"/>
          </xdr:cNvPicPr>
        </xdr:nvPicPr>
        <xdr:blipFill>
          <a:blip xmlns:r="http://schemas.openxmlformats.org/officeDocument/2006/relationships" r:embed="rId41" cstate="screen">
            <a:extLst>
              <a:ext uri="{28A0092B-C50C-407E-A947-70E740481C1C}">
                <a14:useLocalDpi xmlns:a14="http://schemas.microsoft.com/office/drawing/2010/main"/>
              </a:ext>
            </a:extLst>
          </a:blip>
          <a:stretch>
            <a:fillRect/>
          </a:stretch>
        </xdr:blipFill>
        <xdr:spPr>
          <a:xfrm>
            <a:off x="276995" y="6575184"/>
            <a:ext cx="1482938" cy="1980000"/>
          </a:xfrm>
          <a:prstGeom prst="rect">
            <a:avLst/>
          </a:prstGeom>
          <a:ln>
            <a:solidFill>
              <a:schemeClr val="tx1"/>
            </a:solidFill>
          </a:ln>
        </xdr:spPr>
      </xdr:pic>
      <xdr:sp macro="" textlink="">
        <xdr:nvSpPr>
          <xdr:cNvPr id="180" name="TextBox 67">
            <a:extLst>
              <a:ext uri="{FF2B5EF4-FFF2-40B4-BE49-F238E27FC236}">
                <a16:creationId xmlns:a16="http://schemas.microsoft.com/office/drawing/2014/main" id="{9350F49A-26AB-440E-A9A6-89D7BC1814D3}"/>
              </a:ext>
            </a:extLst>
          </xdr:cNvPr>
          <xdr:cNvSpPr txBox="1"/>
        </xdr:nvSpPr>
        <xdr:spPr>
          <a:xfrm>
            <a:off x="586959" y="155661"/>
            <a:ext cx="1238801" cy="3741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A29 to A42</a:t>
            </a:r>
            <a:endParaRPr lang="en-IN" b="1">
              <a:solidFill>
                <a:srgbClr val="FF0000"/>
              </a:solidFill>
            </a:endParaRPr>
          </a:p>
        </xdr:txBody>
      </xdr:sp>
      <xdr:sp macro="" textlink="">
        <xdr:nvSpPr>
          <xdr:cNvPr id="181" name="TextBox 20">
            <a:extLst>
              <a:ext uri="{FF2B5EF4-FFF2-40B4-BE49-F238E27FC236}">
                <a16:creationId xmlns:a16="http://schemas.microsoft.com/office/drawing/2014/main" id="{9ECBAEB5-B17B-4C2B-BFCF-0A7A2BB8DBE7}"/>
              </a:ext>
            </a:extLst>
          </xdr:cNvPr>
          <xdr:cNvSpPr txBox="1"/>
        </xdr:nvSpPr>
        <xdr:spPr>
          <a:xfrm>
            <a:off x="3710868" y="124544"/>
            <a:ext cx="98552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B7 to B8</a:t>
            </a:r>
            <a:endParaRPr lang="en-IN" b="1">
              <a:solidFill>
                <a:srgbClr val="FF0000"/>
              </a:solidFill>
            </a:endParaRPr>
          </a:p>
        </xdr:txBody>
      </xdr:sp>
      <xdr:sp macro="" textlink="">
        <xdr:nvSpPr>
          <xdr:cNvPr id="182" name="TextBox 21">
            <a:extLst>
              <a:ext uri="{FF2B5EF4-FFF2-40B4-BE49-F238E27FC236}">
                <a16:creationId xmlns:a16="http://schemas.microsoft.com/office/drawing/2014/main" id="{9713DC10-52D2-476A-9B15-F61E0F34F2C5}"/>
              </a:ext>
            </a:extLst>
          </xdr:cNvPr>
          <xdr:cNvSpPr txBox="1"/>
        </xdr:nvSpPr>
        <xdr:spPr>
          <a:xfrm>
            <a:off x="5386805" y="155661"/>
            <a:ext cx="110254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B9 to B16</a:t>
            </a:r>
            <a:endParaRPr lang="en-IN" b="1">
              <a:solidFill>
                <a:srgbClr val="FF0000"/>
              </a:solidFill>
            </a:endParaRPr>
          </a:p>
        </xdr:txBody>
      </xdr:sp>
      <xdr:sp macro="" textlink="">
        <xdr:nvSpPr>
          <xdr:cNvPr id="183" name="TextBox 22">
            <a:extLst>
              <a:ext uri="{FF2B5EF4-FFF2-40B4-BE49-F238E27FC236}">
                <a16:creationId xmlns:a16="http://schemas.microsoft.com/office/drawing/2014/main" id="{9C45F9DF-5543-4643-A86F-89635F78B1FC}"/>
              </a:ext>
            </a:extLst>
          </xdr:cNvPr>
          <xdr:cNvSpPr txBox="1"/>
        </xdr:nvSpPr>
        <xdr:spPr>
          <a:xfrm>
            <a:off x="467191" y="2337793"/>
            <a:ext cx="110254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B9 to B10</a:t>
            </a:r>
            <a:endParaRPr lang="en-IN" b="1">
              <a:solidFill>
                <a:srgbClr val="FF0000"/>
              </a:solidFill>
            </a:endParaRPr>
          </a:p>
        </xdr:txBody>
      </xdr:sp>
      <xdr:sp macro="" textlink="">
        <xdr:nvSpPr>
          <xdr:cNvPr id="184" name="TextBox 23">
            <a:extLst>
              <a:ext uri="{FF2B5EF4-FFF2-40B4-BE49-F238E27FC236}">
                <a16:creationId xmlns:a16="http://schemas.microsoft.com/office/drawing/2014/main" id="{8EF6DA7E-3D31-406E-828A-5A4A481F88ED}"/>
              </a:ext>
            </a:extLst>
          </xdr:cNvPr>
          <xdr:cNvSpPr txBox="1"/>
        </xdr:nvSpPr>
        <xdr:spPr>
          <a:xfrm>
            <a:off x="2191894" y="2323253"/>
            <a:ext cx="1219565"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B11 to B12</a:t>
            </a:r>
            <a:endParaRPr lang="en-IN" b="1">
              <a:solidFill>
                <a:srgbClr val="FF0000"/>
              </a:solidFill>
            </a:endParaRPr>
          </a:p>
        </xdr:txBody>
      </xdr:sp>
      <xdr:sp macro="" textlink="">
        <xdr:nvSpPr>
          <xdr:cNvPr id="185" name="TextBox 24">
            <a:extLst>
              <a:ext uri="{FF2B5EF4-FFF2-40B4-BE49-F238E27FC236}">
                <a16:creationId xmlns:a16="http://schemas.microsoft.com/office/drawing/2014/main" id="{8FCAAC0E-C248-4D74-B2DA-347CBA691D02}"/>
              </a:ext>
            </a:extLst>
          </xdr:cNvPr>
          <xdr:cNvSpPr txBox="1"/>
        </xdr:nvSpPr>
        <xdr:spPr>
          <a:xfrm>
            <a:off x="3747536" y="2284544"/>
            <a:ext cx="1219565"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B13 to B14</a:t>
            </a:r>
            <a:endParaRPr lang="en-IN" b="1">
              <a:solidFill>
                <a:srgbClr val="FF0000"/>
              </a:solidFill>
            </a:endParaRPr>
          </a:p>
        </xdr:txBody>
      </xdr:sp>
      <xdr:sp macro="" textlink="">
        <xdr:nvSpPr>
          <xdr:cNvPr id="186" name="TextBox 25">
            <a:extLst>
              <a:ext uri="{FF2B5EF4-FFF2-40B4-BE49-F238E27FC236}">
                <a16:creationId xmlns:a16="http://schemas.microsoft.com/office/drawing/2014/main" id="{EF87EE00-8CE4-4A62-83FF-85BFB6648778}"/>
              </a:ext>
            </a:extLst>
          </xdr:cNvPr>
          <xdr:cNvSpPr txBox="1"/>
        </xdr:nvSpPr>
        <xdr:spPr>
          <a:xfrm>
            <a:off x="5469632" y="2284544"/>
            <a:ext cx="1219565"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B15 to B16</a:t>
            </a:r>
            <a:endParaRPr lang="en-IN" b="1">
              <a:solidFill>
                <a:srgbClr val="FF0000"/>
              </a:solidFill>
            </a:endParaRPr>
          </a:p>
        </xdr:txBody>
      </xdr:sp>
      <xdr:sp macro="" textlink="">
        <xdr:nvSpPr>
          <xdr:cNvPr id="187" name="TextBox 26">
            <a:extLst>
              <a:ext uri="{FF2B5EF4-FFF2-40B4-BE49-F238E27FC236}">
                <a16:creationId xmlns:a16="http://schemas.microsoft.com/office/drawing/2014/main" id="{EE3525BE-6BB5-4FAC-AF13-884762C18AF9}"/>
              </a:ext>
            </a:extLst>
          </xdr:cNvPr>
          <xdr:cNvSpPr txBox="1"/>
        </xdr:nvSpPr>
        <xdr:spPr>
          <a:xfrm>
            <a:off x="276995" y="4504815"/>
            <a:ext cx="96949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C7 to C8</a:t>
            </a:r>
            <a:endParaRPr lang="en-IN" b="1">
              <a:solidFill>
                <a:srgbClr val="FF0000"/>
              </a:solidFill>
            </a:endParaRPr>
          </a:p>
        </xdr:txBody>
      </xdr:sp>
      <xdr:sp macro="" textlink="">
        <xdr:nvSpPr>
          <xdr:cNvPr id="188" name="TextBox 27">
            <a:extLst>
              <a:ext uri="{FF2B5EF4-FFF2-40B4-BE49-F238E27FC236}">
                <a16:creationId xmlns:a16="http://schemas.microsoft.com/office/drawing/2014/main" id="{FACCB646-A6B9-4374-8177-7A3A5E4AD125}"/>
              </a:ext>
            </a:extLst>
          </xdr:cNvPr>
          <xdr:cNvSpPr txBox="1"/>
        </xdr:nvSpPr>
        <xdr:spPr>
          <a:xfrm>
            <a:off x="1941188" y="4479866"/>
            <a:ext cx="108651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C9 to C16</a:t>
            </a:r>
            <a:endParaRPr lang="en-IN" b="1">
              <a:solidFill>
                <a:srgbClr val="FF0000"/>
              </a:solidFill>
            </a:endParaRPr>
          </a:p>
        </xdr:txBody>
      </xdr:sp>
      <xdr:sp macro="" textlink="">
        <xdr:nvSpPr>
          <xdr:cNvPr id="189" name="TextBox 28">
            <a:extLst>
              <a:ext uri="{FF2B5EF4-FFF2-40B4-BE49-F238E27FC236}">
                <a16:creationId xmlns:a16="http://schemas.microsoft.com/office/drawing/2014/main" id="{27507798-E04A-4FE2-B8C4-CD79A28C96D6}"/>
              </a:ext>
            </a:extLst>
          </xdr:cNvPr>
          <xdr:cNvSpPr txBox="1"/>
        </xdr:nvSpPr>
        <xdr:spPr>
          <a:xfrm>
            <a:off x="3747536" y="4504815"/>
            <a:ext cx="108651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C9 to C10</a:t>
            </a:r>
            <a:endParaRPr lang="en-IN" b="1">
              <a:solidFill>
                <a:srgbClr val="FF0000"/>
              </a:solidFill>
            </a:endParaRPr>
          </a:p>
        </xdr:txBody>
      </xdr:sp>
      <xdr:sp macro="" textlink="">
        <xdr:nvSpPr>
          <xdr:cNvPr id="190" name="TextBox 29">
            <a:extLst>
              <a:ext uri="{FF2B5EF4-FFF2-40B4-BE49-F238E27FC236}">
                <a16:creationId xmlns:a16="http://schemas.microsoft.com/office/drawing/2014/main" id="{CCE541A5-6AA4-45B6-A326-9C95C5523AAC}"/>
              </a:ext>
            </a:extLst>
          </xdr:cNvPr>
          <xdr:cNvSpPr txBox="1"/>
        </xdr:nvSpPr>
        <xdr:spPr>
          <a:xfrm>
            <a:off x="5226715" y="4479866"/>
            <a:ext cx="1203535"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C11 to C12</a:t>
            </a:r>
            <a:endParaRPr lang="en-IN" b="1">
              <a:solidFill>
                <a:srgbClr val="FF0000"/>
              </a:solidFill>
            </a:endParaRPr>
          </a:p>
        </xdr:txBody>
      </xdr:sp>
      <xdr:sp macro="" textlink="">
        <xdr:nvSpPr>
          <xdr:cNvPr id="191" name="TextBox 30">
            <a:extLst>
              <a:ext uri="{FF2B5EF4-FFF2-40B4-BE49-F238E27FC236}">
                <a16:creationId xmlns:a16="http://schemas.microsoft.com/office/drawing/2014/main" id="{AF66A626-32DA-49AC-BF1B-A708B230264E}"/>
              </a:ext>
            </a:extLst>
          </xdr:cNvPr>
          <xdr:cNvSpPr txBox="1"/>
        </xdr:nvSpPr>
        <xdr:spPr>
          <a:xfrm>
            <a:off x="403709" y="6575184"/>
            <a:ext cx="1203535"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C13 to C14</a:t>
            </a:r>
            <a:endParaRPr lang="en-IN" b="1">
              <a:solidFill>
                <a:srgbClr val="FF0000"/>
              </a:solidFill>
            </a:endParaRPr>
          </a:p>
        </xdr:txBody>
      </xdr:sp>
      <xdr:sp macro="" textlink="">
        <xdr:nvSpPr>
          <xdr:cNvPr id="192" name="TextBox 31">
            <a:extLst>
              <a:ext uri="{FF2B5EF4-FFF2-40B4-BE49-F238E27FC236}">
                <a16:creationId xmlns:a16="http://schemas.microsoft.com/office/drawing/2014/main" id="{F17638B8-60F5-4296-AFE9-C6558E8DF1E5}"/>
              </a:ext>
            </a:extLst>
          </xdr:cNvPr>
          <xdr:cNvSpPr txBox="1"/>
        </xdr:nvSpPr>
        <xdr:spPr>
          <a:xfrm>
            <a:off x="2052845" y="6582212"/>
            <a:ext cx="1203535"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C15 to C16</a:t>
            </a:r>
            <a:endParaRPr lang="en-IN" b="1">
              <a:solidFill>
                <a:srgbClr val="FF0000"/>
              </a:solidFill>
            </a:endParaRPr>
          </a:p>
        </xdr:txBody>
      </xdr:sp>
      <xdr:sp macro="" textlink="">
        <xdr:nvSpPr>
          <xdr:cNvPr id="193" name="TextBox 32">
            <a:extLst>
              <a:ext uri="{FF2B5EF4-FFF2-40B4-BE49-F238E27FC236}">
                <a16:creationId xmlns:a16="http://schemas.microsoft.com/office/drawing/2014/main" id="{1FDEA385-EFEA-495D-9180-EA6A0BAFEFC9}"/>
              </a:ext>
            </a:extLst>
          </xdr:cNvPr>
          <xdr:cNvSpPr txBox="1"/>
        </xdr:nvSpPr>
        <xdr:spPr>
          <a:xfrm>
            <a:off x="5554591" y="6604628"/>
            <a:ext cx="113460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D9 to D10</a:t>
            </a:r>
            <a:endParaRPr lang="en-IN" b="1">
              <a:solidFill>
                <a:srgbClr val="FF0000"/>
              </a:solidFill>
            </a:endParaRPr>
          </a:p>
        </xdr:txBody>
      </xdr:sp>
      <xdr:pic>
        <xdr:nvPicPr>
          <xdr:cNvPr id="194" name="Picture 193">
            <a:extLst>
              <a:ext uri="{FF2B5EF4-FFF2-40B4-BE49-F238E27FC236}">
                <a16:creationId xmlns:a16="http://schemas.microsoft.com/office/drawing/2014/main" id="{9BD73147-CBC3-4BAC-986B-E2C14ADE7BB7}"/>
              </a:ext>
            </a:extLst>
          </xdr:cNvPr>
          <xdr:cNvPicPr>
            <a:picLocks noChangeAspect="1"/>
          </xdr:cNvPicPr>
        </xdr:nvPicPr>
        <xdr:blipFill>
          <a:blip xmlns:r="http://schemas.openxmlformats.org/officeDocument/2006/relationships" r:embed="rId42" cstate="screen">
            <a:extLst>
              <a:ext uri="{28A0092B-C50C-407E-A947-70E740481C1C}">
                <a14:useLocalDpi xmlns:a14="http://schemas.microsoft.com/office/drawing/2010/main"/>
              </a:ext>
            </a:extLst>
          </a:blip>
          <a:stretch>
            <a:fillRect/>
          </a:stretch>
        </xdr:blipFill>
        <xdr:spPr>
          <a:xfrm>
            <a:off x="3585088" y="6575184"/>
            <a:ext cx="1482938" cy="1980000"/>
          </a:xfrm>
          <a:prstGeom prst="rect">
            <a:avLst/>
          </a:prstGeom>
          <a:ln>
            <a:solidFill>
              <a:schemeClr val="tx1"/>
            </a:solidFill>
          </a:ln>
        </xdr:spPr>
      </xdr:pic>
      <xdr:sp macro="" textlink="">
        <xdr:nvSpPr>
          <xdr:cNvPr id="195" name="TextBox 44">
            <a:extLst>
              <a:ext uri="{FF2B5EF4-FFF2-40B4-BE49-F238E27FC236}">
                <a16:creationId xmlns:a16="http://schemas.microsoft.com/office/drawing/2014/main" id="{DA113ECC-1805-4BBB-8717-2C2B8E2F9BEF}"/>
              </a:ext>
            </a:extLst>
          </xdr:cNvPr>
          <xdr:cNvSpPr txBox="1"/>
        </xdr:nvSpPr>
        <xdr:spPr>
          <a:xfrm>
            <a:off x="4100227" y="6571408"/>
            <a:ext cx="101758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D7 to D8</a:t>
            </a:r>
            <a:endParaRPr lang="en-IN" b="1">
              <a:solidFill>
                <a:srgbClr val="FF0000"/>
              </a:solidFill>
            </a:endParaRPr>
          </a:p>
        </xdr:txBody>
      </xdr:sp>
    </xdr:grpSp>
    <xdr:clientData/>
  </xdr:twoCellAnchor>
  <xdr:twoCellAnchor>
    <xdr:from>
      <xdr:col>8</xdr:col>
      <xdr:colOff>142875</xdr:colOff>
      <xdr:row>390</xdr:row>
      <xdr:rowOff>80942</xdr:rowOff>
    </xdr:from>
    <xdr:to>
      <xdr:col>15</xdr:col>
      <xdr:colOff>518689</xdr:colOff>
      <xdr:row>429</xdr:row>
      <xdr:rowOff>164079</xdr:rowOff>
    </xdr:to>
    <xdr:grpSp>
      <xdr:nvGrpSpPr>
        <xdr:cNvPr id="196" name="Group 195">
          <a:extLst>
            <a:ext uri="{FF2B5EF4-FFF2-40B4-BE49-F238E27FC236}">
              <a16:creationId xmlns:a16="http://schemas.microsoft.com/office/drawing/2014/main" id="{B9164C50-BFBC-4360-95AF-427757E05286}"/>
            </a:ext>
          </a:extLst>
        </xdr:cNvPr>
        <xdr:cNvGrpSpPr/>
      </xdr:nvGrpSpPr>
      <xdr:grpSpPr>
        <a:xfrm>
          <a:off x="7394575" y="89742942"/>
          <a:ext cx="6649614" cy="7753937"/>
          <a:chOff x="245558" y="-249337"/>
          <a:chExt cx="6367039" cy="8074612"/>
        </a:xfrm>
      </xdr:grpSpPr>
      <xdr:grpSp>
        <xdr:nvGrpSpPr>
          <xdr:cNvPr id="197" name="Group 196">
            <a:extLst>
              <a:ext uri="{FF2B5EF4-FFF2-40B4-BE49-F238E27FC236}">
                <a16:creationId xmlns:a16="http://schemas.microsoft.com/office/drawing/2014/main" id="{FE7B58BF-3DB7-4394-B250-19E687E296BD}"/>
              </a:ext>
            </a:extLst>
          </xdr:cNvPr>
          <xdr:cNvGrpSpPr/>
        </xdr:nvGrpSpPr>
        <xdr:grpSpPr>
          <a:xfrm>
            <a:off x="245558" y="360263"/>
            <a:ext cx="6367039" cy="7465012"/>
            <a:chOff x="245558" y="360263"/>
            <a:chExt cx="6367039" cy="7465012"/>
          </a:xfrm>
        </xdr:grpSpPr>
        <xdr:pic>
          <xdr:nvPicPr>
            <xdr:cNvPr id="208" name="Picture 207">
              <a:extLst>
                <a:ext uri="{FF2B5EF4-FFF2-40B4-BE49-F238E27FC236}">
                  <a16:creationId xmlns:a16="http://schemas.microsoft.com/office/drawing/2014/main" id="{0D5DD99A-698A-4F57-861E-14B8F7DCEFA5}"/>
                </a:ext>
              </a:extLst>
            </xdr:cNvPr>
            <xdr:cNvPicPr>
              <a:picLocks noChangeAspect="1"/>
            </xdr:cNvPicPr>
          </xdr:nvPicPr>
          <xdr:blipFill>
            <a:blip xmlns:r="http://schemas.openxmlformats.org/officeDocument/2006/relationships" r:embed="rId43" cstate="screen">
              <a:extLst>
                <a:ext uri="{28A0092B-C50C-407E-A947-70E740481C1C}">
                  <a14:useLocalDpi xmlns:a14="http://schemas.microsoft.com/office/drawing/2010/main"/>
                </a:ext>
              </a:extLst>
            </a:blip>
            <a:stretch>
              <a:fillRect/>
            </a:stretch>
          </xdr:blipFill>
          <xdr:spPr>
            <a:xfrm>
              <a:off x="245558" y="360675"/>
              <a:ext cx="1482938" cy="1980000"/>
            </a:xfrm>
            <a:prstGeom prst="rect">
              <a:avLst/>
            </a:prstGeom>
            <a:ln>
              <a:solidFill>
                <a:schemeClr val="tx1"/>
              </a:solidFill>
            </a:ln>
          </xdr:spPr>
        </xdr:pic>
        <xdr:pic>
          <xdr:nvPicPr>
            <xdr:cNvPr id="209" name="Picture 208">
              <a:extLst>
                <a:ext uri="{FF2B5EF4-FFF2-40B4-BE49-F238E27FC236}">
                  <a16:creationId xmlns:a16="http://schemas.microsoft.com/office/drawing/2014/main" id="{DEA6E7A3-C99B-4D9B-9E21-41A4FA358ED7}"/>
                </a:ext>
              </a:extLst>
            </xdr:cNvPr>
            <xdr:cNvPicPr>
              <a:picLocks noChangeAspect="1"/>
            </xdr:cNvPicPr>
          </xdr:nvPicPr>
          <xdr:blipFill>
            <a:blip xmlns:r="http://schemas.openxmlformats.org/officeDocument/2006/relationships" r:embed="rId44" cstate="screen">
              <a:extLst>
                <a:ext uri="{28A0092B-C50C-407E-A947-70E740481C1C}">
                  <a14:useLocalDpi xmlns:a14="http://schemas.microsoft.com/office/drawing/2010/main"/>
                </a:ext>
              </a:extLst>
            </a:blip>
            <a:stretch>
              <a:fillRect/>
            </a:stretch>
          </xdr:blipFill>
          <xdr:spPr>
            <a:xfrm>
              <a:off x="1871823" y="360263"/>
              <a:ext cx="1482938" cy="1980000"/>
            </a:xfrm>
            <a:prstGeom prst="rect">
              <a:avLst/>
            </a:prstGeom>
            <a:ln>
              <a:solidFill>
                <a:schemeClr val="tx1"/>
              </a:solidFill>
            </a:ln>
          </xdr:spPr>
        </xdr:pic>
        <xdr:pic>
          <xdr:nvPicPr>
            <xdr:cNvPr id="210" name="Picture 209">
              <a:extLst>
                <a:ext uri="{FF2B5EF4-FFF2-40B4-BE49-F238E27FC236}">
                  <a16:creationId xmlns:a16="http://schemas.microsoft.com/office/drawing/2014/main" id="{652532C6-4E30-4ACD-8D2D-1533FB0E8BE7}"/>
                </a:ext>
              </a:extLst>
            </xdr:cNvPr>
            <xdr:cNvPicPr>
              <a:picLocks noChangeAspect="1"/>
            </xdr:cNvPicPr>
          </xdr:nvPicPr>
          <xdr:blipFill>
            <a:blip xmlns:r="http://schemas.openxmlformats.org/officeDocument/2006/relationships" r:embed="rId45" cstate="screen">
              <a:extLst>
                <a:ext uri="{28A0092B-C50C-407E-A947-70E740481C1C}">
                  <a14:useLocalDpi xmlns:a14="http://schemas.microsoft.com/office/drawing/2010/main"/>
                </a:ext>
              </a:extLst>
            </a:blip>
            <a:stretch>
              <a:fillRect/>
            </a:stretch>
          </xdr:blipFill>
          <xdr:spPr>
            <a:xfrm>
              <a:off x="3498088" y="360263"/>
              <a:ext cx="1485000" cy="1980000"/>
            </a:xfrm>
            <a:prstGeom prst="rect">
              <a:avLst/>
            </a:prstGeom>
            <a:ln>
              <a:solidFill>
                <a:schemeClr val="tx1"/>
              </a:solidFill>
            </a:ln>
          </xdr:spPr>
        </xdr:pic>
        <xdr:pic>
          <xdr:nvPicPr>
            <xdr:cNvPr id="211" name="Picture 210">
              <a:extLst>
                <a:ext uri="{FF2B5EF4-FFF2-40B4-BE49-F238E27FC236}">
                  <a16:creationId xmlns:a16="http://schemas.microsoft.com/office/drawing/2014/main" id="{D15E8252-8592-4A3F-B3B1-4821CA86A311}"/>
                </a:ext>
              </a:extLst>
            </xdr:cNvPr>
            <xdr:cNvPicPr>
              <a:picLocks noChangeAspect="1"/>
            </xdr:cNvPicPr>
          </xdr:nvPicPr>
          <xdr:blipFill>
            <a:blip xmlns:r="http://schemas.openxmlformats.org/officeDocument/2006/relationships" r:embed="rId46" cstate="screen">
              <a:extLst>
                <a:ext uri="{28A0092B-C50C-407E-A947-70E740481C1C}">
                  <a14:useLocalDpi xmlns:a14="http://schemas.microsoft.com/office/drawing/2010/main"/>
                </a:ext>
              </a:extLst>
            </a:blip>
            <a:stretch>
              <a:fillRect/>
            </a:stretch>
          </xdr:blipFill>
          <xdr:spPr>
            <a:xfrm>
              <a:off x="5126415" y="360263"/>
              <a:ext cx="1485000" cy="1980000"/>
            </a:xfrm>
            <a:prstGeom prst="rect">
              <a:avLst/>
            </a:prstGeom>
            <a:ln>
              <a:solidFill>
                <a:schemeClr val="tx1"/>
              </a:solidFill>
            </a:ln>
          </xdr:spPr>
        </xdr:pic>
        <xdr:pic>
          <xdr:nvPicPr>
            <xdr:cNvPr id="212" name="Picture 211">
              <a:extLst>
                <a:ext uri="{FF2B5EF4-FFF2-40B4-BE49-F238E27FC236}">
                  <a16:creationId xmlns:a16="http://schemas.microsoft.com/office/drawing/2014/main" id="{89E9BC5D-081F-476C-A856-4008AA33B8B3}"/>
                </a:ext>
              </a:extLst>
            </xdr:cNvPr>
            <xdr:cNvPicPr>
              <a:picLocks noChangeAspect="1"/>
            </xdr:cNvPicPr>
          </xdr:nvPicPr>
          <xdr:blipFill>
            <a:blip xmlns:r="http://schemas.openxmlformats.org/officeDocument/2006/relationships" r:embed="rId47" cstate="screen">
              <a:extLst>
                <a:ext uri="{28A0092B-C50C-407E-A947-70E740481C1C}">
                  <a14:useLocalDpi xmlns:a14="http://schemas.microsoft.com/office/drawing/2010/main"/>
                </a:ext>
              </a:extLst>
            </a:blip>
            <a:stretch>
              <a:fillRect/>
            </a:stretch>
          </xdr:blipFill>
          <xdr:spPr>
            <a:xfrm>
              <a:off x="245558" y="2428875"/>
              <a:ext cx="1485000" cy="1980000"/>
            </a:xfrm>
            <a:prstGeom prst="rect">
              <a:avLst/>
            </a:prstGeom>
            <a:ln>
              <a:solidFill>
                <a:schemeClr val="tx1"/>
              </a:solidFill>
            </a:ln>
          </xdr:spPr>
        </xdr:pic>
        <xdr:pic>
          <xdr:nvPicPr>
            <xdr:cNvPr id="213" name="Picture 212">
              <a:extLst>
                <a:ext uri="{FF2B5EF4-FFF2-40B4-BE49-F238E27FC236}">
                  <a16:creationId xmlns:a16="http://schemas.microsoft.com/office/drawing/2014/main" id="{0DA7DD61-8277-4203-A581-86ACAD9698EA}"/>
                </a:ext>
              </a:extLst>
            </xdr:cNvPr>
            <xdr:cNvPicPr>
              <a:picLocks noChangeAspect="1"/>
            </xdr:cNvPicPr>
          </xdr:nvPicPr>
          <xdr:blipFill>
            <a:blip xmlns:r="http://schemas.openxmlformats.org/officeDocument/2006/relationships" r:embed="rId48" cstate="screen">
              <a:extLst>
                <a:ext uri="{28A0092B-C50C-407E-A947-70E740481C1C}">
                  <a14:useLocalDpi xmlns:a14="http://schemas.microsoft.com/office/drawing/2010/main"/>
                </a:ext>
              </a:extLst>
            </a:blip>
            <a:stretch>
              <a:fillRect/>
            </a:stretch>
          </xdr:blipFill>
          <xdr:spPr>
            <a:xfrm>
              <a:off x="1869761" y="2428875"/>
              <a:ext cx="1485000" cy="1980000"/>
            </a:xfrm>
            <a:prstGeom prst="rect">
              <a:avLst/>
            </a:prstGeom>
            <a:ln>
              <a:solidFill>
                <a:schemeClr val="tx1"/>
              </a:solidFill>
            </a:ln>
          </xdr:spPr>
        </xdr:pic>
        <xdr:pic>
          <xdr:nvPicPr>
            <xdr:cNvPr id="214" name="Picture 213">
              <a:extLst>
                <a:ext uri="{FF2B5EF4-FFF2-40B4-BE49-F238E27FC236}">
                  <a16:creationId xmlns:a16="http://schemas.microsoft.com/office/drawing/2014/main" id="{C183743E-172E-4CBB-B951-2D87C89305B6}"/>
                </a:ext>
              </a:extLst>
            </xdr:cNvPr>
            <xdr:cNvPicPr>
              <a:picLocks noChangeAspect="1"/>
            </xdr:cNvPicPr>
          </xdr:nvPicPr>
          <xdr:blipFill>
            <a:blip xmlns:r="http://schemas.openxmlformats.org/officeDocument/2006/relationships" r:embed="rId49" cstate="screen">
              <a:extLst>
                <a:ext uri="{28A0092B-C50C-407E-A947-70E740481C1C}">
                  <a14:useLocalDpi xmlns:a14="http://schemas.microsoft.com/office/drawing/2010/main"/>
                </a:ext>
              </a:extLst>
            </a:blip>
            <a:stretch>
              <a:fillRect/>
            </a:stretch>
          </xdr:blipFill>
          <xdr:spPr>
            <a:xfrm>
              <a:off x="3494349" y="2428875"/>
              <a:ext cx="1485000" cy="1980000"/>
            </a:xfrm>
            <a:prstGeom prst="rect">
              <a:avLst/>
            </a:prstGeom>
            <a:ln>
              <a:solidFill>
                <a:schemeClr val="tx1"/>
              </a:solidFill>
            </a:ln>
          </xdr:spPr>
        </xdr:pic>
        <xdr:pic>
          <xdr:nvPicPr>
            <xdr:cNvPr id="215" name="Picture 214">
              <a:extLst>
                <a:ext uri="{FF2B5EF4-FFF2-40B4-BE49-F238E27FC236}">
                  <a16:creationId xmlns:a16="http://schemas.microsoft.com/office/drawing/2014/main" id="{95E2D87A-A5B4-4ED8-B842-D681F2C81783}"/>
                </a:ext>
              </a:extLst>
            </xdr:cNvPr>
            <xdr:cNvPicPr>
              <a:picLocks noChangeAspect="1"/>
            </xdr:cNvPicPr>
          </xdr:nvPicPr>
          <xdr:blipFill>
            <a:blip xmlns:r="http://schemas.openxmlformats.org/officeDocument/2006/relationships" r:embed="rId50" cstate="screen">
              <a:extLst>
                <a:ext uri="{28A0092B-C50C-407E-A947-70E740481C1C}">
                  <a14:useLocalDpi xmlns:a14="http://schemas.microsoft.com/office/drawing/2010/main"/>
                </a:ext>
              </a:extLst>
            </a:blip>
            <a:stretch>
              <a:fillRect/>
            </a:stretch>
          </xdr:blipFill>
          <xdr:spPr>
            <a:xfrm>
              <a:off x="5118937" y="2428875"/>
              <a:ext cx="1485000" cy="1980000"/>
            </a:xfrm>
            <a:prstGeom prst="rect">
              <a:avLst/>
            </a:prstGeom>
            <a:ln>
              <a:solidFill>
                <a:schemeClr val="tx1"/>
              </a:solidFill>
            </a:ln>
          </xdr:spPr>
        </xdr:pic>
        <xdr:pic>
          <xdr:nvPicPr>
            <xdr:cNvPr id="216" name="Picture 215">
              <a:extLst>
                <a:ext uri="{FF2B5EF4-FFF2-40B4-BE49-F238E27FC236}">
                  <a16:creationId xmlns:a16="http://schemas.microsoft.com/office/drawing/2014/main" id="{B9F2EB55-5C1E-4A10-A065-CE6D01FD858C}"/>
                </a:ext>
              </a:extLst>
            </xdr:cNvPr>
            <xdr:cNvPicPr>
              <a:picLocks noChangeAspect="1"/>
            </xdr:cNvPicPr>
          </xdr:nvPicPr>
          <xdr:blipFill>
            <a:blip xmlns:r="http://schemas.openxmlformats.org/officeDocument/2006/relationships" r:embed="rId51" cstate="screen">
              <a:extLst>
                <a:ext uri="{28A0092B-C50C-407E-A947-70E740481C1C}">
                  <a14:useLocalDpi xmlns:a14="http://schemas.microsoft.com/office/drawing/2010/main"/>
                </a:ext>
              </a:extLst>
            </a:blip>
            <a:stretch>
              <a:fillRect/>
            </a:stretch>
          </xdr:blipFill>
          <xdr:spPr>
            <a:xfrm>
              <a:off x="245558" y="4497075"/>
              <a:ext cx="2400000" cy="1800000"/>
            </a:xfrm>
            <a:prstGeom prst="rect">
              <a:avLst/>
            </a:prstGeom>
            <a:ln>
              <a:solidFill>
                <a:schemeClr val="tx1"/>
              </a:solidFill>
            </a:ln>
          </xdr:spPr>
        </xdr:pic>
        <xdr:pic>
          <xdr:nvPicPr>
            <xdr:cNvPr id="217" name="Picture 216">
              <a:extLst>
                <a:ext uri="{FF2B5EF4-FFF2-40B4-BE49-F238E27FC236}">
                  <a16:creationId xmlns:a16="http://schemas.microsoft.com/office/drawing/2014/main" id="{CCE5EF8E-E135-4508-A0DB-1F8A3D6127CA}"/>
                </a:ext>
              </a:extLst>
            </xdr:cNvPr>
            <xdr:cNvPicPr>
              <a:picLocks noChangeAspect="1"/>
            </xdr:cNvPicPr>
          </xdr:nvPicPr>
          <xdr:blipFill>
            <a:blip xmlns:r="http://schemas.openxmlformats.org/officeDocument/2006/relationships" r:embed="rId52" cstate="screen">
              <a:extLst>
                <a:ext uri="{28A0092B-C50C-407E-A947-70E740481C1C}">
                  <a14:useLocalDpi xmlns:a14="http://schemas.microsoft.com/office/drawing/2010/main"/>
                </a:ext>
              </a:extLst>
            </a:blip>
            <a:stretch>
              <a:fillRect/>
            </a:stretch>
          </xdr:blipFill>
          <xdr:spPr>
            <a:xfrm>
              <a:off x="2754000" y="4497075"/>
              <a:ext cx="1350000" cy="1800000"/>
            </a:xfrm>
            <a:prstGeom prst="rect">
              <a:avLst/>
            </a:prstGeom>
            <a:ln>
              <a:solidFill>
                <a:schemeClr val="tx1"/>
              </a:solidFill>
            </a:ln>
          </xdr:spPr>
        </xdr:pic>
        <xdr:pic>
          <xdr:nvPicPr>
            <xdr:cNvPr id="218" name="Picture 217">
              <a:extLst>
                <a:ext uri="{FF2B5EF4-FFF2-40B4-BE49-F238E27FC236}">
                  <a16:creationId xmlns:a16="http://schemas.microsoft.com/office/drawing/2014/main" id="{88CBBEAF-0F21-429F-A5E7-C6E1AC46390B}"/>
                </a:ext>
              </a:extLst>
            </xdr:cNvPr>
            <xdr:cNvPicPr>
              <a:picLocks noChangeAspect="1"/>
            </xdr:cNvPicPr>
          </xdr:nvPicPr>
          <xdr:blipFill>
            <a:blip xmlns:r="http://schemas.openxmlformats.org/officeDocument/2006/relationships" r:embed="rId53" cstate="screen">
              <a:extLst>
                <a:ext uri="{28A0092B-C50C-407E-A947-70E740481C1C}">
                  <a14:useLocalDpi xmlns:a14="http://schemas.microsoft.com/office/drawing/2010/main"/>
                </a:ext>
              </a:extLst>
            </a:blip>
            <a:stretch>
              <a:fillRect/>
            </a:stretch>
          </xdr:blipFill>
          <xdr:spPr>
            <a:xfrm>
              <a:off x="4215931" y="4497075"/>
              <a:ext cx="2396666" cy="1800000"/>
            </a:xfrm>
            <a:prstGeom prst="rect">
              <a:avLst/>
            </a:prstGeom>
            <a:ln>
              <a:solidFill>
                <a:schemeClr val="tx1"/>
              </a:solidFill>
            </a:ln>
          </xdr:spPr>
        </xdr:pic>
        <xdr:pic>
          <xdr:nvPicPr>
            <xdr:cNvPr id="219" name="Picture 218">
              <a:extLst>
                <a:ext uri="{FF2B5EF4-FFF2-40B4-BE49-F238E27FC236}">
                  <a16:creationId xmlns:a16="http://schemas.microsoft.com/office/drawing/2014/main" id="{72951020-6496-4EE6-974B-728333205609}"/>
                </a:ext>
              </a:extLst>
            </xdr:cNvPr>
            <xdr:cNvPicPr>
              <a:picLocks noChangeAspect="1"/>
            </xdr:cNvPicPr>
          </xdr:nvPicPr>
          <xdr:blipFill>
            <a:blip xmlns:r="http://schemas.openxmlformats.org/officeDocument/2006/relationships" r:embed="rId54" cstate="screen">
              <a:extLst>
                <a:ext uri="{28A0092B-C50C-407E-A947-70E740481C1C}">
                  <a14:useLocalDpi xmlns:a14="http://schemas.microsoft.com/office/drawing/2010/main"/>
                </a:ext>
              </a:extLst>
            </a:blip>
            <a:stretch>
              <a:fillRect/>
            </a:stretch>
          </xdr:blipFill>
          <xdr:spPr>
            <a:xfrm>
              <a:off x="2230566" y="6385275"/>
              <a:ext cx="1078500" cy="1440000"/>
            </a:xfrm>
            <a:prstGeom prst="rect">
              <a:avLst/>
            </a:prstGeom>
            <a:ln>
              <a:solidFill>
                <a:schemeClr val="tx1"/>
              </a:solidFill>
            </a:ln>
          </xdr:spPr>
        </xdr:pic>
        <xdr:pic>
          <xdr:nvPicPr>
            <xdr:cNvPr id="220" name="Picture 219">
              <a:extLst>
                <a:ext uri="{FF2B5EF4-FFF2-40B4-BE49-F238E27FC236}">
                  <a16:creationId xmlns:a16="http://schemas.microsoft.com/office/drawing/2014/main" id="{5B74D3B8-2101-4948-A98F-EBB0E4F85E0A}"/>
                </a:ext>
              </a:extLst>
            </xdr:cNvPr>
            <xdr:cNvPicPr>
              <a:picLocks noChangeAspect="1"/>
            </xdr:cNvPicPr>
          </xdr:nvPicPr>
          <xdr:blipFill>
            <a:blip xmlns:r="http://schemas.openxmlformats.org/officeDocument/2006/relationships" r:embed="rId55" cstate="screen">
              <a:extLst>
                <a:ext uri="{28A0092B-C50C-407E-A947-70E740481C1C}">
                  <a14:useLocalDpi xmlns:a14="http://schemas.microsoft.com/office/drawing/2010/main"/>
                </a:ext>
              </a:extLst>
            </a:blip>
            <a:stretch>
              <a:fillRect/>
            </a:stretch>
          </xdr:blipFill>
          <xdr:spPr>
            <a:xfrm>
              <a:off x="3429000" y="6385275"/>
              <a:ext cx="1078500" cy="1440000"/>
            </a:xfrm>
            <a:prstGeom prst="rect">
              <a:avLst/>
            </a:prstGeom>
            <a:ln>
              <a:solidFill>
                <a:schemeClr val="tx1"/>
              </a:solidFill>
            </a:ln>
          </xdr:spPr>
        </xdr:pic>
      </xdr:grpSp>
      <xdr:sp macro="" textlink="">
        <xdr:nvSpPr>
          <xdr:cNvPr id="198" name="TextBox 33">
            <a:extLst>
              <a:ext uri="{FF2B5EF4-FFF2-40B4-BE49-F238E27FC236}">
                <a16:creationId xmlns:a16="http://schemas.microsoft.com/office/drawing/2014/main" id="{DCBD6AF4-9610-4D0D-891D-EA8A3E0E8712}"/>
              </a:ext>
            </a:extLst>
          </xdr:cNvPr>
          <xdr:cNvSpPr txBox="1"/>
        </xdr:nvSpPr>
        <xdr:spPr>
          <a:xfrm>
            <a:off x="919719" y="-249337"/>
            <a:ext cx="1251625"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D11 to D12</a:t>
            </a:r>
            <a:endParaRPr lang="en-IN" b="1">
              <a:solidFill>
                <a:srgbClr val="FF0000"/>
              </a:solidFill>
            </a:endParaRPr>
          </a:p>
        </xdr:txBody>
      </xdr:sp>
      <xdr:sp macro="" textlink="">
        <xdr:nvSpPr>
          <xdr:cNvPr id="199" name="TextBox 72">
            <a:extLst>
              <a:ext uri="{FF2B5EF4-FFF2-40B4-BE49-F238E27FC236}">
                <a16:creationId xmlns:a16="http://schemas.microsoft.com/office/drawing/2014/main" id="{29AEF9A5-A80D-4CB9-9798-428ACF18EB9E}"/>
              </a:ext>
            </a:extLst>
          </xdr:cNvPr>
          <xdr:cNvSpPr txBox="1"/>
        </xdr:nvSpPr>
        <xdr:spPr>
          <a:xfrm>
            <a:off x="1878866" y="360263"/>
            <a:ext cx="1184299"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E11 to E12</a:t>
            </a:r>
            <a:endParaRPr lang="en-IN" b="1">
              <a:solidFill>
                <a:srgbClr val="FF0000"/>
              </a:solidFill>
            </a:endParaRPr>
          </a:p>
        </xdr:txBody>
      </xdr:sp>
      <xdr:sp macro="" textlink="">
        <xdr:nvSpPr>
          <xdr:cNvPr id="200" name="TextBox 73">
            <a:extLst>
              <a:ext uri="{FF2B5EF4-FFF2-40B4-BE49-F238E27FC236}">
                <a16:creationId xmlns:a16="http://schemas.microsoft.com/office/drawing/2014/main" id="{78098D3A-EB68-4B1D-B12F-FCAE313F15F4}"/>
              </a:ext>
            </a:extLst>
          </xdr:cNvPr>
          <xdr:cNvSpPr txBox="1"/>
        </xdr:nvSpPr>
        <xdr:spPr>
          <a:xfrm>
            <a:off x="3517993" y="330855"/>
            <a:ext cx="1184299"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E13 to E14</a:t>
            </a:r>
            <a:endParaRPr lang="en-IN" b="1">
              <a:solidFill>
                <a:srgbClr val="FF0000"/>
              </a:solidFill>
            </a:endParaRPr>
          </a:p>
        </xdr:txBody>
      </xdr:sp>
      <xdr:sp macro="" textlink="">
        <xdr:nvSpPr>
          <xdr:cNvPr id="201" name="TextBox 74">
            <a:extLst>
              <a:ext uri="{FF2B5EF4-FFF2-40B4-BE49-F238E27FC236}">
                <a16:creationId xmlns:a16="http://schemas.microsoft.com/office/drawing/2014/main" id="{63F7D90A-D8B0-45D2-9791-543619AB6A2A}"/>
              </a:ext>
            </a:extLst>
          </xdr:cNvPr>
          <xdr:cNvSpPr txBox="1"/>
        </xdr:nvSpPr>
        <xdr:spPr>
          <a:xfrm>
            <a:off x="5297621" y="288846"/>
            <a:ext cx="1184299"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E15 to E16</a:t>
            </a:r>
            <a:endParaRPr lang="en-IN" b="1">
              <a:solidFill>
                <a:srgbClr val="FF0000"/>
              </a:solidFill>
            </a:endParaRPr>
          </a:p>
        </xdr:txBody>
      </xdr:sp>
      <xdr:sp macro="" textlink="">
        <xdr:nvSpPr>
          <xdr:cNvPr id="202" name="TextBox 75">
            <a:extLst>
              <a:ext uri="{FF2B5EF4-FFF2-40B4-BE49-F238E27FC236}">
                <a16:creationId xmlns:a16="http://schemas.microsoft.com/office/drawing/2014/main" id="{3981F6C7-392F-43DA-BFF0-3CE1EC58F7A9}"/>
              </a:ext>
            </a:extLst>
          </xdr:cNvPr>
          <xdr:cNvSpPr txBox="1"/>
        </xdr:nvSpPr>
        <xdr:spPr>
          <a:xfrm>
            <a:off x="394877" y="2428875"/>
            <a:ext cx="1171475"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F15 to F16</a:t>
            </a:r>
            <a:endParaRPr lang="en-IN" b="1">
              <a:solidFill>
                <a:srgbClr val="FF0000"/>
              </a:solidFill>
            </a:endParaRPr>
          </a:p>
        </xdr:txBody>
      </xdr:sp>
      <xdr:sp macro="" textlink="">
        <xdr:nvSpPr>
          <xdr:cNvPr id="203" name="TextBox 76">
            <a:extLst>
              <a:ext uri="{FF2B5EF4-FFF2-40B4-BE49-F238E27FC236}">
                <a16:creationId xmlns:a16="http://schemas.microsoft.com/office/drawing/2014/main" id="{865DCD4C-63FA-4DFF-B5A3-E84AB758CB9F}"/>
              </a:ext>
            </a:extLst>
          </xdr:cNvPr>
          <xdr:cNvSpPr txBox="1"/>
        </xdr:nvSpPr>
        <xdr:spPr>
          <a:xfrm>
            <a:off x="2137591" y="2385864"/>
            <a:ext cx="1171475"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F17 to F18</a:t>
            </a:r>
            <a:endParaRPr lang="en-IN" b="1">
              <a:solidFill>
                <a:srgbClr val="FF0000"/>
              </a:solidFill>
            </a:endParaRPr>
          </a:p>
        </xdr:txBody>
      </xdr:sp>
      <xdr:sp macro="" textlink="">
        <xdr:nvSpPr>
          <xdr:cNvPr id="204" name="TextBox 77">
            <a:extLst>
              <a:ext uri="{FF2B5EF4-FFF2-40B4-BE49-F238E27FC236}">
                <a16:creationId xmlns:a16="http://schemas.microsoft.com/office/drawing/2014/main" id="{AA1D3906-B06D-448F-A1E8-CA9BEA2285EA}"/>
              </a:ext>
            </a:extLst>
          </xdr:cNvPr>
          <xdr:cNvSpPr txBox="1"/>
        </xdr:nvSpPr>
        <xdr:spPr>
          <a:xfrm>
            <a:off x="3761794" y="2428875"/>
            <a:ext cx="1171475"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F19 to F20</a:t>
            </a:r>
            <a:endParaRPr lang="en-IN" b="1">
              <a:solidFill>
                <a:srgbClr val="FF0000"/>
              </a:solidFill>
            </a:endParaRPr>
          </a:p>
        </xdr:txBody>
      </xdr:sp>
      <xdr:sp macro="" textlink="">
        <xdr:nvSpPr>
          <xdr:cNvPr id="205" name="TextBox 78">
            <a:extLst>
              <a:ext uri="{FF2B5EF4-FFF2-40B4-BE49-F238E27FC236}">
                <a16:creationId xmlns:a16="http://schemas.microsoft.com/office/drawing/2014/main" id="{ECABC246-ECDD-4EC7-B25E-C849BFBC5456}"/>
              </a:ext>
            </a:extLst>
          </xdr:cNvPr>
          <xdr:cNvSpPr txBox="1"/>
        </xdr:nvSpPr>
        <xdr:spPr>
          <a:xfrm>
            <a:off x="5328280" y="2455868"/>
            <a:ext cx="1171475"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F21 to F22</a:t>
            </a:r>
            <a:endParaRPr lang="en-IN" b="1">
              <a:solidFill>
                <a:srgbClr val="FF0000"/>
              </a:solidFill>
            </a:endParaRPr>
          </a:p>
        </xdr:txBody>
      </xdr:sp>
      <xdr:sp macro="" textlink="">
        <xdr:nvSpPr>
          <xdr:cNvPr id="206" name="TextBox 79">
            <a:extLst>
              <a:ext uri="{FF2B5EF4-FFF2-40B4-BE49-F238E27FC236}">
                <a16:creationId xmlns:a16="http://schemas.microsoft.com/office/drawing/2014/main" id="{913157DB-5803-408C-8806-AA1450DC2E3F}"/>
              </a:ext>
            </a:extLst>
          </xdr:cNvPr>
          <xdr:cNvSpPr txBox="1"/>
        </xdr:nvSpPr>
        <xdr:spPr>
          <a:xfrm>
            <a:off x="634113" y="4559350"/>
            <a:ext cx="125483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G15 to G22</a:t>
            </a:r>
            <a:endParaRPr lang="en-IN" b="1">
              <a:solidFill>
                <a:srgbClr val="FF0000"/>
              </a:solidFill>
            </a:endParaRPr>
          </a:p>
        </xdr:txBody>
      </xdr:sp>
      <xdr:sp macro="" textlink="">
        <xdr:nvSpPr>
          <xdr:cNvPr id="207" name="TextBox 82">
            <a:extLst>
              <a:ext uri="{FF2B5EF4-FFF2-40B4-BE49-F238E27FC236}">
                <a16:creationId xmlns:a16="http://schemas.microsoft.com/office/drawing/2014/main" id="{6819EDBB-5FE8-4745-B1E4-261F53BEC32C}"/>
              </a:ext>
            </a:extLst>
          </xdr:cNvPr>
          <xdr:cNvSpPr txBox="1"/>
        </xdr:nvSpPr>
        <xdr:spPr>
          <a:xfrm>
            <a:off x="2727345" y="4497075"/>
            <a:ext cx="564578"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H17</a:t>
            </a:r>
            <a:endParaRPr lang="en-IN" b="1">
              <a:solidFill>
                <a:srgbClr val="FF0000"/>
              </a:solidFill>
            </a:endParaRPr>
          </a:p>
        </xdr:txBody>
      </xdr:sp>
    </xdr:grpSp>
    <xdr:clientData/>
  </xdr:twoCellAnchor>
  <xdr:twoCellAnchor>
    <xdr:from>
      <xdr:col>1</xdr:col>
      <xdr:colOff>736456</xdr:colOff>
      <xdr:row>507</xdr:row>
      <xdr:rowOff>152400</xdr:rowOff>
    </xdr:from>
    <xdr:to>
      <xdr:col>5</xdr:col>
      <xdr:colOff>165295</xdr:colOff>
      <xdr:row>523</xdr:row>
      <xdr:rowOff>192000</xdr:rowOff>
    </xdr:to>
    <xdr:grpSp>
      <xdr:nvGrpSpPr>
        <xdr:cNvPr id="233" name="Group 232">
          <a:extLst>
            <a:ext uri="{FF2B5EF4-FFF2-40B4-BE49-F238E27FC236}">
              <a16:creationId xmlns:a16="http://schemas.microsoft.com/office/drawing/2014/main" id="{90C80447-E7A1-4A54-8C36-CB49530B8CD6}"/>
            </a:ext>
          </a:extLst>
        </xdr:cNvPr>
        <xdr:cNvGrpSpPr/>
      </xdr:nvGrpSpPr>
      <xdr:grpSpPr>
        <a:xfrm>
          <a:off x="1536556" y="111264700"/>
          <a:ext cx="2864189" cy="3189200"/>
          <a:chOff x="1547813" y="695325"/>
          <a:chExt cx="2946140" cy="3240000"/>
        </a:xfrm>
      </xdr:grpSpPr>
      <xdr:pic>
        <xdr:nvPicPr>
          <xdr:cNvPr id="234" name="Picture 233">
            <a:extLst>
              <a:ext uri="{FF2B5EF4-FFF2-40B4-BE49-F238E27FC236}">
                <a16:creationId xmlns:a16="http://schemas.microsoft.com/office/drawing/2014/main" id="{E32D5CA8-F73D-20CA-5E97-ABDFDE6BA0E9}"/>
              </a:ext>
            </a:extLst>
          </xdr:cNvPr>
          <xdr:cNvPicPr>
            <a:picLocks noChangeAspect="1"/>
          </xdr:cNvPicPr>
        </xdr:nvPicPr>
        <xdr:blipFill>
          <a:blip xmlns:r="http://schemas.openxmlformats.org/officeDocument/2006/relationships" r:embed="rId56"/>
          <a:stretch>
            <a:fillRect/>
          </a:stretch>
        </xdr:blipFill>
        <xdr:spPr>
          <a:xfrm>
            <a:off x="1547813" y="695325"/>
            <a:ext cx="2946140" cy="3240000"/>
          </a:xfrm>
          <a:prstGeom prst="rect">
            <a:avLst/>
          </a:prstGeom>
          <a:ln>
            <a:solidFill>
              <a:schemeClr val="tx1"/>
            </a:solidFill>
          </a:ln>
        </xdr:spPr>
      </xdr:pic>
      <xdr:sp macro="" textlink="">
        <xdr:nvSpPr>
          <xdr:cNvPr id="235" name="Freeform 38">
            <a:extLst>
              <a:ext uri="{FF2B5EF4-FFF2-40B4-BE49-F238E27FC236}">
                <a16:creationId xmlns:a16="http://schemas.microsoft.com/office/drawing/2014/main" id="{5E7EF666-E0D8-B831-B692-10B889B6F4D2}"/>
              </a:ext>
            </a:extLst>
          </xdr:cNvPr>
          <xdr:cNvSpPr/>
        </xdr:nvSpPr>
        <xdr:spPr>
          <a:xfrm>
            <a:off x="2052762" y="1725930"/>
            <a:ext cx="871175" cy="1026795"/>
          </a:xfrm>
          <a:custGeom>
            <a:avLst/>
            <a:gdLst>
              <a:gd name="connsiteX0" fmla="*/ 327660 w 1051560"/>
              <a:gd name="connsiteY0" fmla="*/ 0 h 1310640"/>
              <a:gd name="connsiteX1" fmla="*/ 320040 w 1051560"/>
              <a:gd name="connsiteY1" fmla="*/ 457200 h 1310640"/>
              <a:gd name="connsiteX2" fmla="*/ 266700 w 1051560"/>
              <a:gd name="connsiteY2" fmla="*/ 601980 h 1310640"/>
              <a:gd name="connsiteX3" fmla="*/ 160020 w 1051560"/>
              <a:gd name="connsiteY3" fmla="*/ 1005840 h 1310640"/>
              <a:gd name="connsiteX4" fmla="*/ 114300 w 1051560"/>
              <a:gd name="connsiteY4" fmla="*/ 906780 h 1310640"/>
              <a:gd name="connsiteX5" fmla="*/ 45720 w 1051560"/>
              <a:gd name="connsiteY5" fmla="*/ 731520 h 1310640"/>
              <a:gd name="connsiteX6" fmla="*/ 0 w 1051560"/>
              <a:gd name="connsiteY6" fmla="*/ 1066800 h 1310640"/>
              <a:gd name="connsiteX7" fmla="*/ 137160 w 1051560"/>
              <a:gd name="connsiteY7" fmla="*/ 1059180 h 1310640"/>
              <a:gd name="connsiteX8" fmla="*/ 106680 w 1051560"/>
              <a:gd name="connsiteY8" fmla="*/ 1203960 h 1310640"/>
              <a:gd name="connsiteX9" fmla="*/ 441960 w 1051560"/>
              <a:gd name="connsiteY9" fmla="*/ 1135380 h 1310640"/>
              <a:gd name="connsiteX10" fmla="*/ 518160 w 1051560"/>
              <a:gd name="connsiteY10" fmla="*/ 1203960 h 1310640"/>
              <a:gd name="connsiteX11" fmla="*/ 731520 w 1051560"/>
              <a:gd name="connsiteY11" fmla="*/ 1211580 h 1310640"/>
              <a:gd name="connsiteX12" fmla="*/ 960120 w 1051560"/>
              <a:gd name="connsiteY12" fmla="*/ 1310640 h 1310640"/>
              <a:gd name="connsiteX13" fmla="*/ 952500 w 1051560"/>
              <a:gd name="connsiteY13" fmla="*/ 1226820 h 1310640"/>
              <a:gd name="connsiteX14" fmla="*/ 1051560 w 1051560"/>
              <a:gd name="connsiteY14" fmla="*/ 1203960 h 1310640"/>
              <a:gd name="connsiteX15" fmla="*/ 1005840 w 1051560"/>
              <a:gd name="connsiteY15" fmla="*/ 1135380 h 1310640"/>
              <a:gd name="connsiteX16" fmla="*/ 967740 w 1051560"/>
              <a:gd name="connsiteY16" fmla="*/ 739140 h 1310640"/>
              <a:gd name="connsiteX17" fmla="*/ 944880 w 1051560"/>
              <a:gd name="connsiteY17" fmla="*/ 685800 h 1310640"/>
              <a:gd name="connsiteX18" fmla="*/ 982980 w 1051560"/>
              <a:gd name="connsiteY18" fmla="*/ 480060 h 1310640"/>
              <a:gd name="connsiteX19" fmla="*/ 967740 w 1051560"/>
              <a:gd name="connsiteY19" fmla="*/ 83820 h 1310640"/>
              <a:gd name="connsiteX20" fmla="*/ 579120 w 1051560"/>
              <a:gd name="connsiteY20" fmla="*/ 7620 h 1310640"/>
              <a:gd name="connsiteX21" fmla="*/ 327660 w 1051560"/>
              <a:gd name="connsiteY21" fmla="*/ 0 h 131064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1051560" h="1310640">
                <a:moveTo>
                  <a:pt x="327660" y="0"/>
                </a:moveTo>
                <a:lnTo>
                  <a:pt x="320040" y="457200"/>
                </a:lnTo>
                <a:lnTo>
                  <a:pt x="266700" y="601980"/>
                </a:lnTo>
                <a:lnTo>
                  <a:pt x="160020" y="1005840"/>
                </a:lnTo>
                <a:lnTo>
                  <a:pt x="114300" y="906780"/>
                </a:lnTo>
                <a:lnTo>
                  <a:pt x="45720" y="731520"/>
                </a:lnTo>
                <a:lnTo>
                  <a:pt x="0" y="1066800"/>
                </a:lnTo>
                <a:lnTo>
                  <a:pt x="137160" y="1059180"/>
                </a:lnTo>
                <a:lnTo>
                  <a:pt x="106680" y="1203960"/>
                </a:lnTo>
                <a:lnTo>
                  <a:pt x="441960" y="1135380"/>
                </a:lnTo>
                <a:lnTo>
                  <a:pt x="518160" y="1203960"/>
                </a:lnTo>
                <a:lnTo>
                  <a:pt x="731520" y="1211580"/>
                </a:lnTo>
                <a:lnTo>
                  <a:pt x="960120" y="1310640"/>
                </a:lnTo>
                <a:lnTo>
                  <a:pt x="952500" y="1226820"/>
                </a:lnTo>
                <a:lnTo>
                  <a:pt x="1051560" y="1203960"/>
                </a:lnTo>
                <a:lnTo>
                  <a:pt x="1005840" y="1135380"/>
                </a:lnTo>
                <a:lnTo>
                  <a:pt x="967740" y="739140"/>
                </a:lnTo>
                <a:lnTo>
                  <a:pt x="944880" y="685800"/>
                </a:lnTo>
                <a:lnTo>
                  <a:pt x="982980" y="480060"/>
                </a:lnTo>
                <a:lnTo>
                  <a:pt x="967740" y="83820"/>
                </a:lnTo>
                <a:lnTo>
                  <a:pt x="579120" y="7620"/>
                </a:lnTo>
                <a:lnTo>
                  <a:pt x="327660" y="0"/>
                </a:lnTo>
                <a:close/>
              </a:path>
            </a:pathLst>
          </a:cu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36" name="TextBox 26">
            <a:extLst>
              <a:ext uri="{FF2B5EF4-FFF2-40B4-BE49-F238E27FC236}">
                <a16:creationId xmlns:a16="http://schemas.microsoft.com/office/drawing/2014/main" id="{EB57A916-0E88-2CF5-6DB7-3525DFC4E946}"/>
              </a:ext>
            </a:extLst>
          </xdr:cNvPr>
          <xdr:cNvSpPr txBox="1"/>
        </xdr:nvSpPr>
        <xdr:spPr>
          <a:xfrm>
            <a:off x="1719553" y="3417570"/>
            <a:ext cx="33374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N</a:t>
            </a:r>
            <a:endParaRPr lang="en-IN" b="1"/>
          </a:p>
        </xdr:txBody>
      </xdr:sp>
      <xdr:sp macro="" textlink="">
        <xdr:nvSpPr>
          <xdr:cNvPr id="237" name="Up Arrow 40">
            <a:extLst>
              <a:ext uri="{FF2B5EF4-FFF2-40B4-BE49-F238E27FC236}">
                <a16:creationId xmlns:a16="http://schemas.microsoft.com/office/drawing/2014/main" id="{1E588642-2504-BFC7-3667-F88A8D318A69}"/>
              </a:ext>
            </a:extLst>
          </xdr:cNvPr>
          <xdr:cNvSpPr/>
        </xdr:nvSpPr>
        <xdr:spPr>
          <a:xfrm>
            <a:off x="1756120" y="3150869"/>
            <a:ext cx="260614" cy="266701"/>
          </a:xfrm>
          <a:prstGeom prst="up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oneCellAnchor>
    <xdr:from>
      <xdr:col>1</xdr:col>
      <xdr:colOff>123825</xdr:colOff>
      <xdr:row>481</xdr:row>
      <xdr:rowOff>140830</xdr:rowOff>
    </xdr:from>
    <xdr:ext cx="4140000" cy="5051527"/>
    <xdr:pic>
      <xdr:nvPicPr>
        <xdr:cNvPr id="238" name="Picture 237">
          <a:extLst>
            <a:ext uri="{FF2B5EF4-FFF2-40B4-BE49-F238E27FC236}">
              <a16:creationId xmlns:a16="http://schemas.microsoft.com/office/drawing/2014/main" id="{4FE6FDE9-A5DA-4F5B-8374-D88CDAEB270C}"/>
            </a:ext>
          </a:extLst>
        </xdr:cNvPr>
        <xdr:cNvPicPr>
          <a:picLocks noChangeAspect="1"/>
        </xdr:cNvPicPr>
      </xdr:nvPicPr>
      <xdr:blipFill rotWithShape="1">
        <a:blip xmlns:r="http://schemas.openxmlformats.org/officeDocument/2006/relationships" r:embed="rId57" cstate="email">
          <a:extLst>
            <a:ext uri="{28A0092B-C50C-407E-A947-70E740481C1C}">
              <a14:useLocalDpi xmlns:a14="http://schemas.microsoft.com/office/drawing/2010/main"/>
            </a:ext>
          </a:extLst>
        </a:blip>
        <a:srcRect l="2685"/>
        <a:stretch/>
      </xdr:blipFill>
      <xdr:spPr>
        <a:xfrm rot="5400000">
          <a:off x="430061" y="94865519"/>
          <a:ext cx="5051527" cy="4140000"/>
        </a:xfrm>
        <a:prstGeom prst="rect">
          <a:avLst/>
        </a:prstGeom>
        <a:ln>
          <a:solidFill>
            <a:schemeClr val="tx1"/>
          </a:solidFill>
        </a:ln>
      </xdr:spPr>
    </xdr:pic>
    <xdr:clientData/>
  </xdr:oneCellAnchor>
  <xdr:twoCellAnchor>
    <xdr:from>
      <xdr:col>1</xdr:col>
      <xdr:colOff>323850</xdr:colOff>
      <xdr:row>485</xdr:row>
      <xdr:rowOff>121781</xdr:rowOff>
    </xdr:from>
    <xdr:to>
      <xdr:col>1</xdr:col>
      <xdr:colOff>630329</xdr:colOff>
      <xdr:row>487</xdr:row>
      <xdr:rowOff>91063</xdr:rowOff>
    </xdr:to>
    <xdr:sp macro="" textlink="">
      <xdr:nvSpPr>
        <xdr:cNvPr id="239" name="TextBox 26">
          <a:extLst>
            <a:ext uri="{FF2B5EF4-FFF2-40B4-BE49-F238E27FC236}">
              <a16:creationId xmlns:a16="http://schemas.microsoft.com/office/drawing/2014/main" id="{438412C6-A787-46B2-BC9C-089779C73713}"/>
            </a:ext>
          </a:extLst>
        </xdr:cNvPr>
        <xdr:cNvSpPr txBox="1"/>
      </xdr:nvSpPr>
      <xdr:spPr>
        <a:xfrm>
          <a:off x="1085850" y="95190806"/>
          <a:ext cx="306479" cy="36933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N</a:t>
          </a:r>
          <a:endParaRPr lang="en-IN" b="1"/>
        </a:p>
      </xdr:txBody>
    </xdr:sp>
    <xdr:clientData/>
  </xdr:twoCellAnchor>
  <xdr:twoCellAnchor>
    <xdr:from>
      <xdr:col>1</xdr:col>
      <xdr:colOff>357429</xdr:colOff>
      <xdr:row>484</xdr:row>
      <xdr:rowOff>55105</xdr:rowOff>
    </xdr:from>
    <xdr:to>
      <xdr:col>1</xdr:col>
      <xdr:colOff>596751</xdr:colOff>
      <xdr:row>485</xdr:row>
      <xdr:rowOff>121781</xdr:rowOff>
    </xdr:to>
    <xdr:sp macro="" textlink="">
      <xdr:nvSpPr>
        <xdr:cNvPr id="240" name="Up Arrow 48">
          <a:extLst>
            <a:ext uri="{FF2B5EF4-FFF2-40B4-BE49-F238E27FC236}">
              <a16:creationId xmlns:a16="http://schemas.microsoft.com/office/drawing/2014/main" id="{ED51EF45-06ED-4930-963D-253B3E4279E8}"/>
            </a:ext>
          </a:extLst>
        </xdr:cNvPr>
        <xdr:cNvSpPr/>
      </xdr:nvSpPr>
      <xdr:spPr>
        <a:xfrm>
          <a:off x="1119429" y="94924105"/>
          <a:ext cx="239322" cy="266701"/>
        </a:xfrm>
        <a:prstGeom prst="up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0</xdr:col>
      <xdr:colOff>654050</xdr:colOff>
      <xdr:row>438</xdr:row>
      <xdr:rowOff>133350</xdr:rowOff>
    </xdr:from>
    <xdr:to>
      <xdr:col>7</xdr:col>
      <xdr:colOff>734534</xdr:colOff>
      <xdr:row>461</xdr:row>
      <xdr:rowOff>70590</xdr:rowOff>
    </xdr:to>
    <xdr:grpSp>
      <xdr:nvGrpSpPr>
        <xdr:cNvPr id="2" name="Group 1"/>
        <xdr:cNvGrpSpPr/>
      </xdr:nvGrpSpPr>
      <xdr:grpSpPr>
        <a:xfrm>
          <a:off x="654050" y="99237800"/>
          <a:ext cx="5897084" cy="4464790"/>
          <a:chOff x="654050" y="99383850"/>
          <a:chExt cx="5897084" cy="4464790"/>
        </a:xfrm>
      </xdr:grpSpPr>
      <xdr:pic>
        <xdr:nvPicPr>
          <xdr:cNvPr id="268" name="Picture 267"/>
          <xdr:cNvPicPr>
            <a:picLocks noChangeAspect="1"/>
          </xdr:cNvPicPr>
        </xdr:nvPicPr>
        <xdr:blipFill>
          <a:blip xmlns:r="http://schemas.openxmlformats.org/officeDocument/2006/relationships" r:embed="rId58" cstate="print">
            <a:extLst>
              <a:ext uri="{28A0092B-C50C-407E-A947-70E740481C1C}">
                <a14:useLocalDpi xmlns:a14="http://schemas.microsoft.com/office/drawing/2010/main"/>
              </a:ext>
            </a:extLst>
          </a:blip>
          <a:stretch>
            <a:fillRect/>
          </a:stretch>
        </xdr:blipFill>
        <xdr:spPr>
          <a:xfrm>
            <a:off x="2866259" y="101688640"/>
            <a:ext cx="1617750" cy="2160000"/>
          </a:xfrm>
          <a:prstGeom prst="rect">
            <a:avLst/>
          </a:prstGeom>
          <a:ln>
            <a:solidFill>
              <a:schemeClr val="tx1"/>
            </a:solidFill>
          </a:ln>
        </xdr:spPr>
      </xdr:pic>
      <xdr:pic>
        <xdr:nvPicPr>
          <xdr:cNvPr id="269" name="Picture 268"/>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a:ext>
            </a:extLst>
          </a:blip>
          <a:stretch>
            <a:fillRect/>
          </a:stretch>
        </xdr:blipFill>
        <xdr:spPr>
          <a:xfrm>
            <a:off x="654050" y="99383850"/>
            <a:ext cx="2876000" cy="2160000"/>
          </a:xfrm>
          <a:prstGeom prst="rect">
            <a:avLst/>
          </a:prstGeom>
          <a:ln>
            <a:solidFill>
              <a:schemeClr val="tx1"/>
            </a:solidFill>
          </a:ln>
        </xdr:spPr>
      </xdr:pic>
      <xdr:pic>
        <xdr:nvPicPr>
          <xdr:cNvPr id="270" name="Picture 269"/>
          <xdr:cNvPicPr>
            <a:picLocks noChangeAspect="1"/>
          </xdr:cNvPicPr>
        </xdr:nvPicPr>
        <xdr:blipFill>
          <a:blip xmlns:r="http://schemas.openxmlformats.org/officeDocument/2006/relationships" r:embed="rId60" cstate="print">
            <a:extLst>
              <a:ext uri="{28A0092B-C50C-407E-A947-70E740481C1C}">
                <a14:useLocalDpi xmlns:a14="http://schemas.microsoft.com/office/drawing/2010/main"/>
              </a:ext>
            </a:extLst>
          </a:blip>
          <a:stretch>
            <a:fillRect/>
          </a:stretch>
        </xdr:blipFill>
        <xdr:spPr>
          <a:xfrm>
            <a:off x="3675134" y="99383850"/>
            <a:ext cx="2876000" cy="2160000"/>
          </a:xfrm>
          <a:prstGeom prst="rect">
            <a:avLst/>
          </a:prstGeom>
          <a:ln>
            <a:solidFill>
              <a:schemeClr val="tx1"/>
            </a:solidFill>
          </a:ln>
        </xdr:spPr>
      </xdr:pic>
    </xdr:grpSp>
    <xdr:clientData/>
  </xdr:twoCellAnchor>
  <xdr:oneCellAnchor>
    <xdr:from>
      <xdr:col>9</xdr:col>
      <xdr:colOff>260350</xdr:colOff>
      <xdr:row>340</xdr:row>
      <xdr:rowOff>12700</xdr:rowOff>
    </xdr:from>
    <xdr:ext cx="888961" cy="311496"/>
    <xdr:sp macro="" textlink="">
      <xdr:nvSpPr>
        <xdr:cNvPr id="3" name="TextBox 2"/>
        <xdr:cNvSpPr txBox="1"/>
      </xdr:nvSpPr>
      <xdr:spPr>
        <a:xfrm>
          <a:off x="8731250" y="79984600"/>
          <a:ext cx="88896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B9 to B16</a:t>
          </a:r>
        </a:p>
      </xdr:txBody>
    </xdr:sp>
    <xdr:clientData/>
  </xdr:oneCellAnchor>
  <xdr:twoCellAnchor>
    <xdr:from>
      <xdr:col>0</xdr:col>
      <xdr:colOff>444500</xdr:colOff>
      <xdr:row>346</xdr:row>
      <xdr:rowOff>133350</xdr:rowOff>
    </xdr:from>
    <xdr:to>
      <xdr:col>7</xdr:col>
      <xdr:colOff>1010771</xdr:colOff>
      <xdr:row>386</xdr:row>
      <xdr:rowOff>43624</xdr:rowOff>
    </xdr:to>
    <xdr:grpSp>
      <xdr:nvGrpSpPr>
        <xdr:cNvPr id="4" name="Group 3"/>
        <xdr:cNvGrpSpPr/>
      </xdr:nvGrpSpPr>
      <xdr:grpSpPr>
        <a:xfrm>
          <a:off x="444500" y="81140300"/>
          <a:ext cx="6382871" cy="7777924"/>
          <a:chOff x="444500" y="81286350"/>
          <a:chExt cx="6382871" cy="7777924"/>
        </a:xfrm>
      </xdr:grpSpPr>
      <xdr:pic>
        <xdr:nvPicPr>
          <xdr:cNvPr id="221" name="Picture 220"/>
          <xdr:cNvPicPr>
            <a:picLocks noChangeAspect="1"/>
          </xdr:cNvPicPr>
        </xdr:nvPicPr>
        <xdr:blipFill>
          <a:blip xmlns:r="http://schemas.openxmlformats.org/officeDocument/2006/relationships" r:embed="rId61" cstate="print">
            <a:extLst>
              <a:ext uri="{28A0092B-C50C-407E-A947-70E740481C1C}">
                <a14:useLocalDpi xmlns:a14="http://schemas.microsoft.com/office/drawing/2010/main"/>
              </a:ext>
            </a:extLst>
          </a:blip>
          <a:stretch>
            <a:fillRect/>
          </a:stretch>
        </xdr:blipFill>
        <xdr:spPr>
          <a:xfrm>
            <a:off x="660327" y="81286350"/>
            <a:ext cx="2876000" cy="2160000"/>
          </a:xfrm>
          <a:prstGeom prst="rect">
            <a:avLst/>
          </a:prstGeom>
          <a:ln>
            <a:solidFill>
              <a:schemeClr val="tx1"/>
            </a:solidFill>
          </a:ln>
        </xdr:spPr>
      </xdr:pic>
      <xdr:pic>
        <xdr:nvPicPr>
          <xdr:cNvPr id="224" name="Picture 223"/>
          <xdr:cNvPicPr>
            <a:picLocks noChangeAspect="1"/>
          </xdr:cNvPicPr>
        </xdr:nvPicPr>
        <xdr:blipFill>
          <a:blip xmlns:r="http://schemas.openxmlformats.org/officeDocument/2006/relationships" r:embed="rId62" cstate="print">
            <a:extLst>
              <a:ext uri="{28A0092B-C50C-407E-A947-70E740481C1C}">
                <a14:useLocalDpi xmlns:a14="http://schemas.microsoft.com/office/drawing/2010/main"/>
              </a:ext>
            </a:extLst>
          </a:blip>
          <a:stretch>
            <a:fillRect/>
          </a:stretch>
        </xdr:blipFill>
        <xdr:spPr>
          <a:xfrm>
            <a:off x="3682565" y="81286350"/>
            <a:ext cx="2876000" cy="2160000"/>
          </a:xfrm>
          <a:prstGeom prst="rect">
            <a:avLst/>
          </a:prstGeom>
          <a:ln>
            <a:solidFill>
              <a:schemeClr val="tx1"/>
            </a:solidFill>
          </a:ln>
        </xdr:spPr>
      </xdr:pic>
      <xdr:pic>
        <xdr:nvPicPr>
          <xdr:cNvPr id="225" name="Picture 224"/>
          <xdr:cNvPicPr>
            <a:picLocks noChangeAspect="1"/>
          </xdr:cNvPicPr>
        </xdr:nvPicPr>
        <xdr:blipFill>
          <a:blip xmlns:r="http://schemas.openxmlformats.org/officeDocument/2006/relationships" r:embed="rId63" cstate="print">
            <a:extLst>
              <a:ext uri="{28A0092B-C50C-407E-A947-70E740481C1C}">
                <a14:useLocalDpi xmlns:a14="http://schemas.microsoft.com/office/drawing/2010/main"/>
              </a:ext>
            </a:extLst>
          </a:blip>
          <a:stretch>
            <a:fillRect/>
          </a:stretch>
        </xdr:blipFill>
        <xdr:spPr>
          <a:xfrm>
            <a:off x="444500" y="83555312"/>
            <a:ext cx="2022188" cy="2700000"/>
          </a:xfrm>
          <a:prstGeom prst="rect">
            <a:avLst/>
          </a:prstGeom>
          <a:ln>
            <a:solidFill>
              <a:schemeClr val="tx1"/>
            </a:solidFill>
          </a:ln>
        </xdr:spPr>
      </xdr:pic>
      <xdr:pic>
        <xdr:nvPicPr>
          <xdr:cNvPr id="226" name="Picture 225"/>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a:ext>
            </a:extLst>
          </a:blip>
          <a:stretch>
            <a:fillRect/>
          </a:stretch>
        </xdr:blipFill>
        <xdr:spPr>
          <a:xfrm>
            <a:off x="2621863" y="83555312"/>
            <a:ext cx="2022188" cy="2700000"/>
          </a:xfrm>
          <a:prstGeom prst="rect">
            <a:avLst/>
          </a:prstGeom>
          <a:ln>
            <a:solidFill>
              <a:schemeClr val="tx1"/>
            </a:solidFill>
          </a:ln>
        </xdr:spPr>
      </xdr:pic>
      <xdr:pic>
        <xdr:nvPicPr>
          <xdr:cNvPr id="227" name="Picture 226"/>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a:ext>
            </a:extLst>
          </a:blip>
          <a:stretch>
            <a:fillRect/>
          </a:stretch>
        </xdr:blipFill>
        <xdr:spPr>
          <a:xfrm>
            <a:off x="4799226" y="83555312"/>
            <a:ext cx="2022188" cy="2700000"/>
          </a:xfrm>
          <a:prstGeom prst="rect">
            <a:avLst/>
          </a:prstGeom>
          <a:ln>
            <a:solidFill>
              <a:schemeClr val="tx1"/>
            </a:solidFill>
          </a:ln>
        </xdr:spPr>
      </xdr:pic>
      <xdr:pic>
        <xdr:nvPicPr>
          <xdr:cNvPr id="228" name="Picture 227"/>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a:ext>
            </a:extLst>
          </a:blip>
          <a:stretch>
            <a:fillRect/>
          </a:stretch>
        </xdr:blipFill>
        <xdr:spPr>
          <a:xfrm>
            <a:off x="444500" y="86364274"/>
            <a:ext cx="2022188" cy="2700000"/>
          </a:xfrm>
          <a:prstGeom prst="rect">
            <a:avLst/>
          </a:prstGeom>
          <a:ln>
            <a:solidFill>
              <a:schemeClr val="tx1"/>
            </a:solidFill>
          </a:ln>
        </xdr:spPr>
      </xdr:pic>
      <xdr:pic>
        <xdr:nvPicPr>
          <xdr:cNvPr id="229" name="Picture 228"/>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a:ext>
            </a:extLst>
          </a:blip>
          <a:stretch>
            <a:fillRect/>
          </a:stretch>
        </xdr:blipFill>
        <xdr:spPr>
          <a:xfrm>
            <a:off x="2624328" y="86364274"/>
            <a:ext cx="2022188" cy="2700000"/>
          </a:xfrm>
          <a:prstGeom prst="rect">
            <a:avLst/>
          </a:prstGeom>
          <a:ln>
            <a:solidFill>
              <a:schemeClr val="tx1"/>
            </a:solidFill>
          </a:ln>
        </xdr:spPr>
      </xdr:pic>
      <xdr:pic>
        <xdr:nvPicPr>
          <xdr:cNvPr id="230" name="Picture 229"/>
          <xdr:cNvPicPr>
            <a:picLocks noChangeAspect="1"/>
          </xdr:cNvPicPr>
        </xdr:nvPicPr>
        <xdr:blipFill>
          <a:blip xmlns:r="http://schemas.openxmlformats.org/officeDocument/2006/relationships" r:embed="rId68" cstate="print">
            <a:extLst>
              <a:ext uri="{28A0092B-C50C-407E-A947-70E740481C1C}">
                <a14:useLocalDpi xmlns:a14="http://schemas.microsoft.com/office/drawing/2010/main"/>
              </a:ext>
            </a:extLst>
          </a:blip>
          <a:stretch>
            <a:fillRect/>
          </a:stretch>
        </xdr:blipFill>
        <xdr:spPr>
          <a:xfrm>
            <a:off x="4805183" y="86364274"/>
            <a:ext cx="2022188" cy="2700000"/>
          </a:xfrm>
          <a:prstGeom prst="rect">
            <a:avLst/>
          </a:prstGeom>
          <a:ln>
            <a:solidFill>
              <a:schemeClr val="tx1"/>
            </a:solidFill>
          </a:ln>
        </xdr:spPr>
      </xdr:pic>
      <xdr:sp macro="" textlink="">
        <xdr:nvSpPr>
          <xdr:cNvPr id="271" name="TextBox 270"/>
          <xdr:cNvSpPr txBox="1"/>
        </xdr:nvSpPr>
        <xdr:spPr>
          <a:xfrm>
            <a:off x="5371665" y="81667350"/>
            <a:ext cx="88896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B9 to B16</a:t>
            </a:r>
          </a:p>
        </xdr:txBody>
      </xdr:sp>
      <xdr:sp macro="" textlink="">
        <xdr:nvSpPr>
          <xdr:cNvPr id="272" name="TextBox 271"/>
          <xdr:cNvSpPr txBox="1"/>
        </xdr:nvSpPr>
        <xdr:spPr>
          <a:xfrm>
            <a:off x="717550" y="83841062"/>
            <a:ext cx="88896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C9 to C16</a:t>
            </a:r>
          </a:p>
        </xdr:txBody>
      </xdr:sp>
      <xdr:sp macro="" textlink="">
        <xdr:nvSpPr>
          <xdr:cNvPr id="273" name="TextBox 272"/>
          <xdr:cNvSpPr txBox="1"/>
        </xdr:nvSpPr>
        <xdr:spPr>
          <a:xfrm>
            <a:off x="3383863" y="83942662"/>
            <a:ext cx="914609"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D7 to D12</a:t>
            </a:r>
          </a:p>
        </xdr:txBody>
      </xdr:sp>
      <xdr:sp macro="" textlink="">
        <xdr:nvSpPr>
          <xdr:cNvPr id="274" name="TextBox 273"/>
          <xdr:cNvSpPr txBox="1"/>
        </xdr:nvSpPr>
        <xdr:spPr>
          <a:xfrm>
            <a:off x="4970676" y="83758512"/>
            <a:ext cx="92756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E11 &amp; E12</a:t>
            </a:r>
          </a:p>
        </xdr:txBody>
      </xdr:sp>
      <xdr:sp macro="" textlink="">
        <xdr:nvSpPr>
          <xdr:cNvPr id="275" name="TextBox 274"/>
          <xdr:cNvSpPr txBox="1"/>
        </xdr:nvSpPr>
        <xdr:spPr>
          <a:xfrm>
            <a:off x="520700" y="86535724"/>
            <a:ext cx="92756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E13 &amp; E14</a:t>
            </a:r>
          </a:p>
        </xdr:txBody>
      </xdr:sp>
      <xdr:sp macro="" textlink="">
        <xdr:nvSpPr>
          <xdr:cNvPr id="276" name="TextBox 275"/>
          <xdr:cNvSpPr txBox="1"/>
        </xdr:nvSpPr>
        <xdr:spPr>
          <a:xfrm>
            <a:off x="2859278" y="86567474"/>
            <a:ext cx="92756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E15 &amp; E16</a:t>
            </a:r>
          </a:p>
        </xdr:txBody>
      </xdr:sp>
      <xdr:sp macro="" textlink="">
        <xdr:nvSpPr>
          <xdr:cNvPr id="277" name="TextBox 276"/>
          <xdr:cNvSpPr txBox="1"/>
        </xdr:nvSpPr>
        <xdr:spPr>
          <a:xfrm>
            <a:off x="5700533" y="86459524"/>
            <a:ext cx="92756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F15 &amp; F16</a:t>
            </a:r>
          </a:p>
        </xdr:txBody>
      </xdr:sp>
    </xdr:grpSp>
    <xdr:clientData/>
  </xdr:twoCellAnchor>
  <xdr:twoCellAnchor>
    <xdr:from>
      <xdr:col>0</xdr:col>
      <xdr:colOff>400050</xdr:colOff>
      <xdr:row>392</xdr:row>
      <xdr:rowOff>69850</xdr:rowOff>
    </xdr:from>
    <xdr:to>
      <xdr:col>7</xdr:col>
      <xdr:colOff>982932</xdr:colOff>
      <xdr:row>434</xdr:row>
      <xdr:rowOff>133968</xdr:rowOff>
    </xdr:to>
    <xdr:grpSp>
      <xdr:nvGrpSpPr>
        <xdr:cNvPr id="5" name="Group 4"/>
        <xdr:cNvGrpSpPr/>
      </xdr:nvGrpSpPr>
      <xdr:grpSpPr>
        <a:xfrm>
          <a:off x="400050" y="90125550"/>
          <a:ext cx="6399482" cy="8325468"/>
          <a:chOff x="400050" y="90271600"/>
          <a:chExt cx="6399482" cy="8325468"/>
        </a:xfrm>
      </xdr:grpSpPr>
      <xdr:pic>
        <xdr:nvPicPr>
          <xdr:cNvPr id="231" name="Picture 230"/>
          <xdr:cNvPicPr>
            <a:picLocks noChangeAspect="1"/>
          </xdr:cNvPicPr>
        </xdr:nvPicPr>
        <xdr:blipFill>
          <a:blip xmlns:r="http://schemas.openxmlformats.org/officeDocument/2006/relationships" r:embed="rId69" cstate="print">
            <a:extLst>
              <a:ext uri="{28A0092B-C50C-407E-A947-70E740481C1C}">
                <a14:useLocalDpi xmlns:a14="http://schemas.microsoft.com/office/drawing/2010/main"/>
              </a:ext>
            </a:extLst>
          </a:blip>
          <a:stretch>
            <a:fillRect/>
          </a:stretch>
        </xdr:blipFill>
        <xdr:spPr>
          <a:xfrm>
            <a:off x="4777344" y="95897068"/>
            <a:ext cx="2022188" cy="2700000"/>
          </a:xfrm>
          <a:prstGeom prst="rect">
            <a:avLst/>
          </a:prstGeom>
          <a:ln>
            <a:solidFill>
              <a:schemeClr val="tx1"/>
            </a:solidFill>
          </a:ln>
        </xdr:spPr>
      </xdr:pic>
      <xdr:pic>
        <xdr:nvPicPr>
          <xdr:cNvPr id="232" name="Picture 231"/>
          <xdr:cNvPicPr>
            <a:picLocks noChangeAspect="1"/>
          </xdr:cNvPicPr>
        </xdr:nvPicPr>
        <xdr:blipFill>
          <a:blip xmlns:r="http://schemas.openxmlformats.org/officeDocument/2006/relationships" r:embed="rId70" cstate="print">
            <a:extLst>
              <a:ext uri="{28A0092B-C50C-407E-A947-70E740481C1C}">
                <a14:useLocalDpi xmlns:a14="http://schemas.microsoft.com/office/drawing/2010/main"/>
              </a:ext>
            </a:extLst>
          </a:blip>
          <a:stretch>
            <a:fillRect/>
          </a:stretch>
        </xdr:blipFill>
        <xdr:spPr>
          <a:xfrm>
            <a:off x="400050" y="90271600"/>
            <a:ext cx="2022188" cy="2700000"/>
          </a:xfrm>
          <a:prstGeom prst="rect">
            <a:avLst/>
          </a:prstGeom>
          <a:ln>
            <a:solidFill>
              <a:schemeClr val="tx1"/>
            </a:solidFill>
          </a:ln>
        </xdr:spPr>
      </xdr:pic>
      <xdr:pic>
        <xdr:nvPicPr>
          <xdr:cNvPr id="261" name="Picture 260"/>
          <xdr:cNvPicPr>
            <a:picLocks noChangeAspect="1"/>
          </xdr:cNvPicPr>
        </xdr:nvPicPr>
        <xdr:blipFill>
          <a:blip xmlns:r="http://schemas.openxmlformats.org/officeDocument/2006/relationships" r:embed="rId71" cstate="print">
            <a:extLst>
              <a:ext uri="{28A0092B-C50C-407E-A947-70E740481C1C}">
                <a14:useLocalDpi xmlns:a14="http://schemas.microsoft.com/office/drawing/2010/main"/>
              </a:ext>
            </a:extLst>
          </a:blip>
          <a:stretch>
            <a:fillRect/>
          </a:stretch>
        </xdr:blipFill>
        <xdr:spPr>
          <a:xfrm>
            <a:off x="2588697" y="90271600"/>
            <a:ext cx="2022188" cy="2700000"/>
          </a:xfrm>
          <a:prstGeom prst="rect">
            <a:avLst/>
          </a:prstGeom>
          <a:ln>
            <a:solidFill>
              <a:schemeClr val="tx1"/>
            </a:solidFill>
          </a:ln>
        </xdr:spPr>
      </xdr:pic>
      <xdr:pic>
        <xdr:nvPicPr>
          <xdr:cNvPr id="262" name="Picture 261"/>
          <xdr:cNvPicPr>
            <a:picLocks noChangeAspect="1"/>
          </xdr:cNvPicPr>
        </xdr:nvPicPr>
        <xdr:blipFill>
          <a:blip xmlns:r="http://schemas.openxmlformats.org/officeDocument/2006/relationships" r:embed="rId72" cstate="print">
            <a:extLst>
              <a:ext uri="{28A0092B-C50C-407E-A947-70E740481C1C}">
                <a14:useLocalDpi xmlns:a14="http://schemas.microsoft.com/office/drawing/2010/main"/>
              </a:ext>
            </a:extLst>
          </a:blip>
          <a:stretch>
            <a:fillRect/>
          </a:stretch>
        </xdr:blipFill>
        <xdr:spPr>
          <a:xfrm>
            <a:off x="4777344" y="90271600"/>
            <a:ext cx="2022188" cy="2700000"/>
          </a:xfrm>
          <a:prstGeom prst="rect">
            <a:avLst/>
          </a:prstGeom>
          <a:ln>
            <a:solidFill>
              <a:schemeClr val="tx1"/>
            </a:solidFill>
          </a:ln>
        </xdr:spPr>
      </xdr:pic>
      <xdr:pic>
        <xdr:nvPicPr>
          <xdr:cNvPr id="263" name="Picture 262"/>
          <xdr:cNvPicPr>
            <a:picLocks noChangeAspect="1"/>
          </xdr:cNvPicPr>
        </xdr:nvPicPr>
        <xdr:blipFill>
          <a:blip xmlns:r="http://schemas.openxmlformats.org/officeDocument/2006/relationships" r:embed="rId73" cstate="print">
            <a:extLst>
              <a:ext uri="{28A0092B-C50C-407E-A947-70E740481C1C}">
                <a14:useLocalDpi xmlns:a14="http://schemas.microsoft.com/office/drawing/2010/main"/>
              </a:ext>
            </a:extLst>
          </a:blip>
          <a:stretch>
            <a:fillRect/>
          </a:stretch>
        </xdr:blipFill>
        <xdr:spPr>
          <a:xfrm>
            <a:off x="400050" y="93084334"/>
            <a:ext cx="2022188" cy="2700000"/>
          </a:xfrm>
          <a:prstGeom prst="rect">
            <a:avLst/>
          </a:prstGeom>
          <a:ln>
            <a:solidFill>
              <a:schemeClr val="tx1"/>
            </a:solidFill>
          </a:ln>
        </xdr:spPr>
      </xdr:pic>
      <xdr:pic>
        <xdr:nvPicPr>
          <xdr:cNvPr id="264" name="Picture 263"/>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a:ext>
            </a:extLst>
          </a:blip>
          <a:stretch>
            <a:fillRect/>
          </a:stretch>
        </xdr:blipFill>
        <xdr:spPr>
          <a:xfrm>
            <a:off x="2588697" y="93084334"/>
            <a:ext cx="2022188" cy="2700000"/>
          </a:xfrm>
          <a:prstGeom prst="rect">
            <a:avLst/>
          </a:prstGeom>
          <a:ln>
            <a:solidFill>
              <a:schemeClr val="tx1"/>
            </a:solidFill>
          </a:ln>
        </xdr:spPr>
      </xdr:pic>
      <xdr:pic>
        <xdr:nvPicPr>
          <xdr:cNvPr id="265" name="Picture 264"/>
          <xdr:cNvPicPr>
            <a:picLocks noChangeAspect="1"/>
          </xdr:cNvPicPr>
        </xdr:nvPicPr>
        <xdr:blipFill>
          <a:blip xmlns:r="http://schemas.openxmlformats.org/officeDocument/2006/relationships" r:embed="rId75" cstate="print">
            <a:extLst>
              <a:ext uri="{28A0092B-C50C-407E-A947-70E740481C1C}">
                <a14:useLocalDpi xmlns:a14="http://schemas.microsoft.com/office/drawing/2010/main"/>
              </a:ext>
            </a:extLst>
          </a:blip>
          <a:stretch>
            <a:fillRect/>
          </a:stretch>
        </xdr:blipFill>
        <xdr:spPr>
          <a:xfrm>
            <a:off x="4777344" y="93084334"/>
            <a:ext cx="2022188" cy="2700000"/>
          </a:xfrm>
          <a:prstGeom prst="rect">
            <a:avLst/>
          </a:prstGeom>
          <a:ln>
            <a:solidFill>
              <a:schemeClr val="tx1"/>
            </a:solidFill>
          </a:ln>
        </xdr:spPr>
      </xdr:pic>
      <xdr:pic>
        <xdr:nvPicPr>
          <xdr:cNvPr id="266" name="Picture 265"/>
          <xdr:cNvPicPr>
            <a:picLocks noChangeAspect="1"/>
          </xdr:cNvPicPr>
        </xdr:nvPicPr>
        <xdr:blipFill>
          <a:blip xmlns:r="http://schemas.openxmlformats.org/officeDocument/2006/relationships" r:embed="rId76" cstate="print">
            <a:extLst>
              <a:ext uri="{28A0092B-C50C-407E-A947-70E740481C1C}">
                <a14:useLocalDpi xmlns:a14="http://schemas.microsoft.com/office/drawing/2010/main"/>
              </a:ext>
            </a:extLst>
          </a:blip>
          <a:stretch>
            <a:fillRect/>
          </a:stretch>
        </xdr:blipFill>
        <xdr:spPr>
          <a:xfrm>
            <a:off x="400050" y="95897068"/>
            <a:ext cx="2022188" cy="2700000"/>
          </a:xfrm>
          <a:prstGeom prst="rect">
            <a:avLst/>
          </a:prstGeom>
          <a:ln>
            <a:solidFill>
              <a:schemeClr val="tx1"/>
            </a:solidFill>
          </a:ln>
        </xdr:spPr>
      </xdr:pic>
      <xdr:pic>
        <xdr:nvPicPr>
          <xdr:cNvPr id="267" name="Picture 266"/>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a:ext>
            </a:extLst>
          </a:blip>
          <a:stretch>
            <a:fillRect/>
          </a:stretch>
        </xdr:blipFill>
        <xdr:spPr>
          <a:xfrm>
            <a:off x="2588697" y="95897068"/>
            <a:ext cx="2022188" cy="2700000"/>
          </a:xfrm>
          <a:prstGeom prst="rect">
            <a:avLst/>
          </a:prstGeom>
          <a:ln>
            <a:solidFill>
              <a:schemeClr val="tx1"/>
            </a:solidFill>
          </a:ln>
        </xdr:spPr>
      </xdr:pic>
      <xdr:sp macro="" textlink="">
        <xdr:nvSpPr>
          <xdr:cNvPr id="279" name="TextBox 278"/>
          <xdr:cNvSpPr txBox="1"/>
        </xdr:nvSpPr>
        <xdr:spPr>
          <a:xfrm>
            <a:off x="1206500" y="90328750"/>
            <a:ext cx="92756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F17 &amp; F18</a:t>
            </a:r>
          </a:p>
        </xdr:txBody>
      </xdr:sp>
      <xdr:sp macro="" textlink="">
        <xdr:nvSpPr>
          <xdr:cNvPr id="280" name="TextBox 279"/>
          <xdr:cNvSpPr txBox="1"/>
        </xdr:nvSpPr>
        <xdr:spPr>
          <a:xfrm>
            <a:off x="3528497" y="90424000"/>
            <a:ext cx="92756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F19 &amp; F20</a:t>
            </a:r>
          </a:p>
        </xdr:txBody>
      </xdr:sp>
      <xdr:sp macro="" textlink="">
        <xdr:nvSpPr>
          <xdr:cNvPr id="281" name="TextBox 280"/>
          <xdr:cNvSpPr txBox="1"/>
        </xdr:nvSpPr>
        <xdr:spPr>
          <a:xfrm>
            <a:off x="5691744" y="90379550"/>
            <a:ext cx="92756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F21 &amp; F22</a:t>
            </a:r>
          </a:p>
        </xdr:txBody>
      </xdr:sp>
      <xdr:sp macro="" textlink="">
        <xdr:nvSpPr>
          <xdr:cNvPr id="282" name="TextBox 281"/>
          <xdr:cNvSpPr txBox="1"/>
        </xdr:nvSpPr>
        <xdr:spPr>
          <a:xfrm>
            <a:off x="679450" y="93433584"/>
            <a:ext cx="92756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G15 &amp; G16</a:t>
            </a:r>
          </a:p>
        </xdr:txBody>
      </xdr:sp>
      <xdr:sp macro="" textlink="">
        <xdr:nvSpPr>
          <xdr:cNvPr id="283" name="TextBox 282"/>
          <xdr:cNvSpPr txBox="1"/>
        </xdr:nvSpPr>
        <xdr:spPr>
          <a:xfrm>
            <a:off x="2982397" y="93236734"/>
            <a:ext cx="92756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G17 &amp; G18</a:t>
            </a:r>
          </a:p>
        </xdr:txBody>
      </xdr:sp>
      <xdr:sp macro="" textlink="">
        <xdr:nvSpPr>
          <xdr:cNvPr id="284" name="TextBox 283"/>
          <xdr:cNvSpPr txBox="1"/>
        </xdr:nvSpPr>
        <xdr:spPr>
          <a:xfrm>
            <a:off x="5158344" y="93300234"/>
            <a:ext cx="92756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G19 &amp; G20</a:t>
            </a:r>
          </a:p>
        </xdr:txBody>
      </xdr:sp>
      <xdr:sp macro="" textlink="">
        <xdr:nvSpPr>
          <xdr:cNvPr id="285" name="TextBox 284"/>
          <xdr:cNvSpPr txBox="1"/>
        </xdr:nvSpPr>
        <xdr:spPr>
          <a:xfrm>
            <a:off x="615950" y="96062168"/>
            <a:ext cx="92756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G21 &amp; G22</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9905999" y="358588"/>
          <a:ext cx="3256698" cy="4320000"/>
        </a:xfrm>
        <a:prstGeom prst="rect">
          <a:avLst/>
        </a:prstGeom>
      </xdr:spPr>
    </xdr:pic>
    <xdr:clientData/>
  </xdr:twoCellAnchor>
  <xdr:twoCellAnchor editAs="oneCell">
    <xdr:from>
      <xdr:col>1</xdr:col>
      <xdr:colOff>537883</xdr:colOff>
      <xdr:row>6</xdr:row>
      <xdr:rowOff>100853</xdr:rowOff>
    </xdr:from>
    <xdr:to>
      <xdr:col>6</xdr:col>
      <xdr:colOff>542449</xdr:colOff>
      <xdr:row>25</xdr:row>
      <xdr:rowOff>81353</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120589" y="1255059"/>
          <a:ext cx="6403125" cy="360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oR1AaqiqST8d2BqS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526"/>
  <sheetViews>
    <sheetView tabSelected="1" showWhiteSpace="0" view="pageBreakPreview" topLeftCell="A417" zoomScaleNormal="100" zoomScaleSheetLayoutView="100" zoomScalePageLayoutView="85" workbookViewId="0">
      <selection activeCell="J3" sqref="J3"/>
    </sheetView>
  </sheetViews>
  <sheetFormatPr defaultColWidth="9.1796875" defaultRowHeight="15.5" x14ac:dyDescent="0.35"/>
  <cols>
    <col min="1" max="1" width="11.453125" style="40" customWidth="1"/>
    <col min="2" max="2" width="12" style="40" customWidth="1"/>
    <col min="3" max="4" width="12.7265625" style="40" customWidth="1"/>
    <col min="5" max="5" width="11.7265625" style="40" customWidth="1"/>
    <col min="6" max="6" width="13.1796875" style="40" customWidth="1"/>
    <col min="7" max="7" width="9.453125" style="40" customWidth="1"/>
    <col min="8" max="8" width="20.54296875" style="40" customWidth="1"/>
    <col min="9" max="9" width="17.453125" style="21" customWidth="1"/>
    <col min="10" max="10" width="11.453125" style="21" customWidth="1"/>
    <col min="11" max="11" width="10.54296875" style="21" bestFit="1" customWidth="1"/>
    <col min="12" max="12" width="13.81640625" style="21" bestFit="1" customWidth="1"/>
    <col min="13" max="13" width="11.81640625" style="21" customWidth="1"/>
    <col min="14" max="14" width="12.54296875" style="21" customWidth="1"/>
    <col min="15" max="15" width="12.1796875" style="21" customWidth="1"/>
    <col min="16" max="16" width="11.7265625" style="21" customWidth="1"/>
    <col min="17" max="18" width="9.1796875" style="21"/>
    <col min="19" max="19" width="10.81640625" style="21" bestFit="1" customWidth="1"/>
    <col min="20" max="20" width="10.7265625" style="21" customWidth="1"/>
    <col min="21" max="247" width="9.1796875" style="21"/>
    <col min="248" max="248" width="8.7265625" style="21" customWidth="1"/>
    <col min="249" max="249" width="9.81640625" style="21" customWidth="1"/>
    <col min="250" max="250" width="14.453125" style="21" customWidth="1"/>
    <col min="251" max="251" width="7.26953125" style="21" customWidth="1"/>
    <col min="252" max="252" width="5.54296875" style="21" customWidth="1"/>
    <col min="253" max="253" width="9" style="21" customWidth="1"/>
    <col min="254" max="255" width="9.81640625" style="21" customWidth="1"/>
    <col min="256" max="256" width="11.1796875" style="21" customWidth="1"/>
    <col min="257" max="257" width="2.81640625" style="21" customWidth="1"/>
    <col min="258" max="258" width="3.54296875" style="21" customWidth="1"/>
    <col min="259" max="503" width="9.1796875" style="21"/>
    <col min="504" max="504" width="8.7265625" style="21" customWidth="1"/>
    <col min="505" max="505" width="9.81640625" style="21" customWidth="1"/>
    <col min="506" max="506" width="14.453125" style="21" customWidth="1"/>
    <col min="507" max="507" width="7.26953125" style="21" customWidth="1"/>
    <col min="508" max="508" width="5.54296875" style="21" customWidth="1"/>
    <col min="509" max="509" width="9" style="21" customWidth="1"/>
    <col min="510" max="511" width="9.81640625" style="21" customWidth="1"/>
    <col min="512" max="512" width="11.1796875" style="21" customWidth="1"/>
    <col min="513" max="513" width="2.81640625" style="21" customWidth="1"/>
    <col min="514" max="514" width="3.54296875" style="21" customWidth="1"/>
    <col min="515" max="759" width="9.1796875" style="21"/>
    <col min="760" max="760" width="8.7265625" style="21" customWidth="1"/>
    <col min="761" max="761" width="9.81640625" style="21" customWidth="1"/>
    <col min="762" max="762" width="14.453125" style="21" customWidth="1"/>
    <col min="763" max="763" width="7.26953125" style="21" customWidth="1"/>
    <col min="764" max="764" width="5.54296875" style="21" customWidth="1"/>
    <col min="765" max="765" width="9" style="21" customWidth="1"/>
    <col min="766" max="767" width="9.81640625" style="21" customWidth="1"/>
    <col min="768" max="768" width="11.1796875" style="21" customWidth="1"/>
    <col min="769" max="769" width="2.81640625" style="21" customWidth="1"/>
    <col min="770" max="770" width="3.54296875" style="21" customWidth="1"/>
    <col min="771" max="1015" width="9.1796875" style="21"/>
    <col min="1016" max="1016" width="8.7265625" style="21" customWidth="1"/>
    <col min="1017" max="1017" width="9.81640625" style="21" customWidth="1"/>
    <col min="1018" max="1018" width="14.453125" style="21" customWidth="1"/>
    <col min="1019" max="1019" width="7.26953125" style="21" customWidth="1"/>
    <col min="1020" max="1020" width="5.54296875" style="21" customWidth="1"/>
    <col min="1021" max="1021" width="9" style="21" customWidth="1"/>
    <col min="1022" max="1023" width="9.81640625" style="21" customWidth="1"/>
    <col min="1024" max="1024" width="11.1796875" style="21" customWidth="1"/>
    <col min="1025" max="1025" width="2.81640625" style="21" customWidth="1"/>
    <col min="1026" max="1026" width="3.54296875" style="21" customWidth="1"/>
    <col min="1027" max="1271" width="9.1796875" style="21"/>
    <col min="1272" max="1272" width="8.7265625" style="21" customWidth="1"/>
    <col min="1273" max="1273" width="9.81640625" style="21" customWidth="1"/>
    <col min="1274" max="1274" width="14.453125" style="21" customWidth="1"/>
    <col min="1275" max="1275" width="7.26953125" style="21" customWidth="1"/>
    <col min="1276" max="1276" width="5.54296875" style="21" customWidth="1"/>
    <col min="1277" max="1277" width="9" style="21" customWidth="1"/>
    <col min="1278" max="1279" width="9.81640625" style="21" customWidth="1"/>
    <col min="1280" max="1280" width="11.1796875" style="21" customWidth="1"/>
    <col min="1281" max="1281" width="2.81640625" style="21" customWidth="1"/>
    <col min="1282" max="1282" width="3.54296875" style="21" customWidth="1"/>
    <col min="1283" max="1527" width="9.1796875" style="21"/>
    <col min="1528" max="1528" width="8.7265625" style="21" customWidth="1"/>
    <col min="1529" max="1529" width="9.81640625" style="21" customWidth="1"/>
    <col min="1530" max="1530" width="14.453125" style="21" customWidth="1"/>
    <col min="1531" max="1531" width="7.26953125" style="21" customWidth="1"/>
    <col min="1532" max="1532" width="5.54296875" style="21" customWidth="1"/>
    <col min="1533" max="1533" width="9" style="21" customWidth="1"/>
    <col min="1534" max="1535" width="9.81640625" style="21" customWidth="1"/>
    <col min="1536" max="1536" width="11.1796875" style="21" customWidth="1"/>
    <col min="1537" max="1537" width="2.81640625" style="21" customWidth="1"/>
    <col min="1538" max="1538" width="3.54296875" style="21" customWidth="1"/>
    <col min="1539" max="1783" width="9.1796875" style="21"/>
    <col min="1784" max="1784" width="8.7265625" style="21" customWidth="1"/>
    <col min="1785" max="1785" width="9.81640625" style="21" customWidth="1"/>
    <col min="1786" max="1786" width="14.453125" style="21" customWidth="1"/>
    <col min="1787" max="1787" width="7.26953125" style="21" customWidth="1"/>
    <col min="1788" max="1788" width="5.54296875" style="21" customWidth="1"/>
    <col min="1789" max="1789" width="9" style="21" customWidth="1"/>
    <col min="1790" max="1791" width="9.81640625" style="21" customWidth="1"/>
    <col min="1792" max="1792" width="11.1796875" style="21" customWidth="1"/>
    <col min="1793" max="1793" width="2.81640625" style="21" customWidth="1"/>
    <col min="1794" max="1794" width="3.54296875" style="21" customWidth="1"/>
    <col min="1795" max="2039" width="9.1796875" style="21"/>
    <col min="2040" max="2040" width="8.7265625" style="21" customWidth="1"/>
    <col min="2041" max="2041" width="9.81640625" style="21" customWidth="1"/>
    <col min="2042" max="2042" width="14.453125" style="21" customWidth="1"/>
    <col min="2043" max="2043" width="7.26953125" style="21" customWidth="1"/>
    <col min="2044" max="2044" width="5.54296875" style="21" customWidth="1"/>
    <col min="2045" max="2045" width="9" style="21" customWidth="1"/>
    <col min="2046" max="2047" width="9.81640625" style="21" customWidth="1"/>
    <col min="2048" max="2048" width="11.1796875" style="21" customWidth="1"/>
    <col min="2049" max="2049" width="2.81640625" style="21" customWidth="1"/>
    <col min="2050" max="2050" width="3.54296875" style="21" customWidth="1"/>
    <col min="2051" max="2295" width="9.1796875" style="21"/>
    <col min="2296" max="2296" width="8.7265625" style="21" customWidth="1"/>
    <col min="2297" max="2297" width="9.81640625" style="21" customWidth="1"/>
    <col min="2298" max="2298" width="14.453125" style="21" customWidth="1"/>
    <col min="2299" max="2299" width="7.26953125" style="21" customWidth="1"/>
    <col min="2300" max="2300" width="5.54296875" style="21" customWidth="1"/>
    <col min="2301" max="2301" width="9" style="21" customWidth="1"/>
    <col min="2302" max="2303" width="9.81640625" style="21" customWidth="1"/>
    <col min="2304" max="2304" width="11.1796875" style="21" customWidth="1"/>
    <col min="2305" max="2305" width="2.81640625" style="21" customWidth="1"/>
    <col min="2306" max="2306" width="3.54296875" style="21" customWidth="1"/>
    <col min="2307" max="2551" width="9.1796875" style="21"/>
    <col min="2552" max="2552" width="8.7265625" style="21" customWidth="1"/>
    <col min="2553" max="2553" width="9.81640625" style="21" customWidth="1"/>
    <col min="2554" max="2554" width="14.453125" style="21" customWidth="1"/>
    <col min="2555" max="2555" width="7.26953125" style="21" customWidth="1"/>
    <col min="2556" max="2556" width="5.54296875" style="21" customWidth="1"/>
    <col min="2557" max="2557" width="9" style="21" customWidth="1"/>
    <col min="2558" max="2559" width="9.81640625" style="21" customWidth="1"/>
    <col min="2560" max="2560" width="11.1796875" style="21" customWidth="1"/>
    <col min="2561" max="2561" width="2.81640625" style="21" customWidth="1"/>
    <col min="2562" max="2562" width="3.54296875" style="21" customWidth="1"/>
    <col min="2563" max="2807" width="9.1796875" style="21"/>
    <col min="2808" max="2808" width="8.7265625" style="21" customWidth="1"/>
    <col min="2809" max="2809" width="9.81640625" style="21" customWidth="1"/>
    <col min="2810" max="2810" width="14.453125" style="21" customWidth="1"/>
    <col min="2811" max="2811" width="7.26953125" style="21" customWidth="1"/>
    <col min="2812" max="2812" width="5.54296875" style="21" customWidth="1"/>
    <col min="2813" max="2813" width="9" style="21" customWidth="1"/>
    <col min="2814" max="2815" width="9.81640625" style="21" customWidth="1"/>
    <col min="2816" max="2816" width="11.1796875" style="21" customWidth="1"/>
    <col min="2817" max="2817" width="2.81640625" style="21" customWidth="1"/>
    <col min="2818" max="2818" width="3.54296875" style="21" customWidth="1"/>
    <col min="2819" max="3063" width="9.1796875" style="21"/>
    <col min="3064" max="3064" width="8.7265625" style="21" customWidth="1"/>
    <col min="3065" max="3065" width="9.81640625" style="21" customWidth="1"/>
    <col min="3066" max="3066" width="14.453125" style="21" customWidth="1"/>
    <col min="3067" max="3067" width="7.26953125" style="21" customWidth="1"/>
    <col min="3068" max="3068" width="5.54296875" style="21" customWidth="1"/>
    <col min="3069" max="3069" width="9" style="21" customWidth="1"/>
    <col min="3070" max="3071" width="9.81640625" style="21" customWidth="1"/>
    <col min="3072" max="3072" width="11.1796875" style="21" customWidth="1"/>
    <col min="3073" max="3073" width="2.81640625" style="21" customWidth="1"/>
    <col min="3074" max="3074" width="3.54296875" style="21" customWidth="1"/>
    <col min="3075" max="3319" width="9.1796875" style="21"/>
    <col min="3320" max="3320" width="8.7265625" style="21" customWidth="1"/>
    <col min="3321" max="3321" width="9.81640625" style="21" customWidth="1"/>
    <col min="3322" max="3322" width="14.453125" style="21" customWidth="1"/>
    <col min="3323" max="3323" width="7.26953125" style="21" customWidth="1"/>
    <col min="3324" max="3324" width="5.54296875" style="21" customWidth="1"/>
    <col min="3325" max="3325" width="9" style="21" customWidth="1"/>
    <col min="3326" max="3327" width="9.81640625" style="21" customWidth="1"/>
    <col min="3328" max="3328" width="11.1796875" style="21" customWidth="1"/>
    <col min="3329" max="3329" width="2.81640625" style="21" customWidth="1"/>
    <col min="3330" max="3330" width="3.54296875" style="21" customWidth="1"/>
    <col min="3331" max="3575" width="9.1796875" style="21"/>
    <col min="3576" max="3576" width="8.7265625" style="21" customWidth="1"/>
    <col min="3577" max="3577" width="9.81640625" style="21" customWidth="1"/>
    <col min="3578" max="3578" width="14.453125" style="21" customWidth="1"/>
    <col min="3579" max="3579" width="7.26953125" style="21" customWidth="1"/>
    <col min="3580" max="3580" width="5.54296875" style="21" customWidth="1"/>
    <col min="3581" max="3581" width="9" style="21" customWidth="1"/>
    <col min="3582" max="3583" width="9.81640625" style="21" customWidth="1"/>
    <col min="3584" max="3584" width="11.1796875" style="21" customWidth="1"/>
    <col min="3585" max="3585" width="2.81640625" style="21" customWidth="1"/>
    <col min="3586" max="3586" width="3.54296875" style="21" customWidth="1"/>
    <col min="3587" max="3831" width="9.1796875" style="21"/>
    <col min="3832" max="3832" width="8.7265625" style="21" customWidth="1"/>
    <col min="3833" max="3833" width="9.81640625" style="21" customWidth="1"/>
    <col min="3834" max="3834" width="14.453125" style="21" customWidth="1"/>
    <col min="3835" max="3835" width="7.26953125" style="21" customWidth="1"/>
    <col min="3836" max="3836" width="5.54296875" style="21" customWidth="1"/>
    <col min="3837" max="3837" width="9" style="21" customWidth="1"/>
    <col min="3838" max="3839" width="9.81640625" style="21" customWidth="1"/>
    <col min="3840" max="3840" width="11.1796875" style="21" customWidth="1"/>
    <col min="3841" max="3841" width="2.81640625" style="21" customWidth="1"/>
    <col min="3842" max="3842" width="3.54296875" style="21" customWidth="1"/>
    <col min="3843" max="4087" width="9.1796875" style="21"/>
    <col min="4088" max="4088" width="8.7265625" style="21" customWidth="1"/>
    <col min="4089" max="4089" width="9.81640625" style="21" customWidth="1"/>
    <col min="4090" max="4090" width="14.453125" style="21" customWidth="1"/>
    <col min="4091" max="4091" width="7.26953125" style="21" customWidth="1"/>
    <col min="4092" max="4092" width="5.54296875" style="21" customWidth="1"/>
    <col min="4093" max="4093" width="9" style="21" customWidth="1"/>
    <col min="4094" max="4095" width="9.81640625" style="21" customWidth="1"/>
    <col min="4096" max="4096" width="11.1796875" style="21" customWidth="1"/>
    <col min="4097" max="4097" width="2.81640625" style="21" customWidth="1"/>
    <col min="4098" max="4098" width="3.54296875" style="21" customWidth="1"/>
    <col min="4099" max="4343" width="9.1796875" style="21"/>
    <col min="4344" max="4344" width="8.7265625" style="21" customWidth="1"/>
    <col min="4345" max="4345" width="9.81640625" style="21" customWidth="1"/>
    <col min="4346" max="4346" width="14.453125" style="21" customWidth="1"/>
    <col min="4347" max="4347" width="7.26953125" style="21" customWidth="1"/>
    <col min="4348" max="4348" width="5.54296875" style="21" customWidth="1"/>
    <col min="4349" max="4349" width="9" style="21" customWidth="1"/>
    <col min="4350" max="4351" width="9.81640625" style="21" customWidth="1"/>
    <col min="4352" max="4352" width="11.1796875" style="21" customWidth="1"/>
    <col min="4353" max="4353" width="2.81640625" style="21" customWidth="1"/>
    <col min="4354" max="4354" width="3.54296875" style="21" customWidth="1"/>
    <col min="4355" max="4599" width="9.1796875" style="21"/>
    <col min="4600" max="4600" width="8.7265625" style="21" customWidth="1"/>
    <col min="4601" max="4601" width="9.81640625" style="21" customWidth="1"/>
    <col min="4602" max="4602" width="14.453125" style="21" customWidth="1"/>
    <col min="4603" max="4603" width="7.26953125" style="21" customWidth="1"/>
    <col min="4604" max="4604" width="5.54296875" style="21" customWidth="1"/>
    <col min="4605" max="4605" width="9" style="21" customWidth="1"/>
    <col min="4606" max="4607" width="9.81640625" style="21" customWidth="1"/>
    <col min="4608" max="4608" width="11.1796875" style="21" customWidth="1"/>
    <col min="4609" max="4609" width="2.81640625" style="21" customWidth="1"/>
    <col min="4610" max="4610" width="3.54296875" style="21" customWidth="1"/>
    <col min="4611" max="4855" width="9.1796875" style="21"/>
    <col min="4856" max="4856" width="8.7265625" style="21" customWidth="1"/>
    <col min="4857" max="4857" width="9.81640625" style="21" customWidth="1"/>
    <col min="4858" max="4858" width="14.453125" style="21" customWidth="1"/>
    <col min="4859" max="4859" width="7.26953125" style="21" customWidth="1"/>
    <col min="4860" max="4860" width="5.54296875" style="21" customWidth="1"/>
    <col min="4861" max="4861" width="9" style="21" customWidth="1"/>
    <col min="4862" max="4863" width="9.81640625" style="21" customWidth="1"/>
    <col min="4864" max="4864" width="11.1796875" style="21" customWidth="1"/>
    <col min="4865" max="4865" width="2.81640625" style="21" customWidth="1"/>
    <col min="4866" max="4866" width="3.54296875" style="21" customWidth="1"/>
    <col min="4867" max="5111" width="9.1796875" style="21"/>
    <col min="5112" max="5112" width="8.7265625" style="21" customWidth="1"/>
    <col min="5113" max="5113" width="9.81640625" style="21" customWidth="1"/>
    <col min="5114" max="5114" width="14.453125" style="21" customWidth="1"/>
    <col min="5115" max="5115" width="7.26953125" style="21" customWidth="1"/>
    <col min="5116" max="5116" width="5.54296875" style="21" customWidth="1"/>
    <col min="5117" max="5117" width="9" style="21" customWidth="1"/>
    <col min="5118" max="5119" width="9.81640625" style="21" customWidth="1"/>
    <col min="5120" max="5120" width="11.1796875" style="21" customWidth="1"/>
    <col min="5121" max="5121" width="2.81640625" style="21" customWidth="1"/>
    <col min="5122" max="5122" width="3.54296875" style="21" customWidth="1"/>
    <col min="5123" max="5367" width="9.1796875" style="21"/>
    <col min="5368" max="5368" width="8.7265625" style="21" customWidth="1"/>
    <col min="5369" max="5369" width="9.81640625" style="21" customWidth="1"/>
    <col min="5370" max="5370" width="14.453125" style="21" customWidth="1"/>
    <col min="5371" max="5371" width="7.26953125" style="21" customWidth="1"/>
    <col min="5372" max="5372" width="5.54296875" style="21" customWidth="1"/>
    <col min="5373" max="5373" width="9" style="21" customWidth="1"/>
    <col min="5374" max="5375" width="9.81640625" style="21" customWidth="1"/>
    <col min="5376" max="5376" width="11.1796875" style="21" customWidth="1"/>
    <col min="5377" max="5377" width="2.81640625" style="21" customWidth="1"/>
    <col min="5378" max="5378" width="3.54296875" style="21" customWidth="1"/>
    <col min="5379" max="5623" width="9.1796875" style="21"/>
    <col min="5624" max="5624" width="8.7265625" style="21" customWidth="1"/>
    <col min="5625" max="5625" width="9.81640625" style="21" customWidth="1"/>
    <col min="5626" max="5626" width="14.453125" style="21" customWidth="1"/>
    <col min="5627" max="5627" width="7.26953125" style="21" customWidth="1"/>
    <col min="5628" max="5628" width="5.54296875" style="21" customWidth="1"/>
    <col min="5629" max="5629" width="9" style="21" customWidth="1"/>
    <col min="5630" max="5631" width="9.81640625" style="21" customWidth="1"/>
    <col min="5632" max="5632" width="11.1796875" style="21" customWidth="1"/>
    <col min="5633" max="5633" width="2.81640625" style="21" customWidth="1"/>
    <col min="5634" max="5634" width="3.54296875" style="21" customWidth="1"/>
    <col min="5635" max="5879" width="9.1796875" style="21"/>
    <col min="5880" max="5880" width="8.7265625" style="21" customWidth="1"/>
    <col min="5881" max="5881" width="9.81640625" style="21" customWidth="1"/>
    <col min="5882" max="5882" width="14.453125" style="21" customWidth="1"/>
    <col min="5883" max="5883" width="7.26953125" style="21" customWidth="1"/>
    <col min="5884" max="5884" width="5.54296875" style="21" customWidth="1"/>
    <col min="5885" max="5885" width="9" style="21" customWidth="1"/>
    <col min="5886" max="5887" width="9.81640625" style="21" customWidth="1"/>
    <col min="5888" max="5888" width="11.1796875" style="21" customWidth="1"/>
    <col min="5889" max="5889" width="2.81640625" style="21" customWidth="1"/>
    <col min="5890" max="5890" width="3.54296875" style="21" customWidth="1"/>
    <col min="5891" max="6135" width="9.1796875" style="21"/>
    <col min="6136" max="6136" width="8.7265625" style="21" customWidth="1"/>
    <col min="6137" max="6137" width="9.81640625" style="21" customWidth="1"/>
    <col min="6138" max="6138" width="14.453125" style="21" customWidth="1"/>
    <col min="6139" max="6139" width="7.26953125" style="21" customWidth="1"/>
    <col min="6140" max="6140" width="5.54296875" style="21" customWidth="1"/>
    <col min="6141" max="6141" width="9" style="21" customWidth="1"/>
    <col min="6142" max="6143" width="9.81640625" style="21" customWidth="1"/>
    <col min="6144" max="6144" width="11.1796875" style="21" customWidth="1"/>
    <col min="6145" max="6145" width="2.81640625" style="21" customWidth="1"/>
    <col min="6146" max="6146" width="3.54296875" style="21" customWidth="1"/>
    <col min="6147" max="6391" width="9.1796875" style="21"/>
    <col min="6392" max="6392" width="8.7265625" style="21" customWidth="1"/>
    <col min="6393" max="6393" width="9.81640625" style="21" customWidth="1"/>
    <col min="6394" max="6394" width="14.453125" style="21" customWidth="1"/>
    <col min="6395" max="6395" width="7.26953125" style="21" customWidth="1"/>
    <col min="6396" max="6396" width="5.54296875" style="21" customWidth="1"/>
    <col min="6397" max="6397" width="9" style="21" customWidth="1"/>
    <col min="6398" max="6399" width="9.81640625" style="21" customWidth="1"/>
    <col min="6400" max="6400" width="11.1796875" style="21" customWidth="1"/>
    <col min="6401" max="6401" width="2.81640625" style="21" customWidth="1"/>
    <col min="6402" max="6402" width="3.54296875" style="21" customWidth="1"/>
    <col min="6403" max="6647" width="9.1796875" style="21"/>
    <col min="6648" max="6648" width="8.7265625" style="21" customWidth="1"/>
    <col min="6649" max="6649" width="9.81640625" style="21" customWidth="1"/>
    <col min="6650" max="6650" width="14.453125" style="21" customWidth="1"/>
    <col min="6651" max="6651" width="7.26953125" style="21" customWidth="1"/>
    <col min="6652" max="6652" width="5.54296875" style="21" customWidth="1"/>
    <col min="6653" max="6653" width="9" style="21" customWidth="1"/>
    <col min="6654" max="6655" width="9.81640625" style="21" customWidth="1"/>
    <col min="6656" max="6656" width="11.1796875" style="21" customWidth="1"/>
    <col min="6657" max="6657" width="2.81640625" style="21" customWidth="1"/>
    <col min="6658" max="6658" width="3.54296875" style="21" customWidth="1"/>
    <col min="6659" max="6903" width="9.1796875" style="21"/>
    <col min="6904" max="6904" width="8.7265625" style="21" customWidth="1"/>
    <col min="6905" max="6905" width="9.81640625" style="21" customWidth="1"/>
    <col min="6906" max="6906" width="14.453125" style="21" customWidth="1"/>
    <col min="6907" max="6907" width="7.26953125" style="21" customWidth="1"/>
    <col min="6908" max="6908" width="5.54296875" style="21" customWidth="1"/>
    <col min="6909" max="6909" width="9" style="21" customWidth="1"/>
    <col min="6910" max="6911" width="9.81640625" style="21" customWidth="1"/>
    <col min="6912" max="6912" width="11.1796875" style="21" customWidth="1"/>
    <col min="6913" max="6913" width="2.81640625" style="21" customWidth="1"/>
    <col min="6914" max="6914" width="3.54296875" style="21" customWidth="1"/>
    <col min="6915" max="7159" width="9.1796875" style="21"/>
    <col min="7160" max="7160" width="8.7265625" style="21" customWidth="1"/>
    <col min="7161" max="7161" width="9.81640625" style="21" customWidth="1"/>
    <col min="7162" max="7162" width="14.453125" style="21" customWidth="1"/>
    <col min="7163" max="7163" width="7.26953125" style="21" customWidth="1"/>
    <col min="7164" max="7164" width="5.54296875" style="21" customWidth="1"/>
    <col min="7165" max="7165" width="9" style="21" customWidth="1"/>
    <col min="7166" max="7167" width="9.81640625" style="21" customWidth="1"/>
    <col min="7168" max="7168" width="11.1796875" style="21" customWidth="1"/>
    <col min="7169" max="7169" width="2.81640625" style="21" customWidth="1"/>
    <col min="7170" max="7170" width="3.54296875" style="21" customWidth="1"/>
    <col min="7171" max="7415" width="9.1796875" style="21"/>
    <col min="7416" max="7416" width="8.7265625" style="21" customWidth="1"/>
    <col min="7417" max="7417" width="9.81640625" style="21" customWidth="1"/>
    <col min="7418" max="7418" width="14.453125" style="21" customWidth="1"/>
    <col min="7419" max="7419" width="7.26953125" style="21" customWidth="1"/>
    <col min="7420" max="7420" width="5.54296875" style="21" customWidth="1"/>
    <col min="7421" max="7421" width="9" style="21" customWidth="1"/>
    <col min="7422" max="7423" width="9.81640625" style="21" customWidth="1"/>
    <col min="7424" max="7424" width="11.1796875" style="21" customWidth="1"/>
    <col min="7425" max="7425" width="2.81640625" style="21" customWidth="1"/>
    <col min="7426" max="7426" width="3.54296875" style="21" customWidth="1"/>
    <col min="7427" max="7671" width="9.1796875" style="21"/>
    <col min="7672" max="7672" width="8.7265625" style="21" customWidth="1"/>
    <col min="7673" max="7673" width="9.81640625" style="21" customWidth="1"/>
    <col min="7674" max="7674" width="14.453125" style="21" customWidth="1"/>
    <col min="7675" max="7675" width="7.26953125" style="21" customWidth="1"/>
    <col min="7676" max="7676" width="5.54296875" style="21" customWidth="1"/>
    <col min="7677" max="7677" width="9" style="21" customWidth="1"/>
    <col min="7678" max="7679" width="9.81640625" style="21" customWidth="1"/>
    <col min="7680" max="7680" width="11.1796875" style="21" customWidth="1"/>
    <col min="7681" max="7681" width="2.81640625" style="21" customWidth="1"/>
    <col min="7682" max="7682" width="3.54296875" style="21" customWidth="1"/>
    <col min="7683" max="7927" width="9.1796875" style="21"/>
    <col min="7928" max="7928" width="8.7265625" style="21" customWidth="1"/>
    <col min="7929" max="7929" width="9.81640625" style="21" customWidth="1"/>
    <col min="7930" max="7930" width="14.453125" style="21" customWidth="1"/>
    <col min="7931" max="7931" width="7.26953125" style="21" customWidth="1"/>
    <col min="7932" max="7932" width="5.54296875" style="21" customWidth="1"/>
    <col min="7933" max="7933" width="9" style="21" customWidth="1"/>
    <col min="7934" max="7935" width="9.81640625" style="21" customWidth="1"/>
    <col min="7936" max="7936" width="11.1796875" style="21" customWidth="1"/>
    <col min="7937" max="7937" width="2.81640625" style="21" customWidth="1"/>
    <col min="7938" max="7938" width="3.54296875" style="21" customWidth="1"/>
    <col min="7939" max="8183" width="9.1796875" style="21"/>
    <col min="8184" max="8184" width="8.7265625" style="21" customWidth="1"/>
    <col min="8185" max="8185" width="9.81640625" style="21" customWidth="1"/>
    <col min="8186" max="8186" width="14.453125" style="21" customWidth="1"/>
    <col min="8187" max="8187" width="7.26953125" style="21" customWidth="1"/>
    <col min="8188" max="8188" width="5.54296875" style="21" customWidth="1"/>
    <col min="8189" max="8189" width="9" style="21" customWidth="1"/>
    <col min="8190" max="8191" width="9.81640625" style="21" customWidth="1"/>
    <col min="8192" max="8192" width="11.1796875" style="21" customWidth="1"/>
    <col min="8193" max="8193" width="2.81640625" style="21" customWidth="1"/>
    <col min="8194" max="8194" width="3.54296875" style="21" customWidth="1"/>
    <col min="8195" max="8439" width="9.1796875" style="21"/>
    <col min="8440" max="8440" width="8.7265625" style="21" customWidth="1"/>
    <col min="8441" max="8441" width="9.81640625" style="21" customWidth="1"/>
    <col min="8442" max="8442" width="14.453125" style="21" customWidth="1"/>
    <col min="8443" max="8443" width="7.26953125" style="21" customWidth="1"/>
    <col min="8444" max="8444" width="5.54296875" style="21" customWidth="1"/>
    <col min="8445" max="8445" width="9" style="21" customWidth="1"/>
    <col min="8446" max="8447" width="9.81640625" style="21" customWidth="1"/>
    <col min="8448" max="8448" width="11.1796875" style="21" customWidth="1"/>
    <col min="8449" max="8449" width="2.81640625" style="21" customWidth="1"/>
    <col min="8450" max="8450" width="3.54296875" style="21" customWidth="1"/>
    <col min="8451" max="8695" width="9.1796875" style="21"/>
    <col min="8696" max="8696" width="8.7265625" style="21" customWidth="1"/>
    <col min="8697" max="8697" width="9.81640625" style="21" customWidth="1"/>
    <col min="8698" max="8698" width="14.453125" style="21" customWidth="1"/>
    <col min="8699" max="8699" width="7.26953125" style="21" customWidth="1"/>
    <col min="8700" max="8700" width="5.54296875" style="21" customWidth="1"/>
    <col min="8701" max="8701" width="9" style="21" customWidth="1"/>
    <col min="8702" max="8703" width="9.81640625" style="21" customWidth="1"/>
    <col min="8704" max="8704" width="11.1796875" style="21" customWidth="1"/>
    <col min="8705" max="8705" width="2.81640625" style="21" customWidth="1"/>
    <col min="8706" max="8706" width="3.54296875" style="21" customWidth="1"/>
    <col min="8707" max="8951" width="9.1796875" style="21"/>
    <col min="8952" max="8952" width="8.7265625" style="21" customWidth="1"/>
    <col min="8953" max="8953" width="9.81640625" style="21" customWidth="1"/>
    <col min="8954" max="8954" width="14.453125" style="21" customWidth="1"/>
    <col min="8955" max="8955" width="7.26953125" style="21" customWidth="1"/>
    <col min="8956" max="8956" width="5.54296875" style="21" customWidth="1"/>
    <col min="8957" max="8957" width="9" style="21" customWidth="1"/>
    <col min="8958" max="8959" width="9.81640625" style="21" customWidth="1"/>
    <col min="8960" max="8960" width="11.1796875" style="21" customWidth="1"/>
    <col min="8961" max="8961" width="2.81640625" style="21" customWidth="1"/>
    <col min="8962" max="8962" width="3.54296875" style="21" customWidth="1"/>
    <col min="8963" max="9207" width="9.1796875" style="21"/>
    <col min="9208" max="9208" width="8.7265625" style="21" customWidth="1"/>
    <col min="9209" max="9209" width="9.81640625" style="21" customWidth="1"/>
    <col min="9210" max="9210" width="14.453125" style="21" customWidth="1"/>
    <col min="9211" max="9211" width="7.26953125" style="21" customWidth="1"/>
    <col min="9212" max="9212" width="5.54296875" style="21" customWidth="1"/>
    <col min="9213" max="9213" width="9" style="21" customWidth="1"/>
    <col min="9214" max="9215" width="9.81640625" style="21" customWidth="1"/>
    <col min="9216" max="9216" width="11.1796875" style="21" customWidth="1"/>
    <col min="9217" max="9217" width="2.81640625" style="21" customWidth="1"/>
    <col min="9218" max="9218" width="3.54296875" style="21" customWidth="1"/>
    <col min="9219" max="9463" width="9.1796875" style="21"/>
    <col min="9464" max="9464" width="8.7265625" style="21" customWidth="1"/>
    <col min="9465" max="9465" width="9.81640625" style="21" customWidth="1"/>
    <col min="9466" max="9466" width="14.453125" style="21" customWidth="1"/>
    <col min="9467" max="9467" width="7.26953125" style="21" customWidth="1"/>
    <col min="9468" max="9468" width="5.54296875" style="21" customWidth="1"/>
    <col min="9469" max="9469" width="9" style="21" customWidth="1"/>
    <col min="9470" max="9471" width="9.81640625" style="21" customWidth="1"/>
    <col min="9472" max="9472" width="11.1796875" style="21" customWidth="1"/>
    <col min="9473" max="9473" width="2.81640625" style="21" customWidth="1"/>
    <col min="9474" max="9474" width="3.54296875" style="21" customWidth="1"/>
    <col min="9475" max="9719" width="9.1796875" style="21"/>
    <col min="9720" max="9720" width="8.7265625" style="21" customWidth="1"/>
    <col min="9721" max="9721" width="9.81640625" style="21" customWidth="1"/>
    <col min="9722" max="9722" width="14.453125" style="21" customWidth="1"/>
    <col min="9723" max="9723" width="7.26953125" style="21" customWidth="1"/>
    <col min="9724" max="9724" width="5.54296875" style="21" customWidth="1"/>
    <col min="9725" max="9725" width="9" style="21" customWidth="1"/>
    <col min="9726" max="9727" width="9.81640625" style="21" customWidth="1"/>
    <col min="9728" max="9728" width="11.1796875" style="21" customWidth="1"/>
    <col min="9729" max="9729" width="2.81640625" style="21" customWidth="1"/>
    <col min="9730" max="9730" width="3.54296875" style="21" customWidth="1"/>
    <col min="9731" max="9975" width="9.1796875" style="21"/>
    <col min="9976" max="9976" width="8.7265625" style="21" customWidth="1"/>
    <col min="9977" max="9977" width="9.81640625" style="21" customWidth="1"/>
    <col min="9978" max="9978" width="14.453125" style="21" customWidth="1"/>
    <col min="9979" max="9979" width="7.26953125" style="21" customWidth="1"/>
    <col min="9980" max="9980" width="5.54296875" style="21" customWidth="1"/>
    <col min="9981" max="9981" width="9" style="21" customWidth="1"/>
    <col min="9982" max="9983" width="9.81640625" style="21" customWidth="1"/>
    <col min="9984" max="9984" width="11.1796875" style="21" customWidth="1"/>
    <col min="9985" max="9985" width="2.81640625" style="21" customWidth="1"/>
    <col min="9986" max="9986" width="3.54296875" style="21" customWidth="1"/>
    <col min="9987" max="10231" width="9.1796875" style="21"/>
    <col min="10232" max="10232" width="8.7265625" style="21" customWidth="1"/>
    <col min="10233" max="10233" width="9.81640625" style="21" customWidth="1"/>
    <col min="10234" max="10234" width="14.453125" style="21" customWidth="1"/>
    <col min="10235" max="10235" width="7.26953125" style="21" customWidth="1"/>
    <col min="10236" max="10236" width="5.54296875" style="21" customWidth="1"/>
    <col min="10237" max="10237" width="9" style="21" customWidth="1"/>
    <col min="10238" max="10239" width="9.81640625" style="21" customWidth="1"/>
    <col min="10240" max="10240" width="11.1796875" style="21" customWidth="1"/>
    <col min="10241" max="10241" width="2.81640625" style="21" customWidth="1"/>
    <col min="10242" max="10242" width="3.54296875" style="21" customWidth="1"/>
    <col min="10243" max="10487" width="9.1796875" style="21"/>
    <col min="10488" max="10488" width="8.7265625" style="21" customWidth="1"/>
    <col min="10489" max="10489" width="9.81640625" style="21" customWidth="1"/>
    <col min="10490" max="10490" width="14.453125" style="21" customWidth="1"/>
    <col min="10491" max="10491" width="7.26953125" style="21" customWidth="1"/>
    <col min="10492" max="10492" width="5.54296875" style="21" customWidth="1"/>
    <col min="10493" max="10493" width="9" style="21" customWidth="1"/>
    <col min="10494" max="10495" width="9.81640625" style="21" customWidth="1"/>
    <col min="10496" max="10496" width="11.1796875" style="21" customWidth="1"/>
    <col min="10497" max="10497" width="2.81640625" style="21" customWidth="1"/>
    <col min="10498" max="10498" width="3.54296875" style="21" customWidth="1"/>
    <col min="10499" max="10743" width="9.1796875" style="21"/>
    <col min="10744" max="10744" width="8.7265625" style="21" customWidth="1"/>
    <col min="10745" max="10745" width="9.81640625" style="21" customWidth="1"/>
    <col min="10746" max="10746" width="14.453125" style="21" customWidth="1"/>
    <col min="10747" max="10747" width="7.26953125" style="21" customWidth="1"/>
    <col min="10748" max="10748" width="5.54296875" style="21" customWidth="1"/>
    <col min="10749" max="10749" width="9" style="21" customWidth="1"/>
    <col min="10750" max="10751" width="9.81640625" style="21" customWidth="1"/>
    <col min="10752" max="10752" width="11.1796875" style="21" customWidth="1"/>
    <col min="10753" max="10753" width="2.81640625" style="21" customWidth="1"/>
    <col min="10754" max="10754" width="3.54296875" style="21" customWidth="1"/>
    <col min="10755" max="10999" width="9.1796875" style="21"/>
    <col min="11000" max="11000" width="8.7265625" style="21" customWidth="1"/>
    <col min="11001" max="11001" width="9.81640625" style="21" customWidth="1"/>
    <col min="11002" max="11002" width="14.453125" style="21" customWidth="1"/>
    <col min="11003" max="11003" width="7.26953125" style="21" customWidth="1"/>
    <col min="11004" max="11004" width="5.54296875" style="21" customWidth="1"/>
    <col min="11005" max="11005" width="9" style="21" customWidth="1"/>
    <col min="11006" max="11007" width="9.81640625" style="21" customWidth="1"/>
    <col min="11008" max="11008" width="11.1796875" style="21" customWidth="1"/>
    <col min="11009" max="11009" width="2.81640625" style="21" customWidth="1"/>
    <col min="11010" max="11010" width="3.54296875" style="21" customWidth="1"/>
    <col min="11011" max="11255" width="9.1796875" style="21"/>
    <col min="11256" max="11256" width="8.7265625" style="21" customWidth="1"/>
    <col min="11257" max="11257" width="9.81640625" style="21" customWidth="1"/>
    <col min="11258" max="11258" width="14.453125" style="21" customWidth="1"/>
    <col min="11259" max="11259" width="7.26953125" style="21" customWidth="1"/>
    <col min="11260" max="11260" width="5.54296875" style="21" customWidth="1"/>
    <col min="11261" max="11261" width="9" style="21" customWidth="1"/>
    <col min="11262" max="11263" width="9.81640625" style="21" customWidth="1"/>
    <col min="11264" max="11264" width="11.1796875" style="21" customWidth="1"/>
    <col min="11265" max="11265" width="2.81640625" style="21" customWidth="1"/>
    <col min="11266" max="11266" width="3.54296875" style="21" customWidth="1"/>
    <col min="11267" max="11511" width="9.1796875" style="21"/>
    <col min="11512" max="11512" width="8.7265625" style="21" customWidth="1"/>
    <col min="11513" max="11513" width="9.81640625" style="21" customWidth="1"/>
    <col min="11514" max="11514" width="14.453125" style="21" customWidth="1"/>
    <col min="11515" max="11515" width="7.26953125" style="21" customWidth="1"/>
    <col min="11516" max="11516" width="5.54296875" style="21" customWidth="1"/>
    <col min="11517" max="11517" width="9" style="21" customWidth="1"/>
    <col min="11518" max="11519" width="9.81640625" style="21" customWidth="1"/>
    <col min="11520" max="11520" width="11.1796875" style="21" customWidth="1"/>
    <col min="11521" max="11521" width="2.81640625" style="21" customWidth="1"/>
    <col min="11522" max="11522" width="3.54296875" style="21" customWidth="1"/>
    <col min="11523" max="11767" width="9.1796875" style="21"/>
    <col min="11768" max="11768" width="8.7265625" style="21" customWidth="1"/>
    <col min="11769" max="11769" width="9.81640625" style="21" customWidth="1"/>
    <col min="11770" max="11770" width="14.453125" style="21" customWidth="1"/>
    <col min="11771" max="11771" width="7.26953125" style="21" customWidth="1"/>
    <col min="11772" max="11772" width="5.54296875" style="21" customWidth="1"/>
    <col min="11773" max="11773" width="9" style="21" customWidth="1"/>
    <col min="11774" max="11775" width="9.81640625" style="21" customWidth="1"/>
    <col min="11776" max="11776" width="11.1796875" style="21" customWidth="1"/>
    <col min="11777" max="11777" width="2.81640625" style="21" customWidth="1"/>
    <col min="11778" max="11778" width="3.54296875" style="21" customWidth="1"/>
    <col min="11779" max="12023" width="9.1796875" style="21"/>
    <col min="12024" max="12024" width="8.7265625" style="21" customWidth="1"/>
    <col min="12025" max="12025" width="9.81640625" style="21" customWidth="1"/>
    <col min="12026" max="12026" width="14.453125" style="21" customWidth="1"/>
    <col min="12027" max="12027" width="7.26953125" style="21" customWidth="1"/>
    <col min="12028" max="12028" width="5.54296875" style="21" customWidth="1"/>
    <col min="12029" max="12029" width="9" style="21" customWidth="1"/>
    <col min="12030" max="12031" width="9.81640625" style="21" customWidth="1"/>
    <col min="12032" max="12032" width="11.1796875" style="21" customWidth="1"/>
    <col min="12033" max="12033" width="2.81640625" style="21" customWidth="1"/>
    <col min="12034" max="12034" width="3.54296875" style="21" customWidth="1"/>
    <col min="12035" max="12279" width="9.1796875" style="21"/>
    <col min="12280" max="12280" width="8.7265625" style="21" customWidth="1"/>
    <col min="12281" max="12281" width="9.81640625" style="21" customWidth="1"/>
    <col min="12282" max="12282" width="14.453125" style="21" customWidth="1"/>
    <col min="12283" max="12283" width="7.26953125" style="21" customWidth="1"/>
    <col min="12284" max="12284" width="5.54296875" style="21" customWidth="1"/>
    <col min="12285" max="12285" width="9" style="21" customWidth="1"/>
    <col min="12286" max="12287" width="9.81640625" style="21" customWidth="1"/>
    <col min="12288" max="12288" width="11.1796875" style="21" customWidth="1"/>
    <col min="12289" max="12289" width="2.81640625" style="21" customWidth="1"/>
    <col min="12290" max="12290" width="3.54296875" style="21" customWidth="1"/>
    <col min="12291" max="12535" width="9.1796875" style="21"/>
    <col min="12536" max="12536" width="8.7265625" style="21" customWidth="1"/>
    <col min="12537" max="12537" width="9.81640625" style="21" customWidth="1"/>
    <col min="12538" max="12538" width="14.453125" style="21" customWidth="1"/>
    <col min="12539" max="12539" width="7.26953125" style="21" customWidth="1"/>
    <col min="12540" max="12540" width="5.54296875" style="21" customWidth="1"/>
    <col min="12541" max="12541" width="9" style="21" customWidth="1"/>
    <col min="12542" max="12543" width="9.81640625" style="21" customWidth="1"/>
    <col min="12544" max="12544" width="11.1796875" style="21" customWidth="1"/>
    <col min="12545" max="12545" width="2.81640625" style="21" customWidth="1"/>
    <col min="12546" max="12546" width="3.54296875" style="21" customWidth="1"/>
    <col min="12547" max="12791" width="9.1796875" style="21"/>
    <col min="12792" max="12792" width="8.7265625" style="21" customWidth="1"/>
    <col min="12793" max="12793" width="9.81640625" style="21" customWidth="1"/>
    <col min="12794" max="12794" width="14.453125" style="21" customWidth="1"/>
    <col min="12795" max="12795" width="7.26953125" style="21" customWidth="1"/>
    <col min="12796" max="12796" width="5.54296875" style="21" customWidth="1"/>
    <col min="12797" max="12797" width="9" style="21" customWidth="1"/>
    <col min="12798" max="12799" width="9.81640625" style="21" customWidth="1"/>
    <col min="12800" max="12800" width="11.1796875" style="21" customWidth="1"/>
    <col min="12801" max="12801" width="2.81640625" style="21" customWidth="1"/>
    <col min="12802" max="12802" width="3.54296875" style="21" customWidth="1"/>
    <col min="12803" max="13047" width="9.1796875" style="21"/>
    <col min="13048" max="13048" width="8.7265625" style="21" customWidth="1"/>
    <col min="13049" max="13049" width="9.81640625" style="21" customWidth="1"/>
    <col min="13050" max="13050" width="14.453125" style="21" customWidth="1"/>
    <col min="13051" max="13051" width="7.26953125" style="21" customWidth="1"/>
    <col min="13052" max="13052" width="5.54296875" style="21" customWidth="1"/>
    <col min="13053" max="13053" width="9" style="21" customWidth="1"/>
    <col min="13054" max="13055" width="9.81640625" style="21" customWidth="1"/>
    <col min="13056" max="13056" width="11.1796875" style="21" customWidth="1"/>
    <col min="13057" max="13057" width="2.81640625" style="21" customWidth="1"/>
    <col min="13058" max="13058" width="3.54296875" style="21" customWidth="1"/>
    <col min="13059" max="13303" width="9.1796875" style="21"/>
    <col min="13304" max="13304" width="8.7265625" style="21" customWidth="1"/>
    <col min="13305" max="13305" width="9.81640625" style="21" customWidth="1"/>
    <col min="13306" max="13306" width="14.453125" style="21" customWidth="1"/>
    <col min="13307" max="13307" width="7.26953125" style="21" customWidth="1"/>
    <col min="13308" max="13308" width="5.54296875" style="21" customWidth="1"/>
    <col min="13309" max="13309" width="9" style="21" customWidth="1"/>
    <col min="13310" max="13311" width="9.81640625" style="21" customWidth="1"/>
    <col min="13312" max="13312" width="11.1796875" style="21" customWidth="1"/>
    <col min="13313" max="13313" width="2.81640625" style="21" customWidth="1"/>
    <col min="13314" max="13314" width="3.54296875" style="21" customWidth="1"/>
    <col min="13315" max="13559" width="9.1796875" style="21"/>
    <col min="13560" max="13560" width="8.7265625" style="21" customWidth="1"/>
    <col min="13561" max="13561" width="9.81640625" style="21" customWidth="1"/>
    <col min="13562" max="13562" width="14.453125" style="21" customWidth="1"/>
    <col min="13563" max="13563" width="7.26953125" style="21" customWidth="1"/>
    <col min="13564" max="13564" width="5.54296875" style="21" customWidth="1"/>
    <col min="13565" max="13565" width="9" style="21" customWidth="1"/>
    <col min="13566" max="13567" width="9.81640625" style="21" customWidth="1"/>
    <col min="13568" max="13568" width="11.1796875" style="21" customWidth="1"/>
    <col min="13569" max="13569" width="2.81640625" style="21" customWidth="1"/>
    <col min="13570" max="13570" width="3.54296875" style="21" customWidth="1"/>
    <col min="13571" max="13815" width="9.1796875" style="21"/>
    <col min="13816" max="13816" width="8.7265625" style="21" customWidth="1"/>
    <col min="13817" max="13817" width="9.81640625" style="21" customWidth="1"/>
    <col min="13818" max="13818" width="14.453125" style="21" customWidth="1"/>
    <col min="13819" max="13819" width="7.26953125" style="21" customWidth="1"/>
    <col min="13820" max="13820" width="5.54296875" style="21" customWidth="1"/>
    <col min="13821" max="13821" width="9" style="21" customWidth="1"/>
    <col min="13822" max="13823" width="9.81640625" style="21" customWidth="1"/>
    <col min="13824" max="13824" width="11.1796875" style="21" customWidth="1"/>
    <col min="13825" max="13825" width="2.81640625" style="21" customWidth="1"/>
    <col min="13826" max="13826" width="3.54296875" style="21" customWidth="1"/>
    <col min="13827" max="14071" width="9.1796875" style="21"/>
    <col min="14072" max="14072" width="8.7265625" style="21" customWidth="1"/>
    <col min="14073" max="14073" width="9.81640625" style="21" customWidth="1"/>
    <col min="14074" max="14074" width="14.453125" style="21" customWidth="1"/>
    <col min="14075" max="14075" width="7.26953125" style="21" customWidth="1"/>
    <col min="14076" max="14076" width="5.54296875" style="21" customWidth="1"/>
    <col min="14077" max="14077" width="9" style="21" customWidth="1"/>
    <col min="14078" max="14079" width="9.81640625" style="21" customWidth="1"/>
    <col min="14080" max="14080" width="11.1796875" style="21" customWidth="1"/>
    <col min="14081" max="14081" width="2.81640625" style="21" customWidth="1"/>
    <col min="14082" max="14082" width="3.54296875" style="21" customWidth="1"/>
    <col min="14083" max="14327" width="9.1796875" style="21"/>
    <col min="14328" max="14328" width="8.7265625" style="21" customWidth="1"/>
    <col min="14329" max="14329" width="9.81640625" style="21" customWidth="1"/>
    <col min="14330" max="14330" width="14.453125" style="21" customWidth="1"/>
    <col min="14331" max="14331" width="7.26953125" style="21" customWidth="1"/>
    <col min="14332" max="14332" width="5.54296875" style="21" customWidth="1"/>
    <col min="14333" max="14333" width="9" style="21" customWidth="1"/>
    <col min="14334" max="14335" width="9.81640625" style="21" customWidth="1"/>
    <col min="14336" max="14336" width="11.1796875" style="21" customWidth="1"/>
    <col min="14337" max="14337" width="2.81640625" style="21" customWidth="1"/>
    <col min="14338" max="14338" width="3.54296875" style="21" customWidth="1"/>
    <col min="14339" max="14583" width="9.1796875" style="21"/>
    <col min="14584" max="14584" width="8.7265625" style="21" customWidth="1"/>
    <col min="14585" max="14585" width="9.81640625" style="21" customWidth="1"/>
    <col min="14586" max="14586" width="14.453125" style="21" customWidth="1"/>
    <col min="14587" max="14587" width="7.26953125" style="21" customWidth="1"/>
    <col min="14588" max="14588" width="5.54296875" style="21" customWidth="1"/>
    <col min="14589" max="14589" width="9" style="21" customWidth="1"/>
    <col min="14590" max="14591" width="9.81640625" style="21" customWidth="1"/>
    <col min="14592" max="14592" width="11.1796875" style="21" customWidth="1"/>
    <col min="14593" max="14593" width="2.81640625" style="21" customWidth="1"/>
    <col min="14594" max="14594" width="3.54296875" style="21" customWidth="1"/>
    <col min="14595" max="14839" width="9.1796875" style="21"/>
    <col min="14840" max="14840" width="8.7265625" style="21" customWidth="1"/>
    <col min="14841" max="14841" width="9.81640625" style="21" customWidth="1"/>
    <col min="14842" max="14842" width="14.453125" style="21" customWidth="1"/>
    <col min="14843" max="14843" width="7.26953125" style="21" customWidth="1"/>
    <col min="14844" max="14844" width="5.54296875" style="21" customWidth="1"/>
    <col min="14845" max="14845" width="9" style="21" customWidth="1"/>
    <col min="14846" max="14847" width="9.81640625" style="21" customWidth="1"/>
    <col min="14848" max="14848" width="11.1796875" style="21" customWidth="1"/>
    <col min="14849" max="14849" width="2.81640625" style="21" customWidth="1"/>
    <col min="14850" max="14850" width="3.54296875" style="21" customWidth="1"/>
    <col min="14851" max="15095" width="9.1796875" style="21"/>
    <col min="15096" max="15096" width="8.7265625" style="21" customWidth="1"/>
    <col min="15097" max="15097" width="9.81640625" style="21" customWidth="1"/>
    <col min="15098" max="15098" width="14.453125" style="21" customWidth="1"/>
    <col min="15099" max="15099" width="7.26953125" style="21" customWidth="1"/>
    <col min="15100" max="15100" width="5.54296875" style="21" customWidth="1"/>
    <col min="15101" max="15101" width="9" style="21" customWidth="1"/>
    <col min="15102" max="15103" width="9.81640625" style="21" customWidth="1"/>
    <col min="15104" max="15104" width="11.1796875" style="21" customWidth="1"/>
    <col min="15105" max="15105" width="2.81640625" style="21" customWidth="1"/>
    <col min="15106" max="15106" width="3.54296875" style="21" customWidth="1"/>
    <col min="15107" max="15351" width="9.1796875" style="21"/>
    <col min="15352" max="15352" width="8.7265625" style="21" customWidth="1"/>
    <col min="15353" max="15353" width="9.81640625" style="21" customWidth="1"/>
    <col min="15354" max="15354" width="14.453125" style="21" customWidth="1"/>
    <col min="15355" max="15355" width="7.26953125" style="21" customWidth="1"/>
    <col min="15356" max="15356" width="5.54296875" style="21" customWidth="1"/>
    <col min="15357" max="15357" width="9" style="21" customWidth="1"/>
    <col min="15358" max="15359" width="9.81640625" style="21" customWidth="1"/>
    <col min="15360" max="15360" width="11.1796875" style="21" customWidth="1"/>
    <col min="15361" max="15361" width="2.81640625" style="21" customWidth="1"/>
    <col min="15362" max="15362" width="3.54296875" style="21" customWidth="1"/>
    <col min="15363" max="15607" width="9.1796875" style="21"/>
    <col min="15608" max="15608" width="8.7265625" style="21" customWidth="1"/>
    <col min="15609" max="15609" width="9.81640625" style="21" customWidth="1"/>
    <col min="15610" max="15610" width="14.453125" style="21" customWidth="1"/>
    <col min="15611" max="15611" width="7.26953125" style="21" customWidth="1"/>
    <col min="15612" max="15612" width="5.54296875" style="21" customWidth="1"/>
    <col min="15613" max="15613" width="9" style="21" customWidth="1"/>
    <col min="15614" max="15615" width="9.81640625" style="21" customWidth="1"/>
    <col min="15616" max="15616" width="11.1796875" style="21" customWidth="1"/>
    <col min="15617" max="15617" width="2.81640625" style="21" customWidth="1"/>
    <col min="15618" max="15618" width="3.54296875" style="21" customWidth="1"/>
    <col min="15619" max="15863" width="9.1796875" style="21"/>
    <col min="15864" max="15864" width="8.7265625" style="21" customWidth="1"/>
    <col min="15865" max="15865" width="9.81640625" style="21" customWidth="1"/>
    <col min="15866" max="15866" width="14.453125" style="21" customWidth="1"/>
    <col min="15867" max="15867" width="7.26953125" style="21" customWidth="1"/>
    <col min="15868" max="15868" width="5.54296875" style="21" customWidth="1"/>
    <col min="15869" max="15869" width="9" style="21" customWidth="1"/>
    <col min="15870" max="15871" width="9.81640625" style="21" customWidth="1"/>
    <col min="15872" max="15872" width="11.1796875" style="21" customWidth="1"/>
    <col min="15873" max="15873" width="2.81640625" style="21" customWidth="1"/>
    <col min="15874" max="15874" width="3.54296875" style="21" customWidth="1"/>
    <col min="15875" max="16119" width="9.1796875" style="21"/>
    <col min="16120" max="16120" width="8.7265625" style="21" customWidth="1"/>
    <col min="16121" max="16121" width="9.81640625" style="21" customWidth="1"/>
    <col min="16122" max="16122" width="14.453125" style="21" customWidth="1"/>
    <col min="16123" max="16123" width="7.26953125" style="21" customWidth="1"/>
    <col min="16124" max="16124" width="5.54296875" style="21" customWidth="1"/>
    <col min="16125" max="16125" width="9" style="21" customWidth="1"/>
    <col min="16126" max="16127" width="9.81640625" style="21" customWidth="1"/>
    <col min="16128" max="16128" width="11.1796875" style="21" customWidth="1"/>
    <col min="16129" max="16129" width="2.81640625" style="21" customWidth="1"/>
    <col min="16130" max="16130" width="3.54296875" style="21" customWidth="1"/>
    <col min="16131" max="16384" width="9.1796875" style="21"/>
  </cols>
  <sheetData>
    <row r="1" spans="1:26" ht="46.5" customHeight="1" x14ac:dyDescent="0.35">
      <c r="A1" s="282" t="s">
        <v>155</v>
      </c>
      <c r="B1" s="282"/>
      <c r="C1" s="282"/>
      <c r="D1" s="282"/>
      <c r="E1" s="282"/>
      <c r="F1" s="282"/>
      <c r="G1" s="282"/>
      <c r="H1" s="282"/>
    </row>
    <row r="2" spans="1:26" ht="16.5" customHeight="1" x14ac:dyDescent="0.35">
      <c r="A2" s="235" t="s">
        <v>0</v>
      </c>
      <c r="B2" s="235"/>
      <c r="C2" s="235"/>
      <c r="D2" s="235"/>
      <c r="E2" s="235"/>
      <c r="F2" s="235"/>
      <c r="G2" s="235"/>
      <c r="H2" s="235"/>
    </row>
    <row r="3" spans="1:26" x14ac:dyDescent="0.35">
      <c r="A3" s="149" t="s">
        <v>1</v>
      </c>
      <c r="B3" s="149"/>
      <c r="C3" s="149"/>
      <c r="D3" s="149"/>
      <c r="E3" s="149" t="str">
        <f ca="1">TEXT(TODAY(),"DD/MM/YYYY")</f>
        <v>18/07/2025</v>
      </c>
      <c r="F3" s="149"/>
      <c r="G3" s="149"/>
      <c r="H3" s="149"/>
      <c r="K3" s="53" t="s">
        <v>226</v>
      </c>
      <c r="L3" s="52" t="s">
        <v>224</v>
      </c>
      <c r="M3" s="52" t="s">
        <v>229</v>
      </c>
      <c r="N3" s="52" t="s">
        <v>227</v>
      </c>
      <c r="O3" s="52" t="s">
        <v>228</v>
      </c>
      <c r="P3" s="52" t="s">
        <v>230</v>
      </c>
    </row>
    <row r="4" spans="1:26" ht="15" customHeight="1" x14ac:dyDescent="0.35">
      <c r="A4" s="149" t="s">
        <v>223</v>
      </c>
      <c r="B4" s="149"/>
      <c r="C4" s="149"/>
      <c r="D4" s="149"/>
      <c r="E4" s="280" t="s">
        <v>224</v>
      </c>
      <c r="F4" s="280"/>
      <c r="G4" s="280"/>
      <c r="H4" s="280"/>
      <c r="K4" s="51" t="s">
        <v>225</v>
      </c>
      <c r="L4" s="52" t="s">
        <v>162</v>
      </c>
      <c r="M4" s="52" t="s">
        <v>234</v>
      </c>
      <c r="N4" s="52" t="s">
        <v>236</v>
      </c>
      <c r="O4" s="52" t="s">
        <v>238</v>
      </c>
      <c r="P4" s="52"/>
    </row>
    <row r="5" spans="1:26" ht="15" customHeight="1" x14ac:dyDescent="0.35">
      <c r="A5" s="149" t="s">
        <v>2</v>
      </c>
      <c r="B5" s="149"/>
      <c r="C5" s="149"/>
      <c r="D5" s="149"/>
      <c r="E5" s="280" t="s">
        <v>232</v>
      </c>
      <c r="F5" s="280"/>
      <c r="G5" s="280"/>
      <c r="H5" s="280"/>
      <c r="K5" s="51"/>
      <c r="L5" s="52" t="s">
        <v>231</v>
      </c>
      <c r="M5" s="52" t="s">
        <v>235</v>
      </c>
      <c r="N5" s="52" t="s">
        <v>237</v>
      </c>
      <c r="O5" s="52" t="s">
        <v>239</v>
      </c>
      <c r="P5" s="52"/>
    </row>
    <row r="6" spans="1:26" x14ac:dyDescent="0.35">
      <c r="A6" s="149" t="s">
        <v>3</v>
      </c>
      <c r="B6" s="149"/>
      <c r="C6" s="149"/>
      <c r="D6" s="149"/>
      <c r="E6" s="283">
        <v>45849</v>
      </c>
      <c r="F6" s="149"/>
      <c r="G6" s="149"/>
      <c r="H6" s="149"/>
      <c r="K6" s="51"/>
      <c r="L6" s="52" t="s">
        <v>232</v>
      </c>
      <c r="M6" s="52"/>
      <c r="N6" s="52"/>
      <c r="O6" s="52" t="s">
        <v>240</v>
      </c>
      <c r="P6" s="52"/>
    </row>
    <row r="7" spans="1:26" x14ac:dyDescent="0.35">
      <c r="A7" s="149" t="s">
        <v>4</v>
      </c>
      <c r="B7" s="149"/>
      <c r="C7" s="149"/>
      <c r="D7" s="149"/>
      <c r="E7" s="185" t="s">
        <v>364</v>
      </c>
      <c r="F7" s="185"/>
      <c r="G7" s="185"/>
      <c r="H7" s="185"/>
      <c r="K7" s="51"/>
      <c r="L7" s="52" t="s">
        <v>233</v>
      </c>
      <c r="M7" s="52"/>
      <c r="N7" s="52"/>
      <c r="O7" s="52" t="s">
        <v>240</v>
      </c>
      <c r="P7" s="52"/>
    </row>
    <row r="8" spans="1:26" x14ac:dyDescent="0.35">
      <c r="A8" s="149" t="s">
        <v>5</v>
      </c>
      <c r="B8" s="149"/>
      <c r="C8" s="149"/>
      <c r="D8" s="149"/>
      <c r="E8" s="185" t="str">
        <f>E7</f>
        <v>Wadhwa Construction And Infrastructure Private Limited</v>
      </c>
      <c r="F8" s="185"/>
      <c r="G8" s="185"/>
      <c r="H8" s="185"/>
      <c r="K8" s="51"/>
      <c r="L8" s="52"/>
      <c r="M8" s="52"/>
      <c r="N8" s="52"/>
      <c r="O8" s="52" t="s">
        <v>241</v>
      </c>
      <c r="P8" s="52"/>
    </row>
    <row r="9" spans="1:26" x14ac:dyDescent="0.35">
      <c r="A9" s="149" t="s">
        <v>6</v>
      </c>
      <c r="B9" s="149"/>
      <c r="C9" s="149"/>
      <c r="D9" s="149"/>
      <c r="E9" s="249" t="s">
        <v>363</v>
      </c>
      <c r="F9" s="249"/>
      <c r="G9" s="249"/>
      <c r="H9" s="249"/>
      <c r="K9" s="51"/>
      <c r="L9" s="52"/>
      <c r="M9" s="52"/>
      <c r="N9" s="52"/>
      <c r="O9" s="52" t="s">
        <v>242</v>
      </c>
      <c r="P9" s="52"/>
    </row>
    <row r="10" spans="1:26" x14ac:dyDescent="0.35">
      <c r="A10" s="149" t="s">
        <v>158</v>
      </c>
      <c r="B10" s="149"/>
      <c r="C10" s="149"/>
      <c r="D10" s="149"/>
      <c r="E10" s="149" t="s">
        <v>457</v>
      </c>
      <c r="F10" s="149"/>
      <c r="G10" s="149"/>
      <c r="H10" s="149"/>
      <c r="K10" s="51"/>
      <c r="L10" s="52"/>
      <c r="M10" s="52"/>
      <c r="N10" s="52"/>
      <c r="O10" s="52"/>
      <c r="P10" s="52"/>
    </row>
    <row r="11" spans="1:26" x14ac:dyDescent="0.35">
      <c r="A11" s="149" t="s">
        <v>159</v>
      </c>
      <c r="B11" s="149"/>
      <c r="C11" s="149"/>
      <c r="D11" s="149"/>
      <c r="E11" s="149" t="s">
        <v>504</v>
      </c>
      <c r="F11" s="149"/>
      <c r="G11" s="149"/>
      <c r="H11" s="149"/>
      <c r="I11" s="149" t="s">
        <v>456</v>
      </c>
      <c r="J11" s="149"/>
      <c r="K11" s="149"/>
      <c r="L11" s="149"/>
    </row>
    <row r="12" spans="1:26" ht="125.25" customHeight="1" x14ac:dyDescent="0.35">
      <c r="A12" s="149" t="s">
        <v>7</v>
      </c>
      <c r="B12" s="149"/>
      <c r="C12" s="149"/>
      <c r="D12" s="149"/>
      <c r="E12" s="185" t="s">
        <v>494</v>
      </c>
      <c r="F12" s="149"/>
      <c r="G12" s="149"/>
      <c r="H12" s="149"/>
    </row>
    <row r="13" spans="1:26" x14ac:dyDescent="0.35">
      <c r="A13" s="149" t="s">
        <v>163</v>
      </c>
      <c r="B13" s="149"/>
      <c r="C13" s="149"/>
      <c r="D13" s="149"/>
      <c r="E13" s="149" t="s">
        <v>28</v>
      </c>
      <c r="F13" s="149"/>
      <c r="G13" s="149"/>
      <c r="H13" s="149"/>
      <c r="S13" s="52" t="s">
        <v>168</v>
      </c>
      <c r="T13" s="52" t="s">
        <v>178</v>
      </c>
      <c r="U13" s="52" t="s">
        <v>164</v>
      </c>
      <c r="V13" s="52" t="s">
        <v>183</v>
      </c>
      <c r="W13" s="52" t="s">
        <v>201</v>
      </c>
      <c r="X13"/>
      <c r="Y13" t="s">
        <v>183</v>
      </c>
      <c r="Z13" t="e">
        <f ca="1">OFFSET($S$13,1,MATCH($G20,$S$13:$W$13,0)-1,15,1)</f>
        <v>#VALUE!</v>
      </c>
    </row>
    <row r="14" spans="1:26" x14ac:dyDescent="0.35">
      <c r="A14" s="167" t="s">
        <v>269</v>
      </c>
      <c r="B14" s="167"/>
      <c r="C14" s="167"/>
      <c r="D14" s="167"/>
      <c r="E14" s="281" t="s">
        <v>365</v>
      </c>
      <c r="F14" s="281"/>
      <c r="G14" s="281"/>
      <c r="H14" s="281"/>
      <c r="S14" s="52" t="s">
        <v>169</v>
      </c>
      <c r="T14" s="52" t="s">
        <v>176</v>
      </c>
      <c r="U14" s="52" t="s">
        <v>198</v>
      </c>
      <c r="V14" s="52" t="s">
        <v>184</v>
      </c>
      <c r="W14" s="52" t="s">
        <v>202</v>
      </c>
      <c r="X14"/>
      <c r="Y14"/>
      <c r="Z14"/>
    </row>
    <row r="15" spans="1:26" x14ac:dyDescent="0.35">
      <c r="A15" s="167" t="s">
        <v>8</v>
      </c>
      <c r="B15" s="167"/>
      <c r="C15" s="167"/>
      <c r="D15" s="167"/>
      <c r="E15" s="281" t="s">
        <v>362</v>
      </c>
      <c r="F15" s="280"/>
      <c r="G15" s="280"/>
      <c r="H15" s="280"/>
      <c r="I15" s="156" t="e">
        <f ca="1">OFFSET($D$5,1,MATCH($J13,$D$5:$H$5,0)-1,15,1)</f>
        <v>#N/A</v>
      </c>
      <c r="J15" s="157"/>
      <c r="K15" s="157"/>
      <c r="L15" s="157"/>
      <c r="M15" s="157"/>
      <c r="N15" s="157"/>
      <c r="O15" s="157"/>
      <c r="P15" s="157"/>
      <c r="S15" s="52" t="s">
        <v>170</v>
      </c>
      <c r="T15" s="52" t="s">
        <v>177</v>
      </c>
      <c r="U15" s="52" t="s">
        <v>199</v>
      </c>
      <c r="V15" s="52" t="s">
        <v>185</v>
      </c>
      <c r="W15" s="52" t="s">
        <v>215</v>
      </c>
      <c r="X15"/>
      <c r="Y15"/>
      <c r="Z15"/>
    </row>
    <row r="16" spans="1:26" ht="47.25" customHeight="1" x14ac:dyDescent="0.35">
      <c r="A16" s="185" t="s">
        <v>9</v>
      </c>
      <c r="B16" s="185"/>
      <c r="C16" s="185" t="str">
        <f>CONCATENATE((IF(OR(E9="",E9="NA"),"",E9)),", ",(IF(OR(A17="",A17="NA"),"",A17)),".",(IF(OR(C17="",C17="NA"),"",C17)),", near ",(IF(OR(C22="",C22="NA"),"",C22)),", ",(IF(OR(C19="",C19="NA"),"",C19)),", ",(IF(OR(C18="",C18="NA"),"",C18)),", ",(IF(OR(G19="",G19="NA"),"",G19)),", ",(IF(OR(C20="",C20="NA"),"",C20)),", ",(IF(OR(C21="",C21="NA"),"",C21)),", ",(IF(OR(G20="",G20="NA"),"",G20))," - ",(IF(OR(G21="",G21="NA"),"",G21)),".")</f>
        <v>Magnolia Cluster 3, Survey No.40 &amp; Others (43/0, 44/1, 50/1(Part), 51/1, 51/2, 51/4, 51/5, 52/0, 53/0, 61/2), near The Reserves - Wadhwa Wise City, Vardoli Road, Vardoli, Vardoli, Panvel, Panvel, Raigad - 410206.</v>
      </c>
      <c r="D16" s="185"/>
      <c r="E16" s="185"/>
      <c r="F16" s="185"/>
      <c r="G16" s="185"/>
      <c r="H16" s="185"/>
      <c r="S16" s="52" t="s">
        <v>171</v>
      </c>
      <c r="T16" s="52" t="s">
        <v>179</v>
      </c>
      <c r="U16" s="52" t="s">
        <v>200</v>
      </c>
      <c r="V16" s="52" t="s">
        <v>186</v>
      </c>
      <c r="W16" s="52" t="s">
        <v>203</v>
      </c>
      <c r="X16"/>
      <c r="Y16"/>
      <c r="Z16"/>
    </row>
    <row r="17" spans="1:26" x14ac:dyDescent="0.35">
      <c r="A17" s="185" t="s">
        <v>298</v>
      </c>
      <c r="B17" s="185"/>
      <c r="C17" s="185" t="s">
        <v>501</v>
      </c>
      <c r="D17" s="185"/>
      <c r="E17" s="185"/>
      <c r="F17" s="185"/>
      <c r="G17" s="185"/>
      <c r="H17" s="185"/>
      <c r="S17" s="52" t="s">
        <v>172</v>
      </c>
      <c r="T17" s="52" t="s">
        <v>180</v>
      </c>
      <c r="U17" s="52" t="s">
        <v>164</v>
      </c>
      <c r="V17" s="52" t="s">
        <v>187</v>
      </c>
      <c r="W17" s="52" t="s">
        <v>204</v>
      </c>
      <c r="X17"/>
      <c r="Y17"/>
      <c r="Z17"/>
    </row>
    <row r="18" spans="1:26" ht="15.75" customHeight="1" x14ac:dyDescent="0.35">
      <c r="A18" s="185" t="s">
        <v>153</v>
      </c>
      <c r="B18" s="185"/>
      <c r="C18" s="185" t="s">
        <v>299</v>
      </c>
      <c r="D18" s="185"/>
      <c r="E18" s="185"/>
      <c r="F18" s="185"/>
      <c r="G18" s="185"/>
      <c r="H18" s="185"/>
      <c r="S18" s="52" t="s">
        <v>173</v>
      </c>
      <c r="T18" s="52" t="s">
        <v>178</v>
      </c>
      <c r="U18" s="52"/>
      <c r="V18" s="52" t="s">
        <v>188</v>
      </c>
      <c r="W18" s="52" t="s">
        <v>205</v>
      </c>
      <c r="X18"/>
      <c r="Y18"/>
      <c r="Z18"/>
    </row>
    <row r="19" spans="1:26" ht="15.75" customHeight="1" x14ac:dyDescent="0.35">
      <c r="A19" s="185" t="s">
        <v>10</v>
      </c>
      <c r="B19" s="185"/>
      <c r="C19" s="149" t="s">
        <v>300</v>
      </c>
      <c r="D19" s="149"/>
      <c r="E19" s="185" t="s">
        <v>67</v>
      </c>
      <c r="F19" s="185"/>
      <c r="G19" s="185" t="s">
        <v>299</v>
      </c>
      <c r="H19" s="185"/>
      <c r="S19" s="52" t="s">
        <v>174</v>
      </c>
      <c r="T19" s="52" t="s">
        <v>181</v>
      </c>
      <c r="U19" s="52"/>
      <c r="V19" s="52" t="s">
        <v>189</v>
      </c>
      <c r="W19" s="52" t="s">
        <v>206</v>
      </c>
      <c r="X19"/>
      <c r="Y19"/>
      <c r="Z19"/>
    </row>
    <row r="20" spans="1:26" x14ac:dyDescent="0.35">
      <c r="A20" s="167" t="s">
        <v>12</v>
      </c>
      <c r="B20" s="167"/>
      <c r="C20" s="185" t="s">
        <v>185</v>
      </c>
      <c r="D20" s="185"/>
      <c r="E20" s="169" t="s">
        <v>11</v>
      </c>
      <c r="F20" s="169"/>
      <c r="G20" s="285" t="s">
        <v>183</v>
      </c>
      <c r="H20" s="285"/>
      <c r="S20" s="52" t="s">
        <v>175</v>
      </c>
      <c r="T20" s="52" t="s">
        <v>182</v>
      </c>
      <c r="U20" s="52"/>
      <c r="V20" s="52" t="s">
        <v>190</v>
      </c>
      <c r="W20" s="52" t="s">
        <v>207</v>
      </c>
      <c r="X20"/>
      <c r="Y20"/>
      <c r="Z20"/>
    </row>
    <row r="21" spans="1:26" x14ac:dyDescent="0.35">
      <c r="A21" s="167" t="s">
        <v>68</v>
      </c>
      <c r="B21" s="167"/>
      <c r="C21" s="281" t="s">
        <v>185</v>
      </c>
      <c r="D21" s="281"/>
      <c r="E21" s="169" t="s">
        <v>13</v>
      </c>
      <c r="F21" s="169"/>
      <c r="G21" s="185">
        <v>410206</v>
      </c>
      <c r="H21" s="185"/>
      <c r="S21" s="52"/>
      <c r="T21" s="52"/>
      <c r="U21" s="52"/>
      <c r="V21" s="52" t="s">
        <v>191</v>
      </c>
      <c r="W21" s="52" t="s">
        <v>208</v>
      </c>
      <c r="X21"/>
      <c r="Y21"/>
      <c r="Z21"/>
    </row>
    <row r="22" spans="1:26" ht="32.25" customHeight="1" x14ac:dyDescent="0.35">
      <c r="A22" s="167" t="s">
        <v>114</v>
      </c>
      <c r="B22" s="167"/>
      <c r="C22" s="185" t="s">
        <v>301</v>
      </c>
      <c r="D22" s="185"/>
      <c r="E22" s="169" t="s">
        <v>14</v>
      </c>
      <c r="F22" s="169"/>
      <c r="G22" s="281" t="s">
        <v>377</v>
      </c>
      <c r="H22" s="281"/>
      <c r="S22" s="52"/>
      <c r="T22" s="52"/>
      <c r="U22" s="52"/>
      <c r="V22" s="52" t="s">
        <v>192</v>
      </c>
      <c r="W22" s="52" t="s">
        <v>209</v>
      </c>
      <c r="X22"/>
      <c r="Y22"/>
      <c r="Z22"/>
    </row>
    <row r="23" spans="1:26" ht="15" customHeight="1" x14ac:dyDescent="0.35">
      <c r="A23" s="169" t="s">
        <v>69</v>
      </c>
      <c r="B23" s="169"/>
      <c r="C23" s="169"/>
      <c r="D23" s="169"/>
      <c r="E23" s="149" t="s">
        <v>15</v>
      </c>
      <c r="F23" s="149"/>
      <c r="G23" s="149"/>
      <c r="H23" s="149"/>
      <c r="S23" s="52"/>
      <c r="T23" s="52"/>
      <c r="U23" s="52"/>
      <c r="V23" s="52" t="s">
        <v>193</v>
      </c>
      <c r="W23" s="52" t="s">
        <v>210</v>
      </c>
      <c r="X23"/>
      <c r="Y23"/>
      <c r="Z23"/>
    </row>
    <row r="24" spans="1:26" ht="18.75" customHeight="1" x14ac:dyDescent="0.35">
      <c r="A24" s="169"/>
      <c r="B24" s="169"/>
      <c r="C24" s="169"/>
      <c r="D24" s="169"/>
      <c r="E24" s="149"/>
      <c r="F24" s="149"/>
      <c r="G24" s="149"/>
      <c r="H24" s="149"/>
      <c r="S24" s="52"/>
      <c r="T24" s="52"/>
      <c r="U24" s="52"/>
      <c r="V24" s="52" t="s">
        <v>194</v>
      </c>
      <c r="W24" s="52" t="s">
        <v>211</v>
      </c>
      <c r="X24"/>
      <c r="Y24"/>
      <c r="Z24"/>
    </row>
    <row r="25" spans="1:26" ht="15" customHeight="1" x14ac:dyDescent="0.35">
      <c r="A25" s="169" t="s">
        <v>16</v>
      </c>
      <c r="B25" s="169"/>
      <c r="C25" s="169"/>
      <c r="D25" s="169"/>
      <c r="E25" s="185" t="s">
        <v>17</v>
      </c>
      <c r="F25" s="185"/>
      <c r="G25" s="185"/>
      <c r="H25" s="185"/>
      <c r="S25" s="52"/>
      <c r="T25" s="52"/>
      <c r="U25" s="52"/>
      <c r="V25" s="52" t="s">
        <v>195</v>
      </c>
      <c r="W25" s="52" t="s">
        <v>212</v>
      </c>
      <c r="X25"/>
      <c r="Y25"/>
      <c r="Z25"/>
    </row>
    <row r="26" spans="1:26" ht="15" customHeight="1" x14ac:dyDescent="0.35">
      <c r="A26" s="167" t="s">
        <v>18</v>
      </c>
      <c r="B26" s="167"/>
      <c r="C26" s="167"/>
      <c r="D26" s="167"/>
      <c r="E26" s="185" t="str">
        <f>IF(AND(G20="Mumbai"),"Upper Class","Middle Class")</f>
        <v>Middle Class</v>
      </c>
      <c r="F26" s="185"/>
      <c r="G26" s="185"/>
      <c r="H26" s="185"/>
      <c r="S26" s="52"/>
      <c r="T26" s="52"/>
      <c r="U26" s="52"/>
      <c r="V26" s="52" t="s">
        <v>196</v>
      </c>
      <c r="W26" s="52" t="s">
        <v>213</v>
      </c>
      <c r="X26"/>
      <c r="Y26"/>
      <c r="Z26"/>
    </row>
    <row r="27" spans="1:26" x14ac:dyDescent="0.35">
      <c r="A27" s="167" t="s">
        <v>19</v>
      </c>
      <c r="B27" s="167"/>
      <c r="C27" s="167"/>
      <c r="D27" s="167"/>
      <c r="E27" s="185" t="s">
        <v>20</v>
      </c>
      <c r="F27" s="185"/>
      <c r="G27" s="185"/>
      <c r="H27" s="185"/>
      <c r="S27" s="52"/>
      <c r="T27" s="52"/>
      <c r="U27" s="52"/>
      <c r="V27" s="52" t="s">
        <v>197</v>
      </c>
      <c r="W27" s="52" t="s">
        <v>214</v>
      </c>
      <c r="X27"/>
      <c r="Y27"/>
      <c r="Z27"/>
    </row>
    <row r="28" spans="1:26" ht="15.75" customHeight="1" x14ac:dyDescent="0.35">
      <c r="A28" s="167" t="s">
        <v>21</v>
      </c>
      <c r="B28" s="167"/>
      <c r="C28" s="167"/>
      <c r="D28" s="167"/>
      <c r="E28" s="185" t="str">
        <f>IF(AND(G20="Mumbai"),"Developed","Developing")</f>
        <v>Developing</v>
      </c>
      <c r="F28" s="185"/>
      <c r="G28" s="185"/>
      <c r="H28" s="185"/>
    </row>
    <row r="29" spans="1:26" x14ac:dyDescent="0.35">
      <c r="A29" s="167" t="s">
        <v>22</v>
      </c>
      <c r="B29" s="167"/>
      <c r="C29" s="167"/>
      <c r="D29" s="167"/>
      <c r="E29" s="185" t="s">
        <v>23</v>
      </c>
      <c r="F29" s="185"/>
      <c r="G29" s="185"/>
      <c r="H29" s="185"/>
    </row>
    <row r="30" spans="1:26" ht="15.75" customHeight="1" x14ac:dyDescent="0.35">
      <c r="A30" s="167" t="s">
        <v>74</v>
      </c>
      <c r="B30" s="167"/>
      <c r="C30" s="167"/>
      <c r="D30" s="167"/>
      <c r="E30" s="185" t="s">
        <v>75</v>
      </c>
      <c r="F30" s="185"/>
      <c r="G30" s="185"/>
      <c r="H30" s="185"/>
    </row>
    <row r="31" spans="1:26" ht="15" customHeight="1" x14ac:dyDescent="0.35">
      <c r="A31" s="167" t="s">
        <v>30</v>
      </c>
      <c r="B31" s="167"/>
      <c r="C31" s="167"/>
      <c r="D31" s="167"/>
      <c r="E31" s="185" t="s">
        <v>291</v>
      </c>
      <c r="F31" s="185"/>
      <c r="G31" s="185"/>
      <c r="H31" s="185"/>
      <c r="I31" s="21" t="b">
        <f>IF(AND(ISNUMBER(SEARCH("Flat",D112)),ISNUMBER(SEARCH("Shop",D112)),ISNUMBER(SEARCH("Office",D112))),"Residential + Commercial",IF(AND(ISNUMBER(SEARCH("Flat",D112)),ISNUMBER(SEARCH("Shop",D112))),"Residential + Commercial",IF(AND(ISNUMBER(SEARCH("Flat",D112)),ISNUMBER(SEARCH("Office",D112))),"Residential + Commercial",IF(AND(ISNUMBER(SEARCH("Shop",D112)),ISNUMBER(SEARCH("Office",D112))),"Commercial",IF(ISNUMBER(SEARCH("Shop",D112)),"Commercial",IF(ISNUMBER(SEARCH("Office",D112)),"Commercial",IF(ISNUMBER(SEARCH("Flat",D112)),"Residential")))))))</f>
        <v>0</v>
      </c>
    </row>
    <row r="32" spans="1:26" ht="15.75" customHeight="1" x14ac:dyDescent="0.35">
      <c r="A32" s="167" t="s">
        <v>85</v>
      </c>
      <c r="B32" s="167"/>
      <c r="C32" s="167"/>
      <c r="D32" s="167"/>
      <c r="E32" s="185" t="s">
        <v>31</v>
      </c>
      <c r="F32" s="185"/>
      <c r="G32" s="185"/>
      <c r="H32" s="185"/>
    </row>
    <row r="33" spans="1:19" s="22" customFormat="1" x14ac:dyDescent="0.35">
      <c r="A33" s="287" t="s">
        <v>86</v>
      </c>
      <c r="B33" s="287"/>
      <c r="C33" s="160" t="s">
        <v>165</v>
      </c>
      <c r="D33" s="160"/>
      <c r="E33" s="160"/>
      <c r="F33" s="160" t="s">
        <v>29</v>
      </c>
      <c r="G33" s="160"/>
      <c r="H33" s="160"/>
      <c r="S33" s="22" t="e">
        <f ca="1">OFFSET($S$13,1,MATCH($G20,$S$13:$W$13,0)-1,15,1)</f>
        <v>#VALUE!</v>
      </c>
    </row>
    <row r="34" spans="1:19" s="22" customFormat="1" x14ac:dyDescent="0.35">
      <c r="A34" s="286" t="s">
        <v>24</v>
      </c>
      <c r="B34" s="286" t="s">
        <v>28</v>
      </c>
      <c r="C34" s="284" t="s">
        <v>371</v>
      </c>
      <c r="D34" s="284"/>
      <c r="E34" s="284"/>
      <c r="F34" s="284" t="s">
        <v>372</v>
      </c>
      <c r="G34" s="284"/>
      <c r="H34" s="284"/>
    </row>
    <row r="35" spans="1:19" x14ac:dyDescent="0.35">
      <c r="A35" s="286" t="s">
        <v>25</v>
      </c>
      <c r="B35" s="286" t="s">
        <v>28</v>
      </c>
      <c r="C35" s="284" t="s">
        <v>374</v>
      </c>
      <c r="D35" s="284"/>
      <c r="E35" s="284"/>
      <c r="F35" s="284" t="s">
        <v>372</v>
      </c>
      <c r="G35" s="284"/>
      <c r="H35" s="284"/>
    </row>
    <row r="36" spans="1:19" s="22" customFormat="1" x14ac:dyDescent="0.35">
      <c r="A36" s="286" t="s">
        <v>27</v>
      </c>
      <c r="B36" s="286" t="s">
        <v>28</v>
      </c>
      <c r="C36" s="284" t="s">
        <v>370</v>
      </c>
      <c r="D36" s="284"/>
      <c r="E36" s="284"/>
      <c r="F36" s="284" t="s">
        <v>369</v>
      </c>
      <c r="G36" s="284"/>
      <c r="H36" s="284"/>
    </row>
    <row r="37" spans="1:19" x14ac:dyDescent="0.35">
      <c r="A37" s="286" t="s">
        <v>26</v>
      </c>
      <c r="B37" s="286" t="s">
        <v>28</v>
      </c>
      <c r="C37" s="284" t="s">
        <v>374</v>
      </c>
      <c r="D37" s="284"/>
      <c r="E37" s="284"/>
      <c r="F37" s="284" t="s">
        <v>373</v>
      </c>
      <c r="G37" s="284"/>
      <c r="H37" s="284"/>
    </row>
    <row r="38" spans="1:19" x14ac:dyDescent="0.35">
      <c r="A38" s="167" t="s">
        <v>270</v>
      </c>
      <c r="B38" s="167"/>
      <c r="C38" s="167"/>
      <c r="D38" s="167"/>
      <c r="E38" s="167"/>
      <c r="F38" s="167"/>
      <c r="G38" s="167"/>
      <c r="H38" s="167"/>
    </row>
    <row r="39" spans="1:19" ht="15.75" customHeight="1" x14ac:dyDescent="0.35">
      <c r="A39" s="167" t="s">
        <v>156</v>
      </c>
      <c r="B39" s="167"/>
      <c r="C39" s="295" t="s">
        <v>367</v>
      </c>
      <c r="D39" s="295"/>
      <c r="E39" s="295"/>
      <c r="F39" s="295"/>
      <c r="G39" s="295"/>
      <c r="H39" s="295"/>
    </row>
    <row r="40" spans="1:19" x14ac:dyDescent="0.35">
      <c r="A40" s="167" t="s">
        <v>152</v>
      </c>
      <c r="B40" s="167"/>
      <c r="C40" s="296" t="s">
        <v>368</v>
      </c>
      <c r="D40" s="185"/>
      <c r="E40" s="185"/>
      <c r="F40" s="185"/>
      <c r="G40" s="185"/>
      <c r="H40" s="185"/>
    </row>
    <row r="41" spans="1:19" x14ac:dyDescent="0.35">
      <c r="A41" s="292" t="s">
        <v>32</v>
      </c>
      <c r="B41" s="292"/>
      <c r="C41" s="292"/>
      <c r="D41" s="292"/>
      <c r="E41" s="292"/>
      <c r="F41" s="292"/>
      <c r="G41" s="292"/>
      <c r="H41" s="292"/>
    </row>
    <row r="42" spans="1:19" x14ac:dyDescent="0.35">
      <c r="A42" s="167" t="s">
        <v>33</v>
      </c>
      <c r="B42" s="167"/>
      <c r="C42" s="167"/>
      <c r="D42" s="167"/>
      <c r="E42" s="291">
        <v>66161.214000000007</v>
      </c>
      <c r="F42" s="291"/>
      <c r="G42" s="291"/>
      <c r="H42" s="291"/>
    </row>
    <row r="43" spans="1:19" hidden="1" x14ac:dyDescent="0.35">
      <c r="A43" s="167" t="s">
        <v>34</v>
      </c>
      <c r="B43" s="167"/>
      <c r="C43" s="167"/>
      <c r="D43" s="167"/>
      <c r="E43" s="170">
        <v>1</v>
      </c>
      <c r="F43" s="170"/>
      <c r="G43" s="170"/>
      <c r="H43" s="170"/>
    </row>
    <row r="44" spans="1:19" hidden="1" x14ac:dyDescent="0.35">
      <c r="A44" s="167" t="s">
        <v>35</v>
      </c>
      <c r="B44" s="167"/>
      <c r="C44" s="167"/>
      <c r="D44" s="167"/>
      <c r="E44" s="170">
        <f>E46/E42-E43</f>
        <v>-0.25749548670615396</v>
      </c>
      <c r="F44" s="170"/>
      <c r="G44" s="170"/>
      <c r="H44" s="170"/>
    </row>
    <row r="45" spans="1:19" hidden="1" x14ac:dyDescent="0.35">
      <c r="A45" s="167" t="s">
        <v>36</v>
      </c>
      <c r="B45" s="167"/>
      <c r="C45" s="167"/>
      <c r="D45" s="167"/>
      <c r="E45" s="170">
        <f>E43+E44</f>
        <v>0.74250451329384604</v>
      </c>
      <c r="F45" s="170"/>
      <c r="G45" s="170"/>
      <c r="H45" s="170"/>
      <c r="I45" s="63">
        <f>E46/E42</f>
        <v>0.74250451329384604</v>
      </c>
    </row>
    <row r="46" spans="1:19" x14ac:dyDescent="0.35">
      <c r="A46" s="167" t="s">
        <v>84</v>
      </c>
      <c r="B46" s="167"/>
      <c r="C46" s="167"/>
      <c r="D46" s="167"/>
      <c r="E46" s="294">
        <v>49125</v>
      </c>
      <c r="F46" s="294"/>
      <c r="G46" s="294"/>
      <c r="H46" s="294"/>
    </row>
    <row r="47" spans="1:19" x14ac:dyDescent="0.35">
      <c r="A47" s="149" t="s">
        <v>37</v>
      </c>
      <c r="B47" s="149"/>
      <c r="C47" s="149"/>
      <c r="D47" s="149"/>
      <c r="E47" s="149" t="s">
        <v>487</v>
      </c>
      <c r="F47" s="149"/>
      <c r="G47" s="149"/>
      <c r="H47" s="149"/>
    </row>
    <row r="48" spans="1:19" x14ac:dyDescent="0.35">
      <c r="A48" s="295" t="s">
        <v>38</v>
      </c>
      <c r="B48" s="295"/>
      <c r="C48" s="295"/>
      <c r="D48" s="295"/>
      <c r="E48" s="295"/>
      <c r="F48" s="295"/>
      <c r="G48" s="295"/>
      <c r="H48" s="295"/>
    </row>
    <row r="49" spans="1:22" ht="33.75" customHeight="1" x14ac:dyDescent="0.35">
      <c r="A49" s="201" t="s">
        <v>143</v>
      </c>
      <c r="B49" s="203"/>
      <c r="C49" s="299" t="s">
        <v>261</v>
      </c>
      <c r="D49" s="300"/>
      <c r="E49" s="300"/>
      <c r="F49" s="300"/>
      <c r="G49" s="300"/>
      <c r="H49" s="301"/>
      <c r="R49" t="s">
        <v>243</v>
      </c>
      <c r="S49" t="s">
        <v>164</v>
      </c>
      <c r="T49" t="s">
        <v>168</v>
      </c>
      <c r="U49" t="s">
        <v>183</v>
      </c>
      <c r="V49" t="s">
        <v>178</v>
      </c>
    </row>
    <row r="50" spans="1:22" ht="30.75" customHeight="1" x14ac:dyDescent="0.35">
      <c r="A50" s="178" t="s">
        <v>39</v>
      </c>
      <c r="B50" s="179"/>
      <c r="C50" s="178" t="s">
        <v>462</v>
      </c>
      <c r="D50" s="180"/>
      <c r="E50" s="179"/>
      <c r="F50" s="123" t="s">
        <v>40</v>
      </c>
      <c r="G50" s="181">
        <v>44939</v>
      </c>
      <c r="H50" s="179"/>
      <c r="R50"/>
      <c r="S50" t="s">
        <v>244</v>
      </c>
      <c r="T50" t="s">
        <v>249</v>
      </c>
      <c r="U50" t="s">
        <v>260</v>
      </c>
      <c r="V50" t="s">
        <v>265</v>
      </c>
    </row>
    <row r="51" spans="1:22" ht="39" customHeight="1" x14ac:dyDescent="0.35">
      <c r="A51" s="182" t="s">
        <v>408</v>
      </c>
      <c r="B51" s="183"/>
      <c r="C51" s="178" t="s">
        <v>395</v>
      </c>
      <c r="D51" s="180"/>
      <c r="E51" s="179"/>
      <c r="F51" s="123" t="s">
        <v>40</v>
      </c>
      <c r="G51" s="181">
        <v>45428</v>
      </c>
      <c r="H51" s="232"/>
      <c r="R51"/>
      <c r="S51" t="s">
        <v>245</v>
      </c>
      <c r="T51" t="s">
        <v>250</v>
      </c>
      <c r="U51" t="s">
        <v>258</v>
      </c>
      <c r="V51" t="s">
        <v>266</v>
      </c>
    </row>
    <row r="52" spans="1:22" s="23" customFormat="1" ht="32.25" customHeight="1" x14ac:dyDescent="0.35">
      <c r="A52" s="188" t="s">
        <v>409</v>
      </c>
      <c r="B52" s="189"/>
      <c r="C52" s="192" t="s">
        <v>396</v>
      </c>
      <c r="D52" s="193"/>
      <c r="E52" s="194"/>
      <c r="F52" s="122" t="s">
        <v>40</v>
      </c>
      <c r="G52" s="195">
        <v>45428</v>
      </c>
      <c r="H52" s="196"/>
      <c r="R52"/>
      <c r="S52" t="s">
        <v>246</v>
      </c>
      <c r="T52" t="s">
        <v>251</v>
      </c>
      <c r="U52" t="s">
        <v>248</v>
      </c>
      <c r="V52" t="s">
        <v>267</v>
      </c>
    </row>
    <row r="53" spans="1:22" s="23" customFormat="1" ht="34.5" hidden="1" customHeight="1" x14ac:dyDescent="0.35">
      <c r="A53" s="190"/>
      <c r="B53" s="191"/>
      <c r="C53" s="192" t="s">
        <v>463</v>
      </c>
      <c r="D53" s="193"/>
      <c r="E53" s="193"/>
      <c r="F53" s="193"/>
      <c r="G53" s="193"/>
      <c r="H53" s="194"/>
      <c r="R53"/>
      <c r="S53" t="s">
        <v>247</v>
      </c>
      <c r="T53" t="s">
        <v>254</v>
      </c>
      <c r="U53" t="s">
        <v>261</v>
      </c>
    </row>
    <row r="54" spans="1:22" ht="39" customHeight="1" x14ac:dyDescent="0.35">
      <c r="A54" s="321" t="s">
        <v>439</v>
      </c>
      <c r="B54" s="322"/>
      <c r="C54" s="178" t="s">
        <v>410</v>
      </c>
      <c r="D54" s="180"/>
      <c r="E54" s="179"/>
      <c r="F54" s="123" t="s">
        <v>40</v>
      </c>
      <c r="G54" s="181">
        <v>45398</v>
      </c>
      <c r="H54" s="232"/>
      <c r="R54"/>
      <c r="S54" t="s">
        <v>245</v>
      </c>
      <c r="T54" t="s">
        <v>250</v>
      </c>
      <c r="U54" t="s">
        <v>258</v>
      </c>
      <c r="V54" t="s">
        <v>266</v>
      </c>
    </row>
    <row r="55" spans="1:22" s="23" customFormat="1" ht="30" customHeight="1" x14ac:dyDescent="0.35">
      <c r="A55" s="323" t="s">
        <v>407</v>
      </c>
      <c r="B55" s="324"/>
      <c r="C55" s="178" t="s">
        <v>396</v>
      </c>
      <c r="D55" s="180"/>
      <c r="E55" s="179"/>
      <c r="F55" s="123" t="s">
        <v>40</v>
      </c>
      <c r="G55" s="181">
        <v>45398</v>
      </c>
      <c r="H55" s="232"/>
      <c r="R55"/>
      <c r="S55" t="s">
        <v>246</v>
      </c>
      <c r="T55" t="s">
        <v>251</v>
      </c>
      <c r="U55" t="s">
        <v>248</v>
      </c>
      <c r="V55" t="s">
        <v>267</v>
      </c>
    </row>
    <row r="56" spans="1:22" s="23" customFormat="1" ht="33.75" hidden="1" customHeight="1" x14ac:dyDescent="0.35">
      <c r="A56" s="325"/>
      <c r="B56" s="326"/>
      <c r="C56" s="178" t="s">
        <v>464</v>
      </c>
      <c r="D56" s="180"/>
      <c r="E56" s="180"/>
      <c r="F56" s="180"/>
      <c r="G56" s="180"/>
      <c r="H56" s="179"/>
      <c r="R56"/>
      <c r="S56" t="s">
        <v>247</v>
      </c>
      <c r="T56" t="s">
        <v>254</v>
      </c>
      <c r="U56" t="s">
        <v>261</v>
      </c>
    </row>
    <row r="57" spans="1:22" ht="32.25" customHeight="1" x14ac:dyDescent="0.35">
      <c r="A57" s="206" t="s">
        <v>419</v>
      </c>
      <c r="B57" s="207"/>
      <c r="C57" s="178" t="s">
        <v>402</v>
      </c>
      <c r="D57" s="180"/>
      <c r="E57" s="179"/>
      <c r="F57" s="123" t="s">
        <v>40</v>
      </c>
      <c r="G57" s="181">
        <v>44841</v>
      </c>
      <c r="H57" s="232"/>
      <c r="R57"/>
      <c r="S57" t="s">
        <v>245</v>
      </c>
      <c r="T57" t="s">
        <v>250</v>
      </c>
      <c r="U57" t="s">
        <v>258</v>
      </c>
      <c r="V57" t="s">
        <v>266</v>
      </c>
    </row>
    <row r="58" spans="1:22" s="23" customFormat="1" ht="34.5" customHeight="1" x14ac:dyDescent="0.35">
      <c r="A58" s="188" t="s">
        <v>420</v>
      </c>
      <c r="B58" s="189"/>
      <c r="C58" s="192" t="s">
        <v>396</v>
      </c>
      <c r="D58" s="193"/>
      <c r="E58" s="194"/>
      <c r="F58" s="122" t="s">
        <v>40</v>
      </c>
      <c r="G58" s="195">
        <v>44841</v>
      </c>
      <c r="H58" s="196"/>
      <c r="R58"/>
      <c r="S58" t="s">
        <v>246</v>
      </c>
      <c r="T58" t="s">
        <v>251</v>
      </c>
      <c r="U58" t="s">
        <v>248</v>
      </c>
      <c r="V58" t="s">
        <v>267</v>
      </c>
    </row>
    <row r="59" spans="1:22" s="23" customFormat="1" ht="31.5" hidden="1" customHeight="1" x14ac:dyDescent="0.35">
      <c r="A59" s="190"/>
      <c r="B59" s="191"/>
      <c r="C59" s="192" t="s">
        <v>465</v>
      </c>
      <c r="D59" s="193"/>
      <c r="E59" s="193"/>
      <c r="F59" s="193"/>
      <c r="G59" s="193"/>
      <c r="H59" s="194"/>
      <c r="R59"/>
      <c r="S59" t="s">
        <v>247</v>
      </c>
      <c r="T59" t="s">
        <v>254</v>
      </c>
      <c r="U59" t="s">
        <v>261</v>
      </c>
    </row>
    <row r="60" spans="1:22" ht="33" customHeight="1" x14ac:dyDescent="0.35">
      <c r="A60" s="310" t="s">
        <v>427</v>
      </c>
      <c r="B60" s="311"/>
      <c r="C60" s="192" t="s">
        <v>406</v>
      </c>
      <c r="D60" s="193"/>
      <c r="E60" s="194"/>
      <c r="F60" s="122" t="s">
        <v>40</v>
      </c>
      <c r="G60" s="195">
        <v>44841</v>
      </c>
      <c r="H60" s="196"/>
      <c r="R60"/>
      <c r="S60" t="s">
        <v>245</v>
      </c>
      <c r="T60" t="s">
        <v>250</v>
      </c>
      <c r="U60" t="s">
        <v>258</v>
      </c>
      <c r="V60" t="s">
        <v>266</v>
      </c>
    </row>
    <row r="61" spans="1:22" s="23" customFormat="1" ht="33.75" customHeight="1" x14ac:dyDescent="0.35">
      <c r="A61" s="188" t="s">
        <v>428</v>
      </c>
      <c r="B61" s="189"/>
      <c r="C61" s="192" t="s">
        <v>396</v>
      </c>
      <c r="D61" s="193"/>
      <c r="E61" s="194"/>
      <c r="F61" s="122" t="s">
        <v>40</v>
      </c>
      <c r="G61" s="195">
        <v>44841</v>
      </c>
      <c r="H61" s="196"/>
      <c r="R61" s="73"/>
      <c r="S61" s="73" t="s">
        <v>246</v>
      </c>
      <c r="T61" s="73" t="s">
        <v>251</v>
      </c>
      <c r="U61" s="73" t="s">
        <v>248</v>
      </c>
      <c r="V61" s="73" t="s">
        <v>267</v>
      </c>
    </row>
    <row r="62" spans="1:22" s="23" customFormat="1" ht="33.75" hidden="1" customHeight="1" x14ac:dyDescent="0.35">
      <c r="A62" s="190"/>
      <c r="B62" s="191"/>
      <c r="C62" s="192" t="s">
        <v>466</v>
      </c>
      <c r="D62" s="193"/>
      <c r="E62" s="193"/>
      <c r="F62" s="193"/>
      <c r="G62" s="193"/>
      <c r="H62" s="194"/>
      <c r="R62"/>
      <c r="S62" t="s">
        <v>247</v>
      </c>
      <c r="T62" t="s">
        <v>254</v>
      </c>
      <c r="U62" t="s">
        <v>261</v>
      </c>
    </row>
    <row r="63" spans="1:22" ht="33" customHeight="1" x14ac:dyDescent="0.35">
      <c r="A63" s="204" t="s">
        <v>425</v>
      </c>
      <c r="B63" s="205"/>
      <c r="C63" s="192" t="s">
        <v>405</v>
      </c>
      <c r="D63" s="193"/>
      <c r="E63" s="194"/>
      <c r="F63" s="122" t="s">
        <v>40</v>
      </c>
      <c r="G63" s="195">
        <v>44841</v>
      </c>
      <c r="H63" s="196"/>
      <c r="R63"/>
      <c r="S63" t="s">
        <v>245</v>
      </c>
      <c r="T63" t="s">
        <v>250</v>
      </c>
      <c r="U63" t="s">
        <v>258</v>
      </c>
      <c r="V63" t="s">
        <v>266</v>
      </c>
    </row>
    <row r="64" spans="1:22" s="23" customFormat="1" ht="48.75" customHeight="1" x14ac:dyDescent="0.35">
      <c r="A64" s="188" t="s">
        <v>426</v>
      </c>
      <c r="B64" s="189"/>
      <c r="C64" s="192" t="s">
        <v>396</v>
      </c>
      <c r="D64" s="193"/>
      <c r="E64" s="194"/>
      <c r="F64" s="122" t="s">
        <v>40</v>
      </c>
      <c r="G64" s="195">
        <v>44841</v>
      </c>
      <c r="H64" s="196"/>
      <c r="R64"/>
      <c r="S64" t="s">
        <v>246</v>
      </c>
      <c r="T64" t="s">
        <v>251</v>
      </c>
      <c r="U64" t="s">
        <v>248</v>
      </c>
      <c r="V64" t="s">
        <v>267</v>
      </c>
    </row>
    <row r="65" spans="1:22" s="23" customFormat="1" ht="33.75" hidden="1" customHeight="1" x14ac:dyDescent="0.35">
      <c r="A65" s="190"/>
      <c r="B65" s="191"/>
      <c r="C65" s="192" t="s">
        <v>467</v>
      </c>
      <c r="D65" s="193"/>
      <c r="E65" s="193"/>
      <c r="F65" s="193"/>
      <c r="G65" s="193"/>
      <c r="H65" s="194"/>
      <c r="R65"/>
      <c r="S65" t="s">
        <v>247</v>
      </c>
      <c r="T65" t="s">
        <v>254</v>
      </c>
      <c r="U65" t="s">
        <v>261</v>
      </c>
    </row>
    <row r="66" spans="1:22" ht="79.5" customHeight="1" x14ac:dyDescent="0.35">
      <c r="A66" s="206" t="s">
        <v>485</v>
      </c>
      <c r="B66" s="207"/>
      <c r="C66" s="201" t="s">
        <v>437</v>
      </c>
      <c r="D66" s="202"/>
      <c r="E66" s="203"/>
      <c r="F66" s="18" t="s">
        <v>40</v>
      </c>
      <c r="G66" s="208">
        <v>44414</v>
      </c>
      <c r="H66" s="209"/>
      <c r="R66"/>
      <c r="S66" t="s">
        <v>245</v>
      </c>
      <c r="T66" t="s">
        <v>250</v>
      </c>
      <c r="U66" t="s">
        <v>258</v>
      </c>
      <c r="V66" t="s">
        <v>266</v>
      </c>
    </row>
    <row r="67" spans="1:22" s="23" customFormat="1" ht="31.5" customHeight="1" x14ac:dyDescent="0.35">
      <c r="A67" s="314" t="s">
        <v>484</v>
      </c>
      <c r="B67" s="315"/>
      <c r="C67" s="201" t="str">
        <f>C66</f>
        <v>CIDCO/NAINA/Panvel/Wardoli/BP-00530/CC/2021/0099</v>
      </c>
      <c r="D67" s="202"/>
      <c r="E67" s="203"/>
      <c r="F67" s="18" t="s">
        <v>40</v>
      </c>
      <c r="G67" s="208">
        <f>G66</f>
        <v>44414</v>
      </c>
      <c r="H67" s="209"/>
      <c r="R67"/>
      <c r="S67" t="s">
        <v>246</v>
      </c>
      <c r="T67" t="s">
        <v>251</v>
      </c>
      <c r="U67" t="s">
        <v>248</v>
      </c>
      <c r="V67" t="s">
        <v>267</v>
      </c>
    </row>
    <row r="68" spans="1:22" s="23" customFormat="1" ht="47.25" customHeight="1" x14ac:dyDescent="0.35">
      <c r="A68" s="316"/>
      <c r="B68" s="317"/>
      <c r="C68" s="192" t="s">
        <v>435</v>
      </c>
      <c r="D68" s="193"/>
      <c r="E68" s="193"/>
      <c r="F68" s="193"/>
      <c r="G68" s="193"/>
      <c r="H68" s="194"/>
      <c r="R68"/>
      <c r="S68" t="s">
        <v>247</v>
      </c>
      <c r="T68" t="s">
        <v>254</v>
      </c>
      <c r="U68" t="s">
        <v>261</v>
      </c>
    </row>
    <row r="69" spans="1:22" ht="78.75" customHeight="1" x14ac:dyDescent="0.35">
      <c r="A69" s="312" t="s">
        <v>433</v>
      </c>
      <c r="B69" s="313"/>
      <c r="C69" s="201" t="s">
        <v>434</v>
      </c>
      <c r="D69" s="202"/>
      <c r="E69" s="203"/>
      <c r="F69" s="18" t="s">
        <v>40</v>
      </c>
      <c r="G69" s="208">
        <v>44414</v>
      </c>
      <c r="H69" s="209"/>
      <c r="R69"/>
      <c r="S69" t="s">
        <v>245</v>
      </c>
      <c r="T69" t="s">
        <v>250</v>
      </c>
      <c r="U69" t="s">
        <v>258</v>
      </c>
      <c r="V69" t="s">
        <v>266</v>
      </c>
    </row>
    <row r="70" spans="1:22" s="23" customFormat="1" ht="55.5" customHeight="1" x14ac:dyDescent="0.35">
      <c r="A70" s="314" t="s">
        <v>436</v>
      </c>
      <c r="B70" s="315"/>
      <c r="C70" s="201" t="str">
        <f>C69</f>
        <v>CIDCO/NAINA/Panvel/Wardoli/BP-00529/CC/2021/0098</v>
      </c>
      <c r="D70" s="202"/>
      <c r="E70" s="203"/>
      <c r="F70" s="18" t="s">
        <v>40</v>
      </c>
      <c r="G70" s="208">
        <v>44414</v>
      </c>
      <c r="H70" s="209"/>
      <c r="J70" s="23">
        <f>12*8</f>
        <v>96</v>
      </c>
      <c r="R70"/>
      <c r="S70" t="s">
        <v>246</v>
      </c>
      <c r="T70" t="s">
        <v>251</v>
      </c>
      <c r="U70" t="s">
        <v>248</v>
      </c>
      <c r="V70" t="s">
        <v>267</v>
      </c>
    </row>
    <row r="71" spans="1:22" s="23" customFormat="1" ht="25.5" customHeight="1" x14ac:dyDescent="0.35">
      <c r="A71" s="316"/>
      <c r="B71" s="317"/>
      <c r="C71" s="192" t="s">
        <v>435</v>
      </c>
      <c r="D71" s="193"/>
      <c r="E71" s="193"/>
      <c r="F71" s="193"/>
      <c r="G71" s="193"/>
      <c r="H71" s="194"/>
      <c r="R71"/>
      <c r="S71" t="s">
        <v>247</v>
      </c>
      <c r="T71" t="s">
        <v>254</v>
      </c>
      <c r="U71" t="s">
        <v>261</v>
      </c>
    </row>
    <row r="72" spans="1:22" ht="50.25" customHeight="1" x14ac:dyDescent="0.35">
      <c r="A72" s="182" t="s">
        <v>417</v>
      </c>
      <c r="B72" s="183"/>
      <c r="C72" s="201" t="s">
        <v>401</v>
      </c>
      <c r="D72" s="202"/>
      <c r="E72" s="203"/>
      <c r="F72" s="18" t="s">
        <v>40</v>
      </c>
      <c r="G72" s="208">
        <v>44841</v>
      </c>
      <c r="H72" s="209"/>
      <c r="R72"/>
      <c r="S72" t="s">
        <v>245</v>
      </c>
      <c r="T72" t="s">
        <v>250</v>
      </c>
      <c r="U72" t="s">
        <v>258</v>
      </c>
      <c r="V72" t="s">
        <v>266</v>
      </c>
    </row>
    <row r="73" spans="1:22" s="23" customFormat="1" ht="47.25" customHeight="1" x14ac:dyDescent="0.35">
      <c r="A73" s="188" t="s">
        <v>418</v>
      </c>
      <c r="B73" s="189"/>
      <c r="C73" s="192" t="s">
        <v>396</v>
      </c>
      <c r="D73" s="193"/>
      <c r="E73" s="194"/>
      <c r="F73" s="122" t="s">
        <v>40</v>
      </c>
      <c r="G73" s="195">
        <v>44841</v>
      </c>
      <c r="H73" s="196"/>
      <c r="R73"/>
      <c r="S73" t="s">
        <v>246</v>
      </c>
      <c r="T73" t="s">
        <v>251</v>
      </c>
      <c r="U73" t="s">
        <v>248</v>
      </c>
      <c r="V73" t="s">
        <v>267</v>
      </c>
    </row>
    <row r="74" spans="1:22" s="23" customFormat="1" ht="33.75" hidden="1" customHeight="1" x14ac:dyDescent="0.35">
      <c r="A74" s="190"/>
      <c r="B74" s="191"/>
      <c r="C74" s="192" t="s">
        <v>483</v>
      </c>
      <c r="D74" s="193"/>
      <c r="E74" s="193"/>
      <c r="F74" s="193"/>
      <c r="G74" s="193"/>
      <c r="H74" s="194"/>
      <c r="J74" s="109">
        <f>56-4</f>
        <v>52</v>
      </c>
      <c r="R74"/>
      <c r="S74" t="s">
        <v>247</v>
      </c>
      <c r="T74" t="s">
        <v>254</v>
      </c>
      <c r="U74" t="s">
        <v>261</v>
      </c>
    </row>
    <row r="75" spans="1:22" ht="30" customHeight="1" x14ac:dyDescent="0.35">
      <c r="A75" s="206" t="s">
        <v>415</v>
      </c>
      <c r="B75" s="207"/>
      <c r="C75" s="201" t="s">
        <v>400</v>
      </c>
      <c r="D75" s="202"/>
      <c r="E75" s="203"/>
      <c r="F75" s="18" t="s">
        <v>40</v>
      </c>
      <c r="G75" s="208">
        <v>44841</v>
      </c>
      <c r="H75" s="209"/>
      <c r="R75"/>
      <c r="S75" t="s">
        <v>245</v>
      </c>
      <c r="T75" t="s">
        <v>250</v>
      </c>
      <c r="U75" t="s">
        <v>258</v>
      </c>
      <c r="V75" t="s">
        <v>266</v>
      </c>
    </row>
    <row r="76" spans="1:22" s="23" customFormat="1" ht="33" customHeight="1" x14ac:dyDescent="0.35">
      <c r="A76" s="188" t="s">
        <v>416</v>
      </c>
      <c r="B76" s="189"/>
      <c r="C76" s="192" t="s">
        <v>396</v>
      </c>
      <c r="D76" s="193"/>
      <c r="E76" s="194"/>
      <c r="F76" s="122" t="s">
        <v>40</v>
      </c>
      <c r="G76" s="195">
        <v>44841</v>
      </c>
      <c r="H76" s="196"/>
      <c r="R76"/>
      <c r="S76" t="s">
        <v>246</v>
      </c>
      <c r="T76" t="s">
        <v>251</v>
      </c>
      <c r="U76" t="s">
        <v>248</v>
      </c>
      <c r="V76" t="s">
        <v>267</v>
      </c>
    </row>
    <row r="77" spans="1:22" s="23" customFormat="1" ht="47.25" hidden="1" customHeight="1" x14ac:dyDescent="0.35">
      <c r="A77" s="190"/>
      <c r="B77" s="191"/>
      <c r="C77" s="192" t="s">
        <v>468</v>
      </c>
      <c r="D77" s="193"/>
      <c r="E77" s="193"/>
      <c r="F77" s="193"/>
      <c r="G77" s="193"/>
      <c r="H77" s="194"/>
      <c r="R77"/>
      <c r="S77" t="s">
        <v>247</v>
      </c>
      <c r="T77" t="s">
        <v>254</v>
      </c>
      <c r="U77" t="s">
        <v>261</v>
      </c>
    </row>
    <row r="78" spans="1:22" ht="69.75" customHeight="1" x14ac:dyDescent="0.35">
      <c r="A78" s="204" t="s">
        <v>495</v>
      </c>
      <c r="B78" s="205"/>
      <c r="C78" s="201" t="s">
        <v>429</v>
      </c>
      <c r="D78" s="202"/>
      <c r="E78" s="203"/>
      <c r="F78" s="18" t="s">
        <v>40</v>
      </c>
      <c r="G78" s="208">
        <v>44445</v>
      </c>
      <c r="H78" s="209"/>
      <c r="R78"/>
      <c r="S78" t="s">
        <v>245</v>
      </c>
      <c r="T78" t="s">
        <v>250</v>
      </c>
      <c r="U78" t="s">
        <v>258</v>
      </c>
      <c r="V78" t="s">
        <v>266</v>
      </c>
    </row>
    <row r="79" spans="1:22" s="23" customFormat="1" ht="50.25" customHeight="1" x14ac:dyDescent="0.35">
      <c r="A79" s="314" t="s">
        <v>469</v>
      </c>
      <c r="B79" s="315"/>
      <c r="C79" s="201" t="s">
        <v>396</v>
      </c>
      <c r="D79" s="202"/>
      <c r="E79" s="203"/>
      <c r="F79" s="18" t="s">
        <v>40</v>
      </c>
      <c r="G79" s="208">
        <v>44445</v>
      </c>
      <c r="H79" s="209"/>
      <c r="R79"/>
      <c r="S79" t="s">
        <v>246</v>
      </c>
      <c r="T79" t="s">
        <v>251</v>
      </c>
      <c r="U79" t="s">
        <v>248</v>
      </c>
      <c r="V79" t="s">
        <v>267</v>
      </c>
    </row>
    <row r="80" spans="1:22" s="23" customFormat="1" ht="33.75" hidden="1" customHeight="1" x14ac:dyDescent="0.35">
      <c r="A80" s="316"/>
      <c r="B80" s="317"/>
      <c r="C80" s="201"/>
      <c r="D80" s="202"/>
      <c r="E80" s="202"/>
      <c r="F80" s="202"/>
      <c r="G80" s="202"/>
      <c r="H80" s="203"/>
      <c r="R80"/>
      <c r="S80" t="s">
        <v>247</v>
      </c>
      <c r="T80" t="s">
        <v>254</v>
      </c>
      <c r="U80" t="s">
        <v>261</v>
      </c>
    </row>
    <row r="81" spans="1:22" ht="51" customHeight="1" x14ac:dyDescent="0.35">
      <c r="A81" s="206" t="s">
        <v>431</v>
      </c>
      <c r="B81" s="207"/>
      <c r="C81" s="201" t="s">
        <v>430</v>
      </c>
      <c r="D81" s="202"/>
      <c r="E81" s="203"/>
      <c r="F81" s="18" t="s">
        <v>40</v>
      </c>
      <c r="G81" s="208">
        <v>44445</v>
      </c>
      <c r="H81" s="209"/>
      <c r="R81"/>
      <c r="S81" t="s">
        <v>245</v>
      </c>
      <c r="T81" t="s">
        <v>250</v>
      </c>
      <c r="U81" t="s">
        <v>258</v>
      </c>
      <c r="V81" t="s">
        <v>266</v>
      </c>
    </row>
    <row r="82" spans="1:22" s="23" customFormat="1" ht="48" customHeight="1" x14ac:dyDescent="0.35">
      <c r="A82" s="188" t="s">
        <v>432</v>
      </c>
      <c r="B82" s="189"/>
      <c r="C82" s="192" t="s">
        <v>396</v>
      </c>
      <c r="D82" s="193"/>
      <c r="E82" s="194"/>
      <c r="F82" s="122" t="s">
        <v>40</v>
      </c>
      <c r="G82" s="195">
        <v>44445</v>
      </c>
      <c r="H82" s="196"/>
      <c r="R82"/>
      <c r="S82" t="s">
        <v>246</v>
      </c>
      <c r="T82" t="s">
        <v>251</v>
      </c>
      <c r="U82" t="s">
        <v>248</v>
      </c>
      <c r="V82" t="s">
        <v>267</v>
      </c>
    </row>
    <row r="83" spans="1:22" s="23" customFormat="1" ht="51" hidden="1" customHeight="1" x14ac:dyDescent="0.35">
      <c r="A83" s="190"/>
      <c r="B83" s="191"/>
      <c r="C83" s="318"/>
      <c r="D83" s="319"/>
      <c r="E83" s="319"/>
      <c r="F83" s="319"/>
      <c r="G83" s="319"/>
      <c r="H83" s="320"/>
      <c r="R83"/>
      <c r="S83" t="s">
        <v>247</v>
      </c>
      <c r="T83" t="s">
        <v>254</v>
      </c>
      <c r="U83" t="s">
        <v>261</v>
      </c>
    </row>
    <row r="84" spans="1:22" ht="31.5" customHeight="1" x14ac:dyDescent="0.35">
      <c r="A84" s="308" t="s">
        <v>423</v>
      </c>
      <c r="B84" s="309"/>
      <c r="C84" s="192" t="s">
        <v>404</v>
      </c>
      <c r="D84" s="193"/>
      <c r="E84" s="194"/>
      <c r="F84" s="122" t="s">
        <v>40</v>
      </c>
      <c r="G84" s="195">
        <v>44841</v>
      </c>
      <c r="H84" s="196"/>
      <c r="R84"/>
      <c r="S84" t="s">
        <v>245</v>
      </c>
      <c r="T84" t="s">
        <v>250</v>
      </c>
      <c r="U84" t="s">
        <v>258</v>
      </c>
      <c r="V84" t="s">
        <v>266</v>
      </c>
    </row>
    <row r="85" spans="1:22" s="23" customFormat="1" ht="34.5" customHeight="1" x14ac:dyDescent="0.35">
      <c r="A85" s="188" t="s">
        <v>424</v>
      </c>
      <c r="B85" s="189"/>
      <c r="C85" s="192" t="s">
        <v>396</v>
      </c>
      <c r="D85" s="193"/>
      <c r="E85" s="194"/>
      <c r="F85" s="122" t="s">
        <v>40</v>
      </c>
      <c r="G85" s="195">
        <v>44841</v>
      </c>
      <c r="H85" s="196"/>
      <c r="R85"/>
      <c r="S85" t="s">
        <v>246</v>
      </c>
      <c r="T85" t="s">
        <v>251</v>
      </c>
      <c r="U85" t="s">
        <v>248</v>
      </c>
      <c r="V85" t="s">
        <v>267</v>
      </c>
    </row>
    <row r="86" spans="1:22" s="23" customFormat="1" ht="50.25" hidden="1" customHeight="1" x14ac:dyDescent="0.35">
      <c r="A86" s="190"/>
      <c r="B86" s="191"/>
      <c r="C86" s="192" t="s">
        <v>470</v>
      </c>
      <c r="D86" s="193"/>
      <c r="E86" s="193"/>
      <c r="F86" s="193"/>
      <c r="G86" s="193"/>
      <c r="H86" s="194"/>
      <c r="R86"/>
      <c r="S86" t="s">
        <v>247</v>
      </c>
      <c r="T86" t="s">
        <v>254</v>
      </c>
      <c r="U86" t="s">
        <v>261</v>
      </c>
    </row>
    <row r="87" spans="1:22" ht="34.5" customHeight="1" x14ac:dyDescent="0.35">
      <c r="A87" s="312" t="s">
        <v>413</v>
      </c>
      <c r="B87" s="313"/>
      <c r="C87" s="201" t="s">
        <v>399</v>
      </c>
      <c r="D87" s="202"/>
      <c r="E87" s="203"/>
      <c r="F87" s="18" t="s">
        <v>40</v>
      </c>
      <c r="G87" s="208">
        <v>44841</v>
      </c>
      <c r="H87" s="209"/>
      <c r="R87"/>
      <c r="S87" t="s">
        <v>245</v>
      </c>
      <c r="T87" t="s">
        <v>250</v>
      </c>
      <c r="U87" t="s">
        <v>258</v>
      </c>
      <c r="V87" t="s">
        <v>266</v>
      </c>
    </row>
    <row r="88" spans="1:22" s="23" customFormat="1" ht="30.75" customHeight="1" x14ac:dyDescent="0.35">
      <c r="A88" s="188" t="s">
        <v>414</v>
      </c>
      <c r="B88" s="189"/>
      <c r="C88" s="192" t="s">
        <v>396</v>
      </c>
      <c r="D88" s="193"/>
      <c r="E88" s="194"/>
      <c r="F88" s="122" t="s">
        <v>40</v>
      </c>
      <c r="G88" s="195">
        <v>44841</v>
      </c>
      <c r="H88" s="196"/>
      <c r="R88"/>
      <c r="S88" t="s">
        <v>246</v>
      </c>
      <c r="T88" t="s">
        <v>251</v>
      </c>
      <c r="U88" t="s">
        <v>248</v>
      </c>
      <c r="V88" t="s">
        <v>267</v>
      </c>
    </row>
    <row r="89" spans="1:22" s="23" customFormat="1" ht="30.75" hidden="1" customHeight="1" x14ac:dyDescent="0.35">
      <c r="A89" s="190"/>
      <c r="B89" s="191"/>
      <c r="C89" s="192" t="s">
        <v>468</v>
      </c>
      <c r="D89" s="193"/>
      <c r="E89" s="193"/>
      <c r="F89" s="193"/>
      <c r="G89" s="193"/>
      <c r="H89" s="194"/>
      <c r="R89"/>
      <c r="S89" t="s">
        <v>247</v>
      </c>
      <c r="T89" t="s">
        <v>254</v>
      </c>
      <c r="U89" t="s">
        <v>261</v>
      </c>
    </row>
    <row r="90" spans="1:22" ht="37.5" customHeight="1" x14ac:dyDescent="0.35">
      <c r="A90" s="327" t="s">
        <v>421</v>
      </c>
      <c r="B90" s="328"/>
      <c r="C90" s="192" t="s">
        <v>403</v>
      </c>
      <c r="D90" s="193"/>
      <c r="E90" s="194"/>
      <c r="F90" s="122" t="s">
        <v>40</v>
      </c>
      <c r="G90" s="195">
        <v>44841</v>
      </c>
      <c r="H90" s="196"/>
      <c r="R90"/>
      <c r="S90" t="s">
        <v>245</v>
      </c>
      <c r="T90" t="s">
        <v>250</v>
      </c>
      <c r="U90" t="s">
        <v>258</v>
      </c>
      <c r="V90" t="s">
        <v>266</v>
      </c>
    </row>
    <row r="91" spans="1:22" s="23" customFormat="1" ht="51" customHeight="1" x14ac:dyDescent="0.35">
      <c r="A91" s="188" t="s">
        <v>422</v>
      </c>
      <c r="B91" s="189"/>
      <c r="C91" s="192" t="s">
        <v>396</v>
      </c>
      <c r="D91" s="193"/>
      <c r="E91" s="194"/>
      <c r="F91" s="122" t="s">
        <v>40</v>
      </c>
      <c r="G91" s="195">
        <v>44841</v>
      </c>
      <c r="H91" s="196"/>
      <c r="R91"/>
      <c r="S91" t="s">
        <v>246</v>
      </c>
      <c r="T91" t="s">
        <v>251</v>
      </c>
      <c r="U91" t="s">
        <v>248</v>
      </c>
      <c r="V91" t="s">
        <v>267</v>
      </c>
    </row>
    <row r="92" spans="1:22" s="23" customFormat="1" ht="48" hidden="1" customHeight="1" x14ac:dyDescent="0.35">
      <c r="A92" s="190"/>
      <c r="B92" s="191"/>
      <c r="C92" s="192" t="s">
        <v>471</v>
      </c>
      <c r="D92" s="193"/>
      <c r="E92" s="193"/>
      <c r="F92" s="193"/>
      <c r="G92" s="193"/>
      <c r="H92" s="194"/>
      <c r="R92"/>
      <c r="S92" t="s">
        <v>247</v>
      </c>
      <c r="T92" t="s">
        <v>254</v>
      </c>
      <c r="U92" t="s">
        <v>261</v>
      </c>
    </row>
    <row r="93" spans="1:22" ht="33.75" customHeight="1" x14ac:dyDescent="0.35">
      <c r="A93" s="204" t="s">
        <v>411</v>
      </c>
      <c r="B93" s="205"/>
      <c r="C93" s="192" t="s">
        <v>397</v>
      </c>
      <c r="D93" s="193"/>
      <c r="E93" s="194"/>
      <c r="F93" s="122" t="s">
        <v>40</v>
      </c>
      <c r="G93" s="195">
        <v>45128</v>
      </c>
      <c r="H93" s="196"/>
      <c r="R93"/>
      <c r="S93" t="s">
        <v>245</v>
      </c>
      <c r="T93" t="s">
        <v>250</v>
      </c>
      <c r="U93" t="s">
        <v>258</v>
      </c>
      <c r="V93" t="s">
        <v>266</v>
      </c>
    </row>
    <row r="94" spans="1:22" s="23" customFormat="1" ht="45.75" customHeight="1" x14ac:dyDescent="0.35">
      <c r="A94" s="188" t="s">
        <v>412</v>
      </c>
      <c r="B94" s="189"/>
      <c r="C94" s="192" t="s">
        <v>396</v>
      </c>
      <c r="D94" s="193"/>
      <c r="E94" s="194"/>
      <c r="F94" s="122" t="s">
        <v>40</v>
      </c>
      <c r="G94" s="195">
        <v>45128</v>
      </c>
      <c r="H94" s="196"/>
      <c r="R94"/>
      <c r="S94" t="s">
        <v>246</v>
      </c>
      <c r="T94" t="s">
        <v>251</v>
      </c>
      <c r="U94" t="s">
        <v>248</v>
      </c>
      <c r="V94" t="s">
        <v>267</v>
      </c>
    </row>
    <row r="95" spans="1:22" s="23" customFormat="1" ht="36" hidden="1" customHeight="1" x14ac:dyDescent="0.35">
      <c r="A95" s="190"/>
      <c r="B95" s="191"/>
      <c r="C95" s="192" t="s">
        <v>472</v>
      </c>
      <c r="D95" s="193"/>
      <c r="E95" s="193"/>
      <c r="F95" s="193"/>
      <c r="G95" s="193"/>
      <c r="H95" s="194"/>
      <c r="R95"/>
      <c r="S95" t="s">
        <v>247</v>
      </c>
      <c r="T95" t="s">
        <v>254</v>
      </c>
      <c r="U95" t="s">
        <v>261</v>
      </c>
    </row>
    <row r="96" spans="1:22" ht="32.25" customHeight="1" x14ac:dyDescent="0.35">
      <c r="A96" s="310" t="s">
        <v>440</v>
      </c>
      <c r="B96" s="311"/>
      <c r="C96" s="192" t="s">
        <v>398</v>
      </c>
      <c r="D96" s="193"/>
      <c r="E96" s="194"/>
      <c r="F96" s="122" t="s">
        <v>40</v>
      </c>
      <c r="G96" s="195">
        <v>45112</v>
      </c>
      <c r="H96" s="196"/>
      <c r="R96"/>
      <c r="S96" t="s">
        <v>245</v>
      </c>
      <c r="T96" t="s">
        <v>250</v>
      </c>
      <c r="U96" t="s">
        <v>258</v>
      </c>
      <c r="V96" t="s">
        <v>266</v>
      </c>
    </row>
    <row r="97" spans="1:24" s="23" customFormat="1" ht="33" customHeight="1" x14ac:dyDescent="0.35">
      <c r="A97" s="188" t="s">
        <v>441</v>
      </c>
      <c r="B97" s="189"/>
      <c r="C97" s="192" t="s">
        <v>396</v>
      </c>
      <c r="D97" s="193"/>
      <c r="E97" s="194"/>
      <c r="F97" s="122" t="s">
        <v>40</v>
      </c>
      <c r="G97" s="195">
        <v>45112</v>
      </c>
      <c r="H97" s="196"/>
      <c r="R97"/>
      <c r="S97" t="s">
        <v>246</v>
      </c>
      <c r="T97" t="s">
        <v>251</v>
      </c>
      <c r="U97" t="s">
        <v>248</v>
      </c>
      <c r="V97" t="s">
        <v>267</v>
      </c>
    </row>
    <row r="98" spans="1:24" s="23" customFormat="1" ht="47.25" hidden="1" customHeight="1" x14ac:dyDescent="0.35">
      <c r="A98" s="190"/>
      <c r="B98" s="191"/>
      <c r="C98" s="192" t="s">
        <v>473</v>
      </c>
      <c r="D98" s="193"/>
      <c r="E98" s="193"/>
      <c r="F98" s="193"/>
      <c r="G98" s="193"/>
      <c r="H98" s="194"/>
      <c r="R98"/>
      <c r="S98" t="s">
        <v>247</v>
      </c>
      <c r="T98" t="s">
        <v>254</v>
      </c>
      <c r="U98" t="s">
        <v>261</v>
      </c>
    </row>
    <row r="99" spans="1:24" ht="36" customHeight="1" x14ac:dyDescent="0.35">
      <c r="A99" s="329" t="s">
        <v>458</v>
      </c>
      <c r="B99" s="330"/>
      <c r="C99" s="192" t="s">
        <v>460</v>
      </c>
      <c r="D99" s="193"/>
      <c r="E99" s="194"/>
      <c r="F99" s="122" t="s">
        <v>40</v>
      </c>
      <c r="G99" s="195">
        <v>45112</v>
      </c>
      <c r="H99" s="196"/>
      <c r="R99"/>
      <c r="S99" t="s">
        <v>245</v>
      </c>
      <c r="T99" t="s">
        <v>250</v>
      </c>
      <c r="U99" t="s">
        <v>258</v>
      </c>
      <c r="V99" t="s">
        <v>266</v>
      </c>
    </row>
    <row r="100" spans="1:24" s="23" customFormat="1" ht="45.75" customHeight="1" x14ac:dyDescent="0.35">
      <c r="A100" s="188" t="s">
        <v>459</v>
      </c>
      <c r="B100" s="189"/>
      <c r="C100" s="192" t="s">
        <v>396</v>
      </c>
      <c r="D100" s="193"/>
      <c r="E100" s="194"/>
      <c r="F100" s="122" t="s">
        <v>40</v>
      </c>
      <c r="G100" s="195">
        <v>45112</v>
      </c>
      <c r="H100" s="196"/>
      <c r="R100"/>
      <c r="S100" t="s">
        <v>246</v>
      </c>
      <c r="T100" t="s">
        <v>251</v>
      </c>
      <c r="U100" t="s">
        <v>248</v>
      </c>
      <c r="V100" t="s">
        <v>267</v>
      </c>
    </row>
    <row r="101" spans="1:24" s="23" customFormat="1" ht="47.25" hidden="1" customHeight="1" x14ac:dyDescent="0.35">
      <c r="A101" s="190"/>
      <c r="B101" s="191"/>
      <c r="C101" s="192" t="s">
        <v>474</v>
      </c>
      <c r="D101" s="193"/>
      <c r="E101" s="193"/>
      <c r="F101" s="193"/>
      <c r="G101" s="193"/>
      <c r="H101" s="194"/>
      <c r="R101"/>
      <c r="S101" t="s">
        <v>246</v>
      </c>
      <c r="T101" t="s">
        <v>251</v>
      </c>
      <c r="U101" t="s">
        <v>248</v>
      </c>
      <c r="V101" t="s">
        <v>267</v>
      </c>
    </row>
    <row r="102" spans="1:24" ht="36" customHeight="1" x14ac:dyDescent="0.35">
      <c r="A102" s="327" t="s">
        <v>476</v>
      </c>
      <c r="B102" s="328"/>
      <c r="C102" s="192" t="s">
        <v>478</v>
      </c>
      <c r="D102" s="193"/>
      <c r="E102" s="194"/>
      <c r="F102" s="122" t="s">
        <v>40</v>
      </c>
      <c r="G102" s="195">
        <v>45112</v>
      </c>
      <c r="H102" s="196"/>
      <c r="R102"/>
      <c r="S102" t="s">
        <v>245</v>
      </c>
      <c r="T102" t="s">
        <v>250</v>
      </c>
      <c r="U102" t="s">
        <v>258</v>
      </c>
      <c r="V102" t="s">
        <v>266</v>
      </c>
    </row>
    <row r="103" spans="1:24" s="23" customFormat="1" ht="45.75" customHeight="1" x14ac:dyDescent="0.35">
      <c r="A103" s="188" t="s">
        <v>477</v>
      </c>
      <c r="B103" s="189"/>
      <c r="C103" s="192" t="s">
        <v>396</v>
      </c>
      <c r="D103" s="193"/>
      <c r="E103" s="194"/>
      <c r="F103" s="122" t="s">
        <v>40</v>
      </c>
      <c r="G103" s="195">
        <v>45112</v>
      </c>
      <c r="H103" s="196"/>
      <c r="R103"/>
      <c r="S103" t="s">
        <v>246</v>
      </c>
      <c r="T103" t="s">
        <v>251</v>
      </c>
      <c r="U103" t="s">
        <v>248</v>
      </c>
      <c r="V103" t="s">
        <v>267</v>
      </c>
    </row>
    <row r="104" spans="1:24" s="23" customFormat="1" ht="47.25" hidden="1" customHeight="1" x14ac:dyDescent="0.35">
      <c r="A104" s="190"/>
      <c r="B104" s="191"/>
      <c r="C104" s="192" t="s">
        <v>479</v>
      </c>
      <c r="D104" s="193"/>
      <c r="E104" s="193"/>
      <c r="F104" s="193"/>
      <c r="G104" s="193"/>
      <c r="H104" s="194"/>
      <c r="R104"/>
      <c r="S104" t="s">
        <v>246</v>
      </c>
      <c r="T104" t="s">
        <v>251</v>
      </c>
      <c r="U104" t="s">
        <v>248</v>
      </c>
      <c r="V104" t="s">
        <v>267</v>
      </c>
    </row>
    <row r="105" spans="1:24" s="23" customFormat="1" ht="32.25" customHeight="1" x14ac:dyDescent="0.35">
      <c r="A105" s="188" t="s">
        <v>496</v>
      </c>
      <c r="B105" s="189"/>
      <c r="C105" s="192" t="s">
        <v>375</v>
      </c>
      <c r="D105" s="193"/>
      <c r="E105" s="194"/>
      <c r="F105" s="122" t="s">
        <v>40</v>
      </c>
      <c r="G105" s="195">
        <v>44006</v>
      </c>
      <c r="H105" s="196"/>
      <c r="R105"/>
      <c r="S105" s="21"/>
      <c r="T105" t="s">
        <v>253</v>
      </c>
      <c r="U105" t="s">
        <v>263</v>
      </c>
      <c r="V105" s="21"/>
      <c r="W105" s="21"/>
      <c r="X105" s="21"/>
    </row>
    <row r="106" spans="1:24" s="23" customFormat="1" ht="32.25" customHeight="1" x14ac:dyDescent="0.35">
      <c r="A106" s="190"/>
      <c r="B106" s="191"/>
      <c r="C106" s="192" t="s">
        <v>376</v>
      </c>
      <c r="D106" s="193"/>
      <c r="E106" s="193"/>
      <c r="F106" s="193"/>
      <c r="G106" s="193"/>
      <c r="H106" s="194"/>
      <c r="R106"/>
      <c r="S106" s="21"/>
      <c r="T106" t="s">
        <v>255</v>
      </c>
      <c r="U106" t="s">
        <v>264</v>
      </c>
      <c r="V106" s="21"/>
      <c r="W106" s="21"/>
      <c r="X106" s="21"/>
    </row>
    <row r="107" spans="1:24" s="23" customFormat="1" ht="15.75" hidden="1" customHeight="1" x14ac:dyDescent="0.35">
      <c r="A107" s="197" t="s">
        <v>271</v>
      </c>
      <c r="B107" s="198"/>
      <c r="C107" s="201" t="str">
        <f>C106</f>
        <v>Net Plot Area = 846129.39Sq.Mt
Total B.U.A = 458145.51Sq.Mt</v>
      </c>
      <c r="D107" s="202"/>
      <c r="E107" s="203"/>
      <c r="F107" s="18" t="s">
        <v>40</v>
      </c>
      <c r="G107" s="201">
        <f>G106</f>
        <v>0</v>
      </c>
      <c r="H107" s="203"/>
      <c r="R107"/>
      <c r="S107" s="21"/>
      <c r="T107" t="s">
        <v>256</v>
      </c>
      <c r="U107" s="21" t="s">
        <v>285</v>
      </c>
      <c r="V107" s="21"/>
      <c r="W107" s="21"/>
      <c r="X107" s="21"/>
    </row>
    <row r="108" spans="1:24" s="23" customFormat="1" ht="33.75" hidden="1" customHeight="1" x14ac:dyDescent="0.35">
      <c r="A108" s="199"/>
      <c r="B108" s="200"/>
      <c r="C108" s="201"/>
      <c r="D108" s="202"/>
      <c r="E108" s="202"/>
      <c r="F108" s="202"/>
      <c r="G108" s="202"/>
      <c r="H108" s="203"/>
      <c r="R108"/>
      <c r="S108" s="21"/>
      <c r="T108" t="s">
        <v>257</v>
      </c>
      <c r="U108" s="21"/>
      <c r="V108" s="21"/>
      <c r="W108" s="21"/>
      <c r="X108" s="21"/>
    </row>
    <row r="109" spans="1:24" x14ac:dyDescent="0.35">
      <c r="A109" s="164" t="s">
        <v>41</v>
      </c>
      <c r="B109" s="165"/>
      <c r="C109" s="164" t="s">
        <v>98</v>
      </c>
      <c r="D109" s="166"/>
      <c r="E109" s="165"/>
      <c r="F109" s="44" t="s">
        <v>40</v>
      </c>
      <c r="G109" s="186" t="s">
        <v>28</v>
      </c>
      <c r="H109" s="187"/>
      <c r="R109"/>
      <c r="T109" t="s">
        <v>259</v>
      </c>
    </row>
    <row r="110" spans="1:24" x14ac:dyDescent="0.35">
      <c r="A110" s="184" t="s">
        <v>43</v>
      </c>
      <c r="B110" s="184"/>
      <c r="C110" s="184"/>
      <c r="D110" s="184"/>
      <c r="E110" s="184"/>
      <c r="F110" s="184"/>
      <c r="G110" s="184"/>
      <c r="H110" s="184"/>
      <c r="T110" t="s">
        <v>268</v>
      </c>
    </row>
    <row r="111" spans="1:24" x14ac:dyDescent="0.35">
      <c r="A111" s="169" t="s">
        <v>305</v>
      </c>
      <c r="B111" s="169"/>
      <c r="C111" s="169"/>
      <c r="D111" s="167">
        <v>38231.781000000003</v>
      </c>
      <c r="E111" s="167"/>
      <c r="F111" s="167"/>
      <c r="G111" s="167"/>
      <c r="H111" s="167"/>
      <c r="R111"/>
    </row>
    <row r="112" spans="1:24" x14ac:dyDescent="0.35">
      <c r="A112" s="185" t="s">
        <v>44</v>
      </c>
      <c r="B112" s="149"/>
      <c r="C112" s="149"/>
      <c r="D112" s="149" t="s">
        <v>497</v>
      </c>
      <c r="E112" s="149"/>
      <c r="F112" s="149"/>
      <c r="G112" s="149"/>
      <c r="H112" s="149"/>
      <c r="I112" s="24"/>
      <c r="R112"/>
    </row>
    <row r="113" spans="1:19" x14ac:dyDescent="0.35">
      <c r="A113" s="188" t="s">
        <v>45</v>
      </c>
      <c r="B113" s="210"/>
      <c r="C113" s="189"/>
      <c r="D113" s="214" t="s">
        <v>438</v>
      </c>
      <c r="E113" s="215"/>
      <c r="F113" s="215"/>
      <c r="G113" s="215"/>
      <c r="H113" s="215"/>
      <c r="K113" s="21">
        <f>24+27</f>
        <v>51</v>
      </c>
      <c r="R113"/>
    </row>
    <row r="114" spans="1:19" ht="15.75" customHeight="1" x14ac:dyDescent="0.35">
      <c r="A114" s="188" t="s">
        <v>82</v>
      </c>
      <c r="B114" s="210"/>
      <c r="C114" s="210"/>
      <c r="D114" s="214" t="s">
        <v>438</v>
      </c>
      <c r="E114" s="215"/>
      <c r="F114" s="215"/>
      <c r="G114" s="215"/>
      <c r="H114" s="215"/>
      <c r="R114"/>
    </row>
    <row r="115" spans="1:19" ht="15.75" hidden="1" customHeight="1" x14ac:dyDescent="0.35">
      <c r="A115" s="211"/>
      <c r="B115" s="212"/>
      <c r="C115" s="212"/>
      <c r="D115" s="216" t="s">
        <v>286</v>
      </c>
      <c r="E115" s="217"/>
      <c r="F115" s="217"/>
      <c r="G115" s="217"/>
      <c r="H115" s="218"/>
      <c r="R115"/>
    </row>
    <row r="116" spans="1:19" ht="15.75" hidden="1" customHeight="1" x14ac:dyDescent="0.35">
      <c r="A116" s="190"/>
      <c r="B116" s="213"/>
      <c r="C116" s="213"/>
      <c r="D116" s="236" t="s">
        <v>160</v>
      </c>
      <c r="E116" s="237"/>
      <c r="F116" s="237"/>
      <c r="G116" s="237"/>
      <c r="H116" s="238"/>
      <c r="S116"/>
    </row>
    <row r="117" spans="1:19" ht="15.75" customHeight="1" x14ac:dyDescent="0.35">
      <c r="A117" s="167" t="s">
        <v>42</v>
      </c>
      <c r="B117" s="167"/>
      <c r="C117" s="167"/>
      <c r="D117" s="169" t="s">
        <v>302</v>
      </c>
      <c r="E117" s="169"/>
      <c r="F117" s="169"/>
      <c r="G117" s="169"/>
      <c r="H117" s="169"/>
      <c r="J117" s="25"/>
      <c r="K117" s="24"/>
      <c r="N117" s="24"/>
      <c r="S117"/>
    </row>
    <row r="118" spans="1:19" ht="15.75" customHeight="1" x14ac:dyDescent="0.35">
      <c r="A118" s="167" t="s">
        <v>80</v>
      </c>
      <c r="B118" s="167"/>
      <c r="C118" s="167"/>
      <c r="D118" s="293" t="str">
        <f>(IF(G109="NA","60 Years After Completion",IF(G109&lt;&gt;"NA",""&amp;60-ROUNDDOWN((E3-G109)/360,0)&amp;" Years"," ")))</f>
        <v>60 Years After Completion</v>
      </c>
      <c r="E118" s="293"/>
      <c r="F118" s="293"/>
      <c r="G118" s="293"/>
      <c r="H118" s="293"/>
      <c r="N118" s="24"/>
      <c r="S118"/>
    </row>
    <row r="119" spans="1:19" ht="15.75" customHeight="1" x14ac:dyDescent="0.35">
      <c r="A119" s="167" t="s">
        <v>81</v>
      </c>
      <c r="B119" s="167"/>
      <c r="C119" s="167"/>
      <c r="D119" s="169" t="s">
        <v>23</v>
      </c>
      <c r="E119" s="169"/>
      <c r="F119" s="169"/>
      <c r="G119" s="169"/>
      <c r="H119" s="169"/>
      <c r="J119" s="26"/>
      <c r="K119" s="26"/>
      <c r="S119"/>
    </row>
    <row r="120" spans="1:19" ht="38.5" customHeight="1" x14ac:dyDescent="0.35">
      <c r="A120" s="280" t="s">
        <v>475</v>
      </c>
      <c r="B120" s="280"/>
      <c r="C120" s="280"/>
      <c r="D120" s="281" t="s">
        <v>303</v>
      </c>
      <c r="E120" s="281"/>
      <c r="F120" s="281"/>
      <c r="G120" s="281"/>
      <c r="H120" s="281"/>
      <c r="I120" s="21" t="s">
        <v>304</v>
      </c>
      <c r="S120"/>
    </row>
    <row r="121" spans="1:19" x14ac:dyDescent="0.35">
      <c r="A121" s="169" t="s">
        <v>140</v>
      </c>
      <c r="B121" s="169"/>
      <c r="C121" s="169"/>
      <c r="D121" s="169" t="s">
        <v>28</v>
      </c>
      <c r="E121" s="169"/>
      <c r="F121" s="169"/>
      <c r="G121" s="169"/>
      <c r="H121" s="169"/>
      <c r="I121" s="27"/>
      <c r="J121" s="27"/>
      <c r="K121" s="27"/>
      <c r="L121" s="27"/>
      <c r="M121" s="27"/>
      <c r="N121" s="27"/>
    </row>
    <row r="122" spans="1:19" ht="15.75" customHeight="1" x14ac:dyDescent="0.35">
      <c r="A122" s="167" t="s">
        <v>79</v>
      </c>
      <c r="B122" s="167"/>
      <c r="C122" s="167"/>
      <c r="D122" s="185" t="str">
        <f ca="1">(IF(G128&gt;95%,"Nothing",IF(G128&gt;0%,"Cement, Aggregate, Steel, etc",IF(G128=0%,"Work not yet Started"))))</f>
        <v>Cement, Aggregate, Steel, etc</v>
      </c>
      <c r="E122" s="185"/>
      <c r="F122" s="185"/>
      <c r="G122" s="185"/>
      <c r="H122" s="185"/>
      <c r="J122" s="26"/>
      <c r="S122"/>
    </row>
    <row r="123" spans="1:19" ht="33.75" customHeight="1" x14ac:dyDescent="0.35">
      <c r="A123" s="169" t="s">
        <v>111</v>
      </c>
      <c r="B123" s="169"/>
      <c r="C123" s="169"/>
      <c r="D123" s="185" t="str">
        <f ca="1">(IF(D122="Nothing","Yes",IF(D122="Cement, Aggregate, Steel, etc","Under Construction",IF(D122="Work not yet Started","Work not yet Started"))))</f>
        <v>Under Construction</v>
      </c>
      <c r="E123" s="185"/>
      <c r="F123" s="185" t="str">
        <f ca="1">(IF(D122="Nothing","Yes",IF(D122="Cement, Aggregate, Steel, etc","Under Construction",IF(D122="Work not yet Started","Work not yet Started"))))</f>
        <v>Under Construction</v>
      </c>
      <c r="G123" s="185"/>
      <c r="H123" s="185"/>
      <c r="S123"/>
    </row>
    <row r="124" spans="1:19" ht="15.75" hidden="1" customHeight="1" x14ac:dyDescent="0.35">
      <c r="A124" s="264" t="s">
        <v>132</v>
      </c>
      <c r="B124" s="265"/>
      <c r="C124" s="266" t="str">
        <f>D114</f>
        <v xml:space="preserve">Row House = G + 1st to 2nd Floor
</v>
      </c>
      <c r="D124" s="267"/>
      <c r="E124" s="267"/>
      <c r="F124" s="267"/>
      <c r="G124" s="267"/>
      <c r="H124" s="268"/>
      <c r="I124" s="47" t="str">
        <f ca="1">IF(D137=100%,"All work Completed. Possession granted to the Building.",IF(D136=100%,"All work Completed, Waiting for OC",I125&amp;""&amp;I126&amp;""&amp;J125&amp;""&amp;J124&amp;" "&amp;J126))</f>
        <v xml:space="preserve">Excavation, Plinth Completed </v>
      </c>
      <c r="J124" s="48" t="str">
        <f ca="1">(IF(C130=(D125+F125+H125),"",IF(C130&gt;0,", RCC upto "&amp;C130&amp;" Slab","")))&amp;(IF(C131=H125,"",IF(C131&gt;0,", Brickwork upto "&amp;C131&amp;" Floor","")))&amp;(IF(C132=H125,"",IF(C132&gt;0,", Internal Plaster upto "&amp;C132&amp;" Floor","")))&amp;(IF(C133=H125,"",IF(C133&gt;0,", External Plaster upto "&amp;C133&amp;" Floor","")))&amp;(IF(C134=H125,"",IF(C134&gt;0,", Flooring upto "&amp;C134&amp;" Floor","")))&amp;(IF(C135=H125,"",IF(C135&gt;0,", Painting upto "&amp;C135&amp;" Floor","")))&amp;(IF(C136=H125,"",IF(C136&gt;0,", Finishing upto "&amp;C136&amp;" Floor","")))&amp;(IF(C137=H125,"",IF(C137&gt;0,", Possession upto "&amp;C137&amp;" Floor","")))</f>
        <v/>
      </c>
      <c r="S124"/>
    </row>
    <row r="125" spans="1:19" hidden="1" x14ac:dyDescent="0.35">
      <c r="A125" s="16" t="s">
        <v>134</v>
      </c>
      <c r="B125" s="45">
        <f>IF(AND(ISNUMBER(SEARCH("1B",C124))),1,IF(AND(ISNUMBER(SEARCH("2B",C124))),2,IF(AND(ISNUMBER(SEARCH("3B",C124))),3,IF(AND(ISNUMBER(SEARCH("4B",C124))),4,IF(ISNUMBER(SEARCH("5B",C124)),5,0)))))</f>
        <v>0</v>
      </c>
      <c r="C125" s="45" t="s">
        <v>66</v>
      </c>
      <c r="D125" s="45">
        <v>1</v>
      </c>
      <c r="E125" s="45" t="s">
        <v>65</v>
      </c>
      <c r="F125" s="14">
        <v>0</v>
      </c>
      <c r="G125" s="46" t="s">
        <v>73</v>
      </c>
      <c r="H125" s="17">
        <f ca="1">--TRIM(RIGHT(SUBSTITUTE(LEFT(C124,_xlfn.AGGREGATE(16,6,FIND({0,1,2,3,4,5,6,7,8,9},C124,ROW(INDIRECT("1:"&amp;LEN(C124)))),1))," ",REPT(" ",LEN(C124))),LEN(C124)))</f>
        <v>2</v>
      </c>
      <c r="I125" s="49" t="str">
        <f ca="1">IF(D128=100%,"Excavation","")&amp;IF(D129=100%,", Plinth","")&amp;IF(D130=100%,", RCC Slab","")&amp;IF(D131=100%,", Brickwork","")&amp;IF(D132=100%,", Internal Plaster","")&amp;IF(D133=100%,", External Plaster","")&amp;IF(D134=100%,", Flooring","")&amp;IF(D135=100%,", Painting","")&amp;IF(D136=100%,", Building common Amenities","")</f>
        <v>Excavation, Plinth</v>
      </c>
      <c r="J125" s="50" t="str">
        <f ca="1">(IF(C128=0,"Work not yet Started.",IF(D128=25%,"Piling work in process",IF(D128=50%,"Excavation work in process",IF(D128=100%,"","0")))))&amp;(IF(C129=0%,"",IF(C129=J130,", Footing work is process",IF(C129=J131,", Footing work Completed",IF(C129=J132,", 1st Basement Completed",IF(C129=J133,", 1st &amp; 2nd Basement Completed",IF(C129=J134,", 1st to 3rd Basement Completed",IF(C129=J135,", 1st to 4th Basement Completed",IF(C129=J136,", Plinth work is process",IF(C129=J137,"","0"))))))))))</f>
        <v/>
      </c>
      <c r="S125"/>
    </row>
    <row r="126" spans="1:19" ht="36.75" hidden="1" customHeight="1" x14ac:dyDescent="0.35">
      <c r="A126" s="248" t="s">
        <v>83</v>
      </c>
      <c r="B126" s="249"/>
      <c r="C126" s="278" t="str">
        <f ca="1">I124</f>
        <v xml:space="preserve">Excavation, Plinth Completed </v>
      </c>
      <c r="D126" s="278"/>
      <c r="E126" s="278"/>
      <c r="F126" s="278"/>
      <c r="G126" s="278"/>
      <c r="H126" s="279"/>
      <c r="I126" s="49" t="str">
        <f ca="1">IF(I125&lt;&gt;""," Completed","")</f>
        <v xml:space="preserve"> Completed</v>
      </c>
      <c r="J126" s="50" t="str">
        <f ca="1">IF(J124&lt;&gt;"","Completed","")</f>
        <v/>
      </c>
      <c r="S126"/>
    </row>
    <row r="127" spans="1:19" ht="15.75" hidden="1" customHeight="1" x14ac:dyDescent="0.35">
      <c r="A127" s="176" t="s">
        <v>46</v>
      </c>
      <c r="B127" s="177"/>
      <c r="C127" s="42" t="s">
        <v>131</v>
      </c>
      <c r="D127" s="42" t="s">
        <v>76</v>
      </c>
      <c r="E127" s="177" t="s">
        <v>78</v>
      </c>
      <c r="F127" s="177"/>
      <c r="G127" s="177" t="s">
        <v>77</v>
      </c>
      <c r="H127" s="239"/>
      <c r="I127" s="13" t="s">
        <v>133</v>
      </c>
      <c r="J127" s="28">
        <f ca="1">H125*25%</f>
        <v>0.5</v>
      </c>
      <c r="S127"/>
    </row>
    <row r="128" spans="1:19" hidden="1" x14ac:dyDescent="0.35">
      <c r="A128" s="176" t="s">
        <v>120</v>
      </c>
      <c r="B128" s="177"/>
      <c r="C128" s="57">
        <f ca="1">J129</f>
        <v>2</v>
      </c>
      <c r="D128" s="19">
        <f ca="1">((100/H125)*C128)/100</f>
        <v>1</v>
      </c>
      <c r="E128" s="240">
        <f ca="1">(((C129/H125*10)+(40/(D125+F125+H125)*C130)+(7.5/(H125)*C131)+(7.5/(H125)*C132)+(10/H125*C133)+(10/H125*C134)+(5/H125*C135)+(5/H125*C136)+(5/H125*C137))/100)</f>
        <v>0.1</v>
      </c>
      <c r="F128" s="241"/>
      <c r="G128" s="240">
        <f ca="1">((((C128/H125)*20)+((C129/H125)*25)+(30/(H125+F125+D125)*C130)+(5/H125*C131)+(5/H125*C132)+(5/H125*C133)+(5/H125*C134)+(0/H125*C135)+(0/H125*C136)+(5/H125*C137))/100)</f>
        <v>0.45</v>
      </c>
      <c r="H128" s="288"/>
      <c r="I128" s="13" t="s">
        <v>93</v>
      </c>
      <c r="J128" s="29">
        <f ca="1">H125*50%</f>
        <v>1</v>
      </c>
    </row>
    <row r="129" spans="1:19" hidden="1" x14ac:dyDescent="0.35">
      <c r="A129" s="176" t="s">
        <v>47</v>
      </c>
      <c r="B129" s="177"/>
      <c r="C129" s="42">
        <f ca="1">J137</f>
        <v>2</v>
      </c>
      <c r="D129" s="19">
        <f ca="1">((100/H125)*C129)/100</f>
        <v>1</v>
      </c>
      <c r="E129" s="242"/>
      <c r="F129" s="243"/>
      <c r="G129" s="242"/>
      <c r="H129" s="289"/>
      <c r="I129" s="13" t="s">
        <v>94</v>
      </c>
      <c r="J129" s="29">
        <f ca="1">H125</f>
        <v>2</v>
      </c>
      <c r="S129"/>
    </row>
    <row r="130" spans="1:19" ht="15.75" hidden="1" customHeight="1" x14ac:dyDescent="0.35">
      <c r="A130" s="176" t="s">
        <v>121</v>
      </c>
      <c r="B130" s="177"/>
      <c r="C130" s="42">
        <v>0</v>
      </c>
      <c r="D130" s="19">
        <f ca="1">((100/(D125+F125+H125))*C130)/100</f>
        <v>0</v>
      </c>
      <c r="E130" s="242"/>
      <c r="F130" s="243"/>
      <c r="G130" s="242"/>
      <c r="H130" s="289"/>
      <c r="I130" s="13" t="s">
        <v>95</v>
      </c>
      <c r="J130" s="30">
        <f ca="1">(IF(B125&gt;1,(H125/(B125+2)),H125/4))</f>
        <v>0.5</v>
      </c>
      <c r="S130"/>
    </row>
    <row r="131" spans="1:19" ht="15.75" hidden="1" customHeight="1" x14ac:dyDescent="0.35">
      <c r="A131" s="176" t="s">
        <v>128</v>
      </c>
      <c r="B131" s="177" t="s">
        <v>122</v>
      </c>
      <c r="C131" s="42">
        <v>0</v>
      </c>
      <c r="D131" s="19">
        <f ca="1">((100/H125)*C131)/100</f>
        <v>0</v>
      </c>
      <c r="E131" s="242"/>
      <c r="F131" s="243"/>
      <c r="G131" s="242"/>
      <c r="H131" s="289"/>
      <c r="I131" s="13" t="s">
        <v>96</v>
      </c>
      <c r="J131" s="30">
        <f ca="1">(IF(B125&gt;1,(H125/(B125+2)+J130),H125/4+J130))</f>
        <v>1</v>
      </c>
    </row>
    <row r="132" spans="1:19" ht="15.75" hidden="1" customHeight="1" x14ac:dyDescent="0.35">
      <c r="A132" s="176" t="s">
        <v>129</v>
      </c>
      <c r="B132" s="177" t="s">
        <v>122</v>
      </c>
      <c r="C132" s="42">
        <v>0</v>
      </c>
      <c r="D132" s="19">
        <f ca="1">((100/H125)*C132)/100</f>
        <v>0</v>
      </c>
      <c r="E132" s="242"/>
      <c r="F132" s="243"/>
      <c r="G132" s="242"/>
      <c r="H132" s="289"/>
      <c r="I132" s="13" t="s">
        <v>138</v>
      </c>
      <c r="J132" s="30">
        <f>(IF(B125&gt;1,(H125/(B125+2)+J131),0))</f>
        <v>0</v>
      </c>
    </row>
    <row r="133" spans="1:19" ht="15" hidden="1" customHeight="1" x14ac:dyDescent="0.35">
      <c r="A133" s="176" t="s">
        <v>127</v>
      </c>
      <c r="B133" s="177" t="s">
        <v>124</v>
      </c>
      <c r="C133" s="42">
        <v>0</v>
      </c>
      <c r="D133" s="19">
        <f ca="1">((100/(H125))*C133)/100</f>
        <v>0</v>
      </c>
      <c r="E133" s="242"/>
      <c r="F133" s="243"/>
      <c r="G133" s="242"/>
      <c r="H133" s="289"/>
      <c r="I133" s="13" t="s">
        <v>135</v>
      </c>
      <c r="J133" s="30">
        <f>(IF(B125&gt;2,(H125/(B125+2)+J132),0))</f>
        <v>0</v>
      </c>
    </row>
    <row r="134" spans="1:19" ht="15.75" hidden="1" customHeight="1" x14ac:dyDescent="0.35">
      <c r="A134" s="176" t="s">
        <v>123</v>
      </c>
      <c r="B134" s="177" t="s">
        <v>123</v>
      </c>
      <c r="C134" s="42">
        <v>0</v>
      </c>
      <c r="D134" s="19">
        <f ca="1">((100/H125)*C134)/100</f>
        <v>0</v>
      </c>
      <c r="E134" s="242"/>
      <c r="F134" s="243"/>
      <c r="G134" s="242"/>
      <c r="H134" s="289"/>
      <c r="I134" s="13" t="s">
        <v>136</v>
      </c>
      <c r="J134" s="31">
        <f>(IF(B125&gt;3,(H125/(B125+2)+J133),0))</f>
        <v>0</v>
      </c>
    </row>
    <row r="135" spans="1:19" ht="15.75" hidden="1" customHeight="1" x14ac:dyDescent="0.35">
      <c r="A135" s="176" t="s">
        <v>130</v>
      </c>
      <c r="B135" s="177"/>
      <c r="C135" s="42">
        <v>0</v>
      </c>
      <c r="D135" s="19">
        <f ca="1">((100/H125)*C135)/100</f>
        <v>0</v>
      </c>
      <c r="E135" s="242"/>
      <c r="F135" s="243"/>
      <c r="G135" s="242"/>
      <c r="H135" s="289"/>
      <c r="I135" s="13" t="s">
        <v>137</v>
      </c>
      <c r="J135" s="30">
        <f>(IF(B125&gt;4,(H125/(B125+2)+J134),0))</f>
        <v>0</v>
      </c>
    </row>
    <row r="136" spans="1:19" ht="15.75" hidden="1" customHeight="1" x14ac:dyDescent="0.35">
      <c r="A136" s="176" t="s">
        <v>125</v>
      </c>
      <c r="B136" s="177" t="s">
        <v>125</v>
      </c>
      <c r="C136" s="42">
        <v>0</v>
      </c>
      <c r="D136" s="19">
        <f ca="1">((100/(H125))*C136)/100</f>
        <v>0</v>
      </c>
      <c r="E136" s="242"/>
      <c r="F136" s="243"/>
      <c r="G136" s="242"/>
      <c r="H136" s="289"/>
      <c r="I136" s="13" t="s">
        <v>139</v>
      </c>
      <c r="J136" s="30">
        <f ca="1">(IF(B125=1,(H125/(B125+3)+J131),IF(B125=0,(H125/4+J131),IF(B125&gt;1,0))))</f>
        <v>1.5</v>
      </c>
    </row>
    <row r="137" spans="1:19" ht="16" hidden="1" thickBot="1" x14ac:dyDescent="0.4">
      <c r="A137" s="221" t="s">
        <v>126</v>
      </c>
      <c r="B137" s="222"/>
      <c r="C137" s="43">
        <v>0</v>
      </c>
      <c r="D137" s="20">
        <f ca="1">((100/(H125))*C137)/100</f>
        <v>0</v>
      </c>
      <c r="E137" s="244"/>
      <c r="F137" s="245"/>
      <c r="G137" s="244"/>
      <c r="H137" s="290"/>
      <c r="I137" s="15" t="s">
        <v>97</v>
      </c>
      <c r="J137" s="32">
        <f ca="1">(IF(B125&gt;1.5,(H125/(B125+2)+J131+MAX(0,J132-J131)+MAX(0,J133-J132)+MAX(0,J134-J133)+MAX(0,J135-J134)+MAX(0,J136-J135)),IF(B125=1,(H125/(B125+3)+J136),IF(B125=0,H125/4+J136))))</f>
        <v>2</v>
      </c>
    </row>
    <row r="138" spans="1:19" ht="15.75" hidden="1" customHeight="1" x14ac:dyDescent="0.35">
      <c r="A138" s="171" t="s">
        <v>132</v>
      </c>
      <c r="B138" s="172"/>
      <c r="C138" s="173" t="str">
        <f>D115</f>
        <v>B Wing = 1B + G + 1st to 19th Floor</v>
      </c>
      <c r="D138" s="174"/>
      <c r="E138" s="174"/>
      <c r="F138" s="174"/>
      <c r="G138" s="174"/>
      <c r="H138" s="175"/>
      <c r="I138" s="47" t="str">
        <f ca="1">IF(D151=100%,"All work Completed. Possession granted to the Building.",IF(D150=100%,"All work Completed, Waiting for OC",I139&amp;""&amp;I140&amp;""&amp;J139&amp;""&amp;J138&amp;" "&amp;J140))</f>
        <v xml:space="preserve">Excavation, Plinth Completed </v>
      </c>
      <c r="J138" s="48" t="str">
        <f ca="1">(IF(C144=(D139+F139+H139),"",IF(C144&gt;0,", RCC upto "&amp;C144&amp;" Slab","")))&amp;(IF(C145=H139,"",IF(C145&gt;0,", Brickwork upto "&amp;C145&amp;" Floor","")))&amp;(IF(C146=H139,"",IF(C146&gt;0,", Internal Plaster upto "&amp;C146&amp;" Floor","")))&amp;(IF(C147=H139,"",IF(C147&gt;0,", External Plaster upto "&amp;C147&amp;" Floor","")))&amp;(IF(C148=H139,"",IF(C148&gt;0,", Flooring upto "&amp;C148&amp;" Floor","")))&amp;(IF(C149=H139,"",IF(C149&gt;0,", Painting upto "&amp;C149&amp;" Floor","")))&amp;(IF(C150=H139,"",IF(C150&gt;0,", Finishing upto "&amp;C150&amp;" Floor","")))&amp;(IF(C151=H139,"",IF(C151&gt;0,", Possession upto "&amp;C151&amp;" Floor","")))</f>
        <v/>
      </c>
    </row>
    <row r="139" spans="1:19" hidden="1" x14ac:dyDescent="0.35">
      <c r="A139" s="16" t="s">
        <v>134</v>
      </c>
      <c r="B139" s="45">
        <f>IF(AND(ISNUMBER(SEARCH("1B",C138))),1,IF(AND(ISNUMBER(SEARCH("2B",C138))),2,IF(AND(ISNUMBER(SEARCH("3B",C138))),3,IF(AND(ISNUMBER(SEARCH("4B",C138))),4,IF(ISNUMBER(SEARCH("5B",C138)),5,0)))))</f>
        <v>1</v>
      </c>
      <c r="C139" s="45" t="s">
        <v>66</v>
      </c>
      <c r="D139" s="45">
        <v>1</v>
      </c>
      <c r="E139" s="45" t="s">
        <v>65</v>
      </c>
      <c r="F139" s="14">
        <v>0</v>
      </c>
      <c r="G139" s="46" t="s">
        <v>73</v>
      </c>
      <c r="H139" s="17">
        <f ca="1">--TRIM(RIGHT(SUBSTITUTE(LEFT(C138,_xlfn.AGGREGATE(16,6,FIND({0,1,2,3,4,5,6,7,8,9},C138,ROW(INDIRECT("1:"&amp;LEN(C138)))),1))," ",REPT(" ",LEN(C138))),LEN(C138)))</f>
        <v>19</v>
      </c>
      <c r="I139" s="49" t="str">
        <f ca="1">IF(D142=100%,"Excavation","")&amp;IF(D143=100%,", Plinth","")&amp;IF(D144=100%,", RCC Slab","")&amp;IF(D145=100%,", Brickwork","")&amp;IF(D146=100%,", Internal Plaster","")&amp;IF(D147=100%,", External Plaster","")&amp;IF(D148=100%,", Flooring","")&amp;IF(D149=100%,", Painting","")&amp;IF(D150=100%,", Building common Amenities","")</f>
        <v>Excavation, Plinth</v>
      </c>
      <c r="J139" s="50" t="str">
        <f ca="1">(IF(C142=0,"Work not yet Started.",IF(D142=25%,"Piling work in process",IF(D142=50%,"Excavation work in process",IF(D142=100%,"","0")))))&amp;(IF(C143=0%,"",IF(C143=J144,", Footing work is process",IF(C143=J145,", Footing work Completed",IF(C143=J146,", 1st Basement Completed",IF(C143=J147,", 1st &amp; 2nd Basement Completed",IF(C143=J148,", 1st to 3rd Basement Completed",IF(C143=J149,", 1st to 4th Basement Completed",IF(C143=J150,", Plinth work is process",IF(C143=J151,"","0"))))))))))</f>
        <v/>
      </c>
    </row>
    <row r="140" spans="1:19" hidden="1" x14ac:dyDescent="0.35">
      <c r="A140" s="248" t="s">
        <v>83</v>
      </c>
      <c r="B140" s="249"/>
      <c r="C140" s="278" t="str">
        <f ca="1">(IF($G$109="NA",I138,"All work Completed. OC Received."))</f>
        <v xml:space="preserve">Excavation, Plinth Completed </v>
      </c>
      <c r="D140" s="278"/>
      <c r="E140" s="278"/>
      <c r="F140" s="278"/>
      <c r="G140" s="278"/>
      <c r="H140" s="279"/>
      <c r="I140" s="49" t="str">
        <f ca="1">IF(I139&lt;&gt;""," Completed","")</f>
        <v xml:space="preserve"> Completed</v>
      </c>
      <c r="J140" s="50" t="str">
        <f ca="1">IF(J138&lt;&gt;"","Completed","")</f>
        <v/>
      </c>
    </row>
    <row r="141" spans="1:19" ht="15.75" hidden="1" customHeight="1" x14ac:dyDescent="0.35">
      <c r="A141" s="176" t="s">
        <v>46</v>
      </c>
      <c r="B141" s="177"/>
      <c r="C141" s="42" t="s">
        <v>131</v>
      </c>
      <c r="D141" s="42" t="s">
        <v>76</v>
      </c>
      <c r="E141" s="177" t="s">
        <v>78</v>
      </c>
      <c r="F141" s="177"/>
      <c r="G141" s="177" t="s">
        <v>77</v>
      </c>
      <c r="H141" s="239"/>
      <c r="I141" s="13" t="s">
        <v>133</v>
      </c>
      <c r="J141" s="28">
        <f ca="1">H139*25%</f>
        <v>4.75</v>
      </c>
    </row>
    <row r="142" spans="1:19" hidden="1" x14ac:dyDescent="0.35">
      <c r="A142" s="176" t="s">
        <v>120</v>
      </c>
      <c r="B142" s="177"/>
      <c r="C142" s="57">
        <f ca="1">J143</f>
        <v>19</v>
      </c>
      <c r="D142" s="19">
        <f ca="1">((100/H139)*C142)/100</f>
        <v>1</v>
      </c>
      <c r="E142" s="240">
        <f ca="1">(((C143/H139*10)+(40/(D139+F139+H139)*C144)+(7.5/(H139)*C145)+(7.5/(H139)*C146)+(10/H139*C147)+(10/H139*C148)+(5/H139*C149)+(5/H139*C150)+(5/H139*C151))/100)</f>
        <v>0.1</v>
      </c>
      <c r="F142" s="241"/>
      <c r="G142" s="240">
        <f ca="1">((((C142/H139)*20)+((C143/H139)*25)+(30/(H139+F139+D139)*C144)+(5/H139*C145)+(5/H139*C146)+(5/H139*C147)+(5/H139*C148)+(0/H139*C149)+(0/H139*C150)+(5/H139*C151))/100)</f>
        <v>0.45</v>
      </c>
      <c r="H142" s="288"/>
      <c r="I142" s="13" t="s">
        <v>93</v>
      </c>
      <c r="J142" s="29">
        <f ca="1">H139*50%</f>
        <v>9.5</v>
      </c>
    </row>
    <row r="143" spans="1:19" hidden="1" x14ac:dyDescent="0.35">
      <c r="A143" s="176" t="s">
        <v>47</v>
      </c>
      <c r="B143" s="177"/>
      <c r="C143" s="58">
        <v>19</v>
      </c>
      <c r="D143" s="19">
        <f ca="1">((100/H139)*C143)/100</f>
        <v>1</v>
      </c>
      <c r="E143" s="242"/>
      <c r="F143" s="243"/>
      <c r="G143" s="242"/>
      <c r="H143" s="289"/>
      <c r="I143" s="13" t="s">
        <v>94</v>
      </c>
      <c r="J143" s="29">
        <f ca="1">H139</f>
        <v>19</v>
      </c>
    </row>
    <row r="144" spans="1:19" ht="15.75" hidden="1" customHeight="1" x14ac:dyDescent="0.35">
      <c r="A144" s="176" t="s">
        <v>121</v>
      </c>
      <c r="B144" s="177"/>
      <c r="C144" s="42">
        <v>0</v>
      </c>
      <c r="D144" s="19">
        <f ca="1">((100/(D139+F139+H139))*C144)/100</f>
        <v>0</v>
      </c>
      <c r="E144" s="242"/>
      <c r="F144" s="243"/>
      <c r="G144" s="242"/>
      <c r="H144" s="289"/>
      <c r="I144" s="13" t="s">
        <v>95</v>
      </c>
      <c r="J144" s="30">
        <f ca="1">(IF(B139&gt;1,(H139/(B139+2)),H139/4))</f>
        <v>4.75</v>
      </c>
    </row>
    <row r="145" spans="1:10" ht="15.75" hidden="1" customHeight="1" x14ac:dyDescent="0.35">
      <c r="A145" s="176" t="s">
        <v>128</v>
      </c>
      <c r="B145" s="177" t="s">
        <v>122</v>
      </c>
      <c r="C145" s="42">
        <v>0</v>
      </c>
      <c r="D145" s="19">
        <f ca="1">((100/H139)*C145)/100</f>
        <v>0</v>
      </c>
      <c r="E145" s="242"/>
      <c r="F145" s="243"/>
      <c r="G145" s="242"/>
      <c r="H145" s="289"/>
      <c r="I145" s="13" t="s">
        <v>96</v>
      </c>
      <c r="J145" s="30">
        <f ca="1">(IF(B139&gt;1,(H139/(B139+2)+J144),H139/4+J144))</f>
        <v>9.5</v>
      </c>
    </row>
    <row r="146" spans="1:10" ht="15.75" hidden="1" customHeight="1" x14ac:dyDescent="0.35">
      <c r="A146" s="176" t="s">
        <v>129</v>
      </c>
      <c r="B146" s="177" t="s">
        <v>122</v>
      </c>
      <c r="C146" s="42">
        <v>0</v>
      </c>
      <c r="D146" s="19">
        <f ca="1">((100/H139)*C146)/100</f>
        <v>0</v>
      </c>
      <c r="E146" s="242"/>
      <c r="F146" s="243"/>
      <c r="G146" s="242"/>
      <c r="H146" s="289"/>
      <c r="I146" s="13" t="s">
        <v>138</v>
      </c>
      <c r="J146" s="30">
        <f>(IF(B139&gt;1,(H139/(B139+2)+J145),0))</f>
        <v>0</v>
      </c>
    </row>
    <row r="147" spans="1:10" ht="15" hidden="1" customHeight="1" x14ac:dyDescent="0.35">
      <c r="A147" s="176" t="s">
        <v>127</v>
      </c>
      <c r="B147" s="177" t="s">
        <v>124</v>
      </c>
      <c r="C147" s="42">
        <v>0</v>
      </c>
      <c r="D147" s="19">
        <f ca="1">((100/(H139))*C147)/100</f>
        <v>0</v>
      </c>
      <c r="E147" s="242"/>
      <c r="F147" s="243"/>
      <c r="G147" s="242"/>
      <c r="H147" s="289"/>
      <c r="I147" s="13" t="s">
        <v>135</v>
      </c>
      <c r="J147" s="30">
        <f>(IF(B139&gt;2,(H139/(B139+2)+J146),0))</f>
        <v>0</v>
      </c>
    </row>
    <row r="148" spans="1:10" ht="15.75" hidden="1" customHeight="1" x14ac:dyDescent="0.35">
      <c r="A148" s="176" t="s">
        <v>123</v>
      </c>
      <c r="B148" s="177" t="s">
        <v>123</v>
      </c>
      <c r="C148" s="42">
        <v>0</v>
      </c>
      <c r="D148" s="19">
        <f ca="1">((100/H139)*C148)/100</f>
        <v>0</v>
      </c>
      <c r="E148" s="242"/>
      <c r="F148" s="243"/>
      <c r="G148" s="242"/>
      <c r="H148" s="289"/>
      <c r="I148" s="13" t="s">
        <v>136</v>
      </c>
      <c r="J148" s="31">
        <f>(IF(B139&gt;3,(H139/(B139+2)+J147),0))</f>
        <v>0</v>
      </c>
    </row>
    <row r="149" spans="1:10" ht="15.75" hidden="1" customHeight="1" x14ac:dyDescent="0.35">
      <c r="A149" s="176" t="s">
        <v>130</v>
      </c>
      <c r="B149" s="177"/>
      <c r="C149" s="42">
        <v>0</v>
      </c>
      <c r="D149" s="19">
        <f ca="1">((100/H139)*C149)/100</f>
        <v>0</v>
      </c>
      <c r="E149" s="242"/>
      <c r="F149" s="243"/>
      <c r="G149" s="242"/>
      <c r="H149" s="289"/>
      <c r="I149" s="13" t="s">
        <v>137</v>
      </c>
      <c r="J149" s="30">
        <f>(IF(B139&gt;4,(H139/(B139+2)+J148),0))</f>
        <v>0</v>
      </c>
    </row>
    <row r="150" spans="1:10" ht="15.75" hidden="1" customHeight="1" x14ac:dyDescent="0.35">
      <c r="A150" s="176" t="s">
        <v>125</v>
      </c>
      <c r="B150" s="177" t="s">
        <v>125</v>
      </c>
      <c r="C150" s="42">
        <v>0</v>
      </c>
      <c r="D150" s="19">
        <f ca="1">((100/(H139))*C150)/100</f>
        <v>0</v>
      </c>
      <c r="E150" s="242"/>
      <c r="F150" s="243"/>
      <c r="G150" s="242"/>
      <c r="H150" s="289"/>
      <c r="I150" s="13" t="s">
        <v>139</v>
      </c>
      <c r="J150" s="30">
        <f ca="1">(IF(B139=1,(H139/(B139+3)+J145),IF(B139=0,(H139/4+J145),IF(B139&gt;1,0))))</f>
        <v>14.25</v>
      </c>
    </row>
    <row r="151" spans="1:10" ht="16" hidden="1" thickBot="1" x14ac:dyDescent="0.4">
      <c r="A151" s="221" t="s">
        <v>126</v>
      </c>
      <c r="B151" s="222"/>
      <c r="C151" s="43">
        <v>0</v>
      </c>
      <c r="D151" s="20">
        <f ca="1">((100/(H139))*C151)/100</f>
        <v>0</v>
      </c>
      <c r="E151" s="244"/>
      <c r="F151" s="245"/>
      <c r="G151" s="244"/>
      <c r="H151" s="290"/>
      <c r="I151" s="15" t="s">
        <v>97</v>
      </c>
      <c r="J151" s="32">
        <f ca="1">(IF(B139&gt;1.5,(H139/(B139+2)+J145+MAX(0,J146-J145)+MAX(0,J147-J146)+MAX(0,J148-J147)+MAX(0,J149-J148)+MAX(0,J150-J149)),IF(B139=1,(H139/(B139+3)+J150),IF(B139=0,H139/4+J150))))</f>
        <v>19</v>
      </c>
    </row>
    <row r="152" spans="1:10" ht="15.75" hidden="1" customHeight="1" x14ac:dyDescent="0.35">
      <c r="A152" s="171" t="s">
        <v>132</v>
      </c>
      <c r="B152" s="172"/>
      <c r="C152" s="173" t="str">
        <f>D116</f>
        <v>C Wing = 1B + G + 1st to 20th Floor</v>
      </c>
      <c r="D152" s="174"/>
      <c r="E152" s="174"/>
      <c r="F152" s="174"/>
      <c r="G152" s="174"/>
      <c r="H152" s="175"/>
      <c r="I152" s="47" t="str">
        <f ca="1">IF(D165=100%,"All work Completed. Possession granted to the Building.",IF(D164=100%,"All work Completed, Waiting for OC",I153&amp;""&amp;I154&amp;""&amp;J153&amp;""&amp;J152&amp;" "&amp;J154))</f>
        <v xml:space="preserve">Excavation, Plinth, RCC Slab Completed </v>
      </c>
      <c r="J152" s="48" t="str">
        <f ca="1">(IF(C158=(D153+F153+H153),"",IF(C158&gt;0,", RCC upto "&amp;C158&amp;" Slab","")))&amp;(IF(C159=H153,"",IF(C159&gt;0,", Brickwork upto "&amp;C159&amp;" Floor","")))&amp;(IF(C160=H153,"",IF(C160&gt;0,", Internal Plaster upto "&amp;C160&amp;" Floor","")))&amp;(IF(C161=H153,"",IF(C161&gt;0,", External Plaster upto "&amp;C161&amp;" Floor","")))&amp;(IF(C162=H153,"",IF(C162&gt;0,", Flooring upto "&amp;C162&amp;" Floor","")))&amp;(IF(C163=H153,"",IF(C163&gt;0,", Painting upto "&amp;C163&amp;" Floor","")))&amp;(IF(C164=H153,"",IF(C164&gt;0,", Finishing upto "&amp;C164&amp;" Floor","")))&amp;(IF(C165=H153,"",IF(C165&gt;0,", Possession upto "&amp;C165&amp;" Floor","")))</f>
        <v/>
      </c>
    </row>
    <row r="153" spans="1:10" hidden="1" x14ac:dyDescent="0.35">
      <c r="A153" s="16" t="s">
        <v>134</v>
      </c>
      <c r="B153" s="45">
        <f>IF(AND(ISNUMBER(SEARCH("1B",C152))),1,IF(AND(ISNUMBER(SEARCH("2B",C152))),2,IF(AND(ISNUMBER(SEARCH("3B",C152))),3,IF(AND(ISNUMBER(SEARCH("4B",C152))),4,IF(ISNUMBER(SEARCH("5B",C152)),5,0)))))</f>
        <v>1</v>
      </c>
      <c r="C153" s="45" t="s">
        <v>66</v>
      </c>
      <c r="D153" s="45">
        <v>1</v>
      </c>
      <c r="E153" s="45" t="s">
        <v>65</v>
      </c>
      <c r="F153" s="14">
        <v>0</v>
      </c>
      <c r="G153" s="46" t="s">
        <v>73</v>
      </c>
      <c r="H153" s="17">
        <f ca="1">--TRIM(RIGHT(SUBSTITUTE(LEFT(C152,_xlfn.AGGREGATE(16,6,FIND({0,1,2,3,4,5,6,7,8,9},C152,ROW(INDIRECT("1:"&amp;LEN(C152)))),1))," ",REPT(" ",LEN(C152))),LEN(C152)))</f>
        <v>20</v>
      </c>
      <c r="I153" s="49" t="str">
        <f ca="1">IF(D156=100%,"Excavation","")&amp;IF(D157=100%,", Plinth","")&amp;IF(D158=100%,", RCC Slab","")&amp;IF(D159=100%,", Brickwork","")&amp;IF(D160=100%,", Internal Plaster","")&amp;IF(D161=100%,", External Plaster","")&amp;IF(D162=100%,", Flooring","")&amp;IF(D163=100%,", Painting","")&amp;IF(D164=100%,", Building common Amenities","")</f>
        <v>Excavation, Plinth, RCC Slab</v>
      </c>
      <c r="J153" s="50" t="str">
        <f ca="1">(IF(C156=0,"Work not yet Started.",IF(D156=25%,"Piling work in process",IF(D156=50%,"Excavation work in process",IF(D156=100%,"","0")))))&amp;(IF(C157=0%,"",IF(C157=J158,", Footing work is process",IF(C157=J159,", Footing work Completed",IF(C157=J160,", 1st Basement Completed",IF(C157=J161,", 1st &amp; 2nd Basement Completed",IF(C157=J162,", 1st to 3rd Basement Completed",IF(C157=J163,", 1st to 4th Basement Completed",IF(C157=J164,", Plinth work is process",IF(C157=J165,"","0"))))))))))</f>
        <v/>
      </c>
    </row>
    <row r="154" spans="1:10" hidden="1" x14ac:dyDescent="0.35">
      <c r="A154" s="248" t="s">
        <v>83</v>
      </c>
      <c r="B154" s="249"/>
      <c r="C154" s="278" t="str">
        <f ca="1">(IF($G$109="NA",I152,"All work Completed. OC Received."))</f>
        <v xml:space="preserve">Excavation, Plinth, RCC Slab Completed </v>
      </c>
      <c r="D154" s="278"/>
      <c r="E154" s="278"/>
      <c r="F154" s="278"/>
      <c r="G154" s="278"/>
      <c r="H154" s="279"/>
      <c r="I154" s="49" t="str">
        <f ca="1">IF(I153&lt;&gt;""," Completed","")</f>
        <v xml:space="preserve"> Completed</v>
      </c>
      <c r="J154" s="50" t="str">
        <f ca="1">IF(J152&lt;&gt;"","Completed","")</f>
        <v/>
      </c>
    </row>
    <row r="155" spans="1:10" ht="15.75" hidden="1" customHeight="1" x14ac:dyDescent="0.35">
      <c r="A155" s="176" t="s">
        <v>46</v>
      </c>
      <c r="B155" s="177"/>
      <c r="C155" s="42" t="s">
        <v>131</v>
      </c>
      <c r="D155" s="42" t="s">
        <v>76</v>
      </c>
      <c r="E155" s="177" t="s">
        <v>78</v>
      </c>
      <c r="F155" s="177"/>
      <c r="G155" s="177" t="s">
        <v>77</v>
      </c>
      <c r="H155" s="239"/>
      <c r="I155" s="13" t="s">
        <v>133</v>
      </c>
      <c r="J155" s="28">
        <f ca="1">H153*25%</f>
        <v>5</v>
      </c>
    </row>
    <row r="156" spans="1:10" hidden="1" x14ac:dyDescent="0.35">
      <c r="A156" s="176" t="s">
        <v>120</v>
      </c>
      <c r="B156" s="177"/>
      <c r="C156" s="42">
        <f ca="1">J157</f>
        <v>20</v>
      </c>
      <c r="D156" s="19">
        <f ca="1">((100/H153)*C156)/100</f>
        <v>1</v>
      </c>
      <c r="E156" s="240">
        <f ca="1">(((C157/H153*10)+(40/(D153+F153+H153)*C158)+(7.5/(H153)*C159)+(7.5/(H153)*C160)+(10/H153*C161)+(10/H153*C162)+(5/H153*C163)+(5/H153*C164)+(5/H153*C165))/100)</f>
        <v>0.5</v>
      </c>
      <c r="F156" s="241"/>
      <c r="G156" s="240">
        <f ca="1">((((C156/H153)*20)+((C157/H153)*25)+(30/(H153+F153+D153)*C158)+(5/H153*C159)+(5/H153*C160)+(5/H153*C161)+(5/H153*C162)+(0/H153*C163)+(0/H153*C164)+(5/H153*C165))/100)</f>
        <v>0.75</v>
      </c>
      <c r="H156" s="288"/>
      <c r="I156" s="13" t="s">
        <v>93</v>
      </c>
      <c r="J156" s="29">
        <f ca="1">H153*50%</f>
        <v>10</v>
      </c>
    </row>
    <row r="157" spans="1:10" hidden="1" x14ac:dyDescent="0.35">
      <c r="A157" s="176" t="s">
        <v>47</v>
      </c>
      <c r="B157" s="177"/>
      <c r="C157" s="42">
        <f ca="1">J165</f>
        <v>20</v>
      </c>
      <c r="D157" s="19">
        <f ca="1">((100/H153)*C157)/100</f>
        <v>1</v>
      </c>
      <c r="E157" s="242"/>
      <c r="F157" s="243"/>
      <c r="G157" s="242"/>
      <c r="H157" s="289"/>
      <c r="I157" s="13" t="s">
        <v>94</v>
      </c>
      <c r="J157" s="29">
        <f ca="1">H153</f>
        <v>20</v>
      </c>
    </row>
    <row r="158" spans="1:10" ht="15.75" hidden="1" customHeight="1" x14ac:dyDescent="0.35">
      <c r="A158" s="176" t="s">
        <v>121</v>
      </c>
      <c r="B158" s="177"/>
      <c r="C158" s="42">
        <f ca="1">D153+H153</f>
        <v>21</v>
      </c>
      <c r="D158" s="19">
        <f ca="1">((100/(D153+F153+H153))*C158)/100</f>
        <v>1</v>
      </c>
      <c r="E158" s="242"/>
      <c r="F158" s="243"/>
      <c r="G158" s="242"/>
      <c r="H158" s="289"/>
      <c r="I158" s="13" t="s">
        <v>95</v>
      </c>
      <c r="J158" s="30">
        <f ca="1">(IF(B153&gt;1,(H153/(B153+2)),H153/4))</f>
        <v>5</v>
      </c>
    </row>
    <row r="159" spans="1:10" ht="15.75" hidden="1" customHeight="1" x14ac:dyDescent="0.35">
      <c r="A159" s="176" t="s">
        <v>128</v>
      </c>
      <c r="B159" s="177" t="s">
        <v>122</v>
      </c>
      <c r="C159" s="42">
        <v>0</v>
      </c>
      <c r="D159" s="19">
        <f ca="1">((100/H153)*C159)/100</f>
        <v>0</v>
      </c>
      <c r="E159" s="242"/>
      <c r="F159" s="243"/>
      <c r="G159" s="242"/>
      <c r="H159" s="289"/>
      <c r="I159" s="13" t="s">
        <v>96</v>
      </c>
      <c r="J159" s="30">
        <f ca="1">(IF(B153&gt;1,(H153/(B153+2)+J158),H153/4+J158))</f>
        <v>10</v>
      </c>
    </row>
    <row r="160" spans="1:10" ht="15.75" hidden="1" customHeight="1" x14ac:dyDescent="0.35">
      <c r="A160" s="176" t="s">
        <v>129</v>
      </c>
      <c r="B160" s="177" t="s">
        <v>122</v>
      </c>
      <c r="C160" s="42">
        <v>0</v>
      </c>
      <c r="D160" s="19">
        <f ca="1">((100/H153)*C160)/100</f>
        <v>0</v>
      </c>
      <c r="E160" s="242"/>
      <c r="F160" s="243"/>
      <c r="G160" s="242"/>
      <c r="H160" s="289"/>
      <c r="I160" s="13" t="s">
        <v>138</v>
      </c>
      <c r="J160" s="30">
        <f>(IF(B153&gt;1,(H153/(B153+2)+J159),0))</f>
        <v>0</v>
      </c>
    </row>
    <row r="161" spans="1:10" ht="15" hidden="1" customHeight="1" x14ac:dyDescent="0.35">
      <c r="A161" s="176" t="s">
        <v>127</v>
      </c>
      <c r="B161" s="177" t="s">
        <v>124</v>
      </c>
      <c r="C161" s="42">
        <v>0</v>
      </c>
      <c r="D161" s="19">
        <f ca="1">((100/(H153))*C161)/100</f>
        <v>0</v>
      </c>
      <c r="E161" s="242"/>
      <c r="F161" s="243"/>
      <c r="G161" s="242"/>
      <c r="H161" s="289"/>
      <c r="I161" s="13" t="s">
        <v>135</v>
      </c>
      <c r="J161" s="30">
        <f>(IF(B153&gt;2,(H153/(B153+2)+J160),0))</f>
        <v>0</v>
      </c>
    </row>
    <row r="162" spans="1:10" ht="15.75" hidden="1" customHeight="1" x14ac:dyDescent="0.35">
      <c r="A162" s="176" t="s">
        <v>123</v>
      </c>
      <c r="B162" s="177" t="s">
        <v>123</v>
      </c>
      <c r="C162" s="42">
        <v>0</v>
      </c>
      <c r="D162" s="19">
        <f ca="1">((100/H153)*C162)/100</f>
        <v>0</v>
      </c>
      <c r="E162" s="242"/>
      <c r="F162" s="243"/>
      <c r="G162" s="242"/>
      <c r="H162" s="289"/>
      <c r="I162" s="13" t="s">
        <v>136</v>
      </c>
      <c r="J162" s="31">
        <f>(IF(B153&gt;3,(H153/(B153+2)+J161),0))</f>
        <v>0</v>
      </c>
    </row>
    <row r="163" spans="1:10" ht="15.75" hidden="1" customHeight="1" x14ac:dyDescent="0.35">
      <c r="A163" s="176" t="s">
        <v>130</v>
      </c>
      <c r="B163" s="177"/>
      <c r="C163" s="42">
        <v>0</v>
      </c>
      <c r="D163" s="19">
        <f ca="1">((100/H153)*C163)/100</f>
        <v>0</v>
      </c>
      <c r="E163" s="242"/>
      <c r="F163" s="243"/>
      <c r="G163" s="242"/>
      <c r="H163" s="289"/>
      <c r="I163" s="13" t="s">
        <v>137</v>
      </c>
      <c r="J163" s="30">
        <f>(IF(B153&gt;4,(H153/(B153+2)+J162),0))</f>
        <v>0</v>
      </c>
    </row>
    <row r="164" spans="1:10" ht="15.75" hidden="1" customHeight="1" x14ac:dyDescent="0.35">
      <c r="A164" s="176" t="s">
        <v>125</v>
      </c>
      <c r="B164" s="177" t="s">
        <v>125</v>
      </c>
      <c r="C164" s="42">
        <v>0</v>
      </c>
      <c r="D164" s="19">
        <f ca="1">((100/(H153))*C164)/100</f>
        <v>0</v>
      </c>
      <c r="E164" s="242"/>
      <c r="F164" s="243"/>
      <c r="G164" s="242"/>
      <c r="H164" s="289"/>
      <c r="I164" s="13" t="s">
        <v>139</v>
      </c>
      <c r="J164" s="30">
        <f ca="1">(IF(B153=1,(H153/(B153+3)+J159),IF(B153=0,(H153/4+J159),IF(B153&gt;1,0))))</f>
        <v>15</v>
      </c>
    </row>
    <row r="165" spans="1:10" ht="16" hidden="1" thickBot="1" x14ac:dyDescent="0.4">
      <c r="A165" s="221" t="s">
        <v>126</v>
      </c>
      <c r="B165" s="222"/>
      <c r="C165" s="43">
        <v>0</v>
      </c>
      <c r="D165" s="20">
        <f ca="1">((100/(H153))*C165)/100</f>
        <v>0</v>
      </c>
      <c r="E165" s="244"/>
      <c r="F165" s="245"/>
      <c r="G165" s="244"/>
      <c r="H165" s="290"/>
      <c r="I165" s="15" t="s">
        <v>97</v>
      </c>
      <c r="J165" s="32">
        <f ca="1">(IF(B153&gt;1.5,(H153/(B153+2)+J159+MAX(0,J160-J159)+MAX(0,J161-J160)+MAX(0,J162-J161)+MAX(0,J163-J162)+MAX(0,J164-J163)),IF(B153=1,(H153/(B153+3)+J164),IF(B153=0,H153/4+J164))))</f>
        <v>20</v>
      </c>
    </row>
    <row r="166" spans="1:10" x14ac:dyDescent="0.35">
      <c r="A166" s="273" t="s">
        <v>132</v>
      </c>
      <c r="B166" s="273"/>
      <c r="C166" s="273"/>
      <c r="D166" s="273"/>
      <c r="E166" s="273"/>
      <c r="F166" s="273"/>
      <c r="G166" s="273"/>
      <c r="H166" s="273"/>
    </row>
    <row r="167" spans="1:10" ht="28.5" customHeight="1" x14ac:dyDescent="0.35">
      <c r="A167" s="68" t="s">
        <v>380</v>
      </c>
      <c r="B167" s="69" t="s">
        <v>78</v>
      </c>
      <c r="C167" s="69" t="s">
        <v>381</v>
      </c>
      <c r="D167" s="274" t="s">
        <v>83</v>
      </c>
      <c r="E167" s="274"/>
      <c r="F167" s="274"/>
      <c r="G167" s="274"/>
      <c r="H167" s="274"/>
    </row>
    <row r="168" spans="1:10" ht="15.75" customHeight="1" x14ac:dyDescent="0.35">
      <c r="A168" s="70" t="str">
        <f>'Construction %'!A2</f>
        <v>A-36</v>
      </c>
      <c r="B168" s="71">
        <f ca="1">'Construction %'!N2</f>
        <v>0</v>
      </c>
      <c r="C168" s="71">
        <f ca="1">'Construction %'!O2</f>
        <v>0</v>
      </c>
      <c r="D168" s="275" t="str">
        <f ca="1">'Construction %'!P2</f>
        <v xml:space="preserve">Work not yet Started. </v>
      </c>
      <c r="E168" s="276"/>
      <c r="F168" s="276"/>
      <c r="G168" s="276"/>
      <c r="H168" s="277"/>
    </row>
    <row r="169" spans="1:10" ht="15.75" customHeight="1" x14ac:dyDescent="0.35">
      <c r="A169" s="70" t="str">
        <f>'Construction %'!A3</f>
        <v>A-37</v>
      </c>
      <c r="B169" s="71">
        <f ca="1">'Construction %'!N3</f>
        <v>0</v>
      </c>
      <c r="C169" s="71">
        <f ca="1">'Construction %'!O3</f>
        <v>0</v>
      </c>
      <c r="D169" s="275" t="str">
        <f ca="1">'Construction %'!P3</f>
        <v xml:space="preserve">Work not yet Started. </v>
      </c>
      <c r="E169" s="276"/>
      <c r="F169" s="276"/>
      <c r="G169" s="276"/>
      <c r="H169" s="277"/>
    </row>
    <row r="170" spans="1:10" ht="15.75" customHeight="1" x14ac:dyDescent="0.35">
      <c r="A170" s="70" t="str">
        <f>'Construction %'!A4</f>
        <v>A-38</v>
      </c>
      <c r="B170" s="71">
        <f ca="1">'Construction %'!N4</f>
        <v>0</v>
      </c>
      <c r="C170" s="71">
        <f ca="1">'Construction %'!O4</f>
        <v>0</v>
      </c>
      <c r="D170" s="275" t="str">
        <f ca="1">'Construction %'!P4</f>
        <v xml:space="preserve">Work not yet Started. </v>
      </c>
      <c r="E170" s="276"/>
      <c r="F170" s="276"/>
      <c r="G170" s="276"/>
      <c r="H170" s="277"/>
    </row>
    <row r="171" spans="1:10" x14ac:dyDescent="0.35">
      <c r="A171" s="70" t="str">
        <f>'Construction %'!A5</f>
        <v>A-39</v>
      </c>
      <c r="B171" s="71">
        <f ca="1">'Construction %'!N5</f>
        <v>0</v>
      </c>
      <c r="C171" s="71">
        <f ca="1">'Construction %'!O5</f>
        <v>0</v>
      </c>
      <c r="D171" s="275" t="str">
        <f ca="1">'Construction %'!P5</f>
        <v xml:space="preserve">Work not yet Started. </v>
      </c>
      <c r="E171" s="276"/>
      <c r="F171" s="276"/>
      <c r="G171" s="276"/>
      <c r="H171" s="277"/>
    </row>
    <row r="172" spans="1:10" x14ac:dyDescent="0.35">
      <c r="A172" s="70" t="str">
        <f>'Construction %'!A6</f>
        <v>A-40</v>
      </c>
      <c r="B172" s="71">
        <f ca="1">'Construction %'!N6</f>
        <v>0</v>
      </c>
      <c r="C172" s="71">
        <f ca="1">'Construction %'!O6</f>
        <v>0</v>
      </c>
      <c r="D172" s="275" t="str">
        <f ca="1">'Construction %'!P6</f>
        <v xml:space="preserve">Work not yet Started. </v>
      </c>
      <c r="E172" s="276"/>
      <c r="F172" s="276"/>
      <c r="G172" s="276"/>
      <c r="H172" s="277"/>
    </row>
    <row r="173" spans="1:10" ht="15.75" customHeight="1" x14ac:dyDescent="0.35">
      <c r="A173" s="70" t="str">
        <f>'Construction %'!A7</f>
        <v>A-41</v>
      </c>
      <c r="B173" s="71">
        <f ca="1">'Construction %'!N7</f>
        <v>0</v>
      </c>
      <c r="C173" s="71">
        <f ca="1">'Construction %'!O7</f>
        <v>0</v>
      </c>
      <c r="D173" s="275" t="str">
        <f ca="1">'Construction %'!P7</f>
        <v xml:space="preserve">Work not yet Started. </v>
      </c>
      <c r="E173" s="276"/>
      <c r="F173" s="276"/>
      <c r="G173" s="276"/>
      <c r="H173" s="277"/>
    </row>
    <row r="174" spans="1:10" x14ac:dyDescent="0.35">
      <c r="A174" s="70" t="str">
        <f>'Construction %'!A8</f>
        <v>A-42</v>
      </c>
      <c r="B174" s="71">
        <f ca="1">'Construction %'!N8</f>
        <v>0</v>
      </c>
      <c r="C174" s="71">
        <f ca="1">'Construction %'!O8</f>
        <v>0</v>
      </c>
      <c r="D174" s="275" t="str">
        <f ca="1">'Construction %'!P8</f>
        <v xml:space="preserve">Work not yet Started. </v>
      </c>
      <c r="E174" s="276"/>
      <c r="F174" s="276"/>
      <c r="G174" s="276"/>
      <c r="H174" s="277"/>
    </row>
    <row r="175" spans="1:10" ht="31.5" customHeight="1" x14ac:dyDescent="0.35">
      <c r="A175" s="70" t="str">
        <f>'Construction %'!A9</f>
        <v>B-09</v>
      </c>
      <c r="B175" s="71">
        <f ca="1">'Construction %'!N9</f>
        <v>0.9</v>
      </c>
      <c r="C175" s="71">
        <f ca="1">'Construction %'!O9</f>
        <v>0.95</v>
      </c>
      <c r="D175" s="275" t="str">
        <f ca="1">'Construction %'!P9</f>
        <v xml:space="preserve">Excavation, Plinth, RCC Slab, Brickwork, Internal Plaster, External Plaster, Flooring, Painting Completed </v>
      </c>
      <c r="E175" s="276"/>
      <c r="F175" s="276"/>
      <c r="G175" s="276"/>
      <c r="H175" s="277"/>
    </row>
    <row r="176" spans="1:10" ht="31.5" customHeight="1" x14ac:dyDescent="0.35">
      <c r="A176" s="70" t="str">
        <f>'Construction %'!A10</f>
        <v>B-10</v>
      </c>
      <c r="B176" s="71">
        <f ca="1">'Construction %'!N10</f>
        <v>0.9</v>
      </c>
      <c r="C176" s="71">
        <f ca="1">'Construction %'!O10</f>
        <v>0.95</v>
      </c>
      <c r="D176" s="275" t="str">
        <f ca="1">'Construction %'!P10</f>
        <v xml:space="preserve">Excavation, Plinth, RCC Slab, Brickwork, Internal Plaster, External Plaster, Flooring, Painting Completed </v>
      </c>
      <c r="E176" s="276"/>
      <c r="F176" s="276"/>
      <c r="G176" s="276"/>
      <c r="H176" s="277"/>
    </row>
    <row r="177" spans="1:8" ht="30.75" customHeight="1" x14ac:dyDescent="0.35">
      <c r="A177" s="70" t="str">
        <f>'Construction %'!A11</f>
        <v>B-11</v>
      </c>
      <c r="B177" s="71">
        <f>'Construction %'!N11</f>
        <v>0.82499999999999996</v>
      </c>
      <c r="C177" s="71">
        <f>'Construction %'!O11</f>
        <v>0.92500000000000004</v>
      </c>
      <c r="D177" s="275" t="str">
        <f>'Construction %'!P11</f>
        <v>Excavation, Plinth, RCC Slab, Brickwork, Internal Plaster, External Plaster Completed, Flooring upto 1 Floor, Painting upto 1 Floor Completed</v>
      </c>
      <c r="E177" s="276"/>
      <c r="F177" s="276"/>
      <c r="G177" s="276"/>
      <c r="H177" s="277"/>
    </row>
    <row r="178" spans="1:8" ht="30.75" customHeight="1" x14ac:dyDescent="0.35">
      <c r="A178" s="70" t="str">
        <f>'Construction %'!A12</f>
        <v>B-12</v>
      </c>
      <c r="B178" s="71">
        <f ca="1">'Construction %'!N12</f>
        <v>0.82499999999999996</v>
      </c>
      <c r="C178" s="71">
        <f ca="1">'Construction %'!O12</f>
        <v>0.92500000000000004</v>
      </c>
      <c r="D178" s="275" t="str">
        <f ca="1">'Construction %'!P12</f>
        <v>Excavation, Plinth, RCC Slab, Brickwork, Internal Plaster, External Plaster Completed, Flooring upto 1 Floor, Painting upto 1 Floor Completed</v>
      </c>
      <c r="E178" s="276"/>
      <c r="F178" s="276"/>
      <c r="G178" s="276"/>
      <c r="H178" s="277"/>
    </row>
    <row r="179" spans="1:8" ht="31.5" customHeight="1" x14ac:dyDescent="0.35">
      <c r="A179" s="70" t="str">
        <f>'Construction %'!A13</f>
        <v>B-13</v>
      </c>
      <c r="B179" s="71">
        <f ca="1">'Construction %'!N13</f>
        <v>0.82499999999999996</v>
      </c>
      <c r="C179" s="71">
        <f ca="1">'Construction %'!O13</f>
        <v>0.92500000000000004</v>
      </c>
      <c r="D179" s="275" t="str">
        <f ca="1">'Construction %'!P13</f>
        <v>Excavation, Plinth, RCC Slab, Brickwork, Internal Plaster, External Plaster Completed, Flooring upto 1 Floor, Painting upto 1 Floor Completed</v>
      </c>
      <c r="E179" s="276"/>
      <c r="F179" s="276"/>
      <c r="G179" s="276"/>
      <c r="H179" s="277"/>
    </row>
    <row r="180" spans="1:8" ht="15.75" customHeight="1" x14ac:dyDescent="0.35">
      <c r="A180" s="70" t="str">
        <f>'Construction %'!A14</f>
        <v>B-14</v>
      </c>
      <c r="B180" s="71">
        <f ca="1">'Construction %'!N14</f>
        <v>0.82499999999999996</v>
      </c>
      <c r="C180" s="71">
        <f ca="1">'Construction %'!O14</f>
        <v>0.92500000000000004</v>
      </c>
      <c r="D180" s="275" t="str">
        <f ca="1">'Construction %'!P14</f>
        <v>Excavation, Plinth, RCC Slab, Brickwork, Internal Plaster, External Plaster Completed, Flooring upto 1 Floor, Painting upto 1 Floor Completed</v>
      </c>
      <c r="E180" s="276"/>
      <c r="F180" s="276"/>
      <c r="G180" s="276"/>
      <c r="H180" s="277"/>
    </row>
    <row r="181" spans="1:8" ht="15.75" customHeight="1" x14ac:dyDescent="0.35">
      <c r="A181" s="70" t="str">
        <f>'Construction %'!A15</f>
        <v>B-15</v>
      </c>
      <c r="B181" s="71">
        <f ca="1">'Construction %'!N15</f>
        <v>0.82499999999999996</v>
      </c>
      <c r="C181" s="71">
        <f ca="1">'Construction %'!O15</f>
        <v>0.92500000000000004</v>
      </c>
      <c r="D181" s="275" t="str">
        <f ca="1">'Construction %'!P15</f>
        <v>Excavation, Plinth, RCC Slab, Brickwork, Internal Plaster, External Plaster Completed, Flooring upto 1 Floor, Painting upto 1 Floor Completed</v>
      </c>
      <c r="E181" s="276"/>
      <c r="F181" s="276"/>
      <c r="G181" s="276"/>
      <c r="H181" s="277"/>
    </row>
    <row r="182" spans="1:8" ht="15.75" customHeight="1" x14ac:dyDescent="0.35">
      <c r="A182" s="70" t="str">
        <f>'Construction %'!A16</f>
        <v>B-16</v>
      </c>
      <c r="B182" s="71">
        <f ca="1">'Construction %'!N16</f>
        <v>0.82499999999999996</v>
      </c>
      <c r="C182" s="71">
        <f ca="1">'Construction %'!O16</f>
        <v>0.92500000000000004</v>
      </c>
      <c r="D182" s="275" t="str">
        <f ca="1">'Construction %'!P16</f>
        <v>Excavation, Plinth, RCC Slab, Brickwork, Internal Plaster, External Plaster Completed, Flooring upto 1 Floor, Painting upto 1 Floor Completed</v>
      </c>
      <c r="E182" s="276"/>
      <c r="F182" s="276"/>
      <c r="G182" s="276"/>
      <c r="H182" s="277"/>
    </row>
    <row r="183" spans="1:8" ht="15.75" customHeight="1" x14ac:dyDescent="0.35">
      <c r="A183" s="70" t="str">
        <f>'Construction %'!A17</f>
        <v>C-09</v>
      </c>
      <c r="B183" s="71">
        <f ca="1">'Construction %'!N17</f>
        <v>0.75</v>
      </c>
      <c r="C183" s="71">
        <f ca="1">'Construction %'!O17</f>
        <v>0.9</v>
      </c>
      <c r="D183" s="275" t="str">
        <f ca="1">'Construction %'!P17</f>
        <v xml:space="preserve">Excavation, Plinth, RCC Slab, Brickwork, Internal Plaster, External Plaster Completed </v>
      </c>
      <c r="E183" s="276"/>
      <c r="F183" s="276"/>
      <c r="G183" s="276"/>
      <c r="H183" s="277"/>
    </row>
    <row r="184" spans="1:8" ht="15.75" customHeight="1" x14ac:dyDescent="0.35">
      <c r="A184" s="70" t="str">
        <f>'Construction %'!A18</f>
        <v>C-10</v>
      </c>
      <c r="B184" s="71">
        <f ca="1">'Construction %'!N18</f>
        <v>0.75</v>
      </c>
      <c r="C184" s="71">
        <f ca="1">'Construction %'!O18</f>
        <v>0.9</v>
      </c>
      <c r="D184" s="275" t="str">
        <f ca="1">'Construction %'!P18</f>
        <v xml:space="preserve">Excavation, Plinth, RCC Slab, Brickwork, Internal Plaster, External Plaster Completed </v>
      </c>
      <c r="E184" s="276"/>
      <c r="F184" s="276"/>
      <c r="G184" s="276"/>
      <c r="H184" s="277"/>
    </row>
    <row r="185" spans="1:8" ht="15.75" customHeight="1" x14ac:dyDescent="0.35">
      <c r="A185" s="70" t="str">
        <f>'Construction %'!A19</f>
        <v>C-11</v>
      </c>
      <c r="B185" s="71">
        <f ca="1">'Construction %'!N19</f>
        <v>0.75</v>
      </c>
      <c r="C185" s="71">
        <f ca="1">'Construction %'!O19</f>
        <v>0.9</v>
      </c>
      <c r="D185" s="275" t="str">
        <f ca="1">'Construction %'!P19</f>
        <v xml:space="preserve">Excavation, Plinth, RCC Slab, Brickwork, Internal Plaster, External Plaster Completed </v>
      </c>
      <c r="E185" s="276"/>
      <c r="F185" s="276"/>
      <c r="G185" s="276"/>
      <c r="H185" s="277"/>
    </row>
    <row r="186" spans="1:8" ht="15.75" customHeight="1" x14ac:dyDescent="0.35">
      <c r="A186" s="70" t="str">
        <f>'Construction %'!A20</f>
        <v>C-12</v>
      </c>
      <c r="B186" s="71">
        <f ca="1">'Construction %'!N20</f>
        <v>0.75</v>
      </c>
      <c r="C186" s="71">
        <f ca="1">'Construction %'!O20</f>
        <v>0.9</v>
      </c>
      <c r="D186" s="275" t="str">
        <f ca="1">'Construction %'!P20</f>
        <v xml:space="preserve">Excavation, Plinth, RCC Slab, Brickwork, Internal Plaster, External Plaster Completed </v>
      </c>
      <c r="E186" s="276"/>
      <c r="F186" s="276"/>
      <c r="G186" s="276"/>
      <c r="H186" s="277"/>
    </row>
    <row r="187" spans="1:8" ht="30" customHeight="1" x14ac:dyDescent="0.35">
      <c r="A187" s="70" t="str">
        <f>'Construction %'!A21</f>
        <v>C-13</v>
      </c>
      <c r="B187" s="71">
        <f ca="1">'Construction %'!N21</f>
        <v>0.75</v>
      </c>
      <c r="C187" s="71">
        <f ca="1">'Construction %'!O21</f>
        <v>0.9</v>
      </c>
      <c r="D187" s="275" t="str">
        <f ca="1">'Construction %'!P21</f>
        <v xml:space="preserve">Excavation, Plinth, RCC Slab, Brickwork, Internal Plaster, External Plaster Completed </v>
      </c>
      <c r="E187" s="276"/>
      <c r="F187" s="276"/>
      <c r="G187" s="276"/>
      <c r="H187" s="277"/>
    </row>
    <row r="188" spans="1:8" ht="30" customHeight="1" x14ac:dyDescent="0.35">
      <c r="A188" s="70" t="str">
        <f>'Construction %'!A22</f>
        <v>C-14</v>
      </c>
      <c r="B188" s="71">
        <f ca="1">'Construction %'!N22</f>
        <v>0.75</v>
      </c>
      <c r="C188" s="71">
        <f ca="1">'Construction %'!O22</f>
        <v>0.9</v>
      </c>
      <c r="D188" s="275" t="str">
        <f ca="1">'Construction %'!P22</f>
        <v xml:space="preserve">Excavation, Plinth, RCC Slab, Brickwork, Internal Plaster, External Plaster Completed </v>
      </c>
      <c r="E188" s="276"/>
      <c r="F188" s="276"/>
      <c r="G188" s="276"/>
      <c r="H188" s="277"/>
    </row>
    <row r="189" spans="1:8" ht="15.75" customHeight="1" x14ac:dyDescent="0.35">
      <c r="A189" s="70" t="str">
        <f>'Construction %'!A23</f>
        <v>C-15</v>
      </c>
      <c r="B189" s="71">
        <f ca="1">'Construction %'!N23</f>
        <v>0.75</v>
      </c>
      <c r="C189" s="71">
        <f ca="1">'Construction %'!O23</f>
        <v>0.9</v>
      </c>
      <c r="D189" s="275" t="str">
        <f ca="1">'Construction %'!P23</f>
        <v xml:space="preserve">Excavation, Plinth, RCC Slab, Brickwork, Internal Plaster, External Plaster Completed </v>
      </c>
      <c r="E189" s="276"/>
      <c r="F189" s="276"/>
      <c r="G189" s="276"/>
      <c r="H189" s="277"/>
    </row>
    <row r="190" spans="1:8" ht="15.75" customHeight="1" x14ac:dyDescent="0.35">
      <c r="A190" s="70" t="str">
        <f>'Construction %'!A24</f>
        <v>C-16</v>
      </c>
      <c r="B190" s="71">
        <f ca="1">'Construction %'!N24</f>
        <v>0.75</v>
      </c>
      <c r="C190" s="71">
        <f ca="1">'Construction %'!O24</f>
        <v>0.9</v>
      </c>
      <c r="D190" s="275" t="str">
        <f ca="1">'Construction %'!P24</f>
        <v xml:space="preserve">Excavation, Plinth, RCC Slab, Brickwork, Internal Plaster, External Plaster Completed </v>
      </c>
      <c r="E190" s="276"/>
      <c r="F190" s="276"/>
      <c r="G190" s="276"/>
      <c r="H190" s="277"/>
    </row>
    <row r="191" spans="1:8" ht="33.75" customHeight="1" x14ac:dyDescent="0.35">
      <c r="A191" s="70" t="str">
        <f>'Construction %'!A25</f>
        <v>D-07</v>
      </c>
      <c r="B191" s="71">
        <f ca="1">'Construction %'!N25</f>
        <v>0.9</v>
      </c>
      <c r="C191" s="71">
        <f ca="1">'Construction %'!O25</f>
        <v>0.95</v>
      </c>
      <c r="D191" s="275" t="str">
        <f ca="1">'Construction %'!P25</f>
        <v xml:space="preserve">Excavation, Plinth, RCC Slab, Brickwork, Internal Plaster, External Plaster, Flooring, Painting Completed </v>
      </c>
      <c r="E191" s="276"/>
      <c r="F191" s="276"/>
      <c r="G191" s="276"/>
      <c r="H191" s="277"/>
    </row>
    <row r="192" spans="1:8" ht="33.75" customHeight="1" x14ac:dyDescent="0.35">
      <c r="A192" s="70" t="str">
        <f>'Construction %'!A26</f>
        <v>D-08</v>
      </c>
      <c r="B192" s="71">
        <f ca="1">'Construction %'!N26</f>
        <v>0.9</v>
      </c>
      <c r="C192" s="71">
        <f ca="1">'Construction %'!O26</f>
        <v>0.95</v>
      </c>
      <c r="D192" s="275" t="str">
        <f ca="1">'Construction %'!P26</f>
        <v xml:space="preserve">Excavation, Plinth, RCC Slab, Brickwork, Internal Plaster, External Plaster, Flooring, Painting Completed </v>
      </c>
      <c r="E192" s="276"/>
      <c r="F192" s="276"/>
      <c r="G192" s="276"/>
      <c r="H192" s="277"/>
    </row>
    <row r="193" spans="1:8" ht="33.75" customHeight="1" x14ac:dyDescent="0.35">
      <c r="A193" s="70" t="str">
        <f>'Construction %'!A27</f>
        <v>D-09</v>
      </c>
      <c r="B193" s="71">
        <f ca="1">'Construction %'!N27</f>
        <v>0.9</v>
      </c>
      <c r="C193" s="71">
        <f ca="1">'Construction %'!O27</f>
        <v>0.95</v>
      </c>
      <c r="D193" s="275" t="str">
        <f ca="1">'Construction %'!P27</f>
        <v xml:space="preserve">Excavation, Plinth, RCC Slab, Brickwork, Internal Plaster, External Plaster, Flooring, Painting Completed </v>
      </c>
      <c r="E193" s="276"/>
      <c r="F193" s="276"/>
      <c r="G193" s="276"/>
      <c r="H193" s="277"/>
    </row>
    <row r="194" spans="1:8" ht="33.75" customHeight="1" x14ac:dyDescent="0.35">
      <c r="A194" s="70" t="str">
        <f>'Construction %'!A28</f>
        <v>D-10</v>
      </c>
      <c r="B194" s="71">
        <f ca="1">'Construction %'!N28</f>
        <v>0.9</v>
      </c>
      <c r="C194" s="71">
        <f ca="1">'Construction %'!O28</f>
        <v>0.95</v>
      </c>
      <c r="D194" s="275" t="str">
        <f ca="1">'Construction %'!P28</f>
        <v xml:space="preserve">Excavation, Plinth, RCC Slab, Brickwork, Internal Plaster, External Plaster, Flooring, Painting Completed </v>
      </c>
      <c r="E194" s="276"/>
      <c r="F194" s="276"/>
      <c r="G194" s="276"/>
      <c r="H194" s="277"/>
    </row>
    <row r="195" spans="1:8" ht="33.75" customHeight="1" x14ac:dyDescent="0.35">
      <c r="A195" s="70" t="str">
        <f>'Construction %'!A29</f>
        <v>D-11</v>
      </c>
      <c r="B195" s="71">
        <f ca="1">'Construction %'!N29</f>
        <v>0.9</v>
      </c>
      <c r="C195" s="71">
        <f ca="1">'Construction %'!O29</f>
        <v>0.95</v>
      </c>
      <c r="D195" s="275" t="str">
        <f ca="1">'Construction %'!P29</f>
        <v xml:space="preserve">Excavation, Plinth, RCC Slab, Brickwork, Internal Plaster, External Plaster, Flooring, Painting Completed </v>
      </c>
      <c r="E195" s="276"/>
      <c r="F195" s="276"/>
      <c r="G195" s="276"/>
      <c r="H195" s="277"/>
    </row>
    <row r="196" spans="1:8" ht="33.75" customHeight="1" x14ac:dyDescent="0.35">
      <c r="A196" s="70" t="str">
        <f>'Construction %'!A30</f>
        <v>D-12</v>
      </c>
      <c r="B196" s="71">
        <f ca="1">'Construction %'!N30</f>
        <v>0.9</v>
      </c>
      <c r="C196" s="71">
        <f ca="1">'Construction %'!O30</f>
        <v>0.95</v>
      </c>
      <c r="D196" s="275" t="str">
        <f ca="1">'Construction %'!P30</f>
        <v xml:space="preserve">Excavation, Plinth, RCC Slab, Brickwork, Internal Plaster, External Plaster, Flooring, Painting Completed </v>
      </c>
      <c r="E196" s="276"/>
      <c r="F196" s="276"/>
      <c r="G196" s="276"/>
      <c r="H196" s="277"/>
    </row>
    <row r="197" spans="1:8" ht="35.25" customHeight="1" x14ac:dyDescent="0.35">
      <c r="A197" s="70" t="str">
        <f>'Construction %'!A31</f>
        <v>E-11</v>
      </c>
      <c r="B197" s="71">
        <f ca="1">'Construction %'!N31</f>
        <v>0.82499999999999996</v>
      </c>
      <c r="C197" s="71">
        <f ca="1">'Construction %'!O31</f>
        <v>0.92500000000000004</v>
      </c>
      <c r="D197" s="275" t="str">
        <f ca="1">'Construction %'!P31</f>
        <v>Excavation, Plinth, RCC Slab, Brickwork, Internal Plaster, External Plaster Completed, Flooring upto 1 Floor, Painting upto 1 Floor Completed</v>
      </c>
      <c r="E197" s="276"/>
      <c r="F197" s="276"/>
      <c r="G197" s="276"/>
      <c r="H197" s="277"/>
    </row>
    <row r="198" spans="1:8" ht="35.25" customHeight="1" x14ac:dyDescent="0.35">
      <c r="A198" s="70" t="str">
        <f>'Construction %'!A32</f>
        <v>E-12</v>
      </c>
      <c r="B198" s="71">
        <f ca="1">'Construction %'!N32</f>
        <v>0.82499999999999996</v>
      </c>
      <c r="C198" s="71">
        <f ca="1">'Construction %'!O32</f>
        <v>0.92500000000000004</v>
      </c>
      <c r="D198" s="275" t="str">
        <f ca="1">'Construction %'!P32</f>
        <v>Excavation, Plinth, RCC Slab, Brickwork, Internal Plaster, External Plaster Completed, Flooring upto 1 Floor, Painting upto 1 Floor Completed</v>
      </c>
      <c r="E198" s="276"/>
      <c r="F198" s="276"/>
      <c r="G198" s="276"/>
      <c r="H198" s="277"/>
    </row>
    <row r="199" spans="1:8" ht="31.5" customHeight="1" x14ac:dyDescent="0.35">
      <c r="A199" s="70" t="str">
        <f>'Construction %'!A33</f>
        <v>E-13</v>
      </c>
      <c r="B199" s="71">
        <f ca="1">'Construction %'!N33</f>
        <v>0.75</v>
      </c>
      <c r="C199" s="71">
        <f ca="1">'Construction %'!O33</f>
        <v>0.9</v>
      </c>
      <c r="D199" s="275" t="str">
        <f ca="1">'Construction %'!P33</f>
        <v xml:space="preserve">Excavation, Plinth, RCC Slab, Brickwork, Internal Plaster, External Plaster Completed </v>
      </c>
      <c r="E199" s="276"/>
      <c r="F199" s="276"/>
      <c r="G199" s="276"/>
      <c r="H199" s="277"/>
    </row>
    <row r="200" spans="1:8" ht="31.5" customHeight="1" x14ac:dyDescent="0.35">
      <c r="A200" s="70" t="str">
        <f>'Construction %'!A34</f>
        <v>E-14</v>
      </c>
      <c r="B200" s="71">
        <f ca="1">'Construction %'!N34</f>
        <v>0.75</v>
      </c>
      <c r="C200" s="71">
        <f ca="1">'Construction %'!O34</f>
        <v>0.9</v>
      </c>
      <c r="D200" s="275" t="str">
        <f ca="1">'Construction %'!P34</f>
        <v xml:space="preserve">Excavation, Plinth, RCC Slab, Brickwork, Internal Plaster, External Plaster Completed </v>
      </c>
      <c r="E200" s="276"/>
      <c r="F200" s="276"/>
      <c r="G200" s="276"/>
      <c r="H200" s="277"/>
    </row>
    <row r="201" spans="1:8" ht="32.25" customHeight="1" x14ac:dyDescent="0.35">
      <c r="A201" s="70" t="str">
        <f>'Construction %'!A35</f>
        <v>E-15</v>
      </c>
      <c r="B201" s="71">
        <f ca="1">'Construction %'!N35</f>
        <v>0.75</v>
      </c>
      <c r="C201" s="71">
        <f ca="1">'Construction %'!O35</f>
        <v>0.9</v>
      </c>
      <c r="D201" s="275" t="str">
        <f ca="1">'Construction %'!P35</f>
        <v xml:space="preserve">Excavation, Plinth, RCC Slab, Brickwork, Internal Plaster, External Plaster Completed </v>
      </c>
      <c r="E201" s="276"/>
      <c r="F201" s="276"/>
      <c r="G201" s="276"/>
      <c r="H201" s="277"/>
    </row>
    <row r="202" spans="1:8" ht="32.25" customHeight="1" x14ac:dyDescent="0.35">
      <c r="A202" s="70" t="str">
        <f>'Construction %'!A36</f>
        <v>E-16</v>
      </c>
      <c r="B202" s="71">
        <f ca="1">'Construction %'!N36</f>
        <v>0.75</v>
      </c>
      <c r="C202" s="71">
        <f ca="1">'Construction %'!O36</f>
        <v>0.9</v>
      </c>
      <c r="D202" s="275" t="str">
        <f ca="1">'Construction %'!P36</f>
        <v xml:space="preserve">Excavation, Plinth, RCC Slab, Brickwork, Internal Plaster, External Plaster Completed </v>
      </c>
      <c r="E202" s="276"/>
      <c r="F202" s="276"/>
      <c r="G202" s="276"/>
      <c r="H202" s="277"/>
    </row>
    <row r="203" spans="1:8" ht="31" customHeight="1" x14ac:dyDescent="0.35">
      <c r="A203" s="70" t="str">
        <f>'Construction %'!A37</f>
        <v>F-15</v>
      </c>
      <c r="B203" s="71">
        <f ca="1">'Construction %'!N37</f>
        <v>0.75</v>
      </c>
      <c r="C203" s="71">
        <f ca="1">'Construction %'!O37</f>
        <v>0.9</v>
      </c>
      <c r="D203" s="275" t="str">
        <f ca="1">'Construction %'!P37</f>
        <v xml:space="preserve">Excavation, Plinth, RCC Slab, Brickwork, Internal Plaster, External Plaster Completed </v>
      </c>
      <c r="E203" s="276"/>
      <c r="F203" s="276"/>
      <c r="G203" s="276"/>
      <c r="H203" s="277"/>
    </row>
    <row r="204" spans="1:8" ht="30.5" customHeight="1" x14ac:dyDescent="0.35">
      <c r="A204" s="70" t="str">
        <f>'Construction %'!A38</f>
        <v>F-16</v>
      </c>
      <c r="B204" s="71">
        <f ca="1">'Construction %'!N38</f>
        <v>0.75</v>
      </c>
      <c r="C204" s="71">
        <f ca="1">'Construction %'!O38</f>
        <v>0.9</v>
      </c>
      <c r="D204" s="275" t="str">
        <f ca="1">'Construction %'!P38</f>
        <v xml:space="preserve">Excavation, Plinth, RCC Slab, Brickwork, Internal Plaster, External Plaster Completed </v>
      </c>
      <c r="E204" s="276"/>
      <c r="F204" s="276"/>
      <c r="G204" s="276"/>
      <c r="H204" s="277"/>
    </row>
    <row r="205" spans="1:8" ht="30" customHeight="1" x14ac:dyDescent="0.35">
      <c r="A205" s="70" t="str">
        <f>'Construction %'!A39</f>
        <v>F-17</v>
      </c>
      <c r="B205" s="71">
        <f ca="1">'Construction %'!N39</f>
        <v>0.61875000000000002</v>
      </c>
      <c r="C205" s="71">
        <f ca="1">'Construction %'!O39</f>
        <v>0.82499999999999996</v>
      </c>
      <c r="D205" s="275" t="str">
        <f ca="1">'Construction %'!P39</f>
        <v>Excavation, Plinth, RCC Slab, Brickwork Completed, Internal Plaster upto 0.5 Floor, External Plaster upto 0.5 Floor Completed</v>
      </c>
      <c r="E205" s="276"/>
      <c r="F205" s="276"/>
      <c r="G205" s="276"/>
      <c r="H205" s="277"/>
    </row>
    <row r="206" spans="1:8" ht="30.5" customHeight="1" x14ac:dyDescent="0.35">
      <c r="A206" s="70" t="str">
        <f>'Construction %'!A40</f>
        <v>F-18</v>
      </c>
      <c r="B206" s="71">
        <f ca="1">'Construction %'!N40</f>
        <v>0.61875000000000002</v>
      </c>
      <c r="C206" s="71">
        <f ca="1">'Construction %'!O40</f>
        <v>0.82499999999999996</v>
      </c>
      <c r="D206" s="275" t="str">
        <f ca="1">'Construction %'!P40</f>
        <v>Excavation, Plinth, RCC Slab, Brickwork Completed, Internal Plaster upto 0.5 Floor, External Plaster upto 0.5 Floor Completed</v>
      </c>
      <c r="E206" s="276"/>
      <c r="F206" s="276"/>
      <c r="G206" s="276"/>
      <c r="H206" s="277"/>
    </row>
    <row r="207" spans="1:8" ht="31" customHeight="1" x14ac:dyDescent="0.35">
      <c r="A207" s="70" t="str">
        <f>'Construction %'!A41</f>
        <v>F-19</v>
      </c>
      <c r="B207" s="71">
        <f ca="1">'Construction %'!N41</f>
        <v>0.61875000000000002</v>
      </c>
      <c r="C207" s="71">
        <f ca="1">'Construction %'!O41</f>
        <v>0.82499999999999996</v>
      </c>
      <c r="D207" s="275" t="str">
        <f ca="1">'Construction %'!P41</f>
        <v>Excavation, Plinth, RCC Slab, Brickwork Completed, Internal Plaster upto 0.5 Floor, External Plaster upto 0.5 Floor Completed</v>
      </c>
      <c r="E207" s="276"/>
      <c r="F207" s="276"/>
      <c r="G207" s="276"/>
      <c r="H207" s="277"/>
    </row>
    <row r="208" spans="1:8" ht="31" customHeight="1" x14ac:dyDescent="0.35">
      <c r="A208" s="70" t="str">
        <f>'Construction %'!A42</f>
        <v>F-20</v>
      </c>
      <c r="B208" s="71">
        <f ca="1">'Construction %'!N42</f>
        <v>0.61875000000000002</v>
      </c>
      <c r="C208" s="71">
        <f ca="1">'Construction %'!O42</f>
        <v>0.82499999999999996</v>
      </c>
      <c r="D208" s="275" t="str">
        <f ca="1">'Construction %'!P42</f>
        <v>Excavation, Plinth, RCC Slab, Brickwork Completed, Internal Plaster upto 0.5 Floor, External Plaster upto 0.5 Floor Completed</v>
      </c>
      <c r="E208" s="276"/>
      <c r="F208" s="276"/>
      <c r="G208" s="276"/>
      <c r="H208" s="277"/>
    </row>
    <row r="209" spans="1:22" ht="30.5" customHeight="1" x14ac:dyDescent="0.35">
      <c r="A209" s="70" t="str">
        <f>'Construction %'!A43</f>
        <v>F-21</v>
      </c>
      <c r="B209" s="71">
        <f ca="1">'Construction %'!N43</f>
        <v>0.6</v>
      </c>
      <c r="C209" s="71">
        <f ca="1">'Construction %'!O43</f>
        <v>0.8125</v>
      </c>
      <c r="D209" s="275" t="str">
        <f ca="1">'Construction %'!P43</f>
        <v>Excavation, Plinth, RCC Slab, Brickwork Completed, External Plaster upto 0.5 Floor Completed</v>
      </c>
      <c r="E209" s="276"/>
      <c r="F209" s="276"/>
      <c r="G209" s="276"/>
      <c r="H209" s="277"/>
    </row>
    <row r="210" spans="1:22" ht="30.5" customHeight="1" x14ac:dyDescent="0.35">
      <c r="A210" s="70" t="str">
        <f>'Construction %'!A44</f>
        <v>F-22</v>
      </c>
      <c r="B210" s="71">
        <f ca="1">'Construction %'!N44</f>
        <v>0.6</v>
      </c>
      <c r="C210" s="71">
        <f ca="1">'Construction %'!O44</f>
        <v>0.8125</v>
      </c>
      <c r="D210" s="275" t="str">
        <f ca="1">'Construction %'!P44</f>
        <v>Excavation, Plinth, RCC Slab, Brickwork Completed, External Plaster upto 0.5 Floor Completed</v>
      </c>
      <c r="E210" s="276"/>
      <c r="F210" s="276"/>
      <c r="G210" s="276"/>
      <c r="H210" s="277"/>
    </row>
    <row r="211" spans="1:22" ht="15.75" customHeight="1" x14ac:dyDescent="0.35">
      <c r="A211" s="70" t="str">
        <f>'Construction %'!A45</f>
        <v>G-15</v>
      </c>
      <c r="B211" s="71">
        <f ca="1">'Construction %'!N45</f>
        <v>0.23333333333333336</v>
      </c>
      <c r="C211" s="71">
        <f ca="1">'Construction %'!O45</f>
        <v>0.55000000000000004</v>
      </c>
      <c r="D211" s="275" t="str">
        <f ca="1">'Construction %'!P45</f>
        <v>Excavation, Plinth Completed, RCC upto 1 Slab Completed</v>
      </c>
      <c r="E211" s="276"/>
      <c r="F211" s="276"/>
      <c r="G211" s="276"/>
      <c r="H211" s="277"/>
    </row>
    <row r="212" spans="1:22" ht="15.75" customHeight="1" x14ac:dyDescent="0.35">
      <c r="A212" s="70" t="str">
        <f>'Construction %'!A46</f>
        <v>G-16</v>
      </c>
      <c r="B212" s="71">
        <f ca="1">'Construction %'!N46</f>
        <v>0.23333333333333336</v>
      </c>
      <c r="C212" s="71">
        <f ca="1">'Construction %'!O46</f>
        <v>0.55000000000000004</v>
      </c>
      <c r="D212" s="275" t="str">
        <f ca="1">'Construction %'!P46</f>
        <v>Excavation, Plinth Completed, RCC upto 1 Slab Completed</v>
      </c>
      <c r="E212" s="276"/>
      <c r="F212" s="276"/>
      <c r="G212" s="276"/>
      <c r="H212" s="277"/>
    </row>
    <row r="213" spans="1:22" ht="30.5" customHeight="1" x14ac:dyDescent="0.35">
      <c r="A213" s="70" t="str">
        <f>'Construction %'!A47</f>
        <v>G-17</v>
      </c>
      <c r="B213" s="71">
        <f ca="1">'Construction %'!N47</f>
        <v>0.38541666666666674</v>
      </c>
      <c r="C213" s="71">
        <f ca="1">'Construction %'!O47</f>
        <v>0.66249999999999998</v>
      </c>
      <c r="D213" s="275" t="str">
        <f ca="1">'Construction %'!P47</f>
        <v>Excavation, Plinth Completed, RCC upto 2 Slab, Brickwork upto 0.5 Floor Completed</v>
      </c>
      <c r="E213" s="276"/>
      <c r="F213" s="276"/>
      <c r="G213" s="276"/>
      <c r="H213" s="277"/>
    </row>
    <row r="214" spans="1:22" ht="31" customHeight="1" x14ac:dyDescent="0.35">
      <c r="A214" s="70" t="str">
        <f>'Construction %'!A48</f>
        <v>G-18</v>
      </c>
      <c r="B214" s="71">
        <f ca="1">'Construction %'!N48</f>
        <v>0.38541666666666674</v>
      </c>
      <c r="C214" s="71">
        <f ca="1">'Construction %'!O48</f>
        <v>0.66249999999999998</v>
      </c>
      <c r="D214" s="275" t="str">
        <f ca="1">'Construction %'!P48</f>
        <v>Excavation, Plinth Completed, RCC upto 2 Slab, Brickwork upto 0.5 Floor Completed</v>
      </c>
      <c r="E214" s="276"/>
      <c r="F214" s="276"/>
      <c r="G214" s="276"/>
      <c r="H214" s="277"/>
    </row>
    <row r="215" spans="1:22" ht="30.5" customHeight="1" x14ac:dyDescent="0.35">
      <c r="A215" s="70" t="str">
        <f>'Construction %'!A49</f>
        <v>G-19</v>
      </c>
      <c r="B215" s="71">
        <f ca="1">'Construction %'!N49</f>
        <v>0.38541666666666674</v>
      </c>
      <c r="C215" s="71">
        <f ca="1">'Construction %'!O49</f>
        <v>0.66249999999999998</v>
      </c>
      <c r="D215" s="275" t="str">
        <f ca="1">'Construction %'!P49</f>
        <v>Excavation, Plinth Completed, RCC upto 2 Slab, Brickwork upto 0.5 Floor Completed</v>
      </c>
      <c r="E215" s="276"/>
      <c r="F215" s="276"/>
      <c r="G215" s="276"/>
      <c r="H215" s="277"/>
    </row>
    <row r="216" spans="1:22" ht="30.5" customHeight="1" x14ac:dyDescent="0.35">
      <c r="A216" s="70" t="str">
        <f>'Construction %'!A50</f>
        <v>G-20</v>
      </c>
      <c r="B216" s="71">
        <f ca="1">'Construction %'!N50</f>
        <v>0.38541666666666674</v>
      </c>
      <c r="C216" s="71">
        <f ca="1">'Construction %'!O50</f>
        <v>0.66249999999999998</v>
      </c>
      <c r="D216" s="275" t="str">
        <f ca="1">'Construction %'!P50</f>
        <v>Excavation, Plinth Completed, RCC upto 2 Slab, Brickwork upto 0.5 Floor Completed</v>
      </c>
      <c r="E216" s="276"/>
      <c r="F216" s="276"/>
      <c r="G216" s="276"/>
      <c r="H216" s="277"/>
    </row>
    <row r="217" spans="1:22" x14ac:dyDescent="0.35">
      <c r="A217" s="70" t="str">
        <f>'Construction %'!A51</f>
        <v>G-21</v>
      </c>
      <c r="B217" s="71">
        <f ca="1">'Construction %'!N51</f>
        <v>0.51875000000000004</v>
      </c>
      <c r="C217" s="71">
        <f ca="1">'Construction %'!O51</f>
        <v>0.76249999999999996</v>
      </c>
      <c r="D217" s="275" t="str">
        <f ca="1">'Construction %'!P51</f>
        <v>Excavation, Plinth, RCC Slab Completed, Brickwork upto 0.5 Floor Completed</v>
      </c>
      <c r="E217" s="276"/>
      <c r="F217" s="276"/>
      <c r="G217" s="276"/>
      <c r="H217" s="277"/>
    </row>
    <row r="218" spans="1:22" ht="15.75" customHeight="1" x14ac:dyDescent="0.35">
      <c r="A218" s="70" t="str">
        <f>'Construction %'!A52</f>
        <v>G-22</v>
      </c>
      <c r="B218" s="71">
        <f ca="1">'Construction %'!N52</f>
        <v>0.51875000000000004</v>
      </c>
      <c r="C218" s="71">
        <f ca="1">'Construction %'!O52</f>
        <v>0.76249999999999996</v>
      </c>
      <c r="D218" s="275" t="str">
        <f ca="1">'Construction %'!P52</f>
        <v>Excavation, Plinth, RCC Slab Completed, Brickwork upto 0.5 Floor Completed</v>
      </c>
      <c r="E218" s="276"/>
      <c r="F218" s="276"/>
      <c r="G218" s="276"/>
      <c r="H218" s="277"/>
    </row>
    <row r="219" spans="1:22" ht="15.75" customHeight="1" x14ac:dyDescent="0.35">
      <c r="A219" s="70" t="str">
        <f>'Construction %'!A53</f>
        <v>H-14</v>
      </c>
      <c r="B219" s="71">
        <f ca="1">'Construction %'!N53</f>
        <v>0</v>
      </c>
      <c r="C219" s="71">
        <f ca="1">'Construction %'!O53</f>
        <v>0</v>
      </c>
      <c r="D219" s="275" t="str">
        <f ca="1">'Construction %'!P53</f>
        <v xml:space="preserve">Work not yet Started. </v>
      </c>
      <c r="E219" s="276"/>
      <c r="F219" s="276"/>
      <c r="G219" s="276"/>
      <c r="H219" s="277"/>
    </row>
    <row r="220" spans="1:22" ht="15.75" customHeight="1" x14ac:dyDescent="0.35">
      <c r="A220" s="70" t="str">
        <f>'Construction %'!A54</f>
        <v>H-15</v>
      </c>
      <c r="B220" s="71">
        <f ca="1">'Construction %'!N54</f>
        <v>0</v>
      </c>
      <c r="C220" s="71">
        <f ca="1">'Construction %'!O54</f>
        <v>0</v>
      </c>
      <c r="D220" s="275" t="str">
        <f ca="1">'Construction %'!P54</f>
        <v xml:space="preserve">Work not yet Started. </v>
      </c>
      <c r="E220" s="276"/>
      <c r="F220" s="276"/>
      <c r="G220" s="276"/>
      <c r="H220" s="277"/>
    </row>
    <row r="221" spans="1:22" ht="15.75" customHeight="1" x14ac:dyDescent="0.35">
      <c r="A221" s="70" t="str">
        <f>'Construction %'!A55</f>
        <v>H-16</v>
      </c>
      <c r="B221" s="71">
        <f ca="1">'Construction %'!N55</f>
        <v>0</v>
      </c>
      <c r="C221" s="71">
        <f ca="1">'Construction %'!O55</f>
        <v>0</v>
      </c>
      <c r="D221" s="275" t="str">
        <f ca="1">'Construction %'!P55</f>
        <v xml:space="preserve">Work not yet Started. </v>
      </c>
      <c r="E221" s="276"/>
      <c r="F221" s="276"/>
      <c r="G221" s="276"/>
      <c r="H221" s="277"/>
    </row>
    <row r="222" spans="1:22" ht="30" customHeight="1" x14ac:dyDescent="0.35">
      <c r="A222" s="70" t="str">
        <f>'Construction %'!A56</f>
        <v>H-17</v>
      </c>
      <c r="B222" s="71">
        <f ca="1">'Construction %'!N56</f>
        <v>0.55625000000000002</v>
      </c>
      <c r="C222" s="71">
        <f ca="1">'Construction %'!O56</f>
        <v>0.78749999999999998</v>
      </c>
      <c r="D222" s="275" t="str">
        <f ca="1">'Construction %'!P56</f>
        <v>Excavation, Plinth, RCC Slab Completed, Brickwork upto 1.5 Floor Completed</v>
      </c>
      <c r="E222" s="276"/>
      <c r="F222" s="276"/>
      <c r="G222" s="276"/>
      <c r="H222" s="277"/>
    </row>
    <row r="223" spans="1:22" ht="15.75" customHeight="1" thickBot="1" x14ac:dyDescent="0.4">
      <c r="A223" s="120" t="str">
        <f>'Construction %'!A57</f>
        <v>H-18</v>
      </c>
      <c r="B223" s="121">
        <f ca="1">'Construction %'!N57</f>
        <v>0</v>
      </c>
      <c r="C223" s="121">
        <f ca="1">'Construction %'!O57</f>
        <v>0</v>
      </c>
      <c r="D223" s="305" t="str">
        <f ca="1">'Construction %'!P57</f>
        <v xml:space="preserve">Work not yet Started. </v>
      </c>
      <c r="E223" s="306"/>
      <c r="F223" s="306"/>
      <c r="G223" s="306"/>
      <c r="H223" s="307"/>
    </row>
    <row r="224" spans="1:22" x14ac:dyDescent="0.35">
      <c r="A224" s="246" t="s">
        <v>148</v>
      </c>
      <c r="B224" s="247"/>
      <c r="C224" s="247"/>
      <c r="D224" s="247"/>
      <c r="E224" s="247"/>
      <c r="F224" s="303" t="s">
        <v>151</v>
      </c>
      <c r="G224" s="303"/>
      <c r="H224" s="304"/>
      <c r="R224" t="s">
        <v>243</v>
      </c>
      <c r="S224" t="s">
        <v>164</v>
      </c>
      <c r="T224" t="s">
        <v>168</v>
      </c>
      <c r="U224" t="s">
        <v>183</v>
      </c>
      <c r="V224" t="s">
        <v>178</v>
      </c>
    </row>
    <row r="225" spans="1:22" x14ac:dyDescent="0.35">
      <c r="A225" s="161" t="s">
        <v>499</v>
      </c>
      <c r="B225" s="162"/>
      <c r="C225" s="162"/>
      <c r="D225" s="162"/>
      <c r="E225" s="162"/>
      <c r="F225" s="158">
        <v>9000</v>
      </c>
      <c r="G225" s="158"/>
      <c r="H225" s="159"/>
      <c r="I225" s="21" t="s">
        <v>500</v>
      </c>
      <c r="R225"/>
      <c r="S225">
        <v>800000</v>
      </c>
      <c r="T225">
        <v>150000</v>
      </c>
      <c r="U225">
        <v>100000</v>
      </c>
      <c r="V225">
        <v>100000</v>
      </c>
    </row>
    <row r="226" spans="1:22" hidden="1" x14ac:dyDescent="0.35">
      <c r="A226" s="161" t="s">
        <v>149</v>
      </c>
      <c r="B226" s="162"/>
      <c r="C226" s="162"/>
      <c r="D226" s="162"/>
      <c r="E226" s="162"/>
      <c r="F226" s="158"/>
      <c r="G226" s="158"/>
      <c r="H226" s="159"/>
      <c r="R226"/>
      <c r="S226">
        <v>900000</v>
      </c>
      <c r="T226">
        <v>200000</v>
      </c>
      <c r="U226">
        <v>150000</v>
      </c>
      <c r="V226">
        <v>150000</v>
      </c>
    </row>
    <row r="227" spans="1:22" hidden="1" x14ac:dyDescent="0.35">
      <c r="A227" s="161" t="s">
        <v>150</v>
      </c>
      <c r="B227" s="162"/>
      <c r="C227" s="162"/>
      <c r="D227" s="162"/>
      <c r="E227" s="162"/>
      <c r="F227" s="158"/>
      <c r="G227" s="158"/>
      <c r="H227" s="159"/>
      <c r="R227"/>
      <c r="S227">
        <v>1000000</v>
      </c>
      <c r="T227">
        <v>250000</v>
      </c>
      <c r="U227">
        <v>200000</v>
      </c>
      <c r="V227">
        <v>200000</v>
      </c>
    </row>
    <row r="228" spans="1:22" s="33" customFormat="1" hidden="1" x14ac:dyDescent="0.35">
      <c r="A228" s="161" t="s">
        <v>166</v>
      </c>
      <c r="B228" s="162"/>
      <c r="C228" s="162"/>
      <c r="D228" s="162"/>
      <c r="E228" s="162"/>
      <c r="F228" s="158"/>
      <c r="G228" s="158"/>
      <c r="H228" s="159"/>
      <c r="R228"/>
      <c r="S228">
        <v>1100000</v>
      </c>
      <c r="T228">
        <v>300000</v>
      </c>
      <c r="U228">
        <v>250000</v>
      </c>
      <c r="V228" s="23">
        <v>250000</v>
      </c>
    </row>
    <row r="229" spans="1:22" s="33" customFormat="1" hidden="1" x14ac:dyDescent="0.35">
      <c r="A229" s="161" t="s">
        <v>87</v>
      </c>
      <c r="B229" s="162"/>
      <c r="C229" s="162"/>
      <c r="D229" s="162"/>
      <c r="E229" s="162"/>
      <c r="F229" s="158"/>
      <c r="G229" s="158"/>
      <c r="H229" s="159"/>
      <c r="R229"/>
      <c r="S229">
        <v>1200000</v>
      </c>
      <c r="T229">
        <v>350000</v>
      </c>
      <c r="U229">
        <v>300000</v>
      </c>
      <c r="V229">
        <v>300000</v>
      </c>
    </row>
    <row r="230" spans="1:22" s="33" customFormat="1" hidden="1" x14ac:dyDescent="0.35">
      <c r="A230" s="161" t="s">
        <v>88</v>
      </c>
      <c r="B230" s="162"/>
      <c r="C230" s="162"/>
      <c r="D230" s="162"/>
      <c r="E230" s="162"/>
      <c r="F230" s="158"/>
      <c r="G230" s="158"/>
      <c r="H230" s="159"/>
      <c r="R230"/>
      <c r="S230">
        <v>1300000</v>
      </c>
      <c r="T230">
        <v>400000</v>
      </c>
      <c r="U230">
        <v>350000</v>
      </c>
      <c r="V230" s="23">
        <v>400000</v>
      </c>
    </row>
    <row r="231" spans="1:22" s="33" customFormat="1" hidden="1" x14ac:dyDescent="0.35">
      <c r="A231" s="161" t="s">
        <v>89</v>
      </c>
      <c r="B231" s="162"/>
      <c r="C231" s="162"/>
      <c r="D231" s="162"/>
      <c r="E231" s="162"/>
      <c r="F231" s="158"/>
      <c r="G231" s="158"/>
      <c r="H231" s="159"/>
      <c r="R231"/>
      <c r="S231">
        <v>1400000</v>
      </c>
      <c r="T231">
        <v>500000</v>
      </c>
      <c r="U231">
        <v>400000</v>
      </c>
      <c r="V231"/>
    </row>
    <row r="232" spans="1:22" s="33" customFormat="1" hidden="1" x14ac:dyDescent="0.35">
      <c r="A232" s="161" t="s">
        <v>90</v>
      </c>
      <c r="B232" s="162"/>
      <c r="C232" s="162"/>
      <c r="D232" s="162"/>
      <c r="E232" s="162"/>
      <c r="F232" s="158"/>
      <c r="G232" s="158"/>
      <c r="H232" s="159"/>
      <c r="R232"/>
      <c r="S232">
        <v>1500000</v>
      </c>
      <c r="T232">
        <v>600000</v>
      </c>
      <c r="U232">
        <v>500000</v>
      </c>
      <c r="V232" s="23"/>
    </row>
    <row r="233" spans="1:22" s="33" customFormat="1" hidden="1" x14ac:dyDescent="0.35">
      <c r="A233" s="161" t="s">
        <v>91</v>
      </c>
      <c r="B233" s="162"/>
      <c r="C233" s="162"/>
      <c r="D233" s="162"/>
      <c r="E233" s="162"/>
      <c r="F233" s="158"/>
      <c r="G233" s="158"/>
      <c r="H233" s="159"/>
      <c r="R233"/>
      <c r="S233">
        <v>1600000</v>
      </c>
      <c r="T233">
        <v>700000</v>
      </c>
      <c r="U233">
        <v>600000</v>
      </c>
      <c r="V233"/>
    </row>
    <row r="234" spans="1:22" s="33" customFormat="1" hidden="1" x14ac:dyDescent="0.35">
      <c r="A234" s="161" t="s">
        <v>92</v>
      </c>
      <c r="B234" s="162"/>
      <c r="C234" s="162"/>
      <c r="D234" s="162"/>
      <c r="E234" s="162"/>
      <c r="F234" s="158"/>
      <c r="G234" s="158"/>
      <c r="H234" s="159"/>
      <c r="R234"/>
      <c r="S234">
        <v>1700000</v>
      </c>
      <c r="T234">
        <v>800000</v>
      </c>
      <c r="U234"/>
      <c r="V234" s="23"/>
    </row>
    <row r="235" spans="1:22" hidden="1" x14ac:dyDescent="0.35">
      <c r="A235" s="161" t="s">
        <v>48</v>
      </c>
      <c r="B235" s="162"/>
      <c r="C235" s="162"/>
      <c r="D235" s="162"/>
      <c r="E235" s="162"/>
      <c r="F235" s="253">
        <v>600000</v>
      </c>
      <c r="G235" s="253"/>
      <c r="H235" s="254"/>
      <c r="R235"/>
      <c r="S235">
        <v>1800000</v>
      </c>
      <c r="T235">
        <v>900000</v>
      </c>
      <c r="U235"/>
    </row>
    <row r="236" spans="1:22" s="34" customFormat="1" ht="16" thickBot="1" x14ac:dyDescent="0.4">
      <c r="A236" s="255" t="s">
        <v>49</v>
      </c>
      <c r="B236" s="256"/>
      <c r="C236" s="256"/>
      <c r="D236" s="256"/>
      <c r="E236" s="256"/>
      <c r="F236" s="257">
        <f>F225*0.8</f>
        <v>7200</v>
      </c>
      <c r="G236" s="257"/>
      <c r="H236" s="258"/>
      <c r="R236" s="21"/>
      <c r="S236" s="21"/>
      <c r="T236">
        <v>1000000</v>
      </c>
      <c r="U236"/>
      <c r="V236" s="21"/>
    </row>
    <row r="237" spans="1:22" s="35" customFormat="1" x14ac:dyDescent="0.35">
      <c r="A237" s="260" t="s">
        <v>292</v>
      </c>
      <c r="B237" s="260"/>
      <c r="C237" s="260"/>
      <c r="D237" s="260"/>
      <c r="E237" s="260"/>
      <c r="F237" s="260"/>
      <c r="G237" s="260"/>
      <c r="H237" s="260"/>
      <c r="T237"/>
    </row>
    <row r="238" spans="1:22" s="35" customFormat="1" ht="15.75" customHeight="1" x14ac:dyDescent="0.35">
      <c r="A238" s="220" t="s">
        <v>50</v>
      </c>
      <c r="B238" s="220"/>
      <c r="C238" s="168" t="s">
        <v>71</v>
      </c>
      <c r="D238" s="168"/>
      <c r="E238" s="233" t="s">
        <v>51</v>
      </c>
      <c r="F238" s="234"/>
      <c r="G238" s="233" t="s">
        <v>492</v>
      </c>
      <c r="H238" s="234"/>
      <c r="T238"/>
    </row>
    <row r="239" spans="1:22" s="35" customFormat="1" x14ac:dyDescent="0.35">
      <c r="A239" s="259" t="s">
        <v>306</v>
      </c>
      <c r="B239" s="259"/>
      <c r="C239" s="269">
        <f>COUNT(D256)+COUNT(D303)+COUNT(#REF!)+COUNT(D306)</f>
        <v>3</v>
      </c>
      <c r="D239" s="270"/>
      <c r="E239" s="271">
        <f>SUM(F303,F306,F256)</f>
        <v>8384.1549479999994</v>
      </c>
      <c r="F239" s="272"/>
      <c r="G239" s="271">
        <f>SUM(H303,H306,H256)</f>
        <v>12830.837619599997</v>
      </c>
      <c r="H239" s="272"/>
      <c r="T239"/>
    </row>
    <row r="240" spans="1:22" s="35" customFormat="1" x14ac:dyDescent="0.35">
      <c r="A240" s="259" t="s">
        <v>307</v>
      </c>
      <c r="B240" s="259"/>
      <c r="C240" s="269">
        <f>COUNT(D257:D259)+COUNT(D266:D267)+COUNT(D274:D287)+COUNT(D294:D295)+COUNT(D302,D304,D305)</f>
        <v>24</v>
      </c>
      <c r="D240" s="270"/>
      <c r="E240" s="271">
        <f>SUM(F257:F259)+SUM(F266:F267)+SUM(F274:F287)+SUM(F294:F295,F302,F304,F305)</f>
        <v>45317.333411999993</v>
      </c>
      <c r="F240" s="272"/>
      <c r="G240" s="271">
        <f>SUM(H257:H259)+SUM(H266:H267)+SUM(H274:H287)+SUM(H294:H295,H302,H304,H305)</f>
        <v>69299.884391399988</v>
      </c>
      <c r="H240" s="272"/>
      <c r="T240"/>
    </row>
    <row r="241" spans="1:20" s="35" customFormat="1" x14ac:dyDescent="0.35">
      <c r="A241" s="259" t="s">
        <v>308</v>
      </c>
      <c r="B241" s="259"/>
      <c r="C241" s="269">
        <f>COUNT(D260:D265)+COUNT(D268:D273)+COUNT(D288:D293)+COUNT(D296:D301)</f>
        <v>24</v>
      </c>
      <c r="D241" s="270"/>
      <c r="E241" s="271">
        <f>SUM(F260:F265)+SUM(F268:F273)+SUM(F288:F293)+SUM(F296:F301)</f>
        <v>37155.670343999998</v>
      </c>
      <c r="F241" s="272"/>
      <c r="G241" s="271">
        <f>SUM(H260:H265)+SUM(H268:H273)+SUM(H288:H293)+SUM(H296:H301)</f>
        <v>57163.9517748</v>
      </c>
      <c r="H241" s="272"/>
      <c r="T241"/>
    </row>
    <row r="242" spans="1:20" s="35" customFormat="1" ht="16" thickBot="1" x14ac:dyDescent="0.4">
      <c r="A242" s="332" t="s">
        <v>142</v>
      </c>
      <c r="B242" s="332"/>
      <c r="C242" s="223">
        <f>SUM(C239:C241)</f>
        <v>51</v>
      </c>
      <c r="D242" s="224"/>
      <c r="E242" s="333">
        <f>SUM(E239:E241)</f>
        <v>90857.158703999987</v>
      </c>
      <c r="F242" s="334"/>
      <c r="G242" s="335">
        <f>SUM(G239:G241)</f>
        <v>139294.6737858</v>
      </c>
      <c r="H242" s="336"/>
      <c r="J242" s="35">
        <f>56-8</f>
        <v>48</v>
      </c>
      <c r="T242"/>
    </row>
    <row r="243" spans="1:20" s="35" customFormat="1" x14ac:dyDescent="0.35">
      <c r="A243" s="226" t="s">
        <v>157</v>
      </c>
      <c r="B243" s="227"/>
      <c r="C243" s="228">
        <f>C242</f>
        <v>51</v>
      </c>
      <c r="D243" s="229"/>
      <c r="E243" s="230">
        <f>E242</f>
        <v>90857.158703999987</v>
      </c>
      <c r="F243" s="231"/>
      <c r="G243" s="297">
        <f>G242</f>
        <v>139294.6737858</v>
      </c>
      <c r="H243" s="298"/>
      <c r="T243"/>
    </row>
    <row r="244" spans="1:20" s="34" customFormat="1" x14ac:dyDescent="0.35">
      <c r="A244" s="235" t="s">
        <v>52</v>
      </c>
      <c r="B244" s="235"/>
      <c r="C244" s="235"/>
      <c r="D244" s="235"/>
      <c r="E244" s="235"/>
      <c r="F244" s="235"/>
      <c r="G244" s="235"/>
      <c r="H244" s="235"/>
      <c r="J244" s="34" t="s">
        <v>442</v>
      </c>
      <c r="T244" s="35"/>
    </row>
    <row r="245" spans="1:20" x14ac:dyDescent="0.35">
      <c r="A245" s="160" t="s">
        <v>293</v>
      </c>
      <c r="B245" s="160"/>
      <c r="C245" s="160"/>
      <c r="D245" s="160"/>
      <c r="E245" s="160"/>
      <c r="F245" s="160"/>
      <c r="G245" s="160"/>
      <c r="H245" s="160"/>
      <c r="T245" s="35"/>
    </row>
    <row r="246" spans="1:20" ht="47.25" hidden="1" customHeight="1" x14ac:dyDescent="0.35">
      <c r="A246" s="261" t="s">
        <v>113</v>
      </c>
      <c r="B246" s="261" t="s">
        <v>167</v>
      </c>
      <c r="C246" s="261" t="s">
        <v>53</v>
      </c>
      <c r="D246" s="302" t="s">
        <v>221</v>
      </c>
      <c r="E246" s="262" t="s">
        <v>147</v>
      </c>
      <c r="F246" s="261" t="s">
        <v>54</v>
      </c>
      <c r="G246" s="262" t="s">
        <v>55</v>
      </c>
      <c r="H246" s="124" t="s">
        <v>141</v>
      </c>
      <c r="T246" s="35"/>
    </row>
    <row r="247" spans="1:20" s="37" customFormat="1" hidden="1" x14ac:dyDescent="0.35">
      <c r="A247" s="261"/>
      <c r="B247" s="261"/>
      <c r="C247" s="261"/>
      <c r="D247" s="302"/>
      <c r="E247" s="262"/>
      <c r="F247" s="261"/>
      <c r="G247" s="262"/>
      <c r="H247" s="125">
        <v>0.45</v>
      </c>
      <c r="T247" s="35"/>
    </row>
    <row r="248" spans="1:20" s="37" customFormat="1" hidden="1" x14ac:dyDescent="0.35">
      <c r="A248" s="225" t="s">
        <v>112</v>
      </c>
      <c r="B248" s="225"/>
      <c r="C248" s="225"/>
      <c r="D248" s="225"/>
      <c r="E248" s="225"/>
      <c r="F248" s="225"/>
      <c r="G248" s="225"/>
      <c r="H248" s="225"/>
      <c r="J248" s="36"/>
      <c r="T248" s="35"/>
    </row>
    <row r="249" spans="1:20" s="37" customFormat="1" ht="15.75" hidden="1" customHeight="1" x14ac:dyDescent="0.35">
      <c r="A249" s="163">
        <v>1</v>
      </c>
      <c r="B249" s="163"/>
      <c r="C249" s="59"/>
      <c r="D249" s="59">
        <v>0</v>
      </c>
      <c r="E249" s="59">
        <v>0</v>
      </c>
      <c r="F249" s="59">
        <f>D249+(IF(E249&lt;201,E249,IF(E249&lt;301,E249/2,E249/3)))</f>
        <v>0</v>
      </c>
      <c r="G249" s="59">
        <v>0</v>
      </c>
      <c r="H249" s="59">
        <f>(F249+(IF(G249&lt;101,G249,IF(G249&lt;201,G249/2,IF(G249&lt;=301,G249/3,G249/4)))))*(($H$247)+1)</f>
        <v>0</v>
      </c>
      <c r="I249" s="36"/>
      <c r="L249" s="150"/>
      <c r="M249" s="150"/>
      <c r="N249" s="36"/>
      <c r="T249" s="35"/>
    </row>
    <row r="250" spans="1:20" s="37" customFormat="1" ht="15.75" hidden="1" customHeight="1" x14ac:dyDescent="0.35">
      <c r="A250" s="163">
        <f>A249+1</f>
        <v>2</v>
      </c>
      <c r="B250" s="163"/>
      <c r="C250" s="59"/>
      <c r="D250" s="59"/>
      <c r="E250" s="59">
        <v>0</v>
      </c>
      <c r="F250" s="59">
        <f t="shared" ref="F250:F252" si="0">D250+(IF(E250&lt;201,E250,IF(E250&lt;301,E250/2,E250/3)))</f>
        <v>0</v>
      </c>
      <c r="G250" s="59">
        <v>0</v>
      </c>
      <c r="H250" s="59">
        <f t="shared" ref="H250:H252" si="1">(F250+(IF(G250&lt;101,G250,IF(G250&lt;201,G250/2,IF(G250&lt;=301,G250/3,G250/4)))))*(($H$247)+1)</f>
        <v>0</v>
      </c>
      <c r="I250" s="36"/>
      <c r="L250" s="150"/>
      <c r="M250" s="150"/>
      <c r="N250" s="36"/>
      <c r="T250" s="34"/>
    </row>
    <row r="251" spans="1:20" s="37" customFormat="1" ht="15.75" hidden="1" customHeight="1" x14ac:dyDescent="0.35">
      <c r="A251" s="163">
        <f>A250+1</f>
        <v>3</v>
      </c>
      <c r="B251" s="163"/>
      <c r="C251" s="59"/>
      <c r="D251" s="59"/>
      <c r="E251" s="59">
        <v>0</v>
      </c>
      <c r="F251" s="59">
        <f t="shared" si="0"/>
        <v>0</v>
      </c>
      <c r="G251" s="59">
        <v>0</v>
      </c>
      <c r="H251" s="59">
        <f t="shared" si="1"/>
        <v>0</v>
      </c>
      <c r="I251" s="36"/>
      <c r="L251" s="150"/>
      <c r="M251" s="150"/>
      <c r="N251" s="36"/>
      <c r="T251" s="21"/>
    </row>
    <row r="252" spans="1:20" s="37" customFormat="1" ht="15.75" hidden="1" customHeight="1" x14ac:dyDescent="0.35">
      <c r="A252" s="163">
        <f>A251+1</f>
        <v>4</v>
      </c>
      <c r="B252" s="163"/>
      <c r="C252" s="59"/>
      <c r="D252" s="59"/>
      <c r="E252" s="59">
        <v>0</v>
      </c>
      <c r="F252" s="59">
        <f t="shared" si="0"/>
        <v>0</v>
      </c>
      <c r="G252" s="59">
        <v>0</v>
      </c>
      <c r="H252" s="59">
        <f t="shared" si="1"/>
        <v>0</v>
      </c>
      <c r="I252" s="36"/>
      <c r="L252" s="150"/>
      <c r="M252" s="150"/>
      <c r="N252" s="36"/>
      <c r="T252" s="21"/>
    </row>
    <row r="253" spans="1:20" s="37" customFormat="1" hidden="1" x14ac:dyDescent="0.35">
      <c r="A253" s="163"/>
      <c r="B253" s="163"/>
      <c r="C253" s="163"/>
      <c r="D253" s="163"/>
      <c r="E253" s="163"/>
      <c r="F253" s="163"/>
      <c r="G253" s="163"/>
      <c r="H253" s="163"/>
      <c r="I253" s="36"/>
      <c r="N253" s="36"/>
    </row>
    <row r="254" spans="1:20" ht="57" customHeight="1" x14ac:dyDescent="0.35">
      <c r="A254" s="126" t="s">
        <v>294</v>
      </c>
      <c r="B254" s="126" t="s">
        <v>295</v>
      </c>
      <c r="C254" s="126" t="s">
        <v>53</v>
      </c>
      <c r="D254" s="127" t="s">
        <v>296</v>
      </c>
      <c r="E254" s="126" t="s">
        <v>379</v>
      </c>
      <c r="F254" s="126" t="s">
        <v>393</v>
      </c>
      <c r="G254" s="128" t="s">
        <v>394</v>
      </c>
      <c r="H254" s="128" t="s">
        <v>486</v>
      </c>
      <c r="I254" s="66" t="s">
        <v>360</v>
      </c>
      <c r="K254" s="21">
        <f>1.1*3.69+1.21*2.26</f>
        <v>6.7935999999999996</v>
      </c>
      <c r="N254" s="65" t="s">
        <v>297</v>
      </c>
      <c r="T254" s="37"/>
    </row>
    <row r="255" spans="1:20" s="37" customFormat="1" x14ac:dyDescent="0.35">
      <c r="A255" s="225" t="s">
        <v>493</v>
      </c>
      <c r="B255" s="225"/>
      <c r="C255" s="225"/>
      <c r="D255" s="225"/>
      <c r="E255" s="225"/>
      <c r="F255" s="225"/>
      <c r="G255" s="225"/>
      <c r="H255" s="225"/>
      <c r="I255" s="37">
        <f>8.4*3.39+4.3*2.7</f>
        <v>40.085999999999999</v>
      </c>
      <c r="J255" s="36">
        <f>7.46*3.81+2.31*1.66+1.8*1.5+1.42*2.135+3.66*2.5+3.96*3.44+1.52*2.425+0.9*2.5</f>
        <v>66.697299999999998</v>
      </c>
      <c r="K255" s="37">
        <f>1.1*3.69+1.21*2.26</f>
        <v>6.7935999999999996</v>
      </c>
      <c r="L255" s="64">
        <f>10.764</f>
        <v>10.763999999999999</v>
      </c>
      <c r="N255" s="64">
        <f>(250)*(10.764)</f>
        <v>2691</v>
      </c>
    </row>
    <row r="256" spans="1:20" s="37" customFormat="1" ht="15.75" customHeight="1" x14ac:dyDescent="0.35">
      <c r="A256" s="59" t="s">
        <v>309</v>
      </c>
      <c r="B256" s="59" t="s">
        <v>306</v>
      </c>
      <c r="C256" s="59" t="s">
        <v>378</v>
      </c>
      <c r="D256" s="129">
        <f>(195.642)*(10.764)</f>
        <v>2105.890488</v>
      </c>
      <c r="E256" s="59">
        <f>(246.355)*(10.764)</f>
        <v>2651.7652199999998</v>
      </c>
      <c r="F256" s="59">
        <f>(40.419+78.504+79.891+13.407)*(10.764)</f>
        <v>2284.3468440000001</v>
      </c>
      <c r="G256" s="59">
        <f>(79.891-17.768)*(10.764)</f>
        <v>668.69197199999996</v>
      </c>
      <c r="H256" s="130">
        <f>F256*1.45+G256/4</f>
        <v>3479.4759168</v>
      </c>
      <c r="I256" s="36">
        <f>8.5*6+1.1*3.69-4*0.7</f>
        <v>52.259</v>
      </c>
      <c r="J256" s="37">
        <f>2.7*6.5+1.5*1.5</f>
        <v>19.8</v>
      </c>
      <c r="L256" s="150"/>
      <c r="M256" s="150"/>
      <c r="N256" s="64">
        <f t="shared" ref="N256:N273" si="2">(190)*(10.764)</f>
        <v>2045.1599999999999</v>
      </c>
    </row>
    <row r="257" spans="1:20" s="37" customFormat="1" ht="30.75" customHeight="1" x14ac:dyDescent="0.35">
      <c r="A257" s="59" t="s">
        <v>310</v>
      </c>
      <c r="B257" s="59" t="s">
        <v>307</v>
      </c>
      <c r="C257" s="59" t="s">
        <v>378</v>
      </c>
      <c r="D257" s="129">
        <f>(136.76)*(10.764)</f>
        <v>1472.0846399999998</v>
      </c>
      <c r="E257" s="59">
        <f>(179.888)*(10.764)</f>
        <v>1936.3144319999999</v>
      </c>
      <c r="F257" s="59">
        <f>(34.152+63.526+54.876+3.97+7.027)*(10.764)</f>
        <v>1760.4629639999998</v>
      </c>
      <c r="G257" s="59">
        <f>(6.679+54.876-10.365)*(10.764)</f>
        <v>551.00915999999995</v>
      </c>
      <c r="H257" s="130">
        <f t="shared" ref="H257:H306" si="3">F257*1.45+G257/4</f>
        <v>2690.4235877999995</v>
      </c>
      <c r="I257" s="67" t="s">
        <v>443</v>
      </c>
      <c r="J257" s="37">
        <f>5.6*3.5+4.7*3.6+7.5*2.7+4.3*0.7</f>
        <v>59.779999999999994</v>
      </c>
      <c r="K257" s="37">
        <f>9.5*10-2.7*4.5</f>
        <v>82.85</v>
      </c>
      <c r="L257" s="150"/>
      <c r="M257" s="150"/>
      <c r="N257" s="64">
        <f t="shared" si="2"/>
        <v>2045.1599999999999</v>
      </c>
    </row>
    <row r="258" spans="1:20" s="37" customFormat="1" ht="33" customHeight="1" x14ac:dyDescent="0.35">
      <c r="A258" s="59" t="s">
        <v>311</v>
      </c>
      <c r="B258" s="59" t="s">
        <v>307</v>
      </c>
      <c r="C258" s="59" t="s">
        <v>378</v>
      </c>
      <c r="D258" s="129">
        <f>(159.29)*(10.764)</f>
        <v>1714.5975599999997</v>
      </c>
      <c r="E258" s="59">
        <f>(179.888)*(10.764)</f>
        <v>1936.3144319999999</v>
      </c>
      <c r="F258" s="59">
        <f>(34.152+64.103+54.876+3.97+7.027)*(10.764)</f>
        <v>1766.6737919999998</v>
      </c>
      <c r="G258" s="59">
        <f>(6.679+54.876-10.365)*(10.764)</f>
        <v>551.00915999999995</v>
      </c>
      <c r="H258" s="130">
        <f t="shared" si="3"/>
        <v>2699.4292883999997</v>
      </c>
      <c r="I258" s="36"/>
      <c r="L258" s="150"/>
      <c r="M258" s="150"/>
      <c r="N258" s="64">
        <f t="shared" si="2"/>
        <v>2045.1599999999999</v>
      </c>
    </row>
    <row r="259" spans="1:20" s="37" customFormat="1" ht="31.5" customHeight="1" x14ac:dyDescent="0.35">
      <c r="A259" s="59" t="s">
        <v>312</v>
      </c>
      <c r="B259" s="59" t="s">
        <v>307</v>
      </c>
      <c r="C259" s="59" t="s">
        <v>378</v>
      </c>
      <c r="D259" s="129">
        <f>(158.55)*(10.764)</f>
        <v>1706.6322</v>
      </c>
      <c r="E259" s="59">
        <f>(163.079)*(10.764)</f>
        <v>1755.3823560000001</v>
      </c>
      <c r="F259" s="59">
        <f>(18.185+63.526+54.876+3.97+7.027)*(10.764)</f>
        <v>1588.5941759999996</v>
      </c>
      <c r="G259" s="59">
        <f>(54.876+6.679-10.365)*(10.764)</f>
        <v>551.00915999999995</v>
      </c>
      <c r="H259" s="130">
        <f t="shared" si="3"/>
        <v>2441.2138451999995</v>
      </c>
      <c r="I259" s="36" t="s">
        <v>444</v>
      </c>
      <c r="L259" s="150"/>
      <c r="M259" s="150"/>
      <c r="N259" s="64">
        <f t="shared" si="2"/>
        <v>2045.1599999999999</v>
      </c>
      <c r="T259" s="21"/>
    </row>
    <row r="260" spans="1:20" s="37" customFormat="1" ht="15.75" customHeight="1" x14ac:dyDescent="0.35">
      <c r="A260" s="59" t="s">
        <v>313</v>
      </c>
      <c r="B260" s="59" t="s">
        <v>308</v>
      </c>
      <c r="C260" s="59" t="s">
        <v>378</v>
      </c>
      <c r="D260" s="129">
        <f t="shared" ref="D260" si="4">(112.5)*(10.764)</f>
        <v>1210.9499999999998</v>
      </c>
      <c r="E260" s="59">
        <f t="shared" ref="E260:E265" si="5">(171.27)*(10.764)</f>
        <v>1843.5502799999999</v>
      </c>
      <c r="F260" s="59">
        <f>(18.289+67.6+54.67+3.3)*(10.764)</f>
        <v>1548.498276</v>
      </c>
      <c r="G260" s="59">
        <f t="shared" ref="G260:G265" si="6">(6.679+54.67-10.435)*(10.764)</f>
        <v>548.03829599999995</v>
      </c>
      <c r="H260" s="130">
        <f t="shared" si="3"/>
        <v>2382.3320742000001</v>
      </c>
      <c r="I260" s="36"/>
      <c r="L260" s="150"/>
      <c r="M260" s="150"/>
      <c r="N260" s="64">
        <f t="shared" si="2"/>
        <v>2045.1599999999999</v>
      </c>
      <c r="T260" s="21"/>
    </row>
    <row r="261" spans="1:20" s="37" customFormat="1" ht="15.75" customHeight="1" x14ac:dyDescent="0.35">
      <c r="A261" s="59" t="s">
        <v>314</v>
      </c>
      <c r="B261" s="59" t="s">
        <v>308</v>
      </c>
      <c r="C261" s="59" t="s">
        <v>378</v>
      </c>
      <c r="D261" s="129">
        <f t="shared" ref="D261:D265" si="7">(112.5)*(10.764)</f>
        <v>1210.9499999999998</v>
      </c>
      <c r="E261" s="59">
        <f t="shared" si="5"/>
        <v>1843.5502799999999</v>
      </c>
      <c r="F261" s="59">
        <f>(18.289+67.6+54.6+3.3)*(10.764)</f>
        <v>1547.7447960000002</v>
      </c>
      <c r="G261" s="59">
        <f t="shared" si="6"/>
        <v>548.03829599999995</v>
      </c>
      <c r="H261" s="130">
        <f t="shared" si="3"/>
        <v>2381.2395282000002</v>
      </c>
      <c r="I261" s="36"/>
      <c r="L261" s="150"/>
      <c r="M261" s="150"/>
      <c r="N261" s="64">
        <f t="shared" si="2"/>
        <v>2045.1599999999999</v>
      </c>
      <c r="T261" s="21"/>
    </row>
    <row r="262" spans="1:20" s="37" customFormat="1" ht="15.75" customHeight="1" x14ac:dyDescent="0.35">
      <c r="A262" s="59" t="s">
        <v>315</v>
      </c>
      <c r="B262" s="59" t="s">
        <v>308</v>
      </c>
      <c r="C262" s="59" t="s">
        <v>378</v>
      </c>
      <c r="D262" s="129">
        <f t="shared" si="7"/>
        <v>1210.9499999999998</v>
      </c>
      <c r="E262" s="59">
        <f t="shared" si="5"/>
        <v>1843.5502799999999</v>
      </c>
      <c r="F262" s="59">
        <f>(18.289+67.6+54.67+3.3)*(10.764)</f>
        <v>1548.498276</v>
      </c>
      <c r="G262" s="59">
        <f t="shared" si="6"/>
        <v>548.03829599999995</v>
      </c>
      <c r="H262" s="130">
        <f>F262*1.45+G262/4</f>
        <v>2382.3320742000001</v>
      </c>
      <c r="I262" s="36"/>
      <c r="L262" s="150"/>
      <c r="M262" s="150"/>
      <c r="N262" s="64">
        <f t="shared" si="2"/>
        <v>2045.1599999999999</v>
      </c>
      <c r="T262" s="21"/>
    </row>
    <row r="263" spans="1:20" s="37" customFormat="1" ht="15.75" customHeight="1" x14ac:dyDescent="0.35">
      <c r="A263" s="59" t="s">
        <v>316</v>
      </c>
      <c r="B263" s="59" t="s">
        <v>308</v>
      </c>
      <c r="C263" s="59" t="s">
        <v>378</v>
      </c>
      <c r="D263" s="129">
        <f t="shared" si="7"/>
        <v>1210.9499999999998</v>
      </c>
      <c r="E263" s="59">
        <f t="shared" si="5"/>
        <v>1843.5502799999999</v>
      </c>
      <c r="F263" s="59">
        <f>(18.289+67.6+54.6+3.3)*(10.764)</f>
        <v>1547.7447960000002</v>
      </c>
      <c r="G263" s="59">
        <f t="shared" si="6"/>
        <v>548.03829599999995</v>
      </c>
      <c r="H263" s="130">
        <f t="shared" si="3"/>
        <v>2381.2395282000002</v>
      </c>
      <c r="I263" s="36"/>
      <c r="L263" s="150"/>
      <c r="M263" s="150"/>
      <c r="N263" s="64">
        <f t="shared" si="2"/>
        <v>2045.1599999999999</v>
      </c>
      <c r="T263" s="21"/>
    </row>
    <row r="264" spans="1:20" s="37" customFormat="1" ht="15.75" customHeight="1" x14ac:dyDescent="0.35">
      <c r="A264" s="59" t="s">
        <v>317</v>
      </c>
      <c r="B264" s="59" t="s">
        <v>308</v>
      </c>
      <c r="C264" s="59" t="s">
        <v>378</v>
      </c>
      <c r="D264" s="129">
        <f t="shared" si="7"/>
        <v>1210.9499999999998</v>
      </c>
      <c r="E264" s="59">
        <f t="shared" si="5"/>
        <v>1843.5502799999999</v>
      </c>
      <c r="F264" s="59">
        <f>(18.289+67.6+54.67+3.3)*(10.764)</f>
        <v>1548.498276</v>
      </c>
      <c r="G264" s="59">
        <f t="shared" si="6"/>
        <v>548.03829599999995</v>
      </c>
      <c r="H264" s="130">
        <f t="shared" si="3"/>
        <v>2382.3320742000001</v>
      </c>
      <c r="I264" s="36"/>
      <c r="L264" s="150"/>
      <c r="M264" s="150"/>
      <c r="N264" s="64">
        <f t="shared" si="2"/>
        <v>2045.1599999999999</v>
      </c>
      <c r="T264" s="21"/>
    </row>
    <row r="265" spans="1:20" s="37" customFormat="1" ht="15.75" customHeight="1" x14ac:dyDescent="0.35">
      <c r="A265" s="59" t="s">
        <v>318</v>
      </c>
      <c r="B265" s="59" t="s">
        <v>308</v>
      </c>
      <c r="C265" s="59" t="s">
        <v>378</v>
      </c>
      <c r="D265" s="129">
        <f t="shared" si="7"/>
        <v>1210.9499999999998</v>
      </c>
      <c r="E265" s="59">
        <f t="shared" si="5"/>
        <v>1843.5502799999999</v>
      </c>
      <c r="F265" s="59">
        <f>(18.289+67.6+54.6+3.3)*(10.764)</f>
        <v>1547.7447960000002</v>
      </c>
      <c r="G265" s="59">
        <f t="shared" si="6"/>
        <v>548.03829599999995</v>
      </c>
      <c r="H265" s="130">
        <f t="shared" si="3"/>
        <v>2381.2395282000002</v>
      </c>
      <c r="I265" s="36"/>
      <c r="L265" s="150"/>
      <c r="M265" s="150"/>
      <c r="N265" s="64">
        <f t="shared" si="2"/>
        <v>2045.1599999999999</v>
      </c>
      <c r="T265" s="21"/>
    </row>
    <row r="266" spans="1:20" s="37" customFormat="1" ht="30.75" customHeight="1" x14ac:dyDescent="0.35">
      <c r="A266" s="59" t="s">
        <v>319</v>
      </c>
      <c r="B266" s="59" t="s">
        <v>307</v>
      </c>
      <c r="C266" s="59" t="s">
        <v>378</v>
      </c>
      <c r="D266" s="129">
        <f>(162.074)*(10.764)</f>
        <v>1744.5645360000001</v>
      </c>
      <c r="E266" s="59">
        <f>(163.116)*(10.764)</f>
        <v>1755.780624</v>
      </c>
      <c r="F266" s="59">
        <f>(18.185+63.526+54.875+3.975+7.052)*(10.764)</f>
        <v>1588.9063319999998</v>
      </c>
      <c r="G266" s="59">
        <f>(6.679+54.876-10.365)*(10.764)</f>
        <v>551.00915999999995</v>
      </c>
      <c r="H266" s="130">
        <f t="shared" si="3"/>
        <v>2441.6664713999994</v>
      </c>
      <c r="I266" s="36" t="s">
        <v>446</v>
      </c>
      <c r="L266" s="150"/>
      <c r="M266" s="150"/>
      <c r="N266" s="64">
        <f t="shared" si="2"/>
        <v>2045.1599999999999</v>
      </c>
      <c r="T266" s="21"/>
    </row>
    <row r="267" spans="1:20" s="37" customFormat="1" ht="30.75" customHeight="1" x14ac:dyDescent="0.35">
      <c r="A267" s="59" t="s">
        <v>320</v>
      </c>
      <c r="B267" s="59" t="s">
        <v>307</v>
      </c>
      <c r="C267" s="59" t="s">
        <v>378</v>
      </c>
      <c r="D267" s="129">
        <f>(158.55)*(10.764)</f>
        <v>1706.6322</v>
      </c>
      <c r="E267" s="59">
        <f>(163.079)*(10.764)</f>
        <v>1755.3823560000001</v>
      </c>
      <c r="F267" s="59">
        <f>(18.185+63.526+54.876+3.97+7.027)*(10.764)</f>
        <v>1588.5941759999996</v>
      </c>
      <c r="G267" s="59">
        <f>(54.876+6.679-10.365)*(10.764)</f>
        <v>551.00915999999995</v>
      </c>
      <c r="H267" s="130">
        <f t="shared" si="3"/>
        <v>2441.2138451999995</v>
      </c>
      <c r="I267" s="36"/>
      <c r="L267" s="150"/>
      <c r="M267" s="150"/>
      <c r="N267" s="64">
        <f t="shared" si="2"/>
        <v>2045.1599999999999</v>
      </c>
      <c r="Q267" s="37" t="s">
        <v>454</v>
      </c>
      <c r="T267" s="21"/>
    </row>
    <row r="268" spans="1:20" s="37" customFormat="1" ht="15.75" customHeight="1" x14ac:dyDescent="0.35">
      <c r="A268" s="59" t="s">
        <v>321</v>
      </c>
      <c r="B268" s="59" t="s">
        <v>308</v>
      </c>
      <c r="C268" s="59" t="s">
        <v>378</v>
      </c>
      <c r="D268" s="129">
        <f t="shared" ref="D268" si="8">(112.5)*(10.764)</f>
        <v>1210.9499999999998</v>
      </c>
      <c r="E268" s="59">
        <f t="shared" ref="E268:E273" si="9">(171.27)*(10.764)</f>
        <v>1843.5502799999999</v>
      </c>
      <c r="F268" s="59">
        <f>(18.289+67.6+54.6+3.3)*(10.764)</f>
        <v>1547.7447960000002</v>
      </c>
      <c r="G268" s="59">
        <f t="shared" ref="G268:G273" si="10">(6.679+54.67-10.435)*(10.764)</f>
        <v>548.03829599999995</v>
      </c>
      <c r="H268" s="130">
        <f t="shared" si="3"/>
        <v>2381.2395282000002</v>
      </c>
      <c r="I268" s="36"/>
      <c r="L268" s="150"/>
      <c r="M268" s="150"/>
      <c r="N268" s="64">
        <f t="shared" si="2"/>
        <v>2045.1599999999999</v>
      </c>
      <c r="T268" s="21"/>
    </row>
    <row r="269" spans="1:20" s="37" customFormat="1" ht="15.75" customHeight="1" x14ac:dyDescent="0.35">
      <c r="A269" s="59" t="s">
        <v>322</v>
      </c>
      <c r="B269" s="59" t="s">
        <v>308</v>
      </c>
      <c r="C269" s="59" t="s">
        <v>378</v>
      </c>
      <c r="D269" s="129">
        <f t="shared" ref="D269:D273" si="11">(112.5)*(10.764)</f>
        <v>1210.9499999999998</v>
      </c>
      <c r="E269" s="59">
        <f t="shared" si="9"/>
        <v>1843.5502799999999</v>
      </c>
      <c r="F269" s="59">
        <f>(18.289+67.6+54.67+3.3)*(10.764)</f>
        <v>1548.498276</v>
      </c>
      <c r="G269" s="59">
        <f t="shared" si="10"/>
        <v>548.03829599999995</v>
      </c>
      <c r="H269" s="130">
        <f t="shared" si="3"/>
        <v>2382.3320742000001</v>
      </c>
      <c r="I269" s="36" t="s">
        <v>445</v>
      </c>
      <c r="L269" s="150"/>
      <c r="M269" s="150"/>
      <c r="N269" s="64">
        <f t="shared" si="2"/>
        <v>2045.1599999999999</v>
      </c>
      <c r="T269" s="21"/>
    </row>
    <row r="270" spans="1:20" s="37" customFormat="1" ht="15.75" customHeight="1" x14ac:dyDescent="0.35">
      <c r="A270" s="59" t="s">
        <v>323</v>
      </c>
      <c r="B270" s="59" t="s">
        <v>308</v>
      </c>
      <c r="C270" s="59" t="s">
        <v>378</v>
      </c>
      <c r="D270" s="129">
        <f t="shared" si="11"/>
        <v>1210.9499999999998</v>
      </c>
      <c r="E270" s="59">
        <f t="shared" si="9"/>
        <v>1843.5502799999999</v>
      </c>
      <c r="F270" s="59">
        <f>(18.289+67.6+54.6+3.3)*(10.764)</f>
        <v>1547.7447960000002</v>
      </c>
      <c r="G270" s="59">
        <f t="shared" si="10"/>
        <v>548.03829599999995</v>
      </c>
      <c r="H270" s="130">
        <f t="shared" si="3"/>
        <v>2381.2395282000002</v>
      </c>
      <c r="I270" s="36"/>
      <c r="L270" s="150"/>
      <c r="M270" s="150"/>
      <c r="N270" s="64">
        <f t="shared" si="2"/>
        <v>2045.1599999999999</v>
      </c>
      <c r="T270" s="21"/>
    </row>
    <row r="271" spans="1:20" s="37" customFormat="1" ht="15.75" customHeight="1" x14ac:dyDescent="0.35">
      <c r="A271" s="59" t="s">
        <v>324</v>
      </c>
      <c r="B271" s="59" t="s">
        <v>308</v>
      </c>
      <c r="C271" s="59" t="s">
        <v>378</v>
      </c>
      <c r="D271" s="129">
        <f t="shared" si="11"/>
        <v>1210.9499999999998</v>
      </c>
      <c r="E271" s="59">
        <f t="shared" si="9"/>
        <v>1843.5502799999999</v>
      </c>
      <c r="F271" s="59">
        <f>(18.289+67.6+54.67+3.3)*(10.764)</f>
        <v>1548.498276</v>
      </c>
      <c r="G271" s="59">
        <f t="shared" si="10"/>
        <v>548.03829599999995</v>
      </c>
      <c r="H271" s="130">
        <f t="shared" si="3"/>
        <v>2382.3320742000001</v>
      </c>
      <c r="I271" s="36"/>
      <c r="L271" s="150"/>
      <c r="M271" s="150"/>
      <c r="N271" s="64">
        <f t="shared" si="2"/>
        <v>2045.1599999999999</v>
      </c>
      <c r="T271" s="21"/>
    </row>
    <row r="272" spans="1:20" s="37" customFormat="1" ht="15.75" customHeight="1" x14ac:dyDescent="0.35">
      <c r="A272" s="59" t="s">
        <v>325</v>
      </c>
      <c r="B272" s="59" t="s">
        <v>308</v>
      </c>
      <c r="C272" s="59" t="s">
        <v>378</v>
      </c>
      <c r="D272" s="129">
        <f t="shared" si="11"/>
        <v>1210.9499999999998</v>
      </c>
      <c r="E272" s="59">
        <f t="shared" si="9"/>
        <v>1843.5502799999999</v>
      </c>
      <c r="F272" s="59">
        <f>(18.289+67.6+54.6+3.3)*(10.764)</f>
        <v>1547.7447960000002</v>
      </c>
      <c r="G272" s="59">
        <f t="shared" si="10"/>
        <v>548.03829599999995</v>
      </c>
      <c r="H272" s="130">
        <f t="shared" si="3"/>
        <v>2381.2395282000002</v>
      </c>
      <c r="I272" s="36"/>
      <c r="L272" s="150"/>
      <c r="M272" s="150"/>
      <c r="N272" s="64">
        <f t="shared" si="2"/>
        <v>2045.1599999999999</v>
      </c>
      <c r="T272" s="21"/>
    </row>
    <row r="273" spans="1:20" s="37" customFormat="1" ht="15.75" customHeight="1" x14ac:dyDescent="0.35">
      <c r="A273" s="59" t="s">
        <v>326</v>
      </c>
      <c r="B273" s="59" t="s">
        <v>308</v>
      </c>
      <c r="C273" s="59" t="s">
        <v>378</v>
      </c>
      <c r="D273" s="129">
        <f t="shared" si="11"/>
        <v>1210.9499999999998</v>
      </c>
      <c r="E273" s="59">
        <f t="shared" si="9"/>
        <v>1843.5502799999999</v>
      </c>
      <c r="F273" s="59">
        <f>(18.289+67.6+54.67+3.3)*(10.764)</f>
        <v>1548.498276</v>
      </c>
      <c r="G273" s="59">
        <f t="shared" si="10"/>
        <v>548.03829599999995</v>
      </c>
      <c r="H273" s="130">
        <f t="shared" si="3"/>
        <v>2382.3320742000001</v>
      </c>
      <c r="I273" s="36"/>
      <c r="L273" s="150"/>
      <c r="M273" s="150"/>
      <c r="N273" s="64">
        <f t="shared" si="2"/>
        <v>2045.1599999999999</v>
      </c>
      <c r="T273" s="21"/>
    </row>
    <row r="274" spans="1:20" s="37" customFormat="1" ht="32.25" customHeight="1" x14ac:dyDescent="0.35">
      <c r="A274" s="59" t="s">
        <v>327</v>
      </c>
      <c r="B274" s="59" t="s">
        <v>307</v>
      </c>
      <c r="C274" s="59" t="s">
        <v>378</v>
      </c>
      <c r="D274" s="129">
        <f>(162.687)*(10.764)</f>
        <v>1751.1628680000001</v>
      </c>
      <c r="E274" s="59">
        <f>(163.174)*(10.764)</f>
        <v>1756.4049359999999</v>
      </c>
      <c r="F274" s="59">
        <f>(18.185+63.526+54.876+3.975+7.032)*(10.764)</f>
        <v>1588.7018159999998</v>
      </c>
      <c r="G274" s="59">
        <f>(6.679+54.876-10.435)*(10.764)</f>
        <v>550.25567999999998</v>
      </c>
      <c r="H274" s="130">
        <f t="shared" si="3"/>
        <v>2441.1815531999996</v>
      </c>
      <c r="I274" s="36" t="s">
        <v>451</v>
      </c>
      <c r="J274" s="95"/>
      <c r="L274" s="150"/>
      <c r="M274" s="150"/>
      <c r="N274" s="64">
        <f t="shared" ref="N274:N285" si="12">(210)*(10.764)</f>
        <v>2260.44</v>
      </c>
      <c r="T274" s="21"/>
    </row>
    <row r="275" spans="1:20" s="37" customFormat="1" ht="32.25" customHeight="1" x14ac:dyDescent="0.35">
      <c r="A275" s="59" t="s">
        <v>328</v>
      </c>
      <c r="B275" s="59" t="s">
        <v>307</v>
      </c>
      <c r="C275" s="59" t="s">
        <v>378</v>
      </c>
      <c r="D275" s="129">
        <f>(157.5)*(10.764)</f>
        <v>1695.33</v>
      </c>
      <c r="E275" s="59">
        <f>(208.688)*(10.764)</f>
        <v>2246.3176319999998</v>
      </c>
      <c r="F275" s="59">
        <f>(17.25+81.69+64.333+4.3+3.3)*(10.764)</f>
        <v>1839.2769720000001</v>
      </c>
      <c r="G275" s="59">
        <f>(64.33-10.97)*(10.764)</f>
        <v>574.36703999999997</v>
      </c>
      <c r="H275" s="130">
        <f t="shared" si="3"/>
        <v>2810.5433693999998</v>
      </c>
      <c r="I275" s="36"/>
      <c r="L275" s="150"/>
      <c r="M275" s="150"/>
      <c r="N275" s="64">
        <f t="shared" si="12"/>
        <v>2260.44</v>
      </c>
      <c r="T275" s="21"/>
    </row>
    <row r="276" spans="1:20" s="37" customFormat="1" ht="31.5" customHeight="1" x14ac:dyDescent="0.35">
      <c r="A276" s="59" t="s">
        <v>329</v>
      </c>
      <c r="B276" s="59" t="s">
        <v>307</v>
      </c>
      <c r="C276" s="59" t="s">
        <v>378</v>
      </c>
      <c r="D276" s="129">
        <f>(157.5)*(10.764)</f>
        <v>1695.33</v>
      </c>
      <c r="E276" s="59">
        <f>(208.688)*(10.764)</f>
        <v>2246.3176319999998</v>
      </c>
      <c r="F276" s="59">
        <f>(17.25+81.69+64.33+4.3+3.3)*(10.764)</f>
        <v>1839.24468</v>
      </c>
      <c r="G276" s="59">
        <f>(64.33-10.97)*(10.764)</f>
        <v>574.36703999999997</v>
      </c>
      <c r="H276" s="130">
        <f t="shared" si="3"/>
        <v>2810.4965459999999</v>
      </c>
      <c r="I276" s="36">
        <f>4*4</f>
        <v>16</v>
      </c>
      <c r="L276" s="150"/>
      <c r="M276" s="150"/>
      <c r="N276" s="64">
        <f t="shared" si="12"/>
        <v>2260.44</v>
      </c>
      <c r="P276" s="37" t="s">
        <v>455</v>
      </c>
      <c r="T276" s="21"/>
    </row>
    <row r="277" spans="1:20" s="37" customFormat="1" ht="31.5" customHeight="1" x14ac:dyDescent="0.35">
      <c r="A277" s="59" t="s">
        <v>330</v>
      </c>
      <c r="B277" s="59" t="s">
        <v>307</v>
      </c>
      <c r="C277" s="59" t="s">
        <v>378</v>
      </c>
      <c r="D277" s="129">
        <f>(157.5)*(10.764)</f>
        <v>1695.33</v>
      </c>
      <c r="E277" s="59">
        <f>(208.688)*(10.764)</f>
        <v>2246.3176319999998</v>
      </c>
      <c r="F277" s="59">
        <f>(17.25+81.69+64.333+4.3+3.3)*(10.764)</f>
        <v>1839.2769720000001</v>
      </c>
      <c r="G277" s="59">
        <f>(64.33-10.97)*(10.764)</f>
        <v>574.36703999999997</v>
      </c>
      <c r="H277" s="130">
        <f t="shared" si="3"/>
        <v>2810.5433693999998</v>
      </c>
      <c r="I277" s="36"/>
      <c r="L277" s="150"/>
      <c r="M277" s="150"/>
      <c r="N277" s="64">
        <f t="shared" si="12"/>
        <v>2260.44</v>
      </c>
      <c r="T277" s="21"/>
    </row>
    <row r="278" spans="1:20" s="37" customFormat="1" ht="31.5" customHeight="1" x14ac:dyDescent="0.35">
      <c r="A278" s="59" t="s">
        <v>331</v>
      </c>
      <c r="B278" s="59" t="s">
        <v>307</v>
      </c>
      <c r="C278" s="59" t="s">
        <v>378</v>
      </c>
      <c r="D278" s="129">
        <f>(157.5)*(10.764)</f>
        <v>1695.33</v>
      </c>
      <c r="E278" s="59">
        <f>(208.688)*(10.764)</f>
        <v>2246.3176319999998</v>
      </c>
      <c r="F278" s="59">
        <f>(17.25+81.69+64.33+4.3+3.3)*(10.764)</f>
        <v>1839.24468</v>
      </c>
      <c r="G278" s="59">
        <f>(64.33-10.97)*(10.764)</f>
        <v>574.36703999999997</v>
      </c>
      <c r="H278" s="130">
        <f t="shared" si="3"/>
        <v>2810.4965459999999</v>
      </c>
      <c r="I278" s="36" t="s">
        <v>452</v>
      </c>
      <c r="L278" s="150"/>
      <c r="M278" s="150"/>
      <c r="N278" s="64">
        <f t="shared" si="12"/>
        <v>2260.44</v>
      </c>
      <c r="T278" s="21"/>
    </row>
    <row r="279" spans="1:20" s="37" customFormat="1" ht="31.5" customHeight="1" x14ac:dyDescent="0.35">
      <c r="A279" s="59" t="s">
        <v>332</v>
      </c>
      <c r="B279" s="59" t="s">
        <v>307</v>
      </c>
      <c r="C279" s="59" t="s">
        <v>378</v>
      </c>
      <c r="D279" s="129">
        <f>(157.5)*(10.764)</f>
        <v>1695.33</v>
      </c>
      <c r="E279" s="59">
        <f>(208.688)*(10.764)</f>
        <v>2246.3176319999998</v>
      </c>
      <c r="F279" s="59">
        <f>(17.25+81.69+64.333+4.3+3.3)*(10.764)</f>
        <v>1839.2769720000001</v>
      </c>
      <c r="G279" s="59">
        <f>(64.33-10.97)*(10.764)</f>
        <v>574.36703999999997</v>
      </c>
      <c r="H279" s="130">
        <f t="shared" si="3"/>
        <v>2810.5433693999998</v>
      </c>
      <c r="I279" s="36"/>
      <c r="L279" s="150"/>
      <c r="M279" s="150"/>
      <c r="N279" s="64">
        <f t="shared" si="12"/>
        <v>2260.44</v>
      </c>
      <c r="T279" s="21"/>
    </row>
    <row r="280" spans="1:20" s="37" customFormat="1" ht="30" customHeight="1" x14ac:dyDescent="0.35">
      <c r="A280" s="59" t="s">
        <v>333</v>
      </c>
      <c r="B280" s="59" t="s">
        <v>307</v>
      </c>
      <c r="C280" s="59" t="s">
        <v>378</v>
      </c>
      <c r="D280" s="129">
        <f>(208.737)*(10.764)</f>
        <v>2246.8450679999996</v>
      </c>
      <c r="E280" s="59">
        <f>(201.334)*(10.764)</f>
        <v>2167.1591760000001</v>
      </c>
      <c r="F280" s="59">
        <f>(26.553+78.424+60.769+6.4+7.195)*(10.764)</f>
        <v>1930.426524</v>
      </c>
      <c r="G280" s="59">
        <f>(60.769-10.97)*(10.764)</f>
        <v>536.03643599999998</v>
      </c>
      <c r="H280" s="130">
        <f t="shared" si="3"/>
        <v>2933.1275688000001</v>
      </c>
      <c r="I280" s="36"/>
      <c r="L280" s="150"/>
      <c r="M280" s="150"/>
      <c r="N280" s="64">
        <f t="shared" si="12"/>
        <v>2260.44</v>
      </c>
      <c r="T280" s="21"/>
    </row>
    <row r="281" spans="1:20" s="37" customFormat="1" ht="32.25" customHeight="1" x14ac:dyDescent="0.35">
      <c r="A281" s="59" t="s">
        <v>335</v>
      </c>
      <c r="B281" s="59" t="s">
        <v>307</v>
      </c>
      <c r="C281" s="59" t="s">
        <v>378</v>
      </c>
      <c r="D281" s="129">
        <f>(157.5)*(10.764)</f>
        <v>1695.33</v>
      </c>
      <c r="E281" s="59">
        <f>(208.688)*(10.764)</f>
        <v>2246.3176319999998</v>
      </c>
      <c r="F281" s="59">
        <f>(17.25+81.69+64.33+4.3+3.3)*(10.764)</f>
        <v>1839.24468</v>
      </c>
      <c r="G281" s="59">
        <f>(64.33-10.97)*(10.764)</f>
        <v>574.36703999999997</v>
      </c>
      <c r="H281" s="130">
        <f t="shared" si="3"/>
        <v>2810.4965459999999</v>
      </c>
      <c r="I281" s="96" t="s">
        <v>453</v>
      </c>
      <c r="L281" s="150"/>
      <c r="M281" s="150"/>
      <c r="N281" s="64">
        <f t="shared" si="12"/>
        <v>2260.44</v>
      </c>
      <c r="T281" s="21"/>
    </row>
    <row r="282" spans="1:20" s="37" customFormat="1" ht="32.25" customHeight="1" x14ac:dyDescent="0.35">
      <c r="A282" s="59" t="s">
        <v>334</v>
      </c>
      <c r="B282" s="59" t="s">
        <v>307</v>
      </c>
      <c r="C282" s="59" t="s">
        <v>378</v>
      </c>
      <c r="D282" s="129">
        <f>(157.5)*(10.764)</f>
        <v>1695.33</v>
      </c>
      <c r="E282" s="59">
        <f>(208.688)*(10.764)</f>
        <v>2246.3176319999998</v>
      </c>
      <c r="F282" s="59">
        <f>(17.25+81.69+64.33+4.3+3.3)*(10.764)</f>
        <v>1839.24468</v>
      </c>
      <c r="G282" s="59">
        <f>(64.33-10.97)*(10.764)</f>
        <v>574.36703999999997</v>
      </c>
      <c r="H282" s="130">
        <f t="shared" si="3"/>
        <v>2810.4965459999999</v>
      </c>
      <c r="I282" s="36"/>
      <c r="L282" s="150"/>
      <c r="M282" s="150"/>
      <c r="N282" s="64">
        <f t="shared" si="12"/>
        <v>2260.44</v>
      </c>
      <c r="T282" s="21"/>
    </row>
    <row r="283" spans="1:20" s="37" customFormat="1" ht="32.25" customHeight="1" x14ac:dyDescent="0.35">
      <c r="A283" s="59" t="s">
        <v>336</v>
      </c>
      <c r="B283" s="59" t="s">
        <v>307</v>
      </c>
      <c r="C283" s="59" t="s">
        <v>378</v>
      </c>
      <c r="D283" s="129">
        <f>(157.5)*(10.764)</f>
        <v>1695.33</v>
      </c>
      <c r="E283" s="59">
        <f>(208.688)*(10.764)</f>
        <v>2246.3176319999998</v>
      </c>
      <c r="F283" s="59">
        <f>(17.25+81.69+64.33+4.3+3.3)*(10.764)</f>
        <v>1839.24468</v>
      </c>
      <c r="G283" s="59">
        <f>(64.33-10.97)*(10.764)</f>
        <v>574.36703999999997</v>
      </c>
      <c r="H283" s="130">
        <f t="shared" si="3"/>
        <v>2810.4965459999999</v>
      </c>
      <c r="I283" s="36"/>
      <c r="L283" s="150"/>
      <c r="M283" s="150"/>
      <c r="N283" s="64">
        <f t="shared" si="12"/>
        <v>2260.44</v>
      </c>
      <c r="T283" s="21"/>
    </row>
    <row r="284" spans="1:20" s="37" customFormat="1" ht="32.25" customHeight="1" x14ac:dyDescent="0.35">
      <c r="A284" s="59" t="s">
        <v>337</v>
      </c>
      <c r="B284" s="59" t="s">
        <v>307</v>
      </c>
      <c r="C284" s="59" t="s">
        <v>378</v>
      </c>
      <c r="D284" s="129">
        <f>(157.5)*(10.764)</f>
        <v>1695.33</v>
      </c>
      <c r="E284" s="59">
        <f>(208.688)*(10.764)</f>
        <v>2246.3176319999998</v>
      </c>
      <c r="F284" s="59">
        <f>(17.25+81.69+64.33+4.3+3.3)*(10.764)</f>
        <v>1839.24468</v>
      </c>
      <c r="G284" s="59">
        <f>(64.33-10.97)*(10.764)</f>
        <v>574.36703999999997</v>
      </c>
      <c r="H284" s="130">
        <f t="shared" si="3"/>
        <v>2810.4965459999999</v>
      </c>
      <c r="I284" s="36"/>
      <c r="L284" s="150"/>
      <c r="M284" s="150"/>
      <c r="N284" s="64">
        <f t="shared" si="12"/>
        <v>2260.44</v>
      </c>
      <c r="T284" s="21"/>
    </row>
    <row r="285" spans="1:20" s="37" customFormat="1" ht="32.25" customHeight="1" x14ac:dyDescent="0.35">
      <c r="A285" s="59" t="s">
        <v>338</v>
      </c>
      <c r="B285" s="59" t="s">
        <v>307</v>
      </c>
      <c r="C285" s="59" t="s">
        <v>378</v>
      </c>
      <c r="D285" s="129">
        <f>(157.5)*(10.764)</f>
        <v>1695.33</v>
      </c>
      <c r="E285" s="59">
        <f>(208.688)*(10.764)</f>
        <v>2246.3176319999998</v>
      </c>
      <c r="F285" s="59">
        <f>(17.25+81.69+64.33+4.3+3.3)*(10.764)</f>
        <v>1839.24468</v>
      </c>
      <c r="G285" s="59">
        <f>(64.33-10.97)*(10.764)</f>
        <v>574.36703999999997</v>
      </c>
      <c r="H285" s="130">
        <f t="shared" si="3"/>
        <v>2810.4965459999999</v>
      </c>
      <c r="I285" s="36"/>
      <c r="L285" s="150"/>
      <c r="M285" s="150"/>
      <c r="N285" s="64">
        <f t="shared" si="12"/>
        <v>2260.44</v>
      </c>
      <c r="T285" s="21"/>
    </row>
    <row r="286" spans="1:20" s="37" customFormat="1" ht="32.25" customHeight="1" x14ac:dyDescent="0.35">
      <c r="A286" s="59" t="s">
        <v>339</v>
      </c>
      <c r="B286" s="59" t="s">
        <v>307</v>
      </c>
      <c r="C286" s="59" t="s">
        <v>378</v>
      </c>
      <c r="D286" s="129">
        <f>(208.737)*(10.764)</f>
        <v>2246.8450679999996</v>
      </c>
      <c r="E286" s="59">
        <f>(201.334)*(10.764)</f>
        <v>2167.1591760000001</v>
      </c>
      <c r="F286" s="59">
        <f>(26.553+78.424+60.769+6.4+7.195)*(10.764)</f>
        <v>1930.426524</v>
      </c>
      <c r="G286" s="59">
        <f>(60.769-10.97)*(10.764)</f>
        <v>536.03643599999998</v>
      </c>
      <c r="H286" s="130">
        <f t="shared" si="3"/>
        <v>2933.1275688000001</v>
      </c>
      <c r="I286" s="36"/>
      <c r="L286" s="150"/>
      <c r="M286" s="150"/>
      <c r="N286" s="64">
        <f t="shared" ref="N286:N301" si="13">(175)*(10.764)</f>
        <v>1883.6999999999998</v>
      </c>
      <c r="T286" s="21"/>
    </row>
    <row r="287" spans="1:20" s="37" customFormat="1" ht="31.5" customHeight="1" x14ac:dyDescent="0.35">
      <c r="A287" s="59" t="s">
        <v>340</v>
      </c>
      <c r="B287" s="59" t="s">
        <v>307</v>
      </c>
      <c r="C287" s="59" t="s">
        <v>378</v>
      </c>
      <c r="D287" s="129">
        <f>(158.55)*(10.764)</f>
        <v>1706.6322</v>
      </c>
      <c r="E287" s="59">
        <f>(163.079)*(10.764)</f>
        <v>1755.3823560000001</v>
      </c>
      <c r="F287" s="59">
        <f>(18.185+63.526+54.876+3.97+7.027)*(10.764)</f>
        <v>1588.5941759999996</v>
      </c>
      <c r="G287" s="59">
        <f>(54.876+6.679-10.365)*(10.764)</f>
        <v>551.00915999999995</v>
      </c>
      <c r="H287" s="130">
        <f t="shared" si="3"/>
        <v>2441.2138451999995</v>
      </c>
      <c r="I287" s="36"/>
      <c r="L287" s="150"/>
      <c r="M287" s="150"/>
      <c r="N287" s="64">
        <f t="shared" si="13"/>
        <v>1883.6999999999998</v>
      </c>
      <c r="T287" s="21"/>
    </row>
    <row r="288" spans="1:20" s="37" customFormat="1" ht="15.75" customHeight="1" x14ac:dyDescent="0.35">
      <c r="A288" s="59" t="s">
        <v>341</v>
      </c>
      <c r="B288" s="59" t="s">
        <v>308</v>
      </c>
      <c r="C288" s="59" t="s">
        <v>378</v>
      </c>
      <c r="D288" s="129">
        <f t="shared" ref="D288:D293" si="14">(112.5)*(10.764)</f>
        <v>1210.9499999999998</v>
      </c>
      <c r="E288" s="59">
        <f t="shared" ref="E288:E293" si="15">(171.27)*(10.764)</f>
        <v>1843.5502799999999</v>
      </c>
      <c r="F288" s="59">
        <f>(18.289+67.6+54.67+3.3)*(10.764)</f>
        <v>1548.498276</v>
      </c>
      <c r="G288" s="59">
        <f t="shared" ref="G288:G293" si="16">(6.679+54.67-10.435)*(10.764)</f>
        <v>548.03829599999995</v>
      </c>
      <c r="H288" s="130">
        <f t="shared" si="3"/>
        <v>2382.3320742000001</v>
      </c>
      <c r="I288" s="36"/>
      <c r="L288" s="150"/>
      <c r="M288" s="150"/>
      <c r="N288" s="64">
        <f t="shared" si="13"/>
        <v>1883.6999999999998</v>
      </c>
      <c r="T288" s="21"/>
    </row>
    <row r="289" spans="1:20" s="37" customFormat="1" ht="15.75" customHeight="1" x14ac:dyDescent="0.35">
      <c r="A289" s="59" t="s">
        <v>342</v>
      </c>
      <c r="B289" s="59" t="s">
        <v>308</v>
      </c>
      <c r="C289" s="59" t="s">
        <v>378</v>
      </c>
      <c r="D289" s="129">
        <f t="shared" si="14"/>
        <v>1210.9499999999998</v>
      </c>
      <c r="E289" s="59">
        <f t="shared" si="15"/>
        <v>1843.5502799999999</v>
      </c>
      <c r="F289" s="59">
        <f>(18.289+67.6+54.6+3.3)*(10.764)</f>
        <v>1547.7447960000002</v>
      </c>
      <c r="G289" s="59">
        <f t="shared" si="16"/>
        <v>548.03829599999995</v>
      </c>
      <c r="H289" s="130">
        <f t="shared" si="3"/>
        <v>2381.2395282000002</v>
      </c>
      <c r="I289" s="36"/>
      <c r="L289" s="150"/>
      <c r="M289" s="150"/>
      <c r="N289" s="64">
        <f t="shared" si="13"/>
        <v>1883.6999999999998</v>
      </c>
      <c r="T289" s="21"/>
    </row>
    <row r="290" spans="1:20" s="37" customFormat="1" ht="15.75" customHeight="1" x14ac:dyDescent="0.35">
      <c r="A290" s="59" t="s">
        <v>343</v>
      </c>
      <c r="B290" s="59" t="s">
        <v>308</v>
      </c>
      <c r="C290" s="59" t="s">
        <v>378</v>
      </c>
      <c r="D290" s="129">
        <f t="shared" si="14"/>
        <v>1210.9499999999998</v>
      </c>
      <c r="E290" s="59">
        <f t="shared" si="15"/>
        <v>1843.5502799999999</v>
      </c>
      <c r="F290" s="59">
        <f>(18.289+67.6+54.67+3.3)*(10.764)</f>
        <v>1548.498276</v>
      </c>
      <c r="G290" s="59">
        <f t="shared" si="16"/>
        <v>548.03829599999995</v>
      </c>
      <c r="H290" s="130">
        <f t="shared" si="3"/>
        <v>2382.3320742000001</v>
      </c>
      <c r="I290" s="36"/>
      <c r="L290" s="150"/>
      <c r="M290" s="150"/>
      <c r="N290" s="64">
        <f t="shared" si="13"/>
        <v>1883.6999999999998</v>
      </c>
      <c r="T290" s="21"/>
    </row>
    <row r="291" spans="1:20" s="37" customFormat="1" ht="15.75" customHeight="1" x14ac:dyDescent="0.35">
      <c r="A291" s="59" t="s">
        <v>344</v>
      </c>
      <c r="B291" s="59" t="s">
        <v>308</v>
      </c>
      <c r="C291" s="59" t="s">
        <v>378</v>
      </c>
      <c r="D291" s="129">
        <f t="shared" si="14"/>
        <v>1210.9499999999998</v>
      </c>
      <c r="E291" s="59">
        <f t="shared" si="15"/>
        <v>1843.5502799999999</v>
      </c>
      <c r="F291" s="59">
        <f>(18.289+67.6+54.6+3.3)*(10.764)</f>
        <v>1547.7447960000002</v>
      </c>
      <c r="G291" s="59">
        <f t="shared" si="16"/>
        <v>548.03829599999995</v>
      </c>
      <c r="H291" s="130">
        <f t="shared" si="3"/>
        <v>2381.2395282000002</v>
      </c>
      <c r="I291" s="36"/>
      <c r="L291" s="150"/>
      <c r="M291" s="150"/>
      <c r="N291" s="64">
        <f t="shared" si="13"/>
        <v>1883.6999999999998</v>
      </c>
      <c r="T291" s="21"/>
    </row>
    <row r="292" spans="1:20" s="37" customFormat="1" ht="15.75" customHeight="1" x14ac:dyDescent="0.35">
      <c r="A292" s="59" t="s">
        <v>345</v>
      </c>
      <c r="B292" s="59" t="s">
        <v>308</v>
      </c>
      <c r="C292" s="59" t="s">
        <v>378</v>
      </c>
      <c r="D292" s="129">
        <f t="shared" si="14"/>
        <v>1210.9499999999998</v>
      </c>
      <c r="E292" s="59">
        <f t="shared" si="15"/>
        <v>1843.5502799999999</v>
      </c>
      <c r="F292" s="59">
        <f>(18.289+67.6+54.67+3.3)*(10.764)</f>
        <v>1548.498276</v>
      </c>
      <c r="G292" s="59">
        <f t="shared" si="16"/>
        <v>548.03829599999995</v>
      </c>
      <c r="H292" s="130">
        <f t="shared" si="3"/>
        <v>2382.3320742000001</v>
      </c>
      <c r="I292" s="36"/>
      <c r="L292" s="150"/>
      <c r="M292" s="150"/>
      <c r="N292" s="64">
        <f t="shared" si="13"/>
        <v>1883.6999999999998</v>
      </c>
      <c r="T292" s="21"/>
    </row>
    <row r="293" spans="1:20" s="37" customFormat="1" ht="15.75" customHeight="1" x14ac:dyDescent="0.35">
      <c r="A293" s="59" t="s">
        <v>346</v>
      </c>
      <c r="B293" s="59" t="s">
        <v>308</v>
      </c>
      <c r="C293" s="59" t="s">
        <v>378</v>
      </c>
      <c r="D293" s="129">
        <f t="shared" si="14"/>
        <v>1210.9499999999998</v>
      </c>
      <c r="E293" s="59">
        <f t="shared" si="15"/>
        <v>1843.5502799999999</v>
      </c>
      <c r="F293" s="59">
        <f>(18.289+67.6+54.67+3.3)*(10.764)</f>
        <v>1548.498276</v>
      </c>
      <c r="G293" s="59">
        <f t="shared" si="16"/>
        <v>548.03829599999995</v>
      </c>
      <c r="H293" s="130">
        <f t="shared" si="3"/>
        <v>2382.3320742000001</v>
      </c>
      <c r="I293" s="36"/>
      <c r="L293" s="150"/>
      <c r="M293" s="150"/>
      <c r="N293" s="64">
        <f t="shared" si="13"/>
        <v>1883.6999999999998</v>
      </c>
      <c r="T293" s="21"/>
    </row>
    <row r="294" spans="1:20" s="37" customFormat="1" ht="31.5" customHeight="1" x14ac:dyDescent="0.35">
      <c r="A294" s="59" t="s">
        <v>347</v>
      </c>
      <c r="B294" s="59" t="s">
        <v>307</v>
      </c>
      <c r="C294" s="59" t="s">
        <v>378</v>
      </c>
      <c r="D294" s="129">
        <f>(162.687)*(10.764)</f>
        <v>1751.1628680000001</v>
      </c>
      <c r="E294" s="59">
        <f>(163.174)*(10.764)</f>
        <v>1756.4049359999999</v>
      </c>
      <c r="F294" s="59">
        <f>(18.185+63.526+54.876+3.975+7.032)*(10.764)</f>
        <v>1588.7018159999998</v>
      </c>
      <c r="G294" s="59">
        <f>(54.876+6.679-10.365)*(10.764)</f>
        <v>551.00915999999995</v>
      </c>
      <c r="H294" s="130">
        <f t="shared" si="3"/>
        <v>2441.3699231999994</v>
      </c>
      <c r="I294" s="36" t="s">
        <v>450</v>
      </c>
      <c r="L294" s="150"/>
      <c r="M294" s="150"/>
      <c r="N294" s="64">
        <f t="shared" si="13"/>
        <v>1883.6999999999998</v>
      </c>
      <c r="T294" s="21"/>
    </row>
    <row r="295" spans="1:20" s="37" customFormat="1" ht="31.5" customHeight="1" x14ac:dyDescent="0.35">
      <c r="A295" s="59" t="s">
        <v>348</v>
      </c>
      <c r="B295" s="59" t="s">
        <v>307</v>
      </c>
      <c r="C295" s="59" t="s">
        <v>378</v>
      </c>
      <c r="D295" s="129">
        <f>(158.55)*(10.764)</f>
        <v>1706.6322</v>
      </c>
      <c r="E295" s="59">
        <f>(163.079)*(10.764)</f>
        <v>1755.3823560000001</v>
      </c>
      <c r="F295" s="59">
        <f>(18.185+63.526+54.876+3.97+7.027)*(10.764)</f>
        <v>1588.5941759999996</v>
      </c>
      <c r="G295" s="59">
        <f>(54.876+6.679-10.365)*(10.764)</f>
        <v>551.00915999999995</v>
      </c>
      <c r="H295" s="130">
        <f t="shared" si="3"/>
        <v>2441.2138451999995</v>
      </c>
      <c r="I295" s="36"/>
      <c r="L295" s="150"/>
      <c r="M295" s="150"/>
      <c r="N295" s="64">
        <f t="shared" si="13"/>
        <v>1883.6999999999998</v>
      </c>
      <c r="T295" s="21"/>
    </row>
    <row r="296" spans="1:20" s="37" customFormat="1" ht="15.75" customHeight="1" x14ac:dyDescent="0.35">
      <c r="A296" s="59" t="s">
        <v>349</v>
      </c>
      <c r="B296" s="59" t="s">
        <v>308</v>
      </c>
      <c r="C296" s="59" t="s">
        <v>378</v>
      </c>
      <c r="D296" s="129">
        <f t="shared" ref="D296:D297" si="17">(112.5)*(10.764)</f>
        <v>1210.9499999999998</v>
      </c>
      <c r="E296" s="59">
        <f t="shared" ref="E296:E301" si="18">(171.27)*(10.764)</f>
        <v>1843.5502799999999</v>
      </c>
      <c r="F296" s="59">
        <f>(18.289+67.6+54.6+3.3)*(10.764)</f>
        <v>1547.7447960000002</v>
      </c>
      <c r="G296" s="59">
        <f t="shared" ref="G296:G301" si="19">(6.679+54.67-10.435)*(10.764)</f>
        <v>548.03829599999995</v>
      </c>
      <c r="H296" s="130">
        <f t="shared" si="3"/>
        <v>2381.2395282000002</v>
      </c>
      <c r="I296" s="36"/>
      <c r="L296" s="150"/>
      <c r="M296" s="150"/>
      <c r="N296" s="64">
        <f t="shared" si="13"/>
        <v>1883.6999999999998</v>
      </c>
      <c r="T296" s="21"/>
    </row>
    <row r="297" spans="1:20" s="37" customFormat="1" ht="15.75" customHeight="1" x14ac:dyDescent="0.35">
      <c r="A297" s="59" t="s">
        <v>350</v>
      </c>
      <c r="B297" s="59" t="s">
        <v>308</v>
      </c>
      <c r="C297" s="59" t="s">
        <v>378</v>
      </c>
      <c r="D297" s="129">
        <f t="shared" si="17"/>
        <v>1210.9499999999998</v>
      </c>
      <c r="E297" s="59">
        <f t="shared" si="18"/>
        <v>1843.5502799999999</v>
      </c>
      <c r="F297" s="59">
        <f>(18.289+67.6+54.67+3.3)*(10.764)</f>
        <v>1548.498276</v>
      </c>
      <c r="G297" s="59">
        <f t="shared" si="19"/>
        <v>548.03829599999995</v>
      </c>
      <c r="H297" s="130">
        <f t="shared" si="3"/>
        <v>2382.3320742000001</v>
      </c>
      <c r="I297" s="36"/>
      <c r="L297" s="150"/>
      <c r="M297" s="150"/>
      <c r="N297" s="64">
        <f t="shared" si="13"/>
        <v>1883.6999999999998</v>
      </c>
      <c r="T297" s="21"/>
    </row>
    <row r="298" spans="1:20" s="37" customFormat="1" ht="15.75" customHeight="1" x14ac:dyDescent="0.35">
      <c r="A298" s="59" t="s">
        <v>351</v>
      </c>
      <c r="B298" s="59" t="s">
        <v>308</v>
      </c>
      <c r="C298" s="59" t="s">
        <v>378</v>
      </c>
      <c r="D298" s="129">
        <f t="shared" ref="D298:D301" si="20">(112.5)*(10.764)</f>
        <v>1210.9499999999998</v>
      </c>
      <c r="E298" s="59">
        <f t="shared" si="18"/>
        <v>1843.5502799999999</v>
      </c>
      <c r="F298" s="59">
        <f>(18.289+67.6+54.6+3.3)*(10.764)</f>
        <v>1547.7447960000002</v>
      </c>
      <c r="G298" s="59">
        <f t="shared" si="19"/>
        <v>548.03829599999995</v>
      </c>
      <c r="H298" s="130">
        <f t="shared" si="3"/>
        <v>2381.2395282000002</v>
      </c>
      <c r="I298" s="36"/>
      <c r="L298" s="150"/>
      <c r="M298" s="150"/>
      <c r="N298" s="64">
        <f t="shared" si="13"/>
        <v>1883.6999999999998</v>
      </c>
      <c r="T298" s="21"/>
    </row>
    <row r="299" spans="1:20" s="37" customFormat="1" ht="15.75" customHeight="1" x14ac:dyDescent="0.35">
      <c r="A299" s="59" t="s">
        <v>352</v>
      </c>
      <c r="B299" s="59" t="s">
        <v>308</v>
      </c>
      <c r="C299" s="59" t="s">
        <v>378</v>
      </c>
      <c r="D299" s="129">
        <f t="shared" si="20"/>
        <v>1210.9499999999998</v>
      </c>
      <c r="E299" s="59">
        <f t="shared" si="18"/>
        <v>1843.5502799999999</v>
      </c>
      <c r="F299" s="59">
        <f>(18.289+67.6+54.67+3.3)*(10.764)</f>
        <v>1548.498276</v>
      </c>
      <c r="G299" s="59">
        <f t="shared" si="19"/>
        <v>548.03829599999995</v>
      </c>
      <c r="H299" s="130">
        <f t="shared" si="3"/>
        <v>2382.3320742000001</v>
      </c>
      <c r="I299" s="36"/>
      <c r="L299" s="150"/>
      <c r="M299" s="150"/>
      <c r="N299" s="64">
        <f t="shared" si="13"/>
        <v>1883.6999999999998</v>
      </c>
      <c r="T299" s="21"/>
    </row>
    <row r="300" spans="1:20" s="37" customFormat="1" ht="15.75" customHeight="1" x14ac:dyDescent="0.35">
      <c r="A300" s="59" t="s">
        <v>353</v>
      </c>
      <c r="B300" s="59" t="s">
        <v>308</v>
      </c>
      <c r="C300" s="59" t="s">
        <v>378</v>
      </c>
      <c r="D300" s="129">
        <f t="shared" si="20"/>
        <v>1210.9499999999998</v>
      </c>
      <c r="E300" s="59">
        <f t="shared" si="18"/>
        <v>1843.5502799999999</v>
      </c>
      <c r="F300" s="59">
        <f>(18.289+67.6+54.6+3.3)*(10.764)</f>
        <v>1547.7447960000002</v>
      </c>
      <c r="G300" s="59">
        <f t="shared" si="19"/>
        <v>548.03829599999995</v>
      </c>
      <c r="H300" s="130">
        <f t="shared" si="3"/>
        <v>2381.2395282000002</v>
      </c>
      <c r="I300" s="36"/>
      <c r="L300" s="150"/>
      <c r="M300" s="150"/>
      <c r="N300" s="64">
        <f t="shared" si="13"/>
        <v>1883.6999999999998</v>
      </c>
      <c r="T300" s="21"/>
    </row>
    <row r="301" spans="1:20" s="37" customFormat="1" ht="15.75" customHeight="1" x14ac:dyDescent="0.35">
      <c r="A301" s="59" t="s">
        <v>354</v>
      </c>
      <c r="B301" s="59" t="s">
        <v>308</v>
      </c>
      <c r="C301" s="59" t="s">
        <v>378</v>
      </c>
      <c r="D301" s="129">
        <f t="shared" si="20"/>
        <v>1210.9499999999998</v>
      </c>
      <c r="E301" s="59">
        <f t="shared" si="18"/>
        <v>1843.5502799999999</v>
      </c>
      <c r="F301" s="59">
        <f>(18.289+67.6+54.67+3.3)*(10.764)</f>
        <v>1548.498276</v>
      </c>
      <c r="G301" s="59">
        <f t="shared" si="19"/>
        <v>548.03829599999995</v>
      </c>
      <c r="H301" s="130">
        <f t="shared" si="3"/>
        <v>2382.3320742000001</v>
      </c>
      <c r="I301" s="36"/>
      <c r="L301" s="150"/>
      <c r="M301" s="150"/>
      <c r="N301" s="64">
        <f t="shared" si="13"/>
        <v>1883.6999999999998</v>
      </c>
      <c r="T301" s="21"/>
    </row>
    <row r="302" spans="1:20" s="37" customFormat="1" ht="30.75" customHeight="1" x14ac:dyDescent="0.35">
      <c r="A302" s="59" t="s">
        <v>361</v>
      </c>
      <c r="B302" s="59" t="s">
        <v>307</v>
      </c>
      <c r="C302" s="59" t="s">
        <v>378</v>
      </c>
      <c r="D302" s="129">
        <f>(162.413)*(10.764)</f>
        <v>1748.213532</v>
      </c>
      <c r="E302" s="59">
        <f>(163.174)*(10.764)</f>
        <v>1756.4049359999999</v>
      </c>
      <c r="F302" s="59">
        <f>(18.185+63.526+54.876+3.975+7.032)*(10.764)</f>
        <v>1588.7018159999998</v>
      </c>
      <c r="G302" s="59">
        <f>(54.876+6.679-10.365)*(10.764)</f>
        <v>551.00915999999995</v>
      </c>
      <c r="H302" s="130">
        <f t="shared" si="3"/>
        <v>2441.3699231999994</v>
      </c>
      <c r="I302" s="36"/>
      <c r="L302" s="150"/>
      <c r="M302" s="150"/>
      <c r="N302" s="64">
        <f>(320)*(10.764)</f>
        <v>3444.4799999999996</v>
      </c>
      <c r="T302" s="21"/>
    </row>
    <row r="303" spans="1:20" s="37" customFormat="1" ht="15.75" customHeight="1" x14ac:dyDescent="0.35">
      <c r="A303" s="59" t="s">
        <v>355</v>
      </c>
      <c r="B303" s="59" t="s">
        <v>306</v>
      </c>
      <c r="C303" s="59" t="s">
        <v>378</v>
      </c>
      <c r="D303" s="129">
        <f>(338.89)*(10.764)</f>
        <v>3647.8119599999995</v>
      </c>
      <c r="E303" s="59">
        <f>(317.67)*(10.764)</f>
        <v>3419.3998799999999</v>
      </c>
      <c r="F303" s="59">
        <f>(73.808+100.195+99.085+15.265)*(10.764)</f>
        <v>3103.8316919999993</v>
      </c>
      <c r="G303" s="59">
        <f>(99.085+9.648+7.119-18.355)*(10.764)</f>
        <v>1049.4577079999997</v>
      </c>
      <c r="H303" s="130">
        <f t="shared" si="3"/>
        <v>4762.9203803999981</v>
      </c>
      <c r="I303" s="36" t="s">
        <v>461</v>
      </c>
      <c r="L303" s="150"/>
      <c r="M303" s="150"/>
      <c r="N303" s="64">
        <f>(325)*(10.764)</f>
        <v>3498.2999999999997</v>
      </c>
      <c r="T303" s="21"/>
    </row>
    <row r="304" spans="1:20" s="37" customFormat="1" ht="30.75" customHeight="1" x14ac:dyDescent="0.35">
      <c r="A304" s="97" t="s">
        <v>356</v>
      </c>
      <c r="B304" s="97" t="s">
        <v>307</v>
      </c>
      <c r="C304" s="59" t="s">
        <v>378</v>
      </c>
      <c r="D304" s="129">
        <f>(248.004)*(10.764)</f>
        <v>2669.5150559999997</v>
      </c>
      <c r="E304" s="59">
        <f>(321.044)*10.764</f>
        <v>3455.7176159999995</v>
      </c>
      <c r="F304" s="59">
        <f>(70.108+108.534+107.33+11.304+30.208)*10.764</f>
        <v>3525.0377759999988</v>
      </c>
      <c r="G304" s="59">
        <f>(107.33-12.852)*(10.764)</f>
        <v>1016.9611919999999</v>
      </c>
      <c r="H304" s="130">
        <f t="shared" si="3"/>
        <v>5365.5450731999981</v>
      </c>
      <c r="I304" s="36"/>
      <c r="L304" s="150"/>
      <c r="M304" s="150"/>
      <c r="N304" s="64">
        <f>(325)*(10.764)</f>
        <v>3498.2999999999997</v>
      </c>
      <c r="T304" s="21"/>
    </row>
    <row r="305" spans="1:20" s="37" customFormat="1" ht="30.75" customHeight="1" x14ac:dyDescent="0.35">
      <c r="A305" s="97" t="s">
        <v>357</v>
      </c>
      <c r="B305" s="97" t="s">
        <v>307</v>
      </c>
      <c r="C305" s="97" t="s">
        <v>378</v>
      </c>
      <c r="D305" s="131">
        <f>(230.846)*(10.764)</f>
        <v>2484.8263440000001</v>
      </c>
      <c r="E305" s="97">
        <f>(325)*10.764</f>
        <v>3498.2999999999997</v>
      </c>
      <c r="F305" s="97">
        <f>(70.103+108.534+107.33+20.831)*10.764</f>
        <v>3302.3736719999997</v>
      </c>
      <c r="G305" s="59">
        <f>(107.33-12.852)*(10.764)</f>
        <v>1016.9611919999999</v>
      </c>
      <c r="H305" s="130">
        <f t="shared" si="3"/>
        <v>5042.6821223999996</v>
      </c>
      <c r="I305" s="36"/>
      <c r="L305" s="150"/>
      <c r="M305" s="150"/>
      <c r="N305" s="64">
        <f>(315)*(10.764)</f>
        <v>3390.66</v>
      </c>
      <c r="T305" s="21"/>
    </row>
    <row r="306" spans="1:20" s="37" customFormat="1" ht="15.75" customHeight="1" x14ac:dyDescent="0.35">
      <c r="A306" s="59" t="s">
        <v>359</v>
      </c>
      <c r="B306" s="59" t="s">
        <v>306</v>
      </c>
      <c r="C306" s="59" t="s">
        <v>378</v>
      </c>
      <c r="D306" s="129">
        <f>(276.605)*(10.764)</f>
        <v>2977.3762200000001</v>
      </c>
      <c r="E306" s="59">
        <f>(301.53)*(10.764)</f>
        <v>3245.6689199999996</v>
      </c>
      <c r="F306" s="59">
        <f>(57.362+102.765+103.065+15.141)*(10.764)</f>
        <v>2995.976412</v>
      </c>
      <c r="G306" s="59">
        <f>(103.065-12.29)*(10.764)</f>
        <v>977.10209999999995</v>
      </c>
      <c r="H306" s="130">
        <f t="shared" si="3"/>
        <v>4588.4413224</v>
      </c>
      <c r="I306" s="36"/>
      <c r="L306" s="150"/>
      <c r="M306" s="150"/>
      <c r="N306" s="36"/>
      <c r="T306" s="21"/>
    </row>
    <row r="307" spans="1:20" s="37" customFormat="1" ht="15.75" hidden="1" customHeight="1" x14ac:dyDescent="0.35">
      <c r="A307" s="59"/>
      <c r="B307" s="59"/>
      <c r="C307" s="59"/>
      <c r="D307" s="59">
        <f t="shared" ref="D307:D316" si="21">C307*10.764</f>
        <v>0</v>
      </c>
      <c r="E307" s="59"/>
      <c r="F307" s="59"/>
      <c r="G307" s="151"/>
      <c r="H307" s="151"/>
      <c r="I307" s="36"/>
      <c r="L307" s="150"/>
      <c r="M307" s="150"/>
      <c r="N307" s="36"/>
      <c r="T307" s="21"/>
    </row>
    <row r="308" spans="1:20" s="37" customFormat="1" ht="15.75" hidden="1" customHeight="1" x14ac:dyDescent="0.35">
      <c r="A308" s="59"/>
      <c r="B308" s="59"/>
      <c r="C308" s="59"/>
      <c r="D308" s="59">
        <f t="shared" si="21"/>
        <v>0</v>
      </c>
      <c r="E308" s="59"/>
      <c r="F308" s="59"/>
      <c r="G308" s="151"/>
      <c r="H308" s="151"/>
      <c r="I308" s="36"/>
      <c r="L308" s="150"/>
      <c r="M308" s="150"/>
      <c r="N308" s="36"/>
      <c r="T308" s="21"/>
    </row>
    <row r="309" spans="1:20" s="37" customFormat="1" ht="15.75" hidden="1" customHeight="1" x14ac:dyDescent="0.35">
      <c r="A309" s="59"/>
      <c r="B309" s="59"/>
      <c r="C309" s="59"/>
      <c r="D309" s="59">
        <f t="shared" si="21"/>
        <v>0</v>
      </c>
      <c r="E309" s="59"/>
      <c r="F309" s="59"/>
      <c r="G309" s="151"/>
      <c r="H309" s="151"/>
      <c r="I309" s="36"/>
      <c r="L309" s="150"/>
      <c r="M309" s="150"/>
      <c r="N309" s="36"/>
      <c r="T309" s="21"/>
    </row>
    <row r="310" spans="1:20" s="37" customFormat="1" ht="15.75" hidden="1" customHeight="1" x14ac:dyDescent="0.35">
      <c r="A310" s="59"/>
      <c r="B310" s="59"/>
      <c r="C310" s="59"/>
      <c r="D310" s="59">
        <f t="shared" si="21"/>
        <v>0</v>
      </c>
      <c r="E310" s="59"/>
      <c r="F310" s="59"/>
      <c r="G310" s="151"/>
      <c r="H310" s="151"/>
      <c r="I310" s="36"/>
      <c r="L310" s="150"/>
      <c r="M310" s="150"/>
      <c r="N310" s="36"/>
      <c r="T310" s="21"/>
    </row>
    <row r="311" spans="1:20" s="37" customFormat="1" ht="15.75" hidden="1" customHeight="1" x14ac:dyDescent="0.35">
      <c r="A311" s="59"/>
      <c r="B311" s="59"/>
      <c r="C311" s="59"/>
      <c r="D311" s="59">
        <f t="shared" si="21"/>
        <v>0</v>
      </c>
      <c r="E311" s="59"/>
      <c r="F311" s="59"/>
      <c r="G311" s="151"/>
      <c r="H311" s="151"/>
      <c r="I311" s="36"/>
      <c r="L311" s="150"/>
      <c r="M311" s="150"/>
      <c r="N311" s="36"/>
      <c r="T311" s="21"/>
    </row>
    <row r="312" spans="1:20" s="37" customFormat="1" ht="15.75" hidden="1" customHeight="1" x14ac:dyDescent="0.35">
      <c r="A312" s="59"/>
      <c r="B312" s="59"/>
      <c r="C312" s="59"/>
      <c r="D312" s="59">
        <f t="shared" si="21"/>
        <v>0</v>
      </c>
      <c r="E312" s="59"/>
      <c r="F312" s="59"/>
      <c r="G312" s="151"/>
      <c r="H312" s="151"/>
      <c r="I312" s="36"/>
      <c r="L312" s="150"/>
      <c r="M312" s="150"/>
      <c r="N312" s="36"/>
      <c r="T312" s="21"/>
    </row>
    <row r="313" spans="1:20" s="37" customFormat="1" ht="15.75" hidden="1" customHeight="1" x14ac:dyDescent="0.35">
      <c r="A313" s="59"/>
      <c r="B313" s="59"/>
      <c r="C313" s="59"/>
      <c r="D313" s="59">
        <f t="shared" si="21"/>
        <v>0</v>
      </c>
      <c r="E313" s="59"/>
      <c r="F313" s="59"/>
      <c r="G313" s="151"/>
      <c r="H313" s="151"/>
      <c r="I313" s="36"/>
      <c r="L313" s="150"/>
      <c r="M313" s="150"/>
      <c r="N313" s="36"/>
      <c r="T313" s="21"/>
    </row>
    <row r="314" spans="1:20" s="37" customFormat="1" ht="15.75" hidden="1" customHeight="1" x14ac:dyDescent="0.35">
      <c r="A314" s="59"/>
      <c r="B314" s="59"/>
      <c r="C314" s="59"/>
      <c r="D314" s="59">
        <f t="shared" si="21"/>
        <v>0</v>
      </c>
      <c r="E314" s="59"/>
      <c r="F314" s="59"/>
      <c r="G314" s="151"/>
      <c r="H314" s="151"/>
      <c r="I314" s="36"/>
      <c r="L314" s="150"/>
      <c r="M314" s="150"/>
      <c r="N314" s="36"/>
      <c r="T314" s="21"/>
    </row>
    <row r="315" spans="1:20" s="37" customFormat="1" ht="15.75" hidden="1" customHeight="1" x14ac:dyDescent="0.35">
      <c r="A315" s="59"/>
      <c r="B315" s="59"/>
      <c r="C315" s="59"/>
      <c r="D315" s="59">
        <f t="shared" si="21"/>
        <v>0</v>
      </c>
      <c r="E315" s="59"/>
      <c r="F315" s="59"/>
      <c r="G315" s="151"/>
      <c r="H315" s="151"/>
      <c r="I315" s="36"/>
      <c r="L315" s="150"/>
      <c r="M315" s="150"/>
      <c r="N315" s="36"/>
      <c r="T315" s="21"/>
    </row>
    <row r="316" spans="1:20" s="37" customFormat="1" ht="15.75" hidden="1" customHeight="1" x14ac:dyDescent="0.35">
      <c r="A316" s="59"/>
      <c r="B316" s="59"/>
      <c r="C316" s="59"/>
      <c r="D316" s="59">
        <f t="shared" si="21"/>
        <v>0</v>
      </c>
      <c r="E316" s="59"/>
      <c r="F316" s="59"/>
      <c r="G316" s="151"/>
      <c r="H316" s="151"/>
      <c r="I316" s="36"/>
      <c r="L316" s="150"/>
      <c r="M316" s="150"/>
      <c r="N316" s="36"/>
      <c r="T316" s="21"/>
    </row>
    <row r="317" spans="1:20" s="35" customFormat="1" x14ac:dyDescent="0.35">
      <c r="A317" s="155" t="s">
        <v>63</v>
      </c>
      <c r="B317" s="155"/>
      <c r="C317" s="155"/>
      <c r="D317" s="155"/>
      <c r="E317" s="155"/>
      <c r="F317" s="155"/>
      <c r="G317" s="155"/>
      <c r="H317" s="155"/>
      <c r="T317" s="37"/>
    </row>
    <row r="318" spans="1:20" s="35" customFormat="1" ht="35" customHeight="1" x14ac:dyDescent="0.35">
      <c r="A318" s="119" t="s">
        <v>145</v>
      </c>
      <c r="B318" s="152" t="s">
        <v>447</v>
      </c>
      <c r="C318" s="152"/>
      <c r="D318" s="152"/>
      <c r="E318" s="152"/>
      <c r="F318" s="152"/>
      <c r="G318" s="152"/>
      <c r="H318" s="152"/>
      <c r="I318" s="35" t="s">
        <v>449</v>
      </c>
      <c r="T318" s="37"/>
    </row>
    <row r="319" spans="1:20" s="35" customFormat="1" hidden="1" x14ac:dyDescent="0.35">
      <c r="A319" s="119" t="s">
        <v>145</v>
      </c>
      <c r="B319" s="153" t="str">
        <f>(IF(H254="Saleable area Loading :","We have considered Saleable area of Flats as per our Calculation.","We considered Saleable area of Flat as per Builder area Sheet."))</f>
        <v>We considered Saleable area of Flat as per Builder area Sheet.</v>
      </c>
      <c r="C319" s="153"/>
      <c r="D319" s="153"/>
      <c r="E319" s="153"/>
      <c r="F319" s="153"/>
      <c r="G319" s="153"/>
      <c r="H319" s="153"/>
      <c r="T319" s="37"/>
    </row>
    <row r="320" spans="1:20" s="35" customFormat="1" hidden="1" x14ac:dyDescent="0.35">
      <c r="A320" s="119" t="s">
        <v>145</v>
      </c>
      <c r="B320" s="153" t="str">
        <f>(IF(H246="Saleable area Loading :","We have considered Saleable area of Commercial as per our Calculation.","We considered Saleable area of Commercial as per Builder area Sheet."))</f>
        <v>We have considered Saleable area of Commercial as per our Calculation.</v>
      </c>
      <c r="C320" s="153"/>
      <c r="D320" s="153"/>
      <c r="E320" s="153"/>
      <c r="F320" s="153"/>
      <c r="G320" s="153"/>
      <c r="H320" s="153"/>
      <c r="T320" s="37"/>
    </row>
    <row r="321" spans="1:20" s="35" customFormat="1" x14ac:dyDescent="0.35">
      <c r="A321" s="119" t="s">
        <v>145</v>
      </c>
      <c r="B321" s="154" t="s">
        <v>115</v>
      </c>
      <c r="C321" s="154"/>
      <c r="D321" s="154"/>
      <c r="E321" s="154"/>
      <c r="F321" s="154"/>
      <c r="G321" s="154"/>
      <c r="H321" s="154"/>
      <c r="T321" s="37"/>
    </row>
    <row r="322" spans="1:20" s="35" customFormat="1" x14ac:dyDescent="0.35">
      <c r="A322" s="119" t="s">
        <v>145</v>
      </c>
      <c r="B322" s="154" t="s">
        <v>480</v>
      </c>
      <c r="C322" s="154"/>
      <c r="D322" s="154"/>
      <c r="E322" s="154"/>
      <c r="F322" s="154"/>
      <c r="G322" s="154"/>
      <c r="H322" s="154"/>
      <c r="T322" s="37"/>
    </row>
    <row r="323" spans="1:20" s="35" customFormat="1" x14ac:dyDescent="0.35">
      <c r="A323" s="119" t="s">
        <v>145</v>
      </c>
      <c r="B323" s="154" t="s">
        <v>144</v>
      </c>
      <c r="C323" s="154"/>
      <c r="D323" s="154"/>
      <c r="E323" s="154"/>
      <c r="F323" s="154"/>
      <c r="G323" s="154"/>
      <c r="H323" s="154"/>
    </row>
    <row r="324" spans="1:20" s="35" customFormat="1" x14ac:dyDescent="0.35">
      <c r="A324" s="119" t="s">
        <v>145</v>
      </c>
      <c r="B324" s="154" t="s">
        <v>116</v>
      </c>
      <c r="C324" s="154"/>
      <c r="D324" s="154"/>
      <c r="E324" s="154"/>
      <c r="F324" s="154"/>
      <c r="G324" s="154"/>
      <c r="H324" s="154"/>
    </row>
    <row r="325" spans="1:20" s="35" customFormat="1" ht="34.5" customHeight="1" x14ac:dyDescent="0.35">
      <c r="A325" s="119" t="s">
        <v>145</v>
      </c>
      <c r="B325" s="154" t="s">
        <v>146</v>
      </c>
      <c r="C325" s="154"/>
      <c r="D325" s="154"/>
      <c r="E325" s="154"/>
      <c r="F325" s="154"/>
      <c r="G325" s="154"/>
      <c r="H325" s="154"/>
    </row>
    <row r="326" spans="1:20" s="35" customFormat="1" x14ac:dyDescent="0.35">
      <c r="A326" s="119" t="s">
        <v>145</v>
      </c>
      <c r="B326" s="154" t="s">
        <v>117</v>
      </c>
      <c r="C326" s="154"/>
      <c r="D326" s="154"/>
      <c r="E326" s="154"/>
      <c r="F326" s="154"/>
      <c r="G326" s="154"/>
      <c r="H326" s="154"/>
    </row>
    <row r="327" spans="1:20" s="35" customFormat="1" hidden="1" x14ac:dyDescent="0.35">
      <c r="A327" s="119" t="s">
        <v>145</v>
      </c>
      <c r="B327" s="263" t="s">
        <v>222</v>
      </c>
      <c r="C327" s="263"/>
      <c r="D327" s="263"/>
      <c r="E327" s="263"/>
      <c r="F327" s="263"/>
      <c r="G327" s="263"/>
      <c r="H327" s="263"/>
    </row>
    <row r="328" spans="1:20" s="35" customFormat="1" x14ac:dyDescent="0.35">
      <c r="A328" s="98" t="s">
        <v>145</v>
      </c>
      <c r="B328" s="152" t="s">
        <v>392</v>
      </c>
      <c r="C328" s="152"/>
      <c r="D328" s="152"/>
      <c r="E328" s="152"/>
      <c r="F328" s="152"/>
      <c r="G328" s="152"/>
      <c r="H328" s="152"/>
    </row>
    <row r="329" spans="1:20" s="35" customFormat="1" ht="33" customHeight="1" x14ac:dyDescent="0.35">
      <c r="A329" s="98" t="s">
        <v>145</v>
      </c>
      <c r="B329" s="152" t="s">
        <v>498</v>
      </c>
      <c r="C329" s="152"/>
      <c r="D329" s="152"/>
      <c r="E329" s="152"/>
      <c r="F329" s="152"/>
      <c r="G329" s="152"/>
      <c r="H329" s="152"/>
    </row>
    <row r="330" spans="1:20" s="35" customFormat="1" ht="32.25" customHeight="1" x14ac:dyDescent="0.35">
      <c r="A330" s="98" t="s">
        <v>145</v>
      </c>
      <c r="B330" s="152" t="s">
        <v>481</v>
      </c>
      <c r="C330" s="152"/>
      <c r="D330" s="152"/>
      <c r="E330" s="152"/>
      <c r="F330" s="152"/>
      <c r="G330" s="152"/>
      <c r="H330" s="152"/>
    </row>
    <row r="331" spans="1:20" s="35" customFormat="1" x14ac:dyDescent="0.35">
      <c r="A331" s="98" t="s">
        <v>145</v>
      </c>
      <c r="B331" s="152" t="s">
        <v>448</v>
      </c>
      <c r="C331" s="152"/>
      <c r="D331" s="152"/>
      <c r="E331" s="152"/>
      <c r="F331" s="152"/>
      <c r="G331" s="152"/>
      <c r="H331" s="152"/>
    </row>
    <row r="332" spans="1:20" s="35" customFormat="1" ht="81.75" customHeight="1" x14ac:dyDescent="0.35">
      <c r="A332" s="98" t="s">
        <v>145</v>
      </c>
      <c r="B332" s="152" t="s">
        <v>482</v>
      </c>
      <c r="C332" s="152"/>
      <c r="D332" s="152"/>
      <c r="E332" s="152"/>
      <c r="F332" s="152"/>
      <c r="G332" s="152"/>
      <c r="H332" s="152"/>
    </row>
    <row r="333" spans="1:20" s="35" customFormat="1" ht="125" customHeight="1" x14ac:dyDescent="0.35">
      <c r="A333" s="98" t="s">
        <v>145</v>
      </c>
      <c r="B333" s="152" t="s">
        <v>506</v>
      </c>
      <c r="C333" s="152"/>
      <c r="D333" s="152"/>
      <c r="E333" s="152"/>
      <c r="F333" s="152"/>
      <c r="G333" s="152"/>
      <c r="H333" s="152"/>
      <c r="J333" s="331" t="s">
        <v>503</v>
      </c>
      <c r="K333" s="331"/>
      <c r="L333" s="331"/>
      <c r="M333" s="331"/>
      <c r="N333" s="331"/>
      <c r="O333" s="331"/>
    </row>
    <row r="334" spans="1:20" x14ac:dyDescent="0.35">
      <c r="A334" s="184" t="s">
        <v>56</v>
      </c>
      <c r="B334" s="184"/>
      <c r="C334" s="184"/>
      <c r="D334" s="184"/>
      <c r="E334" s="184"/>
      <c r="F334" s="184"/>
      <c r="G334" s="184"/>
      <c r="H334" s="184"/>
      <c r="T334" s="35"/>
    </row>
    <row r="335" spans="1:20" x14ac:dyDescent="0.35">
      <c r="A335" s="167" t="s">
        <v>57</v>
      </c>
      <c r="B335" s="167"/>
      <c r="C335" s="167"/>
      <c r="D335" s="167"/>
      <c r="E335" s="167"/>
      <c r="F335" s="167"/>
      <c r="G335" s="167"/>
      <c r="H335" s="167"/>
      <c r="T335" s="35"/>
    </row>
    <row r="336" spans="1:20" ht="15.75" customHeight="1" x14ac:dyDescent="0.35">
      <c r="A336" s="219" t="s">
        <v>58</v>
      </c>
      <c r="B336" s="219"/>
      <c r="C336" s="219"/>
      <c r="D336" s="219"/>
      <c r="E336" s="219"/>
      <c r="F336" s="219"/>
      <c r="G336" s="219"/>
      <c r="H336" s="219"/>
      <c r="T336" s="35"/>
    </row>
    <row r="337" spans="1:20" x14ac:dyDescent="0.35">
      <c r="A337" s="167" t="s">
        <v>59</v>
      </c>
      <c r="B337" s="167"/>
      <c r="C337" s="167"/>
      <c r="D337" s="167"/>
      <c r="E337" s="167"/>
      <c r="F337" s="167"/>
      <c r="G337" s="167"/>
      <c r="H337" s="167"/>
      <c r="T337" s="35"/>
    </row>
    <row r="338" spans="1:20" x14ac:dyDescent="0.35">
      <c r="A338" s="167" t="s">
        <v>60</v>
      </c>
      <c r="B338" s="167"/>
      <c r="C338" s="167"/>
      <c r="D338" s="167"/>
      <c r="E338" s="167"/>
      <c r="F338" s="167"/>
      <c r="G338" s="167"/>
      <c r="H338" s="167"/>
      <c r="T338" s="35"/>
    </row>
    <row r="339" spans="1:20" x14ac:dyDescent="0.35">
      <c r="A339" s="167" t="s">
        <v>118</v>
      </c>
      <c r="B339" s="167"/>
      <c r="C339" s="167"/>
      <c r="D339" s="167"/>
      <c r="E339" s="167"/>
      <c r="F339" s="167"/>
      <c r="G339" s="167"/>
      <c r="H339" s="167"/>
      <c r="T339" s="35"/>
    </row>
    <row r="340" spans="1:20" ht="34" customHeight="1" x14ac:dyDescent="0.35">
      <c r="A340" s="169" t="s">
        <v>119</v>
      </c>
      <c r="B340" s="169"/>
      <c r="C340" s="169"/>
      <c r="D340" s="169"/>
      <c r="E340" s="169"/>
      <c r="F340" s="169"/>
      <c r="G340" s="169"/>
      <c r="H340" s="169"/>
    </row>
    <row r="341" spans="1:20" x14ac:dyDescent="0.35">
      <c r="A341" s="251" t="s">
        <v>70</v>
      </c>
      <c r="B341" s="251"/>
      <c r="C341" s="251" t="s">
        <v>366</v>
      </c>
      <c r="D341" s="251"/>
      <c r="E341" s="251" t="s">
        <v>99</v>
      </c>
      <c r="F341" s="251"/>
      <c r="G341" s="252" t="s">
        <v>505</v>
      </c>
      <c r="H341" s="252"/>
    </row>
    <row r="342" spans="1:20" x14ac:dyDescent="0.35">
      <c r="A342" s="250" t="s">
        <v>72</v>
      </c>
      <c r="B342" s="250"/>
      <c r="C342" s="250"/>
      <c r="D342" s="250"/>
      <c r="E342" s="250"/>
      <c r="F342" s="250"/>
      <c r="G342" s="250"/>
      <c r="H342" s="250"/>
    </row>
    <row r="343" spans="1:20" x14ac:dyDescent="0.35">
      <c r="A343" s="250"/>
      <c r="B343" s="250"/>
      <c r="C343" s="250"/>
      <c r="D343" s="250"/>
      <c r="E343" s="250"/>
      <c r="F343" s="250"/>
      <c r="G343" s="250"/>
      <c r="H343" s="250"/>
    </row>
    <row r="344" spans="1:20" x14ac:dyDescent="0.35">
      <c r="A344" s="250"/>
      <c r="B344" s="250"/>
      <c r="C344" s="250"/>
      <c r="D344" s="250"/>
      <c r="E344" s="250"/>
      <c r="F344" s="250"/>
      <c r="G344" s="250"/>
      <c r="H344" s="250"/>
    </row>
    <row r="345" spans="1:20" x14ac:dyDescent="0.35">
      <c r="A345" s="250"/>
      <c r="B345" s="250"/>
      <c r="C345" s="250"/>
      <c r="D345" s="250"/>
      <c r="E345" s="250"/>
      <c r="F345" s="250"/>
      <c r="G345" s="250"/>
      <c r="H345" s="250"/>
    </row>
    <row r="346" spans="1:20" x14ac:dyDescent="0.35">
      <c r="A346" s="38" t="s">
        <v>61</v>
      </c>
      <c r="B346" s="39"/>
      <c r="C346" s="39"/>
      <c r="D346" s="38" t="str">
        <f>E9</f>
        <v>Magnolia Cluster 3</v>
      </c>
      <c r="F346" s="39"/>
      <c r="G346" s="39"/>
      <c r="H346" s="39"/>
    </row>
    <row r="347" spans="1:20" x14ac:dyDescent="0.35">
      <c r="A347" s="39"/>
      <c r="B347" s="39"/>
      <c r="C347" s="39"/>
      <c r="D347" s="39"/>
      <c r="E347" s="39"/>
      <c r="F347" s="39"/>
      <c r="G347" s="39"/>
      <c r="H347" s="39"/>
    </row>
    <row r="348" spans="1:20" x14ac:dyDescent="0.35">
      <c r="A348" s="39"/>
      <c r="B348" s="39"/>
      <c r="C348" s="39"/>
      <c r="D348" s="39"/>
      <c r="E348" s="39"/>
      <c r="F348" s="39"/>
      <c r="G348" s="39"/>
      <c r="H348" s="39"/>
    </row>
    <row r="349" spans="1:20" ht="15" customHeight="1" x14ac:dyDescent="0.35"/>
    <row r="392" spans="1:8" x14ac:dyDescent="0.35">
      <c r="A392" s="38" t="s">
        <v>61</v>
      </c>
      <c r="B392" s="39"/>
      <c r="C392" s="39"/>
      <c r="D392" s="38" t="str">
        <f>E9</f>
        <v>Magnolia Cluster 3</v>
      </c>
      <c r="F392" s="39"/>
      <c r="G392" s="39"/>
      <c r="H392" s="39"/>
    </row>
    <row r="393" spans="1:8" x14ac:dyDescent="0.35">
      <c r="A393" s="39"/>
      <c r="B393" s="39"/>
      <c r="C393" s="39"/>
      <c r="D393" s="39"/>
      <c r="E393" s="39"/>
      <c r="F393" s="39"/>
      <c r="G393" s="39"/>
      <c r="H393" s="39"/>
    </row>
    <row r="394" spans="1:8" x14ac:dyDescent="0.35">
      <c r="A394" s="39"/>
      <c r="B394" s="39"/>
      <c r="C394" s="39"/>
      <c r="D394" s="39"/>
      <c r="E394" s="39"/>
      <c r="F394" s="39"/>
      <c r="G394" s="39"/>
      <c r="H394" s="39"/>
    </row>
    <row r="395" spans="1:8" ht="15" customHeight="1" x14ac:dyDescent="0.35"/>
    <row r="438" spans="1:1" x14ac:dyDescent="0.35">
      <c r="A438" s="41" t="s">
        <v>502</v>
      </c>
    </row>
    <row r="472" hidden="1" x14ac:dyDescent="0.35"/>
    <row r="473" hidden="1" x14ac:dyDescent="0.35"/>
    <row r="474" hidden="1" x14ac:dyDescent="0.35"/>
    <row r="475" hidden="1" x14ac:dyDescent="0.35"/>
    <row r="476" hidden="1" x14ac:dyDescent="0.35"/>
    <row r="477" hidden="1" x14ac:dyDescent="0.35"/>
    <row r="478" hidden="1" x14ac:dyDescent="0.35"/>
    <row r="479" hidden="1" x14ac:dyDescent="0.35"/>
    <row r="482" spans="1:1" x14ac:dyDescent="0.35">
      <c r="A482" s="41" t="s">
        <v>154</v>
      </c>
    </row>
    <row r="526" spans="1:1" x14ac:dyDescent="0.35">
      <c r="A526" s="41" t="s">
        <v>62</v>
      </c>
    </row>
  </sheetData>
  <mergeCells count="558">
    <mergeCell ref="B333:H333"/>
    <mergeCell ref="J333:O333"/>
    <mergeCell ref="D170:H170"/>
    <mergeCell ref="D171:H171"/>
    <mergeCell ref="A103:B104"/>
    <mergeCell ref="C103:E103"/>
    <mergeCell ref="G103:H103"/>
    <mergeCell ref="C104:H104"/>
    <mergeCell ref="B330:H330"/>
    <mergeCell ref="D179:H179"/>
    <mergeCell ref="D180:H180"/>
    <mergeCell ref="D181:H181"/>
    <mergeCell ref="D182:H182"/>
    <mergeCell ref="D183:H183"/>
    <mergeCell ref="D184:H184"/>
    <mergeCell ref="A151:B151"/>
    <mergeCell ref="A156:B156"/>
    <mergeCell ref="A242:B242"/>
    <mergeCell ref="E242:F242"/>
    <mergeCell ref="C154:H154"/>
    <mergeCell ref="A155:B155"/>
    <mergeCell ref="A234:E234"/>
    <mergeCell ref="G242:H242"/>
    <mergeCell ref="A240:B240"/>
    <mergeCell ref="C92:H92"/>
    <mergeCell ref="C86:H86"/>
    <mergeCell ref="B329:H329"/>
    <mergeCell ref="D194:H194"/>
    <mergeCell ref="D195:H195"/>
    <mergeCell ref="D196:H196"/>
    <mergeCell ref="D197:H197"/>
    <mergeCell ref="D198:H198"/>
    <mergeCell ref="D199:H199"/>
    <mergeCell ref="D200:H200"/>
    <mergeCell ref="D201:H201"/>
    <mergeCell ref="D202:H202"/>
    <mergeCell ref="D185:H185"/>
    <mergeCell ref="D186:H186"/>
    <mergeCell ref="D187:H187"/>
    <mergeCell ref="D188:H188"/>
    <mergeCell ref="D189:H189"/>
    <mergeCell ref="D190:H190"/>
    <mergeCell ref="D191:H191"/>
    <mergeCell ref="D192:H192"/>
    <mergeCell ref="D193:H193"/>
    <mergeCell ref="D176:H176"/>
    <mergeCell ref="D177:H177"/>
    <mergeCell ref="D178:H178"/>
    <mergeCell ref="C80:H80"/>
    <mergeCell ref="A100:B101"/>
    <mergeCell ref="C101:H101"/>
    <mergeCell ref="A102:B102"/>
    <mergeCell ref="C102:E102"/>
    <mergeCell ref="G102:H102"/>
    <mergeCell ref="C95:H95"/>
    <mergeCell ref="C98:H98"/>
    <mergeCell ref="C89:H89"/>
    <mergeCell ref="A90:B90"/>
    <mergeCell ref="C90:E90"/>
    <mergeCell ref="G90:H90"/>
    <mergeCell ref="A91:B92"/>
    <mergeCell ref="C91:E91"/>
    <mergeCell ref="G91:H91"/>
    <mergeCell ref="A99:B99"/>
    <mergeCell ref="C99:E99"/>
    <mergeCell ref="G99:H99"/>
    <mergeCell ref="C82:E82"/>
    <mergeCell ref="G82:H82"/>
    <mergeCell ref="A81:B81"/>
    <mergeCell ref="C81:E81"/>
    <mergeCell ref="G81:H81"/>
    <mergeCell ref="A82:B83"/>
    <mergeCell ref="C74:H74"/>
    <mergeCell ref="C65:H65"/>
    <mergeCell ref="C62:H62"/>
    <mergeCell ref="C83:H83"/>
    <mergeCell ref="C53:H53"/>
    <mergeCell ref="A54:B54"/>
    <mergeCell ref="C54:E54"/>
    <mergeCell ref="G54:H54"/>
    <mergeCell ref="A55:B56"/>
    <mergeCell ref="C55:E55"/>
    <mergeCell ref="G55:H55"/>
    <mergeCell ref="C56:H56"/>
    <mergeCell ref="A64:B65"/>
    <mergeCell ref="C64:E64"/>
    <mergeCell ref="G64:H64"/>
    <mergeCell ref="A61:B62"/>
    <mergeCell ref="C61:E61"/>
    <mergeCell ref="G61:H61"/>
    <mergeCell ref="A69:B69"/>
    <mergeCell ref="C69:E69"/>
    <mergeCell ref="G69:H69"/>
    <mergeCell ref="A70:B71"/>
    <mergeCell ref="A73:B74"/>
    <mergeCell ref="C73:E73"/>
    <mergeCell ref="G73:H73"/>
    <mergeCell ref="G58:H58"/>
    <mergeCell ref="B332:H332"/>
    <mergeCell ref="B331:H331"/>
    <mergeCell ref="C100:E100"/>
    <mergeCell ref="G100:H100"/>
    <mergeCell ref="A67:B68"/>
    <mergeCell ref="C67:E67"/>
    <mergeCell ref="G67:H67"/>
    <mergeCell ref="A63:B63"/>
    <mergeCell ref="C63:E63"/>
    <mergeCell ref="G63:H63"/>
    <mergeCell ref="A78:B78"/>
    <mergeCell ref="C78:E78"/>
    <mergeCell ref="G78:H78"/>
    <mergeCell ref="A79:B80"/>
    <mergeCell ref="C79:E79"/>
    <mergeCell ref="G79:H79"/>
    <mergeCell ref="A60:B60"/>
    <mergeCell ref="C60:E60"/>
    <mergeCell ref="G60:H60"/>
    <mergeCell ref="A97:B98"/>
    <mergeCell ref="C97:E97"/>
    <mergeCell ref="G97:H97"/>
    <mergeCell ref="D208:H208"/>
    <mergeCell ref="D209:H209"/>
    <mergeCell ref="D210:H210"/>
    <mergeCell ref="D211:H211"/>
    <mergeCell ref="A84:B84"/>
    <mergeCell ref="C84:E84"/>
    <mergeCell ref="G84:H84"/>
    <mergeCell ref="A85:B86"/>
    <mergeCell ref="C85:E85"/>
    <mergeCell ref="G85:H85"/>
    <mergeCell ref="A96:B96"/>
    <mergeCell ref="C96:E96"/>
    <mergeCell ref="G96:H96"/>
    <mergeCell ref="A87:B87"/>
    <mergeCell ref="C87:E87"/>
    <mergeCell ref="G87:H87"/>
    <mergeCell ref="A88:B89"/>
    <mergeCell ref="C88:E88"/>
    <mergeCell ref="G88:H88"/>
    <mergeCell ref="C93:E93"/>
    <mergeCell ref="G93:H93"/>
    <mergeCell ref="A94:B95"/>
    <mergeCell ref="C94:E94"/>
    <mergeCell ref="G94:H94"/>
    <mergeCell ref="D174:H174"/>
    <mergeCell ref="D175:H175"/>
    <mergeCell ref="F224:H224"/>
    <mergeCell ref="F229:H229"/>
    <mergeCell ref="A57:B57"/>
    <mergeCell ref="C57:E57"/>
    <mergeCell ref="G57:H57"/>
    <mergeCell ref="D221:H221"/>
    <mergeCell ref="D222:H222"/>
    <mergeCell ref="D223:H223"/>
    <mergeCell ref="D212:H212"/>
    <mergeCell ref="D213:H213"/>
    <mergeCell ref="D214:H214"/>
    <mergeCell ref="D215:H215"/>
    <mergeCell ref="D216:H216"/>
    <mergeCell ref="D217:H217"/>
    <mergeCell ref="D218:H218"/>
    <mergeCell ref="D219:H219"/>
    <mergeCell ref="D220:H220"/>
    <mergeCell ref="D203:H203"/>
    <mergeCell ref="D204:H204"/>
    <mergeCell ref="D205:H205"/>
    <mergeCell ref="D206:H206"/>
    <mergeCell ref="D207:H207"/>
    <mergeCell ref="L260:M260"/>
    <mergeCell ref="A40:B40"/>
    <mergeCell ref="C40:H40"/>
    <mergeCell ref="F246:F247"/>
    <mergeCell ref="B246:B247"/>
    <mergeCell ref="A246:A247"/>
    <mergeCell ref="L259:M259"/>
    <mergeCell ref="L256:M256"/>
    <mergeCell ref="G243:H243"/>
    <mergeCell ref="L257:M257"/>
    <mergeCell ref="L258:M258"/>
    <mergeCell ref="A127:B127"/>
    <mergeCell ref="A49:B49"/>
    <mergeCell ref="C49:H49"/>
    <mergeCell ref="A157:B157"/>
    <mergeCell ref="A158:B158"/>
    <mergeCell ref="G142:H151"/>
    <mergeCell ref="A143:B143"/>
    <mergeCell ref="A144:B144"/>
    <mergeCell ref="A145:B145"/>
    <mergeCell ref="F226:H226"/>
    <mergeCell ref="A226:E226"/>
    <mergeCell ref="D246:D247"/>
    <mergeCell ref="A126:B126"/>
    <mergeCell ref="A39:B39"/>
    <mergeCell ref="C39:H39"/>
    <mergeCell ref="A46:D46"/>
    <mergeCell ref="L252:M252"/>
    <mergeCell ref="L251:M251"/>
    <mergeCell ref="L250:M250"/>
    <mergeCell ref="L249:M249"/>
    <mergeCell ref="A135:B135"/>
    <mergeCell ref="C239:D239"/>
    <mergeCell ref="E239:F239"/>
    <mergeCell ref="G239:H239"/>
    <mergeCell ref="A225:E225"/>
    <mergeCell ref="A152:B152"/>
    <mergeCell ref="C152:H152"/>
    <mergeCell ref="A248:H248"/>
    <mergeCell ref="E246:E247"/>
    <mergeCell ref="A142:B142"/>
    <mergeCell ref="A47:D47"/>
    <mergeCell ref="A48:H48"/>
    <mergeCell ref="D113:H113"/>
    <mergeCell ref="A113:C113"/>
    <mergeCell ref="A134:B134"/>
    <mergeCell ref="C140:H140"/>
    <mergeCell ref="A45:D45"/>
    <mergeCell ref="A38:H38"/>
    <mergeCell ref="A37:B37"/>
    <mergeCell ref="C37:E37"/>
    <mergeCell ref="G156:H165"/>
    <mergeCell ref="A42:D42"/>
    <mergeCell ref="E42:H42"/>
    <mergeCell ref="A41:H41"/>
    <mergeCell ref="A117:C117"/>
    <mergeCell ref="A118:C118"/>
    <mergeCell ref="D117:H117"/>
    <mergeCell ref="E128:F137"/>
    <mergeCell ref="G128:H137"/>
    <mergeCell ref="A136:B136"/>
    <mergeCell ref="A137:B137"/>
    <mergeCell ref="D118:H118"/>
    <mergeCell ref="A44:D44"/>
    <mergeCell ref="E44:H44"/>
    <mergeCell ref="E45:H45"/>
    <mergeCell ref="E46:H46"/>
    <mergeCell ref="A141:B141"/>
    <mergeCell ref="E47:H47"/>
    <mergeCell ref="C106:H106"/>
    <mergeCell ref="C108:H108"/>
    <mergeCell ref="A140:B140"/>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119:C119"/>
    <mergeCell ref="D119:H119"/>
    <mergeCell ref="C126:H126"/>
    <mergeCell ref="A129:B129"/>
    <mergeCell ref="A131:B131"/>
    <mergeCell ref="E127:F127"/>
    <mergeCell ref="A120:C120"/>
    <mergeCell ref="D120:H120"/>
    <mergeCell ref="A123:C123"/>
    <mergeCell ref="D123:H123"/>
    <mergeCell ref="A121:C121"/>
    <mergeCell ref="D122:H122"/>
    <mergeCell ref="A128:B128"/>
    <mergeCell ref="G127:H127"/>
    <mergeCell ref="A130:B130"/>
    <mergeCell ref="C246:C247"/>
    <mergeCell ref="A335:H335"/>
    <mergeCell ref="B323:H323"/>
    <mergeCell ref="G246:G247"/>
    <mergeCell ref="B327:H327"/>
    <mergeCell ref="B325:H325"/>
    <mergeCell ref="B324:H324"/>
    <mergeCell ref="B320:H320"/>
    <mergeCell ref="A124:B124"/>
    <mergeCell ref="C124:H124"/>
    <mergeCell ref="A132:B132"/>
    <mergeCell ref="C240:D240"/>
    <mergeCell ref="E240:F240"/>
    <mergeCell ref="G240:H240"/>
    <mergeCell ref="A241:B241"/>
    <mergeCell ref="C241:D241"/>
    <mergeCell ref="E241:F241"/>
    <mergeCell ref="G241:H241"/>
    <mergeCell ref="A166:H166"/>
    <mergeCell ref="D167:H167"/>
    <mergeCell ref="D168:H168"/>
    <mergeCell ref="D169:H169"/>
    <mergeCell ref="D172:H172"/>
    <mergeCell ref="D173:H173"/>
    <mergeCell ref="A163:B163"/>
    <mergeCell ref="A164:B164"/>
    <mergeCell ref="A227:E227"/>
    <mergeCell ref="A224:E224"/>
    <mergeCell ref="F228:H228"/>
    <mergeCell ref="G155:H155"/>
    <mergeCell ref="A154:B154"/>
    <mergeCell ref="A229:E229"/>
    <mergeCell ref="A342:H345"/>
    <mergeCell ref="A341:B341"/>
    <mergeCell ref="E341:F341"/>
    <mergeCell ref="C341:D341"/>
    <mergeCell ref="G341:H341"/>
    <mergeCell ref="A235:E235"/>
    <mergeCell ref="F235:H235"/>
    <mergeCell ref="A236:E236"/>
    <mergeCell ref="F236:H236"/>
    <mergeCell ref="A239:B239"/>
    <mergeCell ref="A337:H337"/>
    <mergeCell ref="A237:H237"/>
    <mergeCell ref="A340:H340"/>
    <mergeCell ref="A338:H338"/>
    <mergeCell ref="A334:H334"/>
    <mergeCell ref="G238:H238"/>
    <mergeCell ref="A251:B251"/>
    <mergeCell ref="A253:H253"/>
    <mergeCell ref="E238:F238"/>
    <mergeCell ref="A244:H244"/>
    <mergeCell ref="G308:H308"/>
    <mergeCell ref="G316:H316"/>
    <mergeCell ref="G314:H314"/>
    <mergeCell ref="D116:H116"/>
    <mergeCell ref="E141:F141"/>
    <mergeCell ref="G141:H141"/>
    <mergeCell ref="A230:E230"/>
    <mergeCell ref="F230:H230"/>
    <mergeCell ref="A232:E232"/>
    <mergeCell ref="F227:H227"/>
    <mergeCell ref="A231:E231"/>
    <mergeCell ref="A159:B159"/>
    <mergeCell ref="A160:B160"/>
    <mergeCell ref="E142:F151"/>
    <mergeCell ref="A149:B149"/>
    <mergeCell ref="A150:B150"/>
    <mergeCell ref="E155:F155"/>
    <mergeCell ref="E156:F165"/>
    <mergeCell ref="A228:E228"/>
    <mergeCell ref="A161:B161"/>
    <mergeCell ref="A114:C116"/>
    <mergeCell ref="D114:H114"/>
    <mergeCell ref="D115:H115"/>
    <mergeCell ref="C51:E51"/>
    <mergeCell ref="A339:H339"/>
    <mergeCell ref="A336:H336"/>
    <mergeCell ref="A238:B238"/>
    <mergeCell ref="A146:B146"/>
    <mergeCell ref="A147:B147"/>
    <mergeCell ref="A148:B148"/>
    <mergeCell ref="A162:B162"/>
    <mergeCell ref="F225:H225"/>
    <mergeCell ref="A165:B165"/>
    <mergeCell ref="F231:H231"/>
    <mergeCell ref="C242:D242"/>
    <mergeCell ref="A255:H255"/>
    <mergeCell ref="A249:B249"/>
    <mergeCell ref="A243:B243"/>
    <mergeCell ref="C243:D243"/>
    <mergeCell ref="E243:F243"/>
    <mergeCell ref="B326:H326"/>
    <mergeCell ref="B318:H318"/>
    <mergeCell ref="G51:H51"/>
    <mergeCell ref="A252:B252"/>
    <mergeCell ref="A58:B59"/>
    <mergeCell ref="C52:E52"/>
    <mergeCell ref="G52:H52"/>
    <mergeCell ref="A52:B53"/>
    <mergeCell ref="A93:B93"/>
    <mergeCell ref="C71:H71"/>
    <mergeCell ref="C68:H68"/>
    <mergeCell ref="A75:B75"/>
    <mergeCell ref="G75:H75"/>
    <mergeCell ref="A76:B77"/>
    <mergeCell ref="C76:E76"/>
    <mergeCell ref="G76:H76"/>
    <mergeCell ref="C70:E70"/>
    <mergeCell ref="G70:H70"/>
    <mergeCell ref="A66:B66"/>
    <mergeCell ref="C66:E66"/>
    <mergeCell ref="G66:H66"/>
    <mergeCell ref="A72:B72"/>
    <mergeCell ref="C72:E72"/>
    <mergeCell ref="G72:H72"/>
    <mergeCell ref="C75:E75"/>
    <mergeCell ref="C77:H77"/>
    <mergeCell ref="C59:H59"/>
    <mergeCell ref="C58:E58"/>
    <mergeCell ref="A111:C111"/>
    <mergeCell ref="A112:C112"/>
    <mergeCell ref="D112:H112"/>
    <mergeCell ref="G109:H109"/>
    <mergeCell ref="A105:B106"/>
    <mergeCell ref="C105:E105"/>
    <mergeCell ref="G105:H105"/>
    <mergeCell ref="A107:B108"/>
    <mergeCell ref="C107:E107"/>
    <mergeCell ref="G107:H107"/>
    <mergeCell ref="L261:M261"/>
    <mergeCell ref="I15:P15"/>
    <mergeCell ref="F234:H234"/>
    <mergeCell ref="F232:H232"/>
    <mergeCell ref="A245:H245"/>
    <mergeCell ref="A233:E233"/>
    <mergeCell ref="A250:B250"/>
    <mergeCell ref="A109:B109"/>
    <mergeCell ref="C109:E109"/>
    <mergeCell ref="D111:H111"/>
    <mergeCell ref="F233:H233"/>
    <mergeCell ref="C238:D238"/>
    <mergeCell ref="D121:H121"/>
    <mergeCell ref="A122:C122"/>
    <mergeCell ref="E43:H43"/>
    <mergeCell ref="A43:D43"/>
    <mergeCell ref="A138:B138"/>
    <mergeCell ref="C138:H138"/>
    <mergeCell ref="A133:B133"/>
    <mergeCell ref="A50:B50"/>
    <mergeCell ref="C50:E50"/>
    <mergeCell ref="G50:H50"/>
    <mergeCell ref="A51:B51"/>
    <mergeCell ref="A110:H110"/>
    <mergeCell ref="L262:M262"/>
    <mergeCell ref="L263:M263"/>
    <mergeCell ref="L264:M264"/>
    <mergeCell ref="L265:M265"/>
    <mergeCell ref="L266:M266"/>
    <mergeCell ref="L267:M267"/>
    <mergeCell ref="L268:M268"/>
    <mergeCell ref="L269:M269"/>
    <mergeCell ref="L270:M270"/>
    <mergeCell ref="L271:M271"/>
    <mergeCell ref="L272:M272"/>
    <mergeCell ref="L273:M273"/>
    <mergeCell ref="L274:M274"/>
    <mergeCell ref="L275:M275"/>
    <mergeCell ref="L276:M276"/>
    <mergeCell ref="L282:M282"/>
    <mergeCell ref="L283:M283"/>
    <mergeCell ref="L277:M277"/>
    <mergeCell ref="L278:M278"/>
    <mergeCell ref="L279:M279"/>
    <mergeCell ref="L280:M280"/>
    <mergeCell ref="L281:M281"/>
    <mergeCell ref="L284:M284"/>
    <mergeCell ref="L285:M285"/>
    <mergeCell ref="L286:M286"/>
    <mergeCell ref="L287:M287"/>
    <mergeCell ref="L288:M288"/>
    <mergeCell ref="L289:M289"/>
    <mergeCell ref="L290:M290"/>
    <mergeCell ref="L291:M291"/>
    <mergeCell ref="L292:M292"/>
    <mergeCell ref="L294:M294"/>
    <mergeCell ref="L295:M295"/>
    <mergeCell ref="L296:M296"/>
    <mergeCell ref="L297:M297"/>
    <mergeCell ref="L298:M298"/>
    <mergeCell ref="L306:M306"/>
    <mergeCell ref="G307:H307"/>
    <mergeCell ref="L307:M307"/>
    <mergeCell ref="L299:M299"/>
    <mergeCell ref="L300:M300"/>
    <mergeCell ref="L301:M301"/>
    <mergeCell ref="L303:M303"/>
    <mergeCell ref="L304:M304"/>
    <mergeCell ref="I11:L11"/>
    <mergeCell ref="L314:M314"/>
    <mergeCell ref="G315:H315"/>
    <mergeCell ref="L315:M315"/>
    <mergeCell ref="L316:M316"/>
    <mergeCell ref="L302:M302"/>
    <mergeCell ref="B328:H328"/>
    <mergeCell ref="G309:H309"/>
    <mergeCell ref="L309:M309"/>
    <mergeCell ref="G310:H310"/>
    <mergeCell ref="L310:M310"/>
    <mergeCell ref="G311:H311"/>
    <mergeCell ref="L311:M311"/>
    <mergeCell ref="G312:H312"/>
    <mergeCell ref="L312:M312"/>
    <mergeCell ref="G313:H313"/>
    <mergeCell ref="L313:M313"/>
    <mergeCell ref="L305:M305"/>
    <mergeCell ref="L308:M308"/>
    <mergeCell ref="B319:H319"/>
    <mergeCell ref="B321:H321"/>
    <mergeCell ref="B322:H322"/>
    <mergeCell ref="A317:H317"/>
    <mergeCell ref="L293:M293"/>
  </mergeCells>
  <dataValidations count="16">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246:E247">
      <formula1>"Attached Loft area,Attached Otla area,Attached Mezzanine area"</formula1>
    </dataValidation>
    <dataValidation type="list" allowBlank="1" showInputMessage="1" showErrorMessage="1" sqref="G341:H341">
      <formula1>"Kunal Kadam,Pranita Mhatre,Shruti Fule,Gaurav Panchal,Pooja Kawale,Neha Dhokale,Shruti Tathare, Hitakshi Mhatre, Sachin Sawant"</formula1>
    </dataValidation>
    <dataValidation type="list" allowBlank="1" showInputMessage="1" showErrorMessage="1" sqref="F224:H224">
      <formula1>"On Saleable Area,On Builtup Area,On Carpet Area,On Plot Area"</formula1>
    </dataValidation>
    <dataValidation type="list" allowBlank="1" showInputMessage="1" showErrorMessage="1" sqref="B246:B247">
      <formula1>"Shop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H247">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133">
      <formula1>0</formula1>
      <formula2>H125</formula2>
    </dataValidation>
    <dataValidation type="list" allowBlank="1" showInputMessage="1" showErrorMessage="1" sqref="H246">
      <formula1>"Saleable area Loading :,Builder Saleable Area"</formula1>
    </dataValidation>
    <dataValidation type="list" allowBlank="1" showInputMessage="1" showErrorMessage="1" sqref="D246:D247">
      <formula1>"Carpet area,RERA Carpet area"</formula1>
    </dataValidation>
    <dataValidation type="list" allowBlank="1" showInputMessage="1" showErrorMessage="1" sqref="F235:H235">
      <formula1>OFFSET($S$224,1,MATCH($G20,$S$224:$W$224,0)-1,15,1)</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scale="94" fitToHeight="0" orientation="portrait" r:id="rId2"/>
  <headerFooter>
    <oddHeader>&amp;C&amp;G</oddHeader>
    <oddFooter>&amp;L&amp;"Times New Roman,Bold"&amp;12Ref No: &amp;F&amp;C&amp;G&amp;R&amp;"Times New Roman,Bold"&amp;12&amp;P</oddFooter>
  </headerFooter>
  <rowBreaks count="5" manualBreakCount="5">
    <brk id="345" max="16383" man="1"/>
    <brk id="391" max="16383" man="1"/>
    <brk id="437" max="16383" man="1"/>
    <brk id="481" max="16383" man="1"/>
    <brk id="525"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74"/>
  <sheetViews>
    <sheetView zoomScaleNormal="100" zoomScaleSheetLayoutView="85" workbookViewId="0">
      <pane xSplit="12" ySplit="12" topLeftCell="M55" activePane="bottomRight" state="frozen"/>
      <selection pane="topRight" activeCell="M1" sqref="M1"/>
      <selection pane="bottomLeft" activeCell="A11" sqref="A11"/>
      <selection pane="bottomRight" activeCell="G57" sqref="G57"/>
    </sheetView>
  </sheetViews>
  <sheetFormatPr defaultRowHeight="14.5" x14ac:dyDescent="0.35"/>
  <cols>
    <col min="2" max="2" width="7.26953125" style="115" customWidth="1"/>
    <col min="3" max="3" width="6.26953125" style="115" customWidth="1"/>
    <col min="4" max="5" width="6.7265625" customWidth="1"/>
    <col min="6" max="6" width="7" customWidth="1"/>
    <col min="8" max="8" width="7.453125" bestFit="1" customWidth="1"/>
    <col min="9" max="9" width="7.453125" customWidth="1"/>
    <col min="10" max="10" width="7.7265625" customWidth="1"/>
    <col min="11" max="11" width="7.54296875" customWidth="1"/>
    <col min="12" max="12" width="8.1796875" customWidth="1"/>
    <col min="13" max="13" width="10.1796875" customWidth="1"/>
    <col min="14" max="15" width="9.1796875" style="53"/>
    <col min="16" max="16" width="76.1796875" customWidth="1"/>
    <col min="17" max="43" width="0" hidden="1" customWidth="1"/>
  </cols>
  <sheetData>
    <row r="1" spans="1:43" ht="77.5" x14ac:dyDescent="0.35">
      <c r="A1" s="83" t="s">
        <v>383</v>
      </c>
      <c r="B1" s="337" t="s">
        <v>384</v>
      </c>
      <c r="C1" s="338"/>
      <c r="D1" s="83" t="s">
        <v>120</v>
      </c>
      <c r="E1" s="83" t="s">
        <v>47</v>
      </c>
      <c r="F1" s="83" t="s">
        <v>385</v>
      </c>
      <c r="G1" s="83" t="s">
        <v>386</v>
      </c>
      <c r="H1" s="83" t="s">
        <v>129</v>
      </c>
      <c r="I1" s="83" t="s">
        <v>387</v>
      </c>
      <c r="J1" s="83" t="s">
        <v>388</v>
      </c>
      <c r="K1" s="83" t="s">
        <v>389</v>
      </c>
      <c r="L1" s="83" t="s">
        <v>390</v>
      </c>
      <c r="M1" s="83" t="s">
        <v>126</v>
      </c>
      <c r="N1" s="83" t="s">
        <v>78</v>
      </c>
      <c r="O1" s="83" t="s">
        <v>77</v>
      </c>
      <c r="P1" s="84" t="s">
        <v>83</v>
      </c>
      <c r="Q1" s="85" t="s">
        <v>120</v>
      </c>
      <c r="R1" s="85" t="s">
        <v>47</v>
      </c>
      <c r="S1" s="85" t="s">
        <v>121</v>
      </c>
      <c r="T1" s="86" t="s">
        <v>128</v>
      </c>
      <c r="U1" s="87" t="s">
        <v>129</v>
      </c>
      <c r="V1" s="87" t="s">
        <v>127</v>
      </c>
      <c r="W1" s="87" t="s">
        <v>123</v>
      </c>
      <c r="X1" s="87" t="s">
        <v>130</v>
      </c>
      <c r="Y1" s="87" t="s">
        <v>125</v>
      </c>
      <c r="Z1" s="87" t="s">
        <v>126</v>
      </c>
      <c r="AA1" s="87" t="s">
        <v>133</v>
      </c>
      <c r="AB1" s="87" t="s">
        <v>93</v>
      </c>
      <c r="AC1" s="87" t="s">
        <v>94</v>
      </c>
      <c r="AD1" s="87" t="s">
        <v>95</v>
      </c>
      <c r="AE1" s="87" t="s">
        <v>96</v>
      </c>
      <c r="AF1" s="87" t="s">
        <v>138</v>
      </c>
      <c r="AG1" s="87" t="s">
        <v>135</v>
      </c>
      <c r="AH1" s="87" t="s">
        <v>136</v>
      </c>
      <c r="AI1" s="87" t="s">
        <v>137</v>
      </c>
      <c r="AJ1" s="87" t="s">
        <v>139</v>
      </c>
      <c r="AK1" s="87" t="s">
        <v>97</v>
      </c>
      <c r="AL1" s="87"/>
    </row>
    <row r="2" spans="1:43" ht="15.5" x14ac:dyDescent="0.35">
      <c r="A2" s="94" t="s">
        <v>488</v>
      </c>
      <c r="B2" s="112" t="s">
        <v>382</v>
      </c>
      <c r="C2" s="110">
        <f ca="1">--TRIM(RIGHT(SUBSTITUTE(LEFT(B2,_xlfn.AGGREGATE(16,6,FIND({0,1,2,3,4,5,6,7,8,9},B2,ROW(INDIRECT("1:"&amp;LEN(B2)))),1))," ",REPT(" ",LEN(B2))),LEN(B2)))</f>
        <v>1</v>
      </c>
      <c r="D2" s="42">
        <v>0</v>
      </c>
      <c r="E2" s="42">
        <v>0</v>
      </c>
      <c r="F2" s="42">
        <v>0</v>
      </c>
      <c r="G2" s="42">
        <v>0</v>
      </c>
      <c r="H2" s="42">
        <v>0</v>
      </c>
      <c r="I2" s="42">
        <v>0</v>
      </c>
      <c r="J2" s="42">
        <v>0</v>
      </c>
      <c r="K2" s="42">
        <v>0</v>
      </c>
      <c r="L2" s="42">
        <v>0</v>
      </c>
      <c r="M2" s="42">
        <v>0</v>
      </c>
      <c r="N2" s="88">
        <f ca="1">(((E2/C2*10)+(40/(1+C2)*F2)+(7.5/(C2)*G2)+(7.5/(C2)*H2)+(10/C2*I2)+(10/C2*J2)+(5/C2*K2)+(5/C2*L2)+(5/C2*M2))/100)</f>
        <v>0</v>
      </c>
      <c r="O2" s="88">
        <f ca="1">((((D2/C2)*20)+((E2/C2)*25)+(30/(C2+1)*F2)+(5/C2*G2)+(5/C2*H2)+(5/C2*I2)+(5/C2*J2)+(0/C2*K2)+(0/C2*L2)+(5/C2*M2))/100)</f>
        <v>0</v>
      </c>
      <c r="P2" s="145" t="str">
        <f ca="1">IF(Z2=100%,"All work Completed. Possession granted to the Building.",IF(Y2=100%,"All work Completed, Waiting for OC",AO2&amp;""&amp;AP2&amp;""&amp;AM2&amp;""&amp;AN2&amp;" "&amp;AQ2))</f>
        <v xml:space="preserve">Work not yet Started. </v>
      </c>
      <c r="Q2" s="19">
        <f ca="1">((100/C2)*D2)/100</f>
        <v>0</v>
      </c>
      <c r="R2" s="19">
        <f ca="1">((100/C2)*E2)/100</f>
        <v>0</v>
      </c>
      <c r="S2" s="19">
        <f ca="1">((100/(1+C2))*F2)/100</f>
        <v>0</v>
      </c>
      <c r="T2" s="19">
        <f ca="1">((100/C2)*G2)/100</f>
        <v>0</v>
      </c>
      <c r="U2" s="19">
        <f ca="1">((100/C2)*H2)/100</f>
        <v>0</v>
      </c>
      <c r="V2" s="19">
        <f ca="1">((100/(C2))*I2)/100</f>
        <v>0</v>
      </c>
      <c r="W2" s="19">
        <f ca="1">((100/C2)*J2)/100</f>
        <v>0</v>
      </c>
      <c r="X2" s="19">
        <f ca="1">((100/C2)*K2)/100</f>
        <v>0</v>
      </c>
      <c r="Y2" s="19">
        <f ca="1">((100/(C2))*L2)/100</f>
        <v>0</v>
      </c>
      <c r="Z2" s="19">
        <f ca="1">((100/(C2))*M2)/100</f>
        <v>0</v>
      </c>
      <c r="AA2" s="89">
        <f ca="1">C2*25%</f>
        <v>0.25</v>
      </c>
      <c r="AB2" s="90">
        <f ca="1">C2*50%</f>
        <v>0.5</v>
      </c>
      <c r="AC2" s="90">
        <f ca="1">C2</f>
        <v>1</v>
      </c>
      <c r="AD2" s="91">
        <f ca="1">(IF(M62&gt;1,(C2/(M62+2)),C2/4))</f>
        <v>0.25</v>
      </c>
      <c r="AE2" s="91">
        <f ca="1">(IF(M62&gt;1,(C2/(M62+2)+AD2),C2/4+AD2))</f>
        <v>0.5</v>
      </c>
      <c r="AF2" s="91">
        <f>(IF(M62&gt;1,(C2/(M62+2)+AE2),0))</f>
        <v>0</v>
      </c>
      <c r="AG2" s="91">
        <f>(IF(M62&gt;2,(C2/(M62+2)+AF2),0))</f>
        <v>0</v>
      </c>
      <c r="AH2" s="92">
        <f>(IF(M62&gt;3,(C2/(M62+2)+AG2),0))</f>
        <v>0</v>
      </c>
      <c r="AI2" s="91">
        <f>(IF(M62&gt;4,(C2/(M62+2)+AH2),0))</f>
        <v>0</v>
      </c>
      <c r="AJ2" s="91">
        <f ca="1">(IF(M62=1,(C2/(M62+3)+AE2),IF(M62=0,(C2/4+AE2),IF(M62&gt;1,0))))</f>
        <v>0.75</v>
      </c>
      <c r="AK2" s="91">
        <f ca="1">(IF(M62&gt;1.5,(C2/(M62+2)+AE2+MAX(0,AF2-AE2)+MAX(0,AG2-AF2)+MAX(0,AH2-AG2)+MAX(0,AI2-AH2)+MAX(0,AJ2-AI2)),IF(M62=1,(C2/(M62+3)+AJ2),IF(M62=0,C2/4+AJ2))))</f>
        <v>1</v>
      </c>
      <c r="AL2" s="93" t="e">
        <f>(IF(#REF!=(1+#REF!),"",IF(#REF!&gt;0,", RCC upto "&amp;#REF!&amp;" Slab","")))&amp;(IF(#REF!=#REF!,"",IF(#REF!&gt;0,", Brickwork upto "&amp;#REF!&amp;" Floor","")))&amp;(IF(#REF!=#REF!,"",IF(#REF!&gt;0,", Internal Plaster upto "&amp;#REF!&amp;" Floor","")))&amp;(IF(#REF!=#REF!,"",IF(#REF!&gt;0,", External Plaster upto "&amp;#REF!&amp;" Floor","")))&amp;(IF(#REF!=#REF!,"",IF(#REF!&gt;0,", Flooring upto "&amp;#REF!&amp;" Floor","")))&amp;(IF(#REF!=#REF!,"",IF(#REF!&gt;0,", Painting upto "&amp;#REF!&amp;" Floor","")))&amp;(IF(#REF!=#REF!,"",IF(#REF!&gt;0,", Finishing upto "&amp;#REF!&amp;" Floor","")))&amp;(IF(#REF!=#REF!,"",IF(#REF!&gt;0,", Possession upto "&amp;#REF!&amp;" Floor","")))</f>
        <v>#REF!</v>
      </c>
      <c r="AM2" s="93" t="str">
        <f>(IF(D2=0,"Work not yet Started.",IF(Q2=25%,"Piling work in process",IF(Q2=50%,"Excavation work in process",IF(Q2=100%,"","0")))))&amp;(IF(E2=0%,"",IF(E2=AD2,", Footing work is process",IF(E2=AE2,", Footing work Completed",IF(E2=AF2,", 1st Basement Completed",IF(E2=AG2,", 1st &amp; 2nd Basement Completed",IF(E2=AH2,", 1st to 3rd Basement Completed",IF(E2=AI2,", 1st to 4th Basement Completed",IF(E2=AJ2,", Plinth work is process",IF(E2=AK2,"","0"))))))))))</f>
        <v>Work not yet Started.</v>
      </c>
      <c r="AN2" s="93" t="str">
        <f ca="1">(IF(F2=(1+C2),"",IF(F2&gt;0,", RCC upto "&amp;F2&amp;" Slab","")))&amp;(IF(G2=C2,"",IF(G2&gt;0,", Brickwork upto "&amp;G2&amp;" Floor","")))&amp;(IF(H2=C2,"",IF(H2&gt;0,", Internal Plaster upto "&amp;H2&amp;" Floor","")))&amp;(IF(I2=C2,"",IF(I2&gt;0,", External Plaster upto "&amp;I2&amp;" Floor","")))&amp;(IF(J2=C2,"",IF(J2&gt;0,", Flooring upto "&amp;J2&amp;" Floor","")))&amp;(IF(K2=C2,"",IF(K2&gt;0,", Painting upto "&amp;K2&amp;" Floor","")))&amp;(IF(L2=C2,"",IF(L2&gt;0,", Finishing upto "&amp;L2&amp;" Floor","")))&amp;(IF(M2=C2,"",IF(M2&gt;0,", Possession upto "&amp;M2&amp;" Floor","")))</f>
        <v/>
      </c>
      <c r="AO2" s="93" t="str">
        <f ca="1">IF(Q2=100%,"Excavation","")&amp;IF(R2=100%,", Plinth","")&amp;IF(S2=100%,", RCC Slab","")&amp;IF(T2=100%,", Brickwork","")&amp;IF(U2=100%,", Internal Plaster","")&amp;IF(V2=100%,", External Plaster","")&amp;IF(W2=100%,", Flooring","")&amp;IF(X2=100%,", Painting","")&amp;IF(Y2=100%,", Building common Amenities","")</f>
        <v/>
      </c>
      <c r="AP2" s="93" t="str">
        <f ca="1">IF(AO2&lt;&gt;""," Completed","")</f>
        <v/>
      </c>
      <c r="AQ2" s="93" t="str">
        <f ca="1">IF(AN2&lt;&gt;"","Completed","")</f>
        <v/>
      </c>
    </row>
    <row r="3" spans="1:43" ht="15.5" x14ac:dyDescent="0.35">
      <c r="A3" s="94" t="s">
        <v>489</v>
      </c>
      <c r="B3" s="112" t="s">
        <v>382</v>
      </c>
      <c r="C3" s="110">
        <f ca="1">--TRIM(RIGHT(SUBSTITUTE(LEFT(B3,_xlfn.AGGREGATE(16,6,FIND({0,1,2,3,4,5,6,7,8,9},B3,ROW(INDIRECT("1:"&amp;LEN(B3)))),1))," ",REPT(" ",LEN(B3))),LEN(B3)))</f>
        <v>1</v>
      </c>
      <c r="D3" s="42">
        <v>0</v>
      </c>
      <c r="E3" s="42">
        <v>0</v>
      </c>
      <c r="F3" s="42">
        <v>0</v>
      </c>
      <c r="G3" s="42">
        <v>0</v>
      </c>
      <c r="H3" s="42">
        <v>0</v>
      </c>
      <c r="I3" s="42">
        <v>0</v>
      </c>
      <c r="J3" s="42">
        <v>0</v>
      </c>
      <c r="K3" s="42">
        <v>0</v>
      </c>
      <c r="L3" s="42">
        <v>0</v>
      </c>
      <c r="M3" s="42">
        <v>0</v>
      </c>
      <c r="N3" s="88">
        <f t="shared" ref="N3:N57" ca="1" si="0">(((E3/C3*10)+(40/(1+C3)*F3)+(7.5/(C3)*G3)+(7.5/(C3)*H3)+(10/C3*I3)+(10/C3*J3)+(5/C3*K3)+(5/C3*L3)+(5/C3*M3))/100)</f>
        <v>0</v>
      </c>
      <c r="O3" s="88">
        <f t="shared" ref="O3:O57" ca="1" si="1">((((D3/C3)*20)+((E3/C3)*25)+(30/(C3+1)*F3)+(5/C3*G3)+(5/C3*H3)+(5/C3*I3)+(5/C3*J3)+(0/C3*K3)+(0/C3*L3)+(5/C3*M3))/100)</f>
        <v>0</v>
      </c>
      <c r="P3" s="145" t="str">
        <f t="shared" ref="P3:P57" ca="1" si="2">IF(Z3=100%,"All work Completed. Possession granted to the Building.",IF(Y3=100%,"All work Completed, Waiting for OC",AO3&amp;""&amp;AP3&amp;""&amp;AM3&amp;""&amp;AN3&amp;" "&amp;AQ3))</f>
        <v xml:space="preserve">Work not yet Started. </v>
      </c>
      <c r="Q3" s="19">
        <f t="shared" ref="Q3:Q57" ca="1" si="3">((100/C3)*D3)/100</f>
        <v>0</v>
      </c>
      <c r="R3" s="19">
        <f t="shared" ref="R3:R57" ca="1" si="4">((100/C3)*E3)/100</f>
        <v>0</v>
      </c>
      <c r="S3" s="19">
        <f t="shared" ref="S3:S57" ca="1" si="5">((100/(1+C3))*F3)/100</f>
        <v>0</v>
      </c>
      <c r="T3" s="19">
        <f t="shared" ref="T3:T57" ca="1" si="6">((100/C3)*G3)/100</f>
        <v>0</v>
      </c>
      <c r="U3" s="19">
        <f t="shared" ref="U3:U57" ca="1" si="7">((100/C3)*H3)/100</f>
        <v>0</v>
      </c>
      <c r="V3" s="19">
        <f t="shared" ref="V3:V57" ca="1" si="8">((100/(C3))*I3)/100</f>
        <v>0</v>
      </c>
      <c r="W3" s="19">
        <f t="shared" ref="W3:W57" ca="1" si="9">((100/C3)*J3)/100</f>
        <v>0</v>
      </c>
      <c r="X3" s="19">
        <f t="shared" ref="X3:X57" ca="1" si="10">((100/C3)*K3)/100</f>
        <v>0</v>
      </c>
      <c r="Y3" s="19">
        <f t="shared" ref="Y3:Y57" ca="1" si="11">((100/(C3))*L3)/100</f>
        <v>0</v>
      </c>
      <c r="Z3" s="19">
        <f t="shared" ref="Z3:Z57" ca="1" si="12">((100/(C3))*M3)/100</f>
        <v>0</v>
      </c>
      <c r="AA3" s="89">
        <f t="shared" ref="AA3:AA57" ca="1" si="13">C3*25%</f>
        <v>0.25</v>
      </c>
      <c r="AB3" s="90">
        <f t="shared" ref="AB3:AB57" ca="1" si="14">C3*50%</f>
        <v>0.5</v>
      </c>
      <c r="AC3" s="90">
        <f t="shared" ref="AC3:AC57" ca="1" si="15">C3</f>
        <v>1</v>
      </c>
      <c r="AD3" s="91">
        <f ca="1">(IF(M63&gt;1,(C3/(M63+2)),C3/4))</f>
        <v>0.25</v>
      </c>
      <c r="AE3" s="91">
        <f ca="1">(IF(M63&gt;1,(C3/(M63+2)+AD3),C3/4+AD3))</f>
        <v>0.5</v>
      </c>
      <c r="AF3" s="91">
        <f>(IF(M63&gt;1,(C3/(M63+2)+AE3),0))</f>
        <v>0</v>
      </c>
      <c r="AG3" s="91">
        <f>(IF(M63&gt;2,(C3/(M63+2)+AF3),0))</f>
        <v>0</v>
      </c>
      <c r="AH3" s="92">
        <f>(IF(M63&gt;3,(C3/(M63+2)+AG3),0))</f>
        <v>0</v>
      </c>
      <c r="AI3" s="91">
        <f>(IF(M63&gt;4,(C3/(M63+2)+AH3),0))</f>
        <v>0</v>
      </c>
      <c r="AJ3" s="91">
        <f ca="1">(IF(M63=1,(C3/(M63+3)+AE3),IF(M63=0,(C3/4+AE3),IF(M63&gt;1,0))))</f>
        <v>0.75</v>
      </c>
      <c r="AK3" s="91">
        <f ca="1">(IF(M63&gt;1.5,(C3/(M63+2)+AE3+MAX(0,AF3-AE3)+MAX(0,AG3-AF3)+MAX(0,AH3-AG3)+MAX(0,AI3-AH3)+MAX(0,AJ3-AI3)),IF(M63=1,(C3/(M63+3)+AJ3),IF(M63=0,C3/4+AJ3))))</f>
        <v>1</v>
      </c>
      <c r="AL3" s="93" t="e">
        <f>(IF(#REF!=(1+#REF!),"",IF(#REF!&gt;0,", RCC upto "&amp;#REF!&amp;" Slab","")))&amp;(IF(#REF!=#REF!,"",IF(#REF!&gt;0,", Brickwork upto "&amp;#REF!&amp;" Floor","")))&amp;(IF(#REF!=#REF!,"",IF(#REF!&gt;0,", Internal Plaster upto "&amp;#REF!&amp;" Floor","")))&amp;(IF(#REF!=#REF!,"",IF(#REF!&gt;0,", External Plaster upto "&amp;#REF!&amp;" Floor","")))&amp;(IF(#REF!=#REF!,"",IF(#REF!&gt;0,", Flooring upto "&amp;#REF!&amp;" Floor","")))&amp;(IF(#REF!=#REF!,"",IF(#REF!&gt;0,", Painting upto "&amp;#REF!&amp;" Floor","")))&amp;(IF(#REF!=#REF!,"",IF(#REF!&gt;0,", Finishing upto "&amp;#REF!&amp;" Floor","")))&amp;(IF(#REF!=#REF!,"",IF(#REF!&gt;0,", Possession upto "&amp;#REF!&amp;" Floor","")))</f>
        <v>#REF!</v>
      </c>
      <c r="AM3" s="93" t="str">
        <f t="shared" ref="AM3:AM57" si="16">(IF(D3=0,"Work not yet Started.",IF(Q3=25%,"Piling work in process",IF(Q3=50%,"Excavation work in process",IF(Q3=100%,"","0")))))&amp;(IF(E3=0%,"",IF(E3=AD3,", Footing work is process",IF(E3=AE3,", Footing work Completed",IF(E3=AF3,", 1st Basement Completed",IF(E3=AG3,", 1st &amp; 2nd Basement Completed",IF(E3=AH3,", 1st to 3rd Basement Completed",IF(E3=AI3,", 1st to 4th Basement Completed",IF(E3=AJ3,", Plinth work is process",IF(E3=AK3,"","0"))))))))))</f>
        <v>Work not yet Started.</v>
      </c>
      <c r="AN3" s="93" t="str">
        <f t="shared" ref="AN3:AN57" ca="1" si="17">(IF(F3=(1+C3),"",IF(F3&gt;0,", RCC upto "&amp;F3&amp;" Slab","")))&amp;(IF(G3=C3,"",IF(G3&gt;0,", Brickwork upto "&amp;G3&amp;" Floor","")))&amp;(IF(H3=C3,"",IF(H3&gt;0,", Internal Plaster upto "&amp;H3&amp;" Floor","")))&amp;(IF(I3=C3,"",IF(I3&gt;0,", External Plaster upto "&amp;I3&amp;" Floor","")))&amp;(IF(J3=C3,"",IF(J3&gt;0,", Flooring upto "&amp;J3&amp;" Floor","")))&amp;(IF(K3=C3,"",IF(K3&gt;0,", Painting upto "&amp;K3&amp;" Floor","")))&amp;(IF(L3=C3,"",IF(L3&gt;0,", Finishing upto "&amp;L3&amp;" Floor","")))&amp;(IF(M3=C3,"",IF(M3&gt;0,", Possession upto "&amp;M3&amp;" Floor","")))</f>
        <v/>
      </c>
      <c r="AO3" s="93" t="str">
        <f t="shared" ref="AO3:AO57" ca="1" si="18">IF(Q3=100%,"Excavation","")&amp;IF(R3=100%,", Plinth","")&amp;IF(S3=100%,", RCC Slab","")&amp;IF(T3=100%,", Brickwork","")&amp;IF(U3=100%,", Internal Plaster","")&amp;IF(V3=100%,", External Plaster","")&amp;IF(W3=100%,", Flooring","")&amp;IF(X3=100%,", Painting","")&amp;IF(Y3=100%,", Building common Amenities","")</f>
        <v/>
      </c>
      <c r="AP3" s="93" t="str">
        <f t="shared" ref="AP3:AP57" ca="1" si="19">IF(AO3&lt;&gt;""," Completed","")</f>
        <v/>
      </c>
      <c r="AQ3" s="93" t="str">
        <f t="shared" ref="AQ3:AQ57" ca="1" si="20">IF(AN3&lt;&gt;"","Completed","")</f>
        <v/>
      </c>
    </row>
    <row r="4" spans="1:43" ht="15.5" x14ac:dyDescent="0.35">
      <c r="A4" s="94" t="s">
        <v>490</v>
      </c>
      <c r="B4" s="112" t="s">
        <v>382</v>
      </c>
      <c r="C4" s="110">
        <f ca="1">--TRIM(RIGHT(SUBSTITUTE(LEFT(B4,_xlfn.AGGREGATE(16,6,FIND({0,1,2,3,4,5,6,7,8,9},B4,ROW(INDIRECT("1:"&amp;LEN(B4)))),1))," ",REPT(" ",LEN(B4))),LEN(B4)))</f>
        <v>1</v>
      </c>
      <c r="D4" s="42">
        <v>0</v>
      </c>
      <c r="E4" s="42">
        <v>0</v>
      </c>
      <c r="F4" s="42">
        <v>0</v>
      </c>
      <c r="G4" s="42">
        <v>0</v>
      </c>
      <c r="H4" s="42">
        <v>0</v>
      </c>
      <c r="I4" s="42">
        <v>0</v>
      </c>
      <c r="J4" s="42">
        <v>0</v>
      </c>
      <c r="K4" s="42">
        <v>0</v>
      </c>
      <c r="L4" s="42">
        <v>0</v>
      </c>
      <c r="M4" s="42">
        <v>0</v>
      </c>
      <c r="N4" s="88">
        <f ca="1">(((E4/C4*10)+(40/(1+C4)*F4)+(7.5/(C4)*G4)+(7.5/(C4)*H4)+(10/C4*I4)+(10/C4*J4)+(5/C4*K4)+(5/C4*L4)+(5/C4*M4))/100)</f>
        <v>0</v>
      </c>
      <c r="O4" s="88">
        <f ca="1">((((D4/C4)*20)+((E4/C4)*25)+(30/(C4+1)*F4)+(5/C4*G4)+(5/C4*H4)+(5/C4*I4)+(5/C4*J4)+(0/C4*K4)+(0/C4*L4)+(5/C4*M4))/100)</f>
        <v>0</v>
      </c>
      <c r="P4" s="145" t="str">
        <f ca="1">IF(Z4=100%,"All work Completed. Possession granted to the Building.",IF(Y4=100%,"All work Completed, Waiting for OC",AO4&amp;""&amp;AP4&amp;""&amp;AM4&amp;""&amp;AN4&amp;" "&amp;AQ4))</f>
        <v xml:space="preserve">Work not yet Started. </v>
      </c>
      <c r="Q4" s="19">
        <f ca="1">((100/C4)*D4)/100</f>
        <v>0</v>
      </c>
      <c r="R4" s="19">
        <f ca="1">((100/C4)*E4)/100</f>
        <v>0</v>
      </c>
      <c r="S4" s="19">
        <f ca="1">((100/(1+C4))*F4)/100</f>
        <v>0</v>
      </c>
      <c r="T4" s="19">
        <f ca="1">((100/C4)*G4)/100</f>
        <v>0</v>
      </c>
      <c r="U4" s="19">
        <f ca="1">((100/C4)*H4)/100</f>
        <v>0</v>
      </c>
      <c r="V4" s="19">
        <f ca="1">((100/(C4))*I4)/100</f>
        <v>0</v>
      </c>
      <c r="W4" s="19">
        <f ca="1">((100/C4)*J4)/100</f>
        <v>0</v>
      </c>
      <c r="X4" s="19">
        <f ca="1">((100/C4)*K4)/100</f>
        <v>0</v>
      </c>
      <c r="Y4" s="19">
        <f ca="1">((100/(C4))*L4)/100</f>
        <v>0</v>
      </c>
      <c r="Z4" s="19">
        <f ca="1">((100/(C4))*M4)/100</f>
        <v>0</v>
      </c>
      <c r="AA4" s="89">
        <f ca="1">C4*25%</f>
        <v>0.25</v>
      </c>
      <c r="AB4" s="90">
        <f ca="1">C4*50%</f>
        <v>0.5</v>
      </c>
      <c r="AC4" s="90">
        <f ca="1">C4</f>
        <v>1</v>
      </c>
      <c r="AD4" s="91">
        <f ca="1">(IF(M64&gt;1,(C4/(M64+2)),C4/4))</f>
        <v>0.25</v>
      </c>
      <c r="AE4" s="91">
        <f ca="1">(IF(M64&gt;1,(C4/(M64+2)+AD4),C4/4+AD4))</f>
        <v>0.5</v>
      </c>
      <c r="AF4" s="91">
        <f>(IF(M64&gt;1,(C4/(M64+2)+AE4),0))</f>
        <v>0</v>
      </c>
      <c r="AG4" s="91">
        <f>(IF(M64&gt;2,(C4/(M64+2)+AF4),0))</f>
        <v>0</v>
      </c>
      <c r="AH4" s="92">
        <f>(IF(M64&gt;3,(C4/(M64+2)+AG4),0))</f>
        <v>0</v>
      </c>
      <c r="AI4" s="91">
        <f>(IF(M64&gt;4,(C4/(M64+2)+AH4),0))</f>
        <v>0</v>
      </c>
      <c r="AJ4" s="91">
        <f ca="1">(IF(M64=1,(C4/(M64+3)+AE4),IF(M64=0,(C4/4+AE4),IF(M64&gt;1,0))))</f>
        <v>0.75</v>
      </c>
      <c r="AK4" s="91">
        <f ca="1">(IF(M64&gt;1.5,(C4/(M64+2)+AE4+MAX(0,AF4-AE4)+MAX(0,AG4-AF4)+MAX(0,AH4-AG4)+MAX(0,AI4-AH4)+MAX(0,AJ4-AI4)),IF(M64=1,(C4/(M64+3)+AJ4),IF(M64=0,C4/4+AJ4))))</f>
        <v>1</v>
      </c>
      <c r="AL4" s="93" t="e">
        <f>(IF(#REF!=(1+#REF!),"",IF(#REF!&gt;0,", RCC upto "&amp;#REF!&amp;" Slab","")))&amp;(IF(#REF!=#REF!,"",IF(#REF!&gt;0,", Brickwork upto "&amp;#REF!&amp;" Floor","")))&amp;(IF(#REF!=#REF!,"",IF(#REF!&gt;0,", Internal Plaster upto "&amp;#REF!&amp;" Floor","")))&amp;(IF(#REF!=#REF!,"",IF(#REF!&gt;0,", External Plaster upto "&amp;#REF!&amp;" Floor","")))&amp;(IF(#REF!=#REF!,"",IF(#REF!&gt;0,", Flooring upto "&amp;#REF!&amp;" Floor","")))&amp;(IF(#REF!=#REF!,"",IF(#REF!&gt;0,", Painting upto "&amp;#REF!&amp;" Floor","")))&amp;(IF(#REF!=#REF!,"",IF(#REF!&gt;0,", Finishing upto "&amp;#REF!&amp;" Floor","")))&amp;(IF(#REF!=#REF!,"",IF(#REF!&gt;0,", Possession upto "&amp;#REF!&amp;" Floor","")))</f>
        <v>#REF!</v>
      </c>
      <c r="AM4" s="93" t="str">
        <f>(IF(D4=0,"Work not yet Started.",IF(Q4=25%,"Piling work in process",IF(Q4=50%,"Excavation work in process",IF(Q4=100%,"","0")))))&amp;(IF(E4=0%,"",IF(E4=AD4,", Footing work is process",IF(E4=AE4,", Footing work Completed",IF(E4=AF4,", 1st Basement Completed",IF(E4=AG4,", 1st &amp; 2nd Basement Completed",IF(E4=AH4,", 1st to 3rd Basement Completed",IF(E4=AI4,", 1st to 4th Basement Completed",IF(E4=AJ4,", Plinth work is process",IF(E4=AK4,"","0"))))))))))</f>
        <v>Work not yet Started.</v>
      </c>
      <c r="AN4" s="93" t="str">
        <f ca="1">(IF(F4=(1+C4),"",IF(F4&gt;0,", RCC upto "&amp;F4&amp;" Slab","")))&amp;(IF(G4=C4,"",IF(G4&gt;0,", Brickwork upto "&amp;G4&amp;" Floor","")))&amp;(IF(H4=C4,"",IF(H4&gt;0,", Internal Plaster upto "&amp;H4&amp;" Floor","")))&amp;(IF(I4=C4,"",IF(I4&gt;0,", External Plaster upto "&amp;I4&amp;" Floor","")))&amp;(IF(J4=C4,"",IF(J4&gt;0,", Flooring upto "&amp;J4&amp;" Floor","")))&amp;(IF(K4=C4,"",IF(K4&gt;0,", Painting upto "&amp;K4&amp;" Floor","")))&amp;(IF(L4=C4,"",IF(L4&gt;0,", Finishing upto "&amp;L4&amp;" Floor","")))&amp;(IF(M4=C4,"",IF(M4&gt;0,", Possession upto "&amp;M4&amp;" Floor","")))</f>
        <v/>
      </c>
      <c r="AO4" s="93" t="str">
        <f ca="1">IF(Q4=100%,"Excavation","")&amp;IF(R4=100%,", Plinth","")&amp;IF(S4=100%,", RCC Slab","")&amp;IF(T4=100%,", Brickwork","")&amp;IF(U4=100%,", Internal Plaster","")&amp;IF(V4=100%,", External Plaster","")&amp;IF(W4=100%,", Flooring","")&amp;IF(X4=100%,", Painting","")&amp;IF(Y4=100%,", Building common Amenities","")</f>
        <v/>
      </c>
      <c r="AP4" s="93" t="str">
        <f ca="1">IF(AO4&lt;&gt;""," Completed","")</f>
        <v/>
      </c>
      <c r="AQ4" s="93" t="str">
        <f ca="1">IF(AN4&lt;&gt;"","Completed","")</f>
        <v/>
      </c>
    </row>
    <row r="5" spans="1:43" ht="15.5" x14ac:dyDescent="0.35">
      <c r="A5" s="94" t="s">
        <v>491</v>
      </c>
      <c r="B5" s="112" t="s">
        <v>382</v>
      </c>
      <c r="C5" s="110">
        <f ca="1">--TRIM(RIGHT(SUBSTITUTE(LEFT(B5,_xlfn.AGGREGATE(16,6,FIND({0,1,2,3,4,5,6,7,8,9},B5,ROW(INDIRECT("1:"&amp;LEN(B5)))),1))," ",REPT(" ",LEN(B5))),LEN(B5)))</f>
        <v>1</v>
      </c>
      <c r="D5" s="42">
        <v>0</v>
      </c>
      <c r="E5" s="42">
        <v>0</v>
      </c>
      <c r="F5" s="42">
        <v>0</v>
      </c>
      <c r="G5" s="42">
        <v>0</v>
      </c>
      <c r="H5" s="42">
        <v>0</v>
      </c>
      <c r="I5" s="42">
        <v>0</v>
      </c>
      <c r="J5" s="42">
        <v>0</v>
      </c>
      <c r="K5" s="42">
        <v>0</v>
      </c>
      <c r="L5" s="42">
        <v>0</v>
      </c>
      <c r="M5" s="42">
        <v>0</v>
      </c>
      <c r="N5" s="88">
        <f t="shared" ref="N5" ca="1" si="21">(((E5/C5*10)+(40/(1+C5)*F5)+(7.5/(C5)*G5)+(7.5/(C5)*H5)+(10/C5*I5)+(10/C5*J5)+(5/C5*K5)+(5/C5*L5)+(5/C5*M5))/100)</f>
        <v>0</v>
      </c>
      <c r="O5" s="88">
        <f t="shared" ref="O5" ca="1" si="22">((((D5/C5)*20)+((E5/C5)*25)+(30/(C5+1)*F5)+(5/C5*G5)+(5/C5*H5)+(5/C5*I5)+(5/C5*J5)+(0/C5*K5)+(0/C5*L5)+(5/C5*M5))/100)</f>
        <v>0</v>
      </c>
      <c r="P5" s="145" t="str">
        <f t="shared" ref="P5" ca="1" si="23">IF(Z5=100%,"All work Completed. Possession granted to the Building.",IF(Y5=100%,"All work Completed, Waiting for OC",AO5&amp;""&amp;AP5&amp;""&amp;AM5&amp;""&amp;AN5&amp;" "&amp;AQ5))</f>
        <v xml:space="preserve">Work not yet Started. </v>
      </c>
      <c r="Q5" s="19">
        <f t="shared" ref="Q5" ca="1" si="24">((100/C5)*D5)/100</f>
        <v>0</v>
      </c>
      <c r="R5" s="19">
        <f t="shared" ref="R5" ca="1" si="25">((100/C5)*E5)/100</f>
        <v>0</v>
      </c>
      <c r="S5" s="19">
        <f t="shared" ref="S5" ca="1" si="26">((100/(1+C5))*F5)/100</f>
        <v>0</v>
      </c>
      <c r="T5" s="19">
        <f t="shared" ref="T5" ca="1" si="27">((100/C5)*G5)/100</f>
        <v>0</v>
      </c>
      <c r="U5" s="19">
        <f t="shared" ref="U5" ca="1" si="28">((100/C5)*H5)/100</f>
        <v>0</v>
      </c>
      <c r="V5" s="19">
        <f t="shared" ref="V5" ca="1" si="29">((100/(C5))*I5)/100</f>
        <v>0</v>
      </c>
      <c r="W5" s="19">
        <f t="shared" ref="W5" ca="1" si="30">((100/C5)*J5)/100</f>
        <v>0</v>
      </c>
      <c r="X5" s="19">
        <f t="shared" ref="X5" ca="1" si="31">((100/C5)*K5)/100</f>
        <v>0</v>
      </c>
      <c r="Y5" s="19">
        <f t="shared" ref="Y5" ca="1" si="32">((100/(C5))*L5)/100</f>
        <v>0</v>
      </c>
      <c r="Z5" s="19">
        <f t="shared" ref="Z5" ca="1" si="33">((100/(C5))*M5)/100</f>
        <v>0</v>
      </c>
      <c r="AA5" s="89">
        <f t="shared" ref="AA5" ca="1" si="34">C5*25%</f>
        <v>0.25</v>
      </c>
      <c r="AB5" s="90">
        <f t="shared" ref="AB5" ca="1" si="35">C5*50%</f>
        <v>0.5</v>
      </c>
      <c r="AC5" s="90">
        <f t="shared" ref="AC5" ca="1" si="36">C5</f>
        <v>1</v>
      </c>
      <c r="AD5" s="91">
        <f ca="1">(IF(M65&gt;1,(C5/(M65+2)),C5/4))</f>
        <v>0.25</v>
      </c>
      <c r="AE5" s="91">
        <f ca="1">(IF(M65&gt;1,(C5/(M65+2)+AD5),C5/4+AD5))</f>
        <v>0.5</v>
      </c>
      <c r="AF5" s="91">
        <f>(IF(M65&gt;1,(C5/(M65+2)+AE5),0))</f>
        <v>0</v>
      </c>
      <c r="AG5" s="91">
        <f>(IF(M65&gt;2,(C5/(M65+2)+AF5),0))</f>
        <v>0</v>
      </c>
      <c r="AH5" s="92">
        <f>(IF(M65&gt;3,(C5/(M65+2)+AG5),0))</f>
        <v>0</v>
      </c>
      <c r="AI5" s="91">
        <f>(IF(M65&gt;4,(C5/(M65+2)+AH5),0))</f>
        <v>0</v>
      </c>
      <c r="AJ5" s="91">
        <f ca="1">(IF(M65=1,(C5/(M65+3)+AE5),IF(M65=0,(C5/4+AE5),IF(M65&gt;1,0))))</f>
        <v>0.75</v>
      </c>
      <c r="AK5" s="91">
        <f ca="1">(IF(M65&gt;1.5,(C5/(M65+2)+AE5+MAX(0,AF5-AE5)+MAX(0,AG5-AF5)+MAX(0,AH5-AG5)+MAX(0,AI5-AH5)+MAX(0,AJ5-AI5)),IF(M65=1,(C5/(M65+3)+AJ5),IF(M65=0,C5/4+AJ5))))</f>
        <v>1</v>
      </c>
      <c r="AL5" s="93" t="e">
        <f>(IF(#REF!=(1+#REF!),"",IF(#REF!&gt;0,", RCC upto "&amp;#REF!&amp;" Slab","")))&amp;(IF(#REF!=#REF!,"",IF(#REF!&gt;0,", Brickwork upto "&amp;#REF!&amp;" Floor","")))&amp;(IF(#REF!=#REF!,"",IF(#REF!&gt;0,", Internal Plaster upto "&amp;#REF!&amp;" Floor","")))&amp;(IF(#REF!=#REF!,"",IF(#REF!&gt;0,", External Plaster upto "&amp;#REF!&amp;" Floor","")))&amp;(IF(#REF!=#REF!,"",IF(#REF!&gt;0,", Flooring upto "&amp;#REF!&amp;" Floor","")))&amp;(IF(#REF!=#REF!,"",IF(#REF!&gt;0,", Painting upto "&amp;#REF!&amp;" Floor","")))&amp;(IF(#REF!=#REF!,"",IF(#REF!&gt;0,", Finishing upto "&amp;#REF!&amp;" Floor","")))&amp;(IF(#REF!=#REF!,"",IF(#REF!&gt;0,", Possession upto "&amp;#REF!&amp;" Floor","")))</f>
        <v>#REF!</v>
      </c>
      <c r="AM5" s="93" t="str">
        <f t="shared" ref="AM5" si="37">(IF(D5=0,"Work not yet Started.",IF(Q5=25%,"Piling work in process",IF(Q5=50%,"Excavation work in process",IF(Q5=100%,"","0")))))&amp;(IF(E5=0%,"",IF(E5=AD5,", Footing work is process",IF(E5=AE5,", Footing work Completed",IF(E5=AF5,", 1st Basement Completed",IF(E5=AG5,", 1st &amp; 2nd Basement Completed",IF(E5=AH5,", 1st to 3rd Basement Completed",IF(E5=AI5,", 1st to 4th Basement Completed",IF(E5=AJ5,", Plinth work is process",IF(E5=AK5,"","0"))))))))))</f>
        <v>Work not yet Started.</v>
      </c>
      <c r="AN5" s="93" t="str">
        <f t="shared" ref="AN5" ca="1" si="38">(IF(F5=(1+C5),"",IF(F5&gt;0,", RCC upto "&amp;F5&amp;" Slab","")))&amp;(IF(G5=C5,"",IF(G5&gt;0,", Brickwork upto "&amp;G5&amp;" Floor","")))&amp;(IF(H5=C5,"",IF(H5&gt;0,", Internal Plaster upto "&amp;H5&amp;" Floor","")))&amp;(IF(I5=C5,"",IF(I5&gt;0,", External Plaster upto "&amp;I5&amp;" Floor","")))&amp;(IF(J5=C5,"",IF(J5&gt;0,", Flooring upto "&amp;J5&amp;" Floor","")))&amp;(IF(K5=C5,"",IF(K5&gt;0,", Painting upto "&amp;K5&amp;" Floor","")))&amp;(IF(L5=C5,"",IF(L5&gt;0,", Finishing upto "&amp;L5&amp;" Floor","")))&amp;(IF(M5=C5,"",IF(M5&gt;0,", Possession upto "&amp;M5&amp;" Floor","")))</f>
        <v/>
      </c>
      <c r="AO5" s="93" t="str">
        <f t="shared" ref="AO5" ca="1" si="39">IF(Q5=100%,"Excavation","")&amp;IF(R5=100%,", Plinth","")&amp;IF(S5=100%,", RCC Slab","")&amp;IF(T5=100%,", Brickwork","")&amp;IF(U5=100%,", Internal Plaster","")&amp;IF(V5=100%,", External Plaster","")&amp;IF(W5=100%,", Flooring","")&amp;IF(X5=100%,", Painting","")&amp;IF(Y5=100%,", Building common Amenities","")</f>
        <v/>
      </c>
      <c r="AP5" s="93" t="str">
        <f t="shared" ref="AP5" ca="1" si="40">IF(AO5&lt;&gt;""," Completed","")</f>
        <v/>
      </c>
      <c r="AQ5" s="93" t="str">
        <f t="shared" ref="AQ5" ca="1" si="41">IF(AN5&lt;&gt;"","Completed","")</f>
        <v/>
      </c>
    </row>
    <row r="6" spans="1:43" ht="15.5" x14ac:dyDescent="0.35">
      <c r="A6" s="94" t="s">
        <v>309</v>
      </c>
      <c r="B6" s="112" t="s">
        <v>391</v>
      </c>
      <c r="C6" s="110">
        <f ca="1">--TRIM(RIGHT(SUBSTITUTE(LEFT(B6,_xlfn.AGGREGATE(16,6,FIND({0,1,2,3,4,5,6,7,8,9},B6,ROW(INDIRECT("1:"&amp;LEN(B6)))),1))," ",REPT(" ",LEN(B6))),LEN(B6)))</f>
        <v>2</v>
      </c>
      <c r="D6" s="42">
        <v>0</v>
      </c>
      <c r="E6" s="42">
        <v>0</v>
      </c>
      <c r="F6" s="42">
        <v>0</v>
      </c>
      <c r="G6" s="42">
        <v>0</v>
      </c>
      <c r="H6" s="42">
        <v>0</v>
      </c>
      <c r="I6" s="42">
        <v>0</v>
      </c>
      <c r="J6" s="42">
        <v>0</v>
      </c>
      <c r="K6" s="42">
        <v>0</v>
      </c>
      <c r="L6" s="42">
        <v>0</v>
      </c>
      <c r="M6" s="42">
        <v>0</v>
      </c>
      <c r="N6" s="88">
        <f t="shared" ca="1" si="0"/>
        <v>0</v>
      </c>
      <c r="O6" s="88">
        <f t="shared" ca="1" si="1"/>
        <v>0</v>
      </c>
      <c r="P6" s="146" t="str">
        <f t="shared" ca="1" si="2"/>
        <v xml:space="preserve">Work not yet Started. </v>
      </c>
      <c r="Q6" s="19">
        <f t="shared" ca="1" si="3"/>
        <v>0</v>
      </c>
      <c r="R6" s="19">
        <f t="shared" ca="1" si="4"/>
        <v>0</v>
      </c>
      <c r="S6" s="19">
        <f t="shared" ca="1" si="5"/>
        <v>0</v>
      </c>
      <c r="T6" s="19">
        <f t="shared" ca="1" si="6"/>
        <v>0</v>
      </c>
      <c r="U6" s="19">
        <f t="shared" ca="1" si="7"/>
        <v>0</v>
      </c>
      <c r="V6" s="19">
        <f t="shared" ca="1" si="8"/>
        <v>0</v>
      </c>
      <c r="W6" s="19">
        <f t="shared" ca="1" si="9"/>
        <v>0</v>
      </c>
      <c r="X6" s="19">
        <f t="shared" ca="1" si="10"/>
        <v>0</v>
      </c>
      <c r="Y6" s="19">
        <f t="shared" ca="1" si="11"/>
        <v>0</v>
      </c>
      <c r="Z6" s="19">
        <f t="shared" ca="1" si="12"/>
        <v>0</v>
      </c>
      <c r="AA6" s="89">
        <f t="shared" ca="1" si="13"/>
        <v>0.5</v>
      </c>
      <c r="AB6" s="90">
        <f t="shared" ca="1" si="14"/>
        <v>1</v>
      </c>
      <c r="AC6" s="90">
        <f t="shared" ca="1" si="15"/>
        <v>2</v>
      </c>
      <c r="AD6" s="91">
        <f t="shared" ref="AD6:AD17" ca="1" si="42">(IF(M64&gt;1,(C6/(M64+2)),C6/4))</f>
        <v>0.5</v>
      </c>
      <c r="AE6" s="91">
        <f t="shared" ref="AE6:AE17" ca="1" si="43">(IF(M64&gt;1,(C6/(M64+2)+AD6),C6/4+AD6))</f>
        <v>1</v>
      </c>
      <c r="AF6" s="91">
        <f t="shared" ref="AF6:AF17" si="44">(IF(M64&gt;1,(C6/(M64+2)+AE6),0))</f>
        <v>0</v>
      </c>
      <c r="AG6" s="91">
        <f t="shared" ref="AG6:AG17" si="45">(IF(M64&gt;2,(C6/(M64+2)+AF6),0))</f>
        <v>0</v>
      </c>
      <c r="AH6" s="92">
        <f t="shared" ref="AH6:AH17" si="46">(IF(M64&gt;3,(C6/(M64+2)+AG6),0))</f>
        <v>0</v>
      </c>
      <c r="AI6" s="91">
        <f t="shared" ref="AI6:AI17" si="47">(IF(M64&gt;4,(C6/(M64+2)+AH6),0))</f>
        <v>0</v>
      </c>
      <c r="AJ6" s="91">
        <f t="shared" ref="AJ6:AJ17" ca="1" si="48">(IF(M64=1,(C6/(M64+3)+AE6),IF(M64=0,(C6/4+AE6),IF(M64&gt;1,0))))</f>
        <v>1.5</v>
      </c>
      <c r="AK6" s="91">
        <f t="shared" ref="AK6:AK17" ca="1" si="49">(IF(M64&gt;1.5,(C6/(M64+2)+AE6+MAX(0,AF6-AE6)+MAX(0,AG6-AF6)+MAX(0,AH6-AG6)+MAX(0,AI6-AH6)+MAX(0,AJ6-AI6)),IF(M64=1,(C6/(M64+3)+AJ6),IF(M64=0,C6/4+AJ6))))</f>
        <v>2</v>
      </c>
      <c r="AL6" s="93" t="e">
        <f>(IF(#REF!=(1+#REF!),"",IF(#REF!&gt;0,", RCC upto "&amp;#REF!&amp;" Slab","")))&amp;(IF(#REF!=#REF!,"",IF(#REF!&gt;0,", Brickwork upto "&amp;#REF!&amp;" Floor","")))&amp;(IF(#REF!=#REF!,"",IF(#REF!&gt;0,", Internal Plaster upto "&amp;#REF!&amp;" Floor","")))&amp;(IF(#REF!=#REF!,"",IF(#REF!&gt;0,", External Plaster upto "&amp;#REF!&amp;" Floor","")))&amp;(IF(#REF!=#REF!,"",IF(#REF!&gt;0,", Flooring upto "&amp;#REF!&amp;" Floor","")))&amp;(IF(#REF!=#REF!,"",IF(#REF!&gt;0,", Painting upto "&amp;#REF!&amp;" Floor","")))&amp;(IF(#REF!=#REF!,"",IF(#REF!&gt;0,", Finishing upto "&amp;#REF!&amp;" Floor","")))&amp;(IF(#REF!=#REF!,"",IF(#REF!&gt;0,", Possession upto "&amp;#REF!&amp;" Floor","")))</f>
        <v>#REF!</v>
      </c>
      <c r="AM6" s="93" t="str">
        <f t="shared" si="16"/>
        <v>Work not yet Started.</v>
      </c>
      <c r="AN6" s="93" t="str">
        <f t="shared" ca="1" si="17"/>
        <v/>
      </c>
      <c r="AO6" s="93" t="str">
        <f t="shared" ca="1" si="18"/>
        <v/>
      </c>
      <c r="AP6" s="93" t="str">
        <f t="shared" ca="1" si="19"/>
        <v/>
      </c>
      <c r="AQ6" s="93" t="str">
        <f t="shared" ca="1" si="20"/>
        <v/>
      </c>
    </row>
    <row r="7" spans="1:43" ht="15.5" x14ac:dyDescent="0.35">
      <c r="A7" s="94" t="s">
        <v>310</v>
      </c>
      <c r="B7" s="112" t="s">
        <v>391</v>
      </c>
      <c r="C7" s="110">
        <f ca="1">--TRIM(RIGHT(SUBSTITUTE(LEFT(B7,_xlfn.AGGREGATE(16,6,FIND({0,1,2,3,4,5,6,7,8,9},B7,ROW(INDIRECT("1:"&amp;LEN(B7)))),1))," ",REPT(" ",LEN(B7))),LEN(B7)))</f>
        <v>2</v>
      </c>
      <c r="D7" s="42">
        <v>0</v>
      </c>
      <c r="E7" s="42">
        <v>0</v>
      </c>
      <c r="F7" s="42">
        <v>0</v>
      </c>
      <c r="G7" s="42">
        <v>0</v>
      </c>
      <c r="H7" s="42">
        <v>0</v>
      </c>
      <c r="I7" s="42">
        <v>0</v>
      </c>
      <c r="J7" s="42">
        <v>0</v>
      </c>
      <c r="K7" s="42">
        <v>0</v>
      </c>
      <c r="L7" s="42">
        <v>0</v>
      </c>
      <c r="M7" s="42">
        <v>0</v>
      </c>
      <c r="N7" s="88">
        <f t="shared" ca="1" si="0"/>
        <v>0</v>
      </c>
      <c r="O7" s="88">
        <f t="shared" ca="1" si="1"/>
        <v>0</v>
      </c>
      <c r="P7" s="146" t="str">
        <f t="shared" ca="1" si="2"/>
        <v xml:space="preserve">Work not yet Started. </v>
      </c>
      <c r="Q7" s="19">
        <f t="shared" ca="1" si="3"/>
        <v>0</v>
      </c>
      <c r="R7" s="19">
        <f t="shared" ca="1" si="4"/>
        <v>0</v>
      </c>
      <c r="S7" s="19">
        <f t="shared" ca="1" si="5"/>
        <v>0</v>
      </c>
      <c r="T7" s="19">
        <f t="shared" ca="1" si="6"/>
        <v>0</v>
      </c>
      <c r="U7" s="19">
        <f t="shared" ca="1" si="7"/>
        <v>0</v>
      </c>
      <c r="V7" s="19">
        <f t="shared" ca="1" si="8"/>
        <v>0</v>
      </c>
      <c r="W7" s="19">
        <f t="shared" ca="1" si="9"/>
        <v>0</v>
      </c>
      <c r="X7" s="19">
        <f t="shared" ca="1" si="10"/>
        <v>0</v>
      </c>
      <c r="Y7" s="19">
        <f t="shared" ca="1" si="11"/>
        <v>0</v>
      </c>
      <c r="Z7" s="19">
        <f t="shared" ca="1" si="12"/>
        <v>0</v>
      </c>
      <c r="AA7" s="89">
        <f t="shared" ca="1" si="13"/>
        <v>0.5</v>
      </c>
      <c r="AB7" s="90">
        <f t="shared" ca="1" si="14"/>
        <v>1</v>
      </c>
      <c r="AC7" s="90">
        <f t="shared" ca="1" si="15"/>
        <v>2</v>
      </c>
      <c r="AD7" s="91">
        <f t="shared" ca="1" si="42"/>
        <v>0.5</v>
      </c>
      <c r="AE7" s="91">
        <f t="shared" ca="1" si="43"/>
        <v>1</v>
      </c>
      <c r="AF7" s="91">
        <f t="shared" si="44"/>
        <v>0</v>
      </c>
      <c r="AG7" s="91">
        <f t="shared" si="45"/>
        <v>0</v>
      </c>
      <c r="AH7" s="92">
        <f t="shared" si="46"/>
        <v>0</v>
      </c>
      <c r="AI7" s="91">
        <f t="shared" si="47"/>
        <v>0</v>
      </c>
      <c r="AJ7" s="91">
        <f t="shared" ca="1" si="48"/>
        <v>1.5</v>
      </c>
      <c r="AK7" s="91">
        <f t="shared" ca="1" si="49"/>
        <v>2</v>
      </c>
      <c r="AL7" s="93" t="e">
        <f>(IF(#REF!=(1+#REF!),"",IF(#REF!&gt;0,", RCC upto "&amp;#REF!&amp;" Slab","")))&amp;(IF(#REF!=#REF!,"",IF(#REF!&gt;0,", Brickwork upto "&amp;#REF!&amp;" Floor","")))&amp;(IF(#REF!=#REF!,"",IF(#REF!&gt;0,", Internal Plaster upto "&amp;#REF!&amp;" Floor","")))&amp;(IF(#REF!=#REF!,"",IF(#REF!&gt;0,", External Plaster upto "&amp;#REF!&amp;" Floor","")))&amp;(IF(#REF!=#REF!,"",IF(#REF!&gt;0,", Flooring upto "&amp;#REF!&amp;" Floor","")))&amp;(IF(#REF!=#REF!,"",IF(#REF!&gt;0,", Painting upto "&amp;#REF!&amp;" Floor","")))&amp;(IF(#REF!=#REF!,"",IF(#REF!&gt;0,", Finishing upto "&amp;#REF!&amp;" Floor","")))&amp;(IF(#REF!=#REF!,"",IF(#REF!&gt;0,", Possession upto "&amp;#REF!&amp;" Floor","")))</f>
        <v>#REF!</v>
      </c>
      <c r="AM7" s="93" t="str">
        <f t="shared" si="16"/>
        <v>Work not yet Started.</v>
      </c>
      <c r="AN7" s="93" t="str">
        <f t="shared" ca="1" si="17"/>
        <v/>
      </c>
      <c r="AO7" s="93" t="str">
        <f t="shared" ca="1" si="18"/>
        <v/>
      </c>
      <c r="AP7" s="93" t="str">
        <f t="shared" ca="1" si="19"/>
        <v/>
      </c>
      <c r="AQ7" s="93" t="str">
        <f t="shared" ca="1" si="20"/>
        <v/>
      </c>
    </row>
    <row r="8" spans="1:43" ht="15.5" x14ac:dyDescent="0.35">
      <c r="A8" s="94" t="s">
        <v>311</v>
      </c>
      <c r="B8" s="112" t="s">
        <v>391</v>
      </c>
      <c r="C8" s="110">
        <f ca="1">--TRIM(RIGHT(SUBSTITUTE(LEFT(B8,_xlfn.AGGREGATE(16,6,FIND({0,1,2,3,4,5,6,7,8,9},B8,ROW(INDIRECT("1:"&amp;LEN(B8)))),1))," ",REPT(" ",LEN(B8))),LEN(B8)))</f>
        <v>2</v>
      </c>
      <c r="D8" s="42">
        <v>0</v>
      </c>
      <c r="E8" s="42">
        <v>0</v>
      </c>
      <c r="F8" s="42">
        <v>0</v>
      </c>
      <c r="G8" s="42">
        <v>0</v>
      </c>
      <c r="H8" s="42">
        <v>0</v>
      </c>
      <c r="I8" s="42">
        <v>0</v>
      </c>
      <c r="J8" s="42">
        <v>0</v>
      </c>
      <c r="K8" s="42">
        <v>0</v>
      </c>
      <c r="L8" s="42">
        <v>0</v>
      </c>
      <c r="M8" s="42">
        <v>0</v>
      </c>
      <c r="N8" s="88">
        <f t="shared" ca="1" si="0"/>
        <v>0</v>
      </c>
      <c r="O8" s="88">
        <f t="shared" ca="1" si="1"/>
        <v>0</v>
      </c>
      <c r="P8" s="145" t="str">
        <f t="shared" ca="1" si="2"/>
        <v xml:space="preserve">Work not yet Started. </v>
      </c>
      <c r="Q8" s="19">
        <f t="shared" ca="1" si="3"/>
        <v>0</v>
      </c>
      <c r="R8" s="19">
        <f t="shared" ca="1" si="4"/>
        <v>0</v>
      </c>
      <c r="S8" s="19">
        <f t="shared" ca="1" si="5"/>
        <v>0</v>
      </c>
      <c r="T8" s="19">
        <f t="shared" ca="1" si="6"/>
        <v>0</v>
      </c>
      <c r="U8" s="19">
        <f t="shared" ca="1" si="7"/>
        <v>0</v>
      </c>
      <c r="V8" s="19">
        <f t="shared" ca="1" si="8"/>
        <v>0</v>
      </c>
      <c r="W8" s="19">
        <f t="shared" ca="1" si="9"/>
        <v>0</v>
      </c>
      <c r="X8" s="19">
        <f t="shared" ca="1" si="10"/>
        <v>0</v>
      </c>
      <c r="Y8" s="19">
        <f t="shared" ca="1" si="11"/>
        <v>0</v>
      </c>
      <c r="Z8" s="19">
        <f t="shared" ca="1" si="12"/>
        <v>0</v>
      </c>
      <c r="AA8" s="89">
        <f t="shared" ca="1" si="13"/>
        <v>0.5</v>
      </c>
      <c r="AB8" s="90">
        <f t="shared" ca="1" si="14"/>
        <v>1</v>
      </c>
      <c r="AC8" s="90">
        <f t="shared" ca="1" si="15"/>
        <v>2</v>
      </c>
      <c r="AD8" s="91">
        <f t="shared" ca="1" si="42"/>
        <v>0.5</v>
      </c>
      <c r="AE8" s="91">
        <f t="shared" ca="1" si="43"/>
        <v>1</v>
      </c>
      <c r="AF8" s="91">
        <f t="shared" si="44"/>
        <v>0</v>
      </c>
      <c r="AG8" s="91">
        <f t="shared" si="45"/>
        <v>0</v>
      </c>
      <c r="AH8" s="92">
        <f t="shared" si="46"/>
        <v>0</v>
      </c>
      <c r="AI8" s="91">
        <f t="shared" si="47"/>
        <v>0</v>
      </c>
      <c r="AJ8" s="91">
        <f t="shared" ca="1" si="48"/>
        <v>1.5</v>
      </c>
      <c r="AK8" s="91">
        <f t="shared" ca="1" si="49"/>
        <v>2</v>
      </c>
      <c r="AL8" s="93" t="e">
        <f>(IF(#REF!=(1+#REF!),"",IF(#REF!&gt;0,", RCC upto "&amp;#REF!&amp;" Slab","")))&amp;(IF(#REF!=#REF!,"",IF(#REF!&gt;0,", Brickwork upto "&amp;#REF!&amp;" Floor","")))&amp;(IF(#REF!=#REF!,"",IF(#REF!&gt;0,", Internal Plaster upto "&amp;#REF!&amp;" Floor","")))&amp;(IF(#REF!=#REF!,"",IF(#REF!&gt;0,", External Plaster upto "&amp;#REF!&amp;" Floor","")))&amp;(IF(#REF!=#REF!,"",IF(#REF!&gt;0,", Flooring upto "&amp;#REF!&amp;" Floor","")))&amp;(IF(#REF!=#REF!,"",IF(#REF!&gt;0,", Painting upto "&amp;#REF!&amp;" Floor","")))&amp;(IF(#REF!=#REF!,"",IF(#REF!&gt;0,", Finishing upto "&amp;#REF!&amp;" Floor","")))&amp;(IF(#REF!=#REF!,"",IF(#REF!&gt;0,", Possession upto "&amp;#REF!&amp;" Floor","")))</f>
        <v>#REF!</v>
      </c>
      <c r="AM8" s="93" t="str">
        <f t="shared" si="16"/>
        <v>Work not yet Started.</v>
      </c>
      <c r="AN8" s="93" t="str">
        <f t="shared" ca="1" si="17"/>
        <v/>
      </c>
      <c r="AO8" s="93" t="str">
        <f t="shared" ca="1" si="18"/>
        <v/>
      </c>
      <c r="AP8" s="93" t="str">
        <f t="shared" ca="1" si="19"/>
        <v/>
      </c>
      <c r="AQ8" s="93" t="str">
        <f t="shared" ca="1" si="20"/>
        <v/>
      </c>
    </row>
    <row r="9" spans="1:43" s="143" customFormat="1" ht="15.5" x14ac:dyDescent="0.35">
      <c r="A9" s="132" t="s">
        <v>312</v>
      </c>
      <c r="B9" s="133" t="s">
        <v>391</v>
      </c>
      <c r="C9" s="134">
        <f ca="1">--TRIM(RIGHT(SUBSTITUTE(LEFT(B9,_xlfn.AGGREGATE(16,6,FIND({0,1,2,3,4,5,6,7,8,9},B9,ROW(INDIRECT("1:"&amp;LEN(B9)))),1))," ",REPT(" ",LEN(B9))),LEN(B9)))</f>
        <v>2</v>
      </c>
      <c r="D9" s="135">
        <v>2</v>
      </c>
      <c r="E9" s="135">
        <v>2</v>
      </c>
      <c r="F9" s="135">
        <v>3</v>
      </c>
      <c r="G9" s="144">
        <v>2</v>
      </c>
      <c r="H9" s="144">
        <v>2</v>
      </c>
      <c r="I9" s="148">
        <v>2</v>
      </c>
      <c r="J9" s="148">
        <v>2</v>
      </c>
      <c r="K9" s="135">
        <v>2</v>
      </c>
      <c r="L9" s="135">
        <v>0</v>
      </c>
      <c r="M9" s="135">
        <v>0</v>
      </c>
      <c r="N9" s="136">
        <f t="shared" ca="1" si="0"/>
        <v>0.9</v>
      </c>
      <c r="O9" s="136">
        <f t="shared" ca="1" si="1"/>
        <v>0.95</v>
      </c>
      <c r="P9" s="147" t="str">
        <f t="shared" ca="1" si="2"/>
        <v xml:space="preserve">Excavation, Plinth, RCC Slab, Brickwork, Internal Plaster, External Plaster, Flooring, Painting Completed </v>
      </c>
      <c r="Q9" s="138">
        <f t="shared" ca="1" si="3"/>
        <v>1</v>
      </c>
      <c r="R9" s="138">
        <f t="shared" ca="1" si="4"/>
        <v>1</v>
      </c>
      <c r="S9" s="138">
        <f t="shared" ca="1" si="5"/>
        <v>1</v>
      </c>
      <c r="T9" s="138">
        <f t="shared" ca="1" si="6"/>
        <v>1</v>
      </c>
      <c r="U9" s="138">
        <f t="shared" ca="1" si="7"/>
        <v>1</v>
      </c>
      <c r="V9" s="138">
        <f t="shared" ca="1" si="8"/>
        <v>1</v>
      </c>
      <c r="W9" s="138">
        <f t="shared" ca="1" si="9"/>
        <v>1</v>
      </c>
      <c r="X9" s="138">
        <f t="shared" ca="1" si="10"/>
        <v>1</v>
      </c>
      <c r="Y9" s="138">
        <f t="shared" ca="1" si="11"/>
        <v>0</v>
      </c>
      <c r="Z9" s="138">
        <f t="shared" ca="1" si="12"/>
        <v>0</v>
      </c>
      <c r="AA9" s="139">
        <f t="shared" ca="1" si="13"/>
        <v>0.5</v>
      </c>
      <c r="AB9" s="140">
        <f t="shared" ca="1" si="14"/>
        <v>1</v>
      </c>
      <c r="AC9" s="140">
        <f t="shared" ca="1" si="15"/>
        <v>2</v>
      </c>
      <c r="AD9" s="141">
        <f t="shared" ca="1" si="42"/>
        <v>0.5</v>
      </c>
      <c r="AE9" s="141">
        <f t="shared" ca="1" si="43"/>
        <v>1</v>
      </c>
      <c r="AF9" s="141">
        <f t="shared" si="44"/>
        <v>0</v>
      </c>
      <c r="AG9" s="141">
        <f t="shared" si="45"/>
        <v>0</v>
      </c>
      <c r="AH9" s="142">
        <f t="shared" si="46"/>
        <v>0</v>
      </c>
      <c r="AI9" s="141">
        <f t="shared" si="47"/>
        <v>0</v>
      </c>
      <c r="AJ9" s="141">
        <f t="shared" ca="1" si="48"/>
        <v>1.5</v>
      </c>
      <c r="AK9" s="141">
        <f t="shared" ca="1" si="49"/>
        <v>2</v>
      </c>
      <c r="AL9" s="137" t="str">
        <f t="shared" ref="AL9:AL17" si="50">(IF(W76=(1+T76),"",IF(W76&gt;0,", RCC upto "&amp;W76&amp;" Slab","")))&amp;(IF(X76=T76,"",IF(X76&gt;0,", Brickwork upto "&amp;X76&amp;" Floor","")))&amp;(IF(Y76=T76,"",IF(Y76&gt;0,", Internal Plaster upto "&amp;Y76&amp;" Floor","")))&amp;(IF(Z76=T76,"",IF(Z76&gt;0,", External Plaster upto "&amp;Z76&amp;" Floor","")))&amp;(IF(AA76=T76,"",IF(AA76&gt;0,", Flooring upto "&amp;AA76&amp;" Floor","")))&amp;(IF(AB76=T76,"",IF(AB76&gt;0,", Painting upto "&amp;AB76&amp;" Floor","")))&amp;(IF(AC76=T76,"",IF(AC76&gt;0,", Finishing upto "&amp;AC76&amp;" Floor","")))&amp;(IF(AD76=T76,"",IF(AD76&gt;0,", Possession upto "&amp;AD76&amp;" Floor","")))</f>
        <v/>
      </c>
      <c r="AM9" s="137" t="str">
        <f t="shared" ca="1" si="16"/>
        <v/>
      </c>
      <c r="AN9" s="137" t="str">
        <f t="shared" ca="1" si="17"/>
        <v/>
      </c>
      <c r="AO9" s="137" t="str">
        <f t="shared" ca="1" si="18"/>
        <v>Excavation, Plinth, RCC Slab, Brickwork, Internal Plaster, External Plaster, Flooring, Painting</v>
      </c>
      <c r="AP9" s="137" t="str">
        <f t="shared" ca="1" si="19"/>
        <v xml:space="preserve"> Completed</v>
      </c>
      <c r="AQ9" s="137" t="str">
        <f t="shared" ca="1" si="20"/>
        <v/>
      </c>
    </row>
    <row r="10" spans="1:43" s="143" customFormat="1" ht="15.5" x14ac:dyDescent="0.35">
      <c r="A10" s="132" t="s">
        <v>313</v>
      </c>
      <c r="B10" s="133" t="s">
        <v>391</v>
      </c>
      <c r="C10" s="134">
        <f ca="1">--TRIM(RIGHT(SUBSTITUTE(LEFT(B10,_xlfn.AGGREGATE(16,6,FIND({0,1,2,3,4,5,6,7,8,9},B10,ROW(INDIRECT("1:"&amp;LEN(B10)))),1))," ",REPT(" ",LEN(B10))),LEN(B10)))</f>
        <v>2</v>
      </c>
      <c r="D10" s="135">
        <v>2</v>
      </c>
      <c r="E10" s="135">
        <v>2</v>
      </c>
      <c r="F10" s="135">
        <v>3</v>
      </c>
      <c r="G10" s="144">
        <v>2</v>
      </c>
      <c r="H10" s="144">
        <v>2</v>
      </c>
      <c r="I10" s="148">
        <v>2</v>
      </c>
      <c r="J10" s="148">
        <v>2</v>
      </c>
      <c r="K10" s="135">
        <v>2</v>
      </c>
      <c r="L10" s="135">
        <v>0</v>
      </c>
      <c r="M10" s="135">
        <v>0</v>
      </c>
      <c r="N10" s="136">
        <f t="shared" ca="1" si="0"/>
        <v>0.9</v>
      </c>
      <c r="O10" s="136">
        <f t="shared" ca="1" si="1"/>
        <v>0.95</v>
      </c>
      <c r="P10" s="137" t="str">
        <f t="shared" ca="1" si="2"/>
        <v xml:space="preserve">Excavation, Plinth, RCC Slab, Brickwork, Internal Plaster, External Plaster, Flooring, Painting Completed </v>
      </c>
      <c r="Q10" s="138">
        <f t="shared" ca="1" si="3"/>
        <v>1</v>
      </c>
      <c r="R10" s="138">
        <f t="shared" ca="1" si="4"/>
        <v>1</v>
      </c>
      <c r="S10" s="138">
        <f t="shared" ca="1" si="5"/>
        <v>1</v>
      </c>
      <c r="T10" s="138">
        <f t="shared" ca="1" si="6"/>
        <v>1</v>
      </c>
      <c r="U10" s="138">
        <f t="shared" ca="1" si="7"/>
        <v>1</v>
      </c>
      <c r="V10" s="138">
        <f t="shared" ca="1" si="8"/>
        <v>1</v>
      </c>
      <c r="W10" s="138">
        <f t="shared" ca="1" si="9"/>
        <v>1</v>
      </c>
      <c r="X10" s="138">
        <f t="shared" ca="1" si="10"/>
        <v>1</v>
      </c>
      <c r="Y10" s="138">
        <f t="shared" ca="1" si="11"/>
        <v>0</v>
      </c>
      <c r="Z10" s="138">
        <f t="shared" ca="1" si="12"/>
        <v>0</v>
      </c>
      <c r="AA10" s="139">
        <f t="shared" ca="1" si="13"/>
        <v>0.5</v>
      </c>
      <c r="AB10" s="140">
        <f t="shared" ca="1" si="14"/>
        <v>1</v>
      </c>
      <c r="AC10" s="140">
        <f t="shared" ca="1" si="15"/>
        <v>2</v>
      </c>
      <c r="AD10" s="141">
        <f t="shared" ca="1" si="42"/>
        <v>0.5</v>
      </c>
      <c r="AE10" s="141">
        <f t="shared" ca="1" si="43"/>
        <v>1</v>
      </c>
      <c r="AF10" s="141">
        <f t="shared" si="44"/>
        <v>0</v>
      </c>
      <c r="AG10" s="141">
        <f t="shared" si="45"/>
        <v>0</v>
      </c>
      <c r="AH10" s="142">
        <f t="shared" si="46"/>
        <v>0</v>
      </c>
      <c r="AI10" s="141">
        <f t="shared" si="47"/>
        <v>0</v>
      </c>
      <c r="AJ10" s="141">
        <f t="shared" ca="1" si="48"/>
        <v>1.5</v>
      </c>
      <c r="AK10" s="141">
        <f t="shared" ca="1" si="49"/>
        <v>2</v>
      </c>
      <c r="AL10" s="137" t="str">
        <f t="shared" si="50"/>
        <v/>
      </c>
      <c r="AM10" s="137" t="str">
        <f t="shared" ca="1" si="16"/>
        <v/>
      </c>
      <c r="AN10" s="137" t="str">
        <f t="shared" ca="1" si="17"/>
        <v/>
      </c>
      <c r="AO10" s="137" t="str">
        <f t="shared" ca="1" si="18"/>
        <v>Excavation, Plinth, RCC Slab, Brickwork, Internal Plaster, External Plaster, Flooring, Painting</v>
      </c>
      <c r="AP10" s="137" t="str">
        <f t="shared" ca="1" si="19"/>
        <v xml:space="preserve"> Completed</v>
      </c>
      <c r="AQ10" s="137" t="str">
        <f t="shared" ca="1" si="20"/>
        <v/>
      </c>
    </row>
    <row r="11" spans="1:43" s="143" customFormat="1" ht="15.5" x14ac:dyDescent="0.35">
      <c r="A11" s="132" t="s">
        <v>314</v>
      </c>
      <c r="B11" s="133" t="s">
        <v>391</v>
      </c>
      <c r="C11" s="134">
        <v>2</v>
      </c>
      <c r="D11" s="135">
        <v>2</v>
      </c>
      <c r="E11" s="135">
        <v>2</v>
      </c>
      <c r="F11" s="135">
        <v>3</v>
      </c>
      <c r="G11" s="144">
        <v>2</v>
      </c>
      <c r="H11" s="144">
        <v>2</v>
      </c>
      <c r="I11" s="148">
        <v>2</v>
      </c>
      <c r="J11" s="135">
        <v>1</v>
      </c>
      <c r="K11" s="135">
        <v>1</v>
      </c>
      <c r="L11" s="135">
        <v>0</v>
      </c>
      <c r="M11" s="135">
        <v>0</v>
      </c>
      <c r="N11" s="136">
        <f t="shared" si="0"/>
        <v>0.82499999999999996</v>
      </c>
      <c r="O11" s="136">
        <f t="shared" si="1"/>
        <v>0.92500000000000004</v>
      </c>
      <c r="P11" s="137" t="str">
        <f t="shared" si="2"/>
        <v>Excavation, Plinth, RCC Slab, Brickwork, Internal Plaster, External Plaster Completed, Flooring upto 1 Floor, Painting upto 1 Floor Completed</v>
      </c>
      <c r="Q11" s="138">
        <f t="shared" si="3"/>
        <v>1</v>
      </c>
      <c r="R11" s="138">
        <f t="shared" si="4"/>
        <v>1</v>
      </c>
      <c r="S11" s="138">
        <f t="shared" si="5"/>
        <v>1</v>
      </c>
      <c r="T11" s="138">
        <f t="shared" si="6"/>
        <v>1</v>
      </c>
      <c r="U11" s="138">
        <f t="shared" si="7"/>
        <v>1</v>
      </c>
      <c r="V11" s="138">
        <f t="shared" si="8"/>
        <v>1</v>
      </c>
      <c r="W11" s="138">
        <f t="shared" si="9"/>
        <v>0.5</v>
      </c>
      <c r="X11" s="138">
        <f t="shared" si="10"/>
        <v>0.5</v>
      </c>
      <c r="Y11" s="138">
        <f t="shared" si="11"/>
        <v>0</v>
      </c>
      <c r="Z11" s="138">
        <f t="shared" si="12"/>
        <v>0</v>
      </c>
      <c r="AA11" s="139">
        <f t="shared" si="13"/>
        <v>0.5</v>
      </c>
      <c r="AB11" s="140">
        <f t="shared" si="14"/>
        <v>1</v>
      </c>
      <c r="AC11" s="140">
        <f t="shared" si="15"/>
        <v>2</v>
      </c>
      <c r="AD11" s="141">
        <f t="shared" si="42"/>
        <v>0.5</v>
      </c>
      <c r="AE11" s="141">
        <f t="shared" si="43"/>
        <v>1</v>
      </c>
      <c r="AF11" s="141">
        <f t="shared" si="44"/>
        <v>0</v>
      </c>
      <c r="AG11" s="141">
        <f t="shared" si="45"/>
        <v>0</v>
      </c>
      <c r="AH11" s="142">
        <f t="shared" si="46"/>
        <v>0</v>
      </c>
      <c r="AI11" s="141">
        <f t="shared" si="47"/>
        <v>0</v>
      </c>
      <c r="AJ11" s="141">
        <f t="shared" si="48"/>
        <v>1.5</v>
      </c>
      <c r="AK11" s="141">
        <f t="shared" si="49"/>
        <v>2</v>
      </c>
      <c r="AL11" s="137" t="str">
        <f t="shared" si="50"/>
        <v/>
      </c>
      <c r="AM11" s="137" t="str">
        <f t="shared" si="16"/>
        <v/>
      </c>
      <c r="AN11" s="137" t="str">
        <f t="shared" si="17"/>
        <v>, Flooring upto 1 Floor, Painting upto 1 Floor</v>
      </c>
      <c r="AO11" s="137" t="str">
        <f t="shared" si="18"/>
        <v>Excavation, Plinth, RCC Slab, Brickwork, Internal Plaster, External Plaster</v>
      </c>
      <c r="AP11" s="137" t="str">
        <f t="shared" si="19"/>
        <v xml:space="preserve"> Completed</v>
      </c>
      <c r="AQ11" s="137" t="str">
        <f t="shared" si="20"/>
        <v>Completed</v>
      </c>
    </row>
    <row r="12" spans="1:43" s="143" customFormat="1" ht="15.5" x14ac:dyDescent="0.35">
      <c r="A12" s="132" t="s">
        <v>315</v>
      </c>
      <c r="B12" s="133" t="s">
        <v>391</v>
      </c>
      <c r="C12" s="134">
        <f ca="1">--TRIM(RIGHT(SUBSTITUTE(LEFT(B12,_xlfn.AGGREGATE(16,6,FIND({0,1,2,3,4,5,6,7,8,9},B12,ROW(INDIRECT("1:"&amp;LEN(B12)))),1))," ",REPT(" ",LEN(B12))),LEN(B12)))</f>
        <v>2</v>
      </c>
      <c r="D12" s="135">
        <v>2</v>
      </c>
      <c r="E12" s="135">
        <v>2</v>
      </c>
      <c r="F12" s="135">
        <v>3</v>
      </c>
      <c r="G12" s="144">
        <v>2</v>
      </c>
      <c r="H12" s="144">
        <v>2</v>
      </c>
      <c r="I12" s="148">
        <v>2</v>
      </c>
      <c r="J12" s="135">
        <v>1</v>
      </c>
      <c r="K12" s="135">
        <v>1</v>
      </c>
      <c r="L12" s="135">
        <v>0</v>
      </c>
      <c r="M12" s="135">
        <v>0</v>
      </c>
      <c r="N12" s="136">
        <f t="shared" ca="1" si="0"/>
        <v>0.82499999999999996</v>
      </c>
      <c r="O12" s="136">
        <f t="shared" ca="1" si="1"/>
        <v>0.92500000000000004</v>
      </c>
      <c r="P12" s="137" t="str">
        <f t="shared" ca="1" si="2"/>
        <v>Excavation, Plinth, RCC Slab, Brickwork, Internal Plaster, External Plaster Completed, Flooring upto 1 Floor, Painting upto 1 Floor Completed</v>
      </c>
      <c r="Q12" s="138">
        <f t="shared" ca="1" si="3"/>
        <v>1</v>
      </c>
      <c r="R12" s="138">
        <f t="shared" ca="1" si="4"/>
        <v>1</v>
      </c>
      <c r="S12" s="138">
        <f t="shared" ca="1" si="5"/>
        <v>1</v>
      </c>
      <c r="T12" s="138">
        <f t="shared" ca="1" si="6"/>
        <v>1</v>
      </c>
      <c r="U12" s="138">
        <f t="shared" ca="1" si="7"/>
        <v>1</v>
      </c>
      <c r="V12" s="138">
        <f t="shared" ca="1" si="8"/>
        <v>1</v>
      </c>
      <c r="W12" s="138">
        <f t="shared" ca="1" si="9"/>
        <v>0.5</v>
      </c>
      <c r="X12" s="138">
        <f t="shared" ca="1" si="10"/>
        <v>0.5</v>
      </c>
      <c r="Y12" s="138">
        <f t="shared" ca="1" si="11"/>
        <v>0</v>
      </c>
      <c r="Z12" s="138">
        <f t="shared" ca="1" si="12"/>
        <v>0</v>
      </c>
      <c r="AA12" s="139">
        <f t="shared" ca="1" si="13"/>
        <v>0.5</v>
      </c>
      <c r="AB12" s="140">
        <f t="shared" ca="1" si="14"/>
        <v>1</v>
      </c>
      <c r="AC12" s="140">
        <f t="shared" ca="1" si="15"/>
        <v>2</v>
      </c>
      <c r="AD12" s="141">
        <f t="shared" ca="1" si="42"/>
        <v>0.5</v>
      </c>
      <c r="AE12" s="141">
        <f t="shared" ca="1" si="43"/>
        <v>1</v>
      </c>
      <c r="AF12" s="141">
        <f t="shared" si="44"/>
        <v>0</v>
      </c>
      <c r="AG12" s="141">
        <f t="shared" si="45"/>
        <v>0</v>
      </c>
      <c r="AH12" s="142">
        <f t="shared" si="46"/>
        <v>0</v>
      </c>
      <c r="AI12" s="141">
        <f t="shared" si="47"/>
        <v>0</v>
      </c>
      <c r="AJ12" s="141">
        <f t="shared" ca="1" si="48"/>
        <v>1.5</v>
      </c>
      <c r="AK12" s="141">
        <f t="shared" ca="1" si="49"/>
        <v>2</v>
      </c>
      <c r="AL12" s="137" t="str">
        <f t="shared" si="50"/>
        <v/>
      </c>
      <c r="AM12" s="137" t="str">
        <f t="shared" ca="1" si="16"/>
        <v/>
      </c>
      <c r="AN12" s="137" t="str">
        <f t="shared" ca="1" si="17"/>
        <v>, Flooring upto 1 Floor, Painting upto 1 Floor</v>
      </c>
      <c r="AO12" s="137" t="str">
        <f t="shared" ca="1" si="18"/>
        <v>Excavation, Plinth, RCC Slab, Brickwork, Internal Plaster, External Plaster</v>
      </c>
      <c r="AP12" s="137" t="str">
        <f t="shared" ca="1" si="19"/>
        <v xml:space="preserve"> Completed</v>
      </c>
      <c r="AQ12" s="137" t="str">
        <f t="shared" ca="1" si="20"/>
        <v>Completed</v>
      </c>
    </row>
    <row r="13" spans="1:43" s="143" customFormat="1" ht="15.5" x14ac:dyDescent="0.35">
      <c r="A13" s="132" t="s">
        <v>316</v>
      </c>
      <c r="B13" s="133" t="s">
        <v>391</v>
      </c>
      <c r="C13" s="134">
        <f ca="1">--TRIM(RIGHT(SUBSTITUTE(LEFT(B13,_xlfn.AGGREGATE(16,6,FIND({0,1,2,3,4,5,6,7,8,9},B13,ROW(INDIRECT("1:"&amp;LEN(B13)))),1))," ",REPT(" ",LEN(B13))),LEN(B13)))</f>
        <v>2</v>
      </c>
      <c r="D13" s="135">
        <v>2</v>
      </c>
      <c r="E13" s="135">
        <v>2</v>
      </c>
      <c r="F13" s="135">
        <v>3</v>
      </c>
      <c r="G13" s="148">
        <v>2</v>
      </c>
      <c r="H13" s="148">
        <v>2</v>
      </c>
      <c r="I13" s="148">
        <v>2</v>
      </c>
      <c r="J13" s="135">
        <v>1</v>
      </c>
      <c r="K13" s="135">
        <v>1</v>
      </c>
      <c r="L13" s="135">
        <v>0</v>
      </c>
      <c r="M13" s="135">
        <v>0</v>
      </c>
      <c r="N13" s="136">
        <f t="shared" ca="1" si="0"/>
        <v>0.82499999999999996</v>
      </c>
      <c r="O13" s="136">
        <f t="shared" ca="1" si="1"/>
        <v>0.92500000000000004</v>
      </c>
      <c r="P13" s="137" t="str">
        <f t="shared" ca="1" si="2"/>
        <v>Excavation, Plinth, RCC Slab, Brickwork, Internal Plaster, External Plaster Completed, Flooring upto 1 Floor, Painting upto 1 Floor Completed</v>
      </c>
      <c r="Q13" s="138">
        <f t="shared" ca="1" si="3"/>
        <v>1</v>
      </c>
      <c r="R13" s="138">
        <f t="shared" ca="1" si="4"/>
        <v>1</v>
      </c>
      <c r="S13" s="138">
        <f t="shared" ca="1" si="5"/>
        <v>1</v>
      </c>
      <c r="T13" s="138">
        <f t="shared" ca="1" si="6"/>
        <v>1</v>
      </c>
      <c r="U13" s="138">
        <f t="shared" ca="1" si="7"/>
        <v>1</v>
      </c>
      <c r="V13" s="138">
        <f t="shared" ca="1" si="8"/>
        <v>1</v>
      </c>
      <c r="W13" s="138">
        <f t="shared" ca="1" si="9"/>
        <v>0.5</v>
      </c>
      <c r="X13" s="138">
        <f t="shared" ca="1" si="10"/>
        <v>0.5</v>
      </c>
      <c r="Y13" s="138">
        <f t="shared" ca="1" si="11"/>
        <v>0</v>
      </c>
      <c r="Z13" s="138">
        <f t="shared" ca="1" si="12"/>
        <v>0</v>
      </c>
      <c r="AA13" s="139">
        <f t="shared" ca="1" si="13"/>
        <v>0.5</v>
      </c>
      <c r="AB13" s="140">
        <f t="shared" ca="1" si="14"/>
        <v>1</v>
      </c>
      <c r="AC13" s="140">
        <f t="shared" ca="1" si="15"/>
        <v>2</v>
      </c>
      <c r="AD13" s="141">
        <f t="shared" ca="1" si="42"/>
        <v>0.5</v>
      </c>
      <c r="AE13" s="141">
        <f t="shared" ca="1" si="43"/>
        <v>1</v>
      </c>
      <c r="AF13" s="141">
        <f t="shared" si="44"/>
        <v>0</v>
      </c>
      <c r="AG13" s="141">
        <f t="shared" si="45"/>
        <v>0</v>
      </c>
      <c r="AH13" s="142">
        <f t="shared" si="46"/>
        <v>0</v>
      </c>
      <c r="AI13" s="141">
        <f t="shared" si="47"/>
        <v>0</v>
      </c>
      <c r="AJ13" s="141">
        <f t="shared" ca="1" si="48"/>
        <v>1.5</v>
      </c>
      <c r="AK13" s="141">
        <f t="shared" ca="1" si="49"/>
        <v>2</v>
      </c>
      <c r="AL13" s="137" t="str">
        <f t="shared" si="50"/>
        <v/>
      </c>
      <c r="AM13" s="137" t="str">
        <f t="shared" ca="1" si="16"/>
        <v/>
      </c>
      <c r="AN13" s="137" t="str">
        <f t="shared" ca="1" si="17"/>
        <v>, Flooring upto 1 Floor, Painting upto 1 Floor</v>
      </c>
      <c r="AO13" s="137" t="str">
        <f t="shared" ca="1" si="18"/>
        <v>Excavation, Plinth, RCC Slab, Brickwork, Internal Plaster, External Plaster</v>
      </c>
      <c r="AP13" s="137" t="str">
        <f t="shared" ca="1" si="19"/>
        <v xml:space="preserve"> Completed</v>
      </c>
      <c r="AQ13" s="137" t="str">
        <f t="shared" ca="1" si="20"/>
        <v>Completed</v>
      </c>
    </row>
    <row r="14" spans="1:43" s="143" customFormat="1" ht="15.5" x14ac:dyDescent="0.35">
      <c r="A14" s="132" t="s">
        <v>317</v>
      </c>
      <c r="B14" s="133" t="s">
        <v>391</v>
      </c>
      <c r="C14" s="134">
        <f ca="1">--TRIM(RIGHT(SUBSTITUTE(LEFT(B14,_xlfn.AGGREGATE(16,6,FIND({0,1,2,3,4,5,6,7,8,9},B14,ROW(INDIRECT("1:"&amp;LEN(B14)))),1))," ",REPT(" ",LEN(B14))),LEN(B14)))</f>
        <v>2</v>
      </c>
      <c r="D14" s="135">
        <v>2</v>
      </c>
      <c r="E14" s="135">
        <v>2</v>
      </c>
      <c r="F14" s="135">
        <v>3</v>
      </c>
      <c r="G14" s="148">
        <v>2</v>
      </c>
      <c r="H14" s="148">
        <v>2</v>
      </c>
      <c r="I14" s="135">
        <v>2</v>
      </c>
      <c r="J14" s="135">
        <v>1</v>
      </c>
      <c r="K14" s="135">
        <v>1</v>
      </c>
      <c r="L14" s="135">
        <v>0</v>
      </c>
      <c r="M14" s="135">
        <v>0</v>
      </c>
      <c r="N14" s="136">
        <f t="shared" ca="1" si="0"/>
        <v>0.82499999999999996</v>
      </c>
      <c r="O14" s="136">
        <f t="shared" ca="1" si="1"/>
        <v>0.92500000000000004</v>
      </c>
      <c r="P14" s="137" t="str">
        <f t="shared" ca="1" si="2"/>
        <v>Excavation, Plinth, RCC Slab, Brickwork, Internal Plaster, External Plaster Completed, Flooring upto 1 Floor, Painting upto 1 Floor Completed</v>
      </c>
      <c r="Q14" s="138">
        <f t="shared" ca="1" si="3"/>
        <v>1</v>
      </c>
      <c r="R14" s="138">
        <f t="shared" ca="1" si="4"/>
        <v>1</v>
      </c>
      <c r="S14" s="138">
        <f t="shared" ca="1" si="5"/>
        <v>1</v>
      </c>
      <c r="T14" s="138">
        <f t="shared" ca="1" si="6"/>
        <v>1</v>
      </c>
      <c r="U14" s="138">
        <f t="shared" ca="1" si="7"/>
        <v>1</v>
      </c>
      <c r="V14" s="138">
        <f t="shared" ca="1" si="8"/>
        <v>1</v>
      </c>
      <c r="W14" s="138">
        <f t="shared" ca="1" si="9"/>
        <v>0.5</v>
      </c>
      <c r="X14" s="138">
        <f t="shared" ca="1" si="10"/>
        <v>0.5</v>
      </c>
      <c r="Y14" s="138">
        <f t="shared" ca="1" si="11"/>
        <v>0</v>
      </c>
      <c r="Z14" s="138">
        <f t="shared" ca="1" si="12"/>
        <v>0</v>
      </c>
      <c r="AA14" s="139">
        <f t="shared" ca="1" si="13"/>
        <v>0.5</v>
      </c>
      <c r="AB14" s="140">
        <f t="shared" ca="1" si="14"/>
        <v>1</v>
      </c>
      <c r="AC14" s="140">
        <f t="shared" ca="1" si="15"/>
        <v>2</v>
      </c>
      <c r="AD14" s="141">
        <f t="shared" ca="1" si="42"/>
        <v>0.5</v>
      </c>
      <c r="AE14" s="141">
        <f t="shared" ca="1" si="43"/>
        <v>1</v>
      </c>
      <c r="AF14" s="141">
        <f t="shared" si="44"/>
        <v>0</v>
      </c>
      <c r="AG14" s="141">
        <f t="shared" si="45"/>
        <v>0</v>
      </c>
      <c r="AH14" s="142">
        <f t="shared" si="46"/>
        <v>0</v>
      </c>
      <c r="AI14" s="141">
        <f t="shared" si="47"/>
        <v>0</v>
      </c>
      <c r="AJ14" s="141">
        <f t="shared" ca="1" si="48"/>
        <v>1.5</v>
      </c>
      <c r="AK14" s="141">
        <f t="shared" ca="1" si="49"/>
        <v>2</v>
      </c>
      <c r="AL14" s="137" t="str">
        <f t="shared" si="50"/>
        <v/>
      </c>
      <c r="AM14" s="137" t="str">
        <f t="shared" ca="1" si="16"/>
        <v/>
      </c>
      <c r="AN14" s="137" t="str">
        <f t="shared" ca="1" si="17"/>
        <v>, Flooring upto 1 Floor, Painting upto 1 Floor</v>
      </c>
      <c r="AO14" s="137" t="str">
        <f t="shared" ca="1" si="18"/>
        <v>Excavation, Plinth, RCC Slab, Brickwork, Internal Plaster, External Plaster</v>
      </c>
      <c r="AP14" s="137" t="str">
        <f t="shared" ca="1" si="19"/>
        <v xml:space="preserve"> Completed</v>
      </c>
      <c r="AQ14" s="137" t="str">
        <f t="shared" ca="1" si="20"/>
        <v>Completed</v>
      </c>
    </row>
    <row r="15" spans="1:43" s="143" customFormat="1" ht="15.5" x14ac:dyDescent="0.35">
      <c r="A15" s="132" t="s">
        <v>318</v>
      </c>
      <c r="B15" s="133" t="s">
        <v>391</v>
      </c>
      <c r="C15" s="134">
        <f ca="1">--TRIM(RIGHT(SUBSTITUTE(LEFT(B15,_xlfn.AGGREGATE(16,6,FIND({0,1,2,3,4,5,6,7,8,9},B15,ROW(INDIRECT("1:"&amp;LEN(B15)))),1))," ",REPT(" ",LEN(B15))),LEN(B15)))</f>
        <v>2</v>
      </c>
      <c r="D15" s="135">
        <v>2</v>
      </c>
      <c r="E15" s="135">
        <v>2</v>
      </c>
      <c r="F15" s="135">
        <v>3</v>
      </c>
      <c r="G15" s="148">
        <v>2</v>
      </c>
      <c r="H15" s="148">
        <v>2</v>
      </c>
      <c r="I15" s="135">
        <v>2</v>
      </c>
      <c r="J15" s="135">
        <v>1</v>
      </c>
      <c r="K15" s="135">
        <v>1</v>
      </c>
      <c r="L15" s="135">
        <v>0</v>
      </c>
      <c r="M15" s="135">
        <v>0</v>
      </c>
      <c r="N15" s="136">
        <f t="shared" ca="1" si="0"/>
        <v>0.82499999999999996</v>
      </c>
      <c r="O15" s="136">
        <f t="shared" ca="1" si="1"/>
        <v>0.92500000000000004</v>
      </c>
      <c r="P15" s="137" t="str">
        <f t="shared" ca="1" si="2"/>
        <v>Excavation, Plinth, RCC Slab, Brickwork, Internal Plaster, External Plaster Completed, Flooring upto 1 Floor, Painting upto 1 Floor Completed</v>
      </c>
      <c r="Q15" s="138">
        <f t="shared" ca="1" si="3"/>
        <v>1</v>
      </c>
      <c r="R15" s="138">
        <f t="shared" ca="1" si="4"/>
        <v>1</v>
      </c>
      <c r="S15" s="138">
        <f t="shared" ca="1" si="5"/>
        <v>1</v>
      </c>
      <c r="T15" s="138">
        <f t="shared" ca="1" si="6"/>
        <v>1</v>
      </c>
      <c r="U15" s="138">
        <f t="shared" ca="1" si="7"/>
        <v>1</v>
      </c>
      <c r="V15" s="138">
        <f t="shared" ca="1" si="8"/>
        <v>1</v>
      </c>
      <c r="W15" s="138">
        <f t="shared" ca="1" si="9"/>
        <v>0.5</v>
      </c>
      <c r="X15" s="138">
        <f t="shared" ca="1" si="10"/>
        <v>0.5</v>
      </c>
      <c r="Y15" s="138">
        <f t="shared" ca="1" si="11"/>
        <v>0</v>
      </c>
      <c r="Z15" s="138">
        <f t="shared" ca="1" si="12"/>
        <v>0</v>
      </c>
      <c r="AA15" s="139">
        <f t="shared" ca="1" si="13"/>
        <v>0.5</v>
      </c>
      <c r="AB15" s="140">
        <f t="shared" ca="1" si="14"/>
        <v>1</v>
      </c>
      <c r="AC15" s="140">
        <f t="shared" ca="1" si="15"/>
        <v>2</v>
      </c>
      <c r="AD15" s="141">
        <f t="shared" ca="1" si="42"/>
        <v>0.5</v>
      </c>
      <c r="AE15" s="141">
        <f t="shared" ca="1" si="43"/>
        <v>1</v>
      </c>
      <c r="AF15" s="141">
        <f t="shared" si="44"/>
        <v>0</v>
      </c>
      <c r="AG15" s="141">
        <f t="shared" si="45"/>
        <v>0</v>
      </c>
      <c r="AH15" s="142">
        <f t="shared" si="46"/>
        <v>0</v>
      </c>
      <c r="AI15" s="141">
        <f t="shared" si="47"/>
        <v>0</v>
      </c>
      <c r="AJ15" s="141">
        <f t="shared" ca="1" si="48"/>
        <v>1.5</v>
      </c>
      <c r="AK15" s="141">
        <f t="shared" ca="1" si="49"/>
        <v>2</v>
      </c>
      <c r="AL15" s="137" t="str">
        <f t="shared" si="50"/>
        <v/>
      </c>
      <c r="AM15" s="137" t="str">
        <f t="shared" ca="1" si="16"/>
        <v/>
      </c>
      <c r="AN15" s="137" t="str">
        <f t="shared" ca="1" si="17"/>
        <v>, Flooring upto 1 Floor, Painting upto 1 Floor</v>
      </c>
      <c r="AO15" s="137" t="str">
        <f t="shared" ca="1" si="18"/>
        <v>Excavation, Plinth, RCC Slab, Brickwork, Internal Plaster, External Plaster</v>
      </c>
      <c r="AP15" s="137" t="str">
        <f t="shared" ca="1" si="19"/>
        <v xml:space="preserve"> Completed</v>
      </c>
      <c r="AQ15" s="137" t="str">
        <f t="shared" ca="1" si="20"/>
        <v>Completed</v>
      </c>
    </row>
    <row r="16" spans="1:43" s="143" customFormat="1" ht="15.5" x14ac:dyDescent="0.35">
      <c r="A16" s="132" t="s">
        <v>319</v>
      </c>
      <c r="B16" s="133" t="s">
        <v>391</v>
      </c>
      <c r="C16" s="134">
        <f ca="1">--TRIM(RIGHT(SUBSTITUTE(LEFT(B16,_xlfn.AGGREGATE(16,6,FIND({0,1,2,3,4,5,6,7,8,9},B16,ROW(INDIRECT("1:"&amp;LEN(B16)))),1))," ",REPT(" ",LEN(B16))),LEN(B16)))</f>
        <v>2</v>
      </c>
      <c r="D16" s="135">
        <v>2</v>
      </c>
      <c r="E16" s="135">
        <v>2</v>
      </c>
      <c r="F16" s="135">
        <v>3</v>
      </c>
      <c r="G16" s="148">
        <v>2</v>
      </c>
      <c r="H16" s="148">
        <v>2</v>
      </c>
      <c r="I16" s="135">
        <v>2</v>
      </c>
      <c r="J16" s="135">
        <v>1</v>
      </c>
      <c r="K16" s="135">
        <v>1</v>
      </c>
      <c r="L16" s="135">
        <v>0</v>
      </c>
      <c r="M16" s="135">
        <v>0</v>
      </c>
      <c r="N16" s="136">
        <f t="shared" ca="1" si="0"/>
        <v>0.82499999999999996</v>
      </c>
      <c r="O16" s="136">
        <f t="shared" ca="1" si="1"/>
        <v>0.92500000000000004</v>
      </c>
      <c r="P16" s="137" t="str">
        <f t="shared" ca="1" si="2"/>
        <v>Excavation, Plinth, RCC Slab, Brickwork, Internal Plaster, External Plaster Completed, Flooring upto 1 Floor, Painting upto 1 Floor Completed</v>
      </c>
      <c r="Q16" s="138">
        <f t="shared" ca="1" si="3"/>
        <v>1</v>
      </c>
      <c r="R16" s="138">
        <f t="shared" ca="1" si="4"/>
        <v>1</v>
      </c>
      <c r="S16" s="138">
        <f t="shared" ca="1" si="5"/>
        <v>1</v>
      </c>
      <c r="T16" s="138">
        <f t="shared" ca="1" si="6"/>
        <v>1</v>
      </c>
      <c r="U16" s="138">
        <f t="shared" ca="1" si="7"/>
        <v>1</v>
      </c>
      <c r="V16" s="138">
        <f t="shared" ca="1" si="8"/>
        <v>1</v>
      </c>
      <c r="W16" s="138">
        <f t="shared" ca="1" si="9"/>
        <v>0.5</v>
      </c>
      <c r="X16" s="138">
        <f t="shared" ca="1" si="10"/>
        <v>0.5</v>
      </c>
      <c r="Y16" s="138">
        <f t="shared" ca="1" si="11"/>
        <v>0</v>
      </c>
      <c r="Z16" s="138">
        <f t="shared" ca="1" si="12"/>
        <v>0</v>
      </c>
      <c r="AA16" s="139">
        <f t="shared" ca="1" si="13"/>
        <v>0.5</v>
      </c>
      <c r="AB16" s="140">
        <f t="shared" ca="1" si="14"/>
        <v>1</v>
      </c>
      <c r="AC16" s="140">
        <f t="shared" ca="1" si="15"/>
        <v>2</v>
      </c>
      <c r="AD16" s="141">
        <f t="shared" ca="1" si="42"/>
        <v>0.5</v>
      </c>
      <c r="AE16" s="141">
        <f t="shared" ca="1" si="43"/>
        <v>1</v>
      </c>
      <c r="AF16" s="141">
        <f t="shared" si="44"/>
        <v>0</v>
      </c>
      <c r="AG16" s="141">
        <f t="shared" si="45"/>
        <v>0</v>
      </c>
      <c r="AH16" s="142">
        <f t="shared" si="46"/>
        <v>0</v>
      </c>
      <c r="AI16" s="141">
        <f t="shared" si="47"/>
        <v>0</v>
      </c>
      <c r="AJ16" s="141">
        <f t="shared" ca="1" si="48"/>
        <v>1.5</v>
      </c>
      <c r="AK16" s="141">
        <f t="shared" ca="1" si="49"/>
        <v>2</v>
      </c>
      <c r="AL16" s="137" t="str">
        <f t="shared" si="50"/>
        <v/>
      </c>
      <c r="AM16" s="137" t="str">
        <f t="shared" ca="1" si="16"/>
        <v/>
      </c>
      <c r="AN16" s="137" t="str">
        <f t="shared" ca="1" si="17"/>
        <v>, Flooring upto 1 Floor, Painting upto 1 Floor</v>
      </c>
      <c r="AO16" s="137" t="str">
        <f t="shared" ca="1" si="18"/>
        <v>Excavation, Plinth, RCC Slab, Brickwork, Internal Plaster, External Plaster</v>
      </c>
      <c r="AP16" s="137" t="str">
        <f t="shared" ca="1" si="19"/>
        <v xml:space="preserve"> Completed</v>
      </c>
      <c r="AQ16" s="137" t="str">
        <f t="shared" ca="1" si="20"/>
        <v>Completed</v>
      </c>
    </row>
    <row r="17" spans="1:43" s="143" customFormat="1" ht="15.5" x14ac:dyDescent="0.35">
      <c r="A17" s="132" t="s">
        <v>320</v>
      </c>
      <c r="B17" s="133" t="s">
        <v>391</v>
      </c>
      <c r="C17" s="134">
        <f ca="1">--TRIM(RIGHT(SUBSTITUTE(LEFT(B17,_xlfn.AGGREGATE(16,6,FIND({0,1,2,3,4,5,6,7,8,9},B17,ROW(INDIRECT("1:"&amp;LEN(B17)))),1))," ",REPT(" ",LEN(B17))),LEN(B17)))</f>
        <v>2</v>
      </c>
      <c r="D17" s="135">
        <v>2</v>
      </c>
      <c r="E17" s="135">
        <v>2</v>
      </c>
      <c r="F17" s="144">
        <v>3</v>
      </c>
      <c r="G17" s="148">
        <v>2</v>
      </c>
      <c r="H17" s="148">
        <v>2</v>
      </c>
      <c r="I17" s="135">
        <v>2</v>
      </c>
      <c r="J17" s="135">
        <v>0</v>
      </c>
      <c r="K17" s="135">
        <v>0</v>
      </c>
      <c r="L17" s="135">
        <v>0</v>
      </c>
      <c r="M17" s="135">
        <v>0</v>
      </c>
      <c r="N17" s="136">
        <f t="shared" ca="1" si="0"/>
        <v>0.75</v>
      </c>
      <c r="O17" s="136">
        <f t="shared" ca="1" si="1"/>
        <v>0.9</v>
      </c>
      <c r="P17" s="137" t="str">
        <f t="shared" ca="1" si="2"/>
        <v xml:space="preserve">Excavation, Plinth, RCC Slab, Brickwork, Internal Plaster, External Plaster Completed </v>
      </c>
      <c r="Q17" s="138">
        <f t="shared" ca="1" si="3"/>
        <v>1</v>
      </c>
      <c r="R17" s="138">
        <f t="shared" ca="1" si="4"/>
        <v>1</v>
      </c>
      <c r="S17" s="138">
        <f t="shared" ca="1" si="5"/>
        <v>1</v>
      </c>
      <c r="T17" s="138">
        <f t="shared" ca="1" si="6"/>
        <v>1</v>
      </c>
      <c r="U17" s="138">
        <f t="shared" ca="1" si="7"/>
        <v>1</v>
      </c>
      <c r="V17" s="138">
        <f t="shared" ca="1" si="8"/>
        <v>1</v>
      </c>
      <c r="W17" s="138">
        <f t="shared" ca="1" si="9"/>
        <v>0</v>
      </c>
      <c r="X17" s="138">
        <f t="shared" ca="1" si="10"/>
        <v>0</v>
      </c>
      <c r="Y17" s="138">
        <f t="shared" ca="1" si="11"/>
        <v>0</v>
      </c>
      <c r="Z17" s="138">
        <f t="shared" ca="1" si="12"/>
        <v>0</v>
      </c>
      <c r="AA17" s="139">
        <f t="shared" ca="1" si="13"/>
        <v>0.5</v>
      </c>
      <c r="AB17" s="140">
        <f t="shared" ca="1" si="14"/>
        <v>1</v>
      </c>
      <c r="AC17" s="140">
        <f t="shared" ca="1" si="15"/>
        <v>2</v>
      </c>
      <c r="AD17" s="141">
        <f t="shared" ca="1" si="42"/>
        <v>0.5</v>
      </c>
      <c r="AE17" s="141">
        <f t="shared" ca="1" si="43"/>
        <v>1</v>
      </c>
      <c r="AF17" s="141">
        <f t="shared" si="44"/>
        <v>0</v>
      </c>
      <c r="AG17" s="141">
        <f t="shared" si="45"/>
        <v>0</v>
      </c>
      <c r="AH17" s="142">
        <f t="shared" si="46"/>
        <v>0</v>
      </c>
      <c r="AI17" s="141">
        <f t="shared" si="47"/>
        <v>0</v>
      </c>
      <c r="AJ17" s="141">
        <f t="shared" ca="1" si="48"/>
        <v>1.5</v>
      </c>
      <c r="AK17" s="141">
        <f t="shared" ca="1" si="49"/>
        <v>2</v>
      </c>
      <c r="AL17" s="137" t="str">
        <f t="shared" si="50"/>
        <v/>
      </c>
      <c r="AM17" s="137" t="str">
        <f t="shared" ca="1" si="16"/>
        <v/>
      </c>
      <c r="AN17" s="137" t="str">
        <f t="shared" ca="1" si="17"/>
        <v/>
      </c>
      <c r="AO17" s="137" t="str">
        <f t="shared" ca="1" si="18"/>
        <v>Excavation, Plinth, RCC Slab, Brickwork, Internal Plaster, External Plaster</v>
      </c>
      <c r="AP17" s="137" t="str">
        <f t="shared" ca="1" si="19"/>
        <v xml:space="preserve"> Completed</v>
      </c>
      <c r="AQ17" s="137" t="str">
        <f t="shared" ca="1" si="20"/>
        <v/>
      </c>
    </row>
    <row r="18" spans="1:43" s="143" customFormat="1" ht="15.5" x14ac:dyDescent="0.35">
      <c r="A18" s="132" t="s">
        <v>321</v>
      </c>
      <c r="B18" s="133" t="s">
        <v>391</v>
      </c>
      <c r="C18" s="134">
        <f ca="1">--TRIM(RIGHT(SUBSTITUTE(LEFT(B18,_xlfn.AGGREGATE(16,6,FIND({0,1,2,3,4,5,6,7,8,9},B18,ROW(INDIRECT("1:"&amp;LEN(B18)))),1))," ",REPT(" ",LEN(B18))),LEN(B18)))</f>
        <v>2</v>
      </c>
      <c r="D18" s="135">
        <v>2</v>
      </c>
      <c r="E18" s="135">
        <v>2</v>
      </c>
      <c r="F18" s="144">
        <v>3</v>
      </c>
      <c r="G18" s="148">
        <v>2</v>
      </c>
      <c r="H18" s="148">
        <v>2</v>
      </c>
      <c r="I18" s="135">
        <v>2</v>
      </c>
      <c r="J18" s="135">
        <v>0</v>
      </c>
      <c r="K18" s="135">
        <v>0</v>
      </c>
      <c r="L18" s="135">
        <v>0</v>
      </c>
      <c r="M18" s="135">
        <v>0</v>
      </c>
      <c r="N18" s="136">
        <f t="shared" ca="1" si="0"/>
        <v>0.75</v>
      </c>
      <c r="O18" s="136">
        <f t="shared" ca="1" si="1"/>
        <v>0.9</v>
      </c>
      <c r="P18" s="137" t="str">
        <f t="shared" ca="1" si="2"/>
        <v xml:space="preserve">Excavation, Plinth, RCC Slab, Brickwork, Internal Plaster, External Plaster Completed </v>
      </c>
      <c r="Q18" s="138">
        <f t="shared" ca="1" si="3"/>
        <v>1</v>
      </c>
      <c r="R18" s="138">
        <f t="shared" ca="1" si="4"/>
        <v>1</v>
      </c>
      <c r="S18" s="138">
        <f t="shared" ca="1" si="5"/>
        <v>1</v>
      </c>
      <c r="T18" s="138">
        <f t="shared" ca="1" si="6"/>
        <v>1</v>
      </c>
      <c r="U18" s="138">
        <f t="shared" ca="1" si="7"/>
        <v>1</v>
      </c>
      <c r="V18" s="138">
        <f t="shared" ca="1" si="8"/>
        <v>1</v>
      </c>
      <c r="W18" s="138">
        <f t="shared" ca="1" si="9"/>
        <v>0</v>
      </c>
      <c r="X18" s="138">
        <f t="shared" ca="1" si="10"/>
        <v>0</v>
      </c>
      <c r="Y18" s="138">
        <f t="shared" ca="1" si="11"/>
        <v>0</v>
      </c>
      <c r="Z18" s="138">
        <f t="shared" ca="1" si="12"/>
        <v>0</v>
      </c>
      <c r="AA18" s="139">
        <f t="shared" ca="1" si="13"/>
        <v>0.5</v>
      </c>
      <c r="AB18" s="140">
        <f t="shared" ca="1" si="14"/>
        <v>1</v>
      </c>
      <c r="AC18" s="140">
        <f t="shared" ca="1" si="15"/>
        <v>2</v>
      </c>
      <c r="AD18" s="141">
        <f ca="1">(IF(M2&gt;1,(C18/(M2+2)),C18/4))</f>
        <v>0.5</v>
      </c>
      <c r="AE18" s="141">
        <f ca="1">(IF(M2&gt;1,(C18/(M2+2)+AD18),C18/4+AD18))</f>
        <v>1</v>
      </c>
      <c r="AF18" s="141">
        <f>(IF(M2&gt;1,(C18/(M2+2)+AE18),0))</f>
        <v>0</v>
      </c>
      <c r="AG18" s="141">
        <f>(IF(M2&gt;2,(C18/(M2+2)+AF18),0))</f>
        <v>0</v>
      </c>
      <c r="AH18" s="142">
        <f>(IF(M2&gt;3,(C18/(M2+2)+AG18),0))</f>
        <v>0</v>
      </c>
      <c r="AI18" s="141">
        <f>(IF(M2&gt;4,(C18/(M2+2)+AH18),0))</f>
        <v>0</v>
      </c>
      <c r="AJ18" s="141">
        <f ca="1">(IF(M2=1,(C18/(M2+3)+AE18),IF(M2=0,(C18/4+AE18),IF(M2&gt;1,0))))</f>
        <v>1.5</v>
      </c>
      <c r="AK18" s="141">
        <f ca="1">(IF(M2&gt;1.5,(C18/(M2+2)+AE18+MAX(0,AF18-AE18)+MAX(0,AG18-AF18)+MAX(0,AH18-AG18)+MAX(0,AI18-AH18)+MAX(0,AJ18-AI18)),IF(M2=1,(C18/(M2+3)+AJ18),IF(M2=0,C18/4+AJ18))))</f>
        <v>2</v>
      </c>
      <c r="AL18" s="137" t="str">
        <f t="shared" ref="AL18:AL31" si="51">(IF(W86=(1+T86),"",IF(W86&gt;0,", RCC upto "&amp;W86&amp;" Slab","")))&amp;(IF(X86=T86,"",IF(X86&gt;0,", Brickwork upto "&amp;X86&amp;" Floor","")))&amp;(IF(Y86=T86,"",IF(Y86&gt;0,", Internal Plaster upto "&amp;Y86&amp;" Floor","")))&amp;(IF(Z86=T86,"",IF(Z86&gt;0,", External Plaster upto "&amp;Z86&amp;" Floor","")))&amp;(IF(AA86=T86,"",IF(AA86&gt;0,", Flooring upto "&amp;AA86&amp;" Floor","")))&amp;(IF(AB86=T86,"",IF(AB86&gt;0,", Painting upto "&amp;AB86&amp;" Floor","")))&amp;(IF(AC86=T86,"",IF(AC86&gt;0,", Finishing upto "&amp;AC86&amp;" Floor","")))&amp;(IF(AD86=T86,"",IF(AD86&gt;0,", Possession upto "&amp;AD86&amp;" Floor","")))</f>
        <v/>
      </c>
      <c r="AM18" s="137" t="str">
        <f t="shared" ca="1" si="16"/>
        <v/>
      </c>
      <c r="AN18" s="137" t="str">
        <f t="shared" ca="1" si="17"/>
        <v/>
      </c>
      <c r="AO18" s="137" t="str">
        <f t="shared" ca="1" si="18"/>
        <v>Excavation, Plinth, RCC Slab, Brickwork, Internal Plaster, External Plaster</v>
      </c>
      <c r="AP18" s="137" t="str">
        <f t="shared" ca="1" si="19"/>
        <v xml:space="preserve"> Completed</v>
      </c>
      <c r="AQ18" s="137" t="str">
        <f t="shared" ca="1" si="20"/>
        <v/>
      </c>
    </row>
    <row r="19" spans="1:43" s="143" customFormat="1" ht="15.5" x14ac:dyDescent="0.35">
      <c r="A19" s="132" t="s">
        <v>322</v>
      </c>
      <c r="B19" s="133" t="s">
        <v>391</v>
      </c>
      <c r="C19" s="134">
        <f ca="1">--TRIM(RIGHT(SUBSTITUTE(LEFT(B19,_xlfn.AGGREGATE(16,6,FIND({0,1,2,3,4,5,6,7,8,9},B19,ROW(INDIRECT("1:"&amp;LEN(B19)))),1))," ",REPT(" ",LEN(B19))),LEN(B19)))</f>
        <v>2</v>
      </c>
      <c r="D19" s="135">
        <v>2</v>
      </c>
      <c r="E19" s="135">
        <v>2</v>
      </c>
      <c r="F19" s="144">
        <v>3</v>
      </c>
      <c r="G19" s="148">
        <v>2</v>
      </c>
      <c r="H19" s="148">
        <v>2</v>
      </c>
      <c r="I19" s="135">
        <v>2</v>
      </c>
      <c r="J19" s="135">
        <v>0</v>
      </c>
      <c r="K19" s="135">
        <v>0</v>
      </c>
      <c r="L19" s="135">
        <v>0</v>
      </c>
      <c r="M19" s="135">
        <v>0</v>
      </c>
      <c r="N19" s="136">
        <f t="shared" ca="1" si="0"/>
        <v>0.75</v>
      </c>
      <c r="O19" s="136">
        <f t="shared" ca="1" si="1"/>
        <v>0.9</v>
      </c>
      <c r="P19" s="137" t="str">
        <f t="shared" ca="1" si="2"/>
        <v xml:space="preserve">Excavation, Plinth, RCC Slab, Brickwork, Internal Plaster, External Plaster Completed </v>
      </c>
      <c r="Q19" s="138">
        <f t="shared" ca="1" si="3"/>
        <v>1</v>
      </c>
      <c r="R19" s="138">
        <f t="shared" ca="1" si="4"/>
        <v>1</v>
      </c>
      <c r="S19" s="138">
        <f t="shared" ca="1" si="5"/>
        <v>1</v>
      </c>
      <c r="T19" s="138">
        <f t="shared" ca="1" si="6"/>
        <v>1</v>
      </c>
      <c r="U19" s="138">
        <f t="shared" ca="1" si="7"/>
        <v>1</v>
      </c>
      <c r="V19" s="138">
        <f t="shared" ca="1" si="8"/>
        <v>1</v>
      </c>
      <c r="W19" s="138">
        <f t="shared" ca="1" si="9"/>
        <v>0</v>
      </c>
      <c r="X19" s="138">
        <f t="shared" ca="1" si="10"/>
        <v>0</v>
      </c>
      <c r="Y19" s="138">
        <f t="shared" ca="1" si="11"/>
        <v>0</v>
      </c>
      <c r="Z19" s="138">
        <f t="shared" ca="1" si="12"/>
        <v>0</v>
      </c>
      <c r="AA19" s="139">
        <f t="shared" ca="1" si="13"/>
        <v>0.5</v>
      </c>
      <c r="AB19" s="140">
        <f t="shared" ca="1" si="14"/>
        <v>1</v>
      </c>
      <c r="AC19" s="140">
        <f t="shared" ca="1" si="15"/>
        <v>2</v>
      </c>
      <c r="AD19" s="141">
        <f ca="1">(IF(M3&gt;1,(C19/(M3+2)),C19/4))</f>
        <v>0.5</v>
      </c>
      <c r="AE19" s="141">
        <f ca="1">(IF(M3&gt;1,(C19/(M3+2)+AD19),C19/4+AD19))</f>
        <v>1</v>
      </c>
      <c r="AF19" s="141">
        <f>(IF(M3&gt;1,(C19/(M3+2)+AE19),0))</f>
        <v>0</v>
      </c>
      <c r="AG19" s="141">
        <f>(IF(M3&gt;2,(C19/(M3+2)+AF19),0))</f>
        <v>0</v>
      </c>
      <c r="AH19" s="142">
        <f>(IF(M3&gt;3,(C19/(M3+2)+AG19),0))</f>
        <v>0</v>
      </c>
      <c r="AI19" s="141">
        <f>(IF(M3&gt;4,(C19/(M3+2)+AH19),0))</f>
        <v>0</v>
      </c>
      <c r="AJ19" s="141">
        <f ca="1">(IF(M3=1,(C19/(M3+3)+AE19),IF(M3=0,(C19/4+AE19),IF(M3&gt;1,0))))</f>
        <v>1.5</v>
      </c>
      <c r="AK19" s="141">
        <f ca="1">(IF(M3&gt;1.5,(C19/(M3+2)+AE19+MAX(0,AF19-AE19)+MAX(0,AG19-AF19)+MAX(0,AH19-AG19)+MAX(0,AI19-AH19)+MAX(0,AJ19-AI19)),IF(M3=1,(C19/(M3+3)+AJ19),IF(M3=0,C19/4+AJ19))))</f>
        <v>2</v>
      </c>
      <c r="AL19" s="137" t="str">
        <f t="shared" si="51"/>
        <v/>
      </c>
      <c r="AM19" s="137" t="str">
        <f t="shared" ca="1" si="16"/>
        <v/>
      </c>
      <c r="AN19" s="137" t="str">
        <f t="shared" ca="1" si="17"/>
        <v/>
      </c>
      <c r="AO19" s="137" t="str">
        <f t="shared" ca="1" si="18"/>
        <v>Excavation, Plinth, RCC Slab, Brickwork, Internal Plaster, External Plaster</v>
      </c>
      <c r="AP19" s="137" t="str">
        <f t="shared" ca="1" si="19"/>
        <v xml:space="preserve"> Completed</v>
      </c>
      <c r="AQ19" s="137" t="str">
        <f t="shared" ca="1" si="20"/>
        <v/>
      </c>
    </row>
    <row r="20" spans="1:43" s="143" customFormat="1" ht="15.5" x14ac:dyDescent="0.35">
      <c r="A20" s="132" t="s">
        <v>323</v>
      </c>
      <c r="B20" s="133" t="s">
        <v>391</v>
      </c>
      <c r="C20" s="134">
        <f ca="1">--TRIM(RIGHT(SUBSTITUTE(LEFT(B20,_xlfn.AGGREGATE(16,6,FIND({0,1,2,3,4,5,6,7,8,9},B20,ROW(INDIRECT("1:"&amp;LEN(B20)))),1))," ",REPT(" ",LEN(B20))),LEN(B20)))</f>
        <v>2</v>
      </c>
      <c r="D20" s="135">
        <v>2</v>
      </c>
      <c r="E20" s="135">
        <v>2</v>
      </c>
      <c r="F20" s="144">
        <v>3</v>
      </c>
      <c r="G20" s="148">
        <v>2</v>
      </c>
      <c r="H20" s="148">
        <v>2</v>
      </c>
      <c r="I20" s="135">
        <v>2</v>
      </c>
      <c r="J20" s="135">
        <v>0</v>
      </c>
      <c r="K20" s="135">
        <v>0</v>
      </c>
      <c r="L20" s="135">
        <v>0</v>
      </c>
      <c r="M20" s="135">
        <v>0</v>
      </c>
      <c r="N20" s="136">
        <f t="shared" ca="1" si="0"/>
        <v>0.75</v>
      </c>
      <c r="O20" s="136">
        <f t="shared" ca="1" si="1"/>
        <v>0.9</v>
      </c>
      <c r="P20" s="137" t="str">
        <f t="shared" ca="1" si="2"/>
        <v xml:space="preserve">Excavation, Plinth, RCC Slab, Brickwork, Internal Plaster, External Plaster Completed </v>
      </c>
      <c r="Q20" s="138">
        <f t="shared" ca="1" si="3"/>
        <v>1</v>
      </c>
      <c r="R20" s="138">
        <f t="shared" ca="1" si="4"/>
        <v>1</v>
      </c>
      <c r="S20" s="138">
        <f t="shared" ca="1" si="5"/>
        <v>1</v>
      </c>
      <c r="T20" s="138">
        <f t="shared" ca="1" si="6"/>
        <v>1</v>
      </c>
      <c r="U20" s="138">
        <f t="shared" ca="1" si="7"/>
        <v>1</v>
      </c>
      <c r="V20" s="138">
        <f t="shared" ca="1" si="8"/>
        <v>1</v>
      </c>
      <c r="W20" s="138">
        <f t="shared" ca="1" si="9"/>
        <v>0</v>
      </c>
      <c r="X20" s="138">
        <f t="shared" ca="1" si="10"/>
        <v>0</v>
      </c>
      <c r="Y20" s="138">
        <f t="shared" ca="1" si="11"/>
        <v>0</v>
      </c>
      <c r="Z20" s="138">
        <f t="shared" ca="1" si="12"/>
        <v>0</v>
      </c>
      <c r="AA20" s="139">
        <f t="shared" ca="1" si="13"/>
        <v>0.5</v>
      </c>
      <c r="AB20" s="140">
        <f t="shared" ca="1" si="14"/>
        <v>1</v>
      </c>
      <c r="AC20" s="140">
        <f t="shared" ca="1" si="15"/>
        <v>2</v>
      </c>
      <c r="AD20" s="141">
        <f t="shared" ref="AD20:AD41" ca="1" si="52">(IF(M6&gt;1,(C20/(M6+2)),C20/4))</f>
        <v>0.5</v>
      </c>
      <c r="AE20" s="141">
        <f t="shared" ref="AE20:AE41" ca="1" si="53">(IF(M6&gt;1,(C20/(M6+2)+AD20),C20/4+AD20))</f>
        <v>1</v>
      </c>
      <c r="AF20" s="141">
        <f t="shared" ref="AF20:AF41" si="54">(IF(M6&gt;1,(C20/(M6+2)+AE20),0))</f>
        <v>0</v>
      </c>
      <c r="AG20" s="141">
        <f t="shared" ref="AG20:AG41" si="55">(IF(M6&gt;2,(C20/(M6+2)+AF20),0))</f>
        <v>0</v>
      </c>
      <c r="AH20" s="142">
        <f t="shared" ref="AH20:AH41" si="56">(IF(M6&gt;3,(C20/(M6+2)+AG20),0))</f>
        <v>0</v>
      </c>
      <c r="AI20" s="141">
        <f t="shared" ref="AI20:AI41" si="57">(IF(M6&gt;4,(C20/(M6+2)+AH20),0))</f>
        <v>0</v>
      </c>
      <c r="AJ20" s="141">
        <f t="shared" ref="AJ20:AJ41" ca="1" si="58">(IF(M6=1,(C20/(M6+3)+AE20),IF(M6=0,(C20/4+AE20),IF(M6&gt;1,0))))</f>
        <v>1.5</v>
      </c>
      <c r="AK20" s="141">
        <f t="shared" ref="AK20:AK41" ca="1" si="59">(IF(M6&gt;1.5,(C20/(M6+2)+AE20+MAX(0,AF20-AE20)+MAX(0,AG20-AF20)+MAX(0,AH20-AG20)+MAX(0,AI20-AH20)+MAX(0,AJ20-AI20)),IF(M6=1,(C20/(M6+3)+AJ20),IF(M6=0,C20/4+AJ20))))</f>
        <v>2</v>
      </c>
      <c r="AL20" s="137" t="str">
        <f t="shared" si="51"/>
        <v/>
      </c>
      <c r="AM20" s="137" t="str">
        <f t="shared" ca="1" si="16"/>
        <v/>
      </c>
      <c r="AN20" s="137" t="str">
        <f t="shared" ca="1" si="17"/>
        <v/>
      </c>
      <c r="AO20" s="137" t="str">
        <f t="shared" ca="1" si="18"/>
        <v>Excavation, Plinth, RCC Slab, Brickwork, Internal Plaster, External Plaster</v>
      </c>
      <c r="AP20" s="137" t="str">
        <f t="shared" ca="1" si="19"/>
        <v xml:space="preserve"> Completed</v>
      </c>
      <c r="AQ20" s="137" t="str">
        <f t="shared" ca="1" si="20"/>
        <v/>
      </c>
    </row>
    <row r="21" spans="1:43" s="143" customFormat="1" ht="15.5" x14ac:dyDescent="0.35">
      <c r="A21" s="132" t="s">
        <v>324</v>
      </c>
      <c r="B21" s="133" t="s">
        <v>391</v>
      </c>
      <c r="C21" s="134">
        <f ca="1">--TRIM(RIGHT(SUBSTITUTE(LEFT(B21,_xlfn.AGGREGATE(16,6,FIND({0,1,2,3,4,5,6,7,8,9},B21,ROW(INDIRECT("1:"&amp;LEN(B21)))),1))," ",REPT(" ",LEN(B21))),LEN(B21)))</f>
        <v>2</v>
      </c>
      <c r="D21" s="135">
        <v>2</v>
      </c>
      <c r="E21" s="135">
        <v>2</v>
      </c>
      <c r="F21" s="144">
        <v>3</v>
      </c>
      <c r="G21" s="148">
        <v>2</v>
      </c>
      <c r="H21" s="148">
        <v>2</v>
      </c>
      <c r="I21" s="135">
        <v>2</v>
      </c>
      <c r="J21" s="135">
        <v>0</v>
      </c>
      <c r="K21" s="135">
        <v>0</v>
      </c>
      <c r="L21" s="135">
        <v>0</v>
      </c>
      <c r="M21" s="135">
        <v>0</v>
      </c>
      <c r="N21" s="136">
        <f t="shared" ca="1" si="0"/>
        <v>0.75</v>
      </c>
      <c r="O21" s="136">
        <f t="shared" ca="1" si="1"/>
        <v>0.9</v>
      </c>
      <c r="P21" s="137" t="str">
        <f t="shared" ca="1" si="2"/>
        <v xml:space="preserve">Excavation, Plinth, RCC Slab, Brickwork, Internal Plaster, External Plaster Completed </v>
      </c>
      <c r="Q21" s="138">
        <f t="shared" ca="1" si="3"/>
        <v>1</v>
      </c>
      <c r="R21" s="138">
        <f t="shared" ca="1" si="4"/>
        <v>1</v>
      </c>
      <c r="S21" s="138">
        <f t="shared" ca="1" si="5"/>
        <v>1</v>
      </c>
      <c r="T21" s="138">
        <f t="shared" ca="1" si="6"/>
        <v>1</v>
      </c>
      <c r="U21" s="138">
        <f t="shared" ca="1" si="7"/>
        <v>1</v>
      </c>
      <c r="V21" s="138">
        <f t="shared" ca="1" si="8"/>
        <v>1</v>
      </c>
      <c r="W21" s="138">
        <f t="shared" ca="1" si="9"/>
        <v>0</v>
      </c>
      <c r="X21" s="138">
        <f t="shared" ca="1" si="10"/>
        <v>0</v>
      </c>
      <c r="Y21" s="138">
        <f t="shared" ca="1" si="11"/>
        <v>0</v>
      </c>
      <c r="Z21" s="138">
        <f t="shared" ca="1" si="12"/>
        <v>0</v>
      </c>
      <c r="AA21" s="139">
        <f t="shared" ca="1" si="13"/>
        <v>0.5</v>
      </c>
      <c r="AB21" s="140">
        <f t="shared" ca="1" si="14"/>
        <v>1</v>
      </c>
      <c r="AC21" s="140">
        <f t="shared" ca="1" si="15"/>
        <v>2</v>
      </c>
      <c r="AD21" s="141">
        <f t="shared" ca="1" si="52"/>
        <v>0.5</v>
      </c>
      <c r="AE21" s="141">
        <f t="shared" ca="1" si="53"/>
        <v>1</v>
      </c>
      <c r="AF21" s="141">
        <f t="shared" si="54"/>
        <v>0</v>
      </c>
      <c r="AG21" s="141">
        <f t="shared" si="55"/>
        <v>0</v>
      </c>
      <c r="AH21" s="142">
        <f t="shared" si="56"/>
        <v>0</v>
      </c>
      <c r="AI21" s="141">
        <f t="shared" si="57"/>
        <v>0</v>
      </c>
      <c r="AJ21" s="141">
        <f t="shared" ca="1" si="58"/>
        <v>1.5</v>
      </c>
      <c r="AK21" s="141">
        <f t="shared" ca="1" si="59"/>
        <v>2</v>
      </c>
      <c r="AL21" s="137" t="str">
        <f t="shared" si="51"/>
        <v/>
      </c>
      <c r="AM21" s="137" t="str">
        <f t="shared" ca="1" si="16"/>
        <v/>
      </c>
      <c r="AN21" s="137" t="str">
        <f t="shared" ca="1" si="17"/>
        <v/>
      </c>
      <c r="AO21" s="137" t="str">
        <f t="shared" ca="1" si="18"/>
        <v>Excavation, Plinth, RCC Slab, Brickwork, Internal Plaster, External Plaster</v>
      </c>
      <c r="AP21" s="137" t="str">
        <f t="shared" ca="1" si="19"/>
        <v xml:space="preserve"> Completed</v>
      </c>
      <c r="AQ21" s="137" t="str">
        <f t="shared" ca="1" si="20"/>
        <v/>
      </c>
    </row>
    <row r="22" spans="1:43" s="143" customFormat="1" ht="15.5" x14ac:dyDescent="0.35">
      <c r="A22" s="132" t="s">
        <v>325</v>
      </c>
      <c r="B22" s="133" t="s">
        <v>391</v>
      </c>
      <c r="C22" s="134">
        <f ca="1">--TRIM(RIGHT(SUBSTITUTE(LEFT(B22,_xlfn.AGGREGATE(16,6,FIND({0,1,2,3,4,5,6,7,8,9},B22,ROW(INDIRECT("1:"&amp;LEN(B22)))),1))," ",REPT(" ",LEN(B22))),LEN(B22)))</f>
        <v>2</v>
      </c>
      <c r="D22" s="135">
        <v>2</v>
      </c>
      <c r="E22" s="135">
        <v>2</v>
      </c>
      <c r="F22" s="144">
        <v>3</v>
      </c>
      <c r="G22" s="148">
        <v>2</v>
      </c>
      <c r="H22" s="148">
        <v>2</v>
      </c>
      <c r="I22" s="135">
        <v>2</v>
      </c>
      <c r="J22" s="135">
        <v>0</v>
      </c>
      <c r="K22" s="135">
        <v>0</v>
      </c>
      <c r="L22" s="135">
        <v>0</v>
      </c>
      <c r="M22" s="135">
        <v>0</v>
      </c>
      <c r="N22" s="136">
        <f t="shared" ca="1" si="0"/>
        <v>0.75</v>
      </c>
      <c r="O22" s="136">
        <f t="shared" ca="1" si="1"/>
        <v>0.9</v>
      </c>
      <c r="P22" s="137" t="str">
        <f t="shared" ca="1" si="2"/>
        <v xml:space="preserve">Excavation, Plinth, RCC Slab, Brickwork, Internal Plaster, External Plaster Completed </v>
      </c>
      <c r="Q22" s="138">
        <f t="shared" ca="1" si="3"/>
        <v>1</v>
      </c>
      <c r="R22" s="138">
        <f t="shared" ca="1" si="4"/>
        <v>1</v>
      </c>
      <c r="S22" s="138">
        <f t="shared" ca="1" si="5"/>
        <v>1</v>
      </c>
      <c r="T22" s="138">
        <f t="shared" ca="1" si="6"/>
        <v>1</v>
      </c>
      <c r="U22" s="138">
        <f t="shared" ca="1" si="7"/>
        <v>1</v>
      </c>
      <c r="V22" s="138">
        <f t="shared" ca="1" si="8"/>
        <v>1</v>
      </c>
      <c r="W22" s="138">
        <f t="shared" ca="1" si="9"/>
        <v>0</v>
      </c>
      <c r="X22" s="138">
        <f t="shared" ca="1" si="10"/>
        <v>0</v>
      </c>
      <c r="Y22" s="138">
        <f t="shared" ca="1" si="11"/>
        <v>0</v>
      </c>
      <c r="Z22" s="138">
        <f t="shared" ca="1" si="12"/>
        <v>0</v>
      </c>
      <c r="AA22" s="139">
        <f t="shared" ca="1" si="13"/>
        <v>0.5</v>
      </c>
      <c r="AB22" s="140">
        <f t="shared" ca="1" si="14"/>
        <v>1</v>
      </c>
      <c r="AC22" s="140">
        <f t="shared" ca="1" si="15"/>
        <v>2</v>
      </c>
      <c r="AD22" s="141">
        <f t="shared" ca="1" si="52"/>
        <v>0.5</v>
      </c>
      <c r="AE22" s="141">
        <f t="shared" ca="1" si="53"/>
        <v>1</v>
      </c>
      <c r="AF22" s="141">
        <f t="shared" si="54"/>
        <v>0</v>
      </c>
      <c r="AG22" s="141">
        <f t="shared" si="55"/>
        <v>0</v>
      </c>
      <c r="AH22" s="142">
        <f t="shared" si="56"/>
        <v>0</v>
      </c>
      <c r="AI22" s="141">
        <f t="shared" si="57"/>
        <v>0</v>
      </c>
      <c r="AJ22" s="141">
        <f t="shared" ca="1" si="58"/>
        <v>1.5</v>
      </c>
      <c r="AK22" s="141">
        <f t="shared" ca="1" si="59"/>
        <v>2</v>
      </c>
      <c r="AL22" s="137" t="str">
        <f t="shared" si="51"/>
        <v/>
      </c>
      <c r="AM22" s="137" t="str">
        <f t="shared" ca="1" si="16"/>
        <v/>
      </c>
      <c r="AN22" s="137" t="str">
        <f t="shared" ca="1" si="17"/>
        <v/>
      </c>
      <c r="AO22" s="137" t="str">
        <f t="shared" ca="1" si="18"/>
        <v>Excavation, Plinth, RCC Slab, Brickwork, Internal Plaster, External Plaster</v>
      </c>
      <c r="AP22" s="137" t="str">
        <f t="shared" ca="1" si="19"/>
        <v xml:space="preserve"> Completed</v>
      </c>
      <c r="AQ22" s="137" t="str">
        <f t="shared" ca="1" si="20"/>
        <v/>
      </c>
    </row>
    <row r="23" spans="1:43" s="143" customFormat="1" ht="15.5" x14ac:dyDescent="0.35">
      <c r="A23" s="132" t="s">
        <v>326</v>
      </c>
      <c r="B23" s="133" t="s">
        <v>391</v>
      </c>
      <c r="C23" s="134">
        <f ca="1">--TRIM(RIGHT(SUBSTITUTE(LEFT(B23,_xlfn.AGGREGATE(16,6,FIND({0,1,2,3,4,5,6,7,8,9},B23,ROW(INDIRECT("1:"&amp;LEN(B23)))),1))," ",REPT(" ",LEN(B23))),LEN(B23)))</f>
        <v>2</v>
      </c>
      <c r="D23" s="135">
        <v>2</v>
      </c>
      <c r="E23" s="135">
        <v>2</v>
      </c>
      <c r="F23" s="144">
        <v>3</v>
      </c>
      <c r="G23" s="148">
        <v>2</v>
      </c>
      <c r="H23" s="144">
        <v>2</v>
      </c>
      <c r="I23" s="135">
        <v>2</v>
      </c>
      <c r="J23" s="135">
        <v>0</v>
      </c>
      <c r="K23" s="135">
        <v>0</v>
      </c>
      <c r="L23" s="135">
        <v>0</v>
      </c>
      <c r="M23" s="135">
        <v>0</v>
      </c>
      <c r="N23" s="136">
        <f t="shared" ca="1" si="0"/>
        <v>0.75</v>
      </c>
      <c r="O23" s="136">
        <f t="shared" ca="1" si="1"/>
        <v>0.9</v>
      </c>
      <c r="P23" s="137" t="str">
        <f t="shared" ca="1" si="2"/>
        <v xml:space="preserve">Excavation, Plinth, RCC Slab, Brickwork, Internal Plaster, External Plaster Completed </v>
      </c>
      <c r="Q23" s="138">
        <f t="shared" ca="1" si="3"/>
        <v>1</v>
      </c>
      <c r="R23" s="138">
        <f t="shared" ca="1" si="4"/>
        <v>1</v>
      </c>
      <c r="S23" s="138">
        <f t="shared" ca="1" si="5"/>
        <v>1</v>
      </c>
      <c r="T23" s="138">
        <f t="shared" ca="1" si="6"/>
        <v>1</v>
      </c>
      <c r="U23" s="138">
        <f t="shared" ca="1" si="7"/>
        <v>1</v>
      </c>
      <c r="V23" s="138">
        <f t="shared" ca="1" si="8"/>
        <v>1</v>
      </c>
      <c r="W23" s="138">
        <f t="shared" ca="1" si="9"/>
        <v>0</v>
      </c>
      <c r="X23" s="138">
        <f t="shared" ca="1" si="10"/>
        <v>0</v>
      </c>
      <c r="Y23" s="138">
        <f t="shared" ca="1" si="11"/>
        <v>0</v>
      </c>
      <c r="Z23" s="138">
        <f t="shared" ca="1" si="12"/>
        <v>0</v>
      </c>
      <c r="AA23" s="139">
        <f t="shared" ca="1" si="13"/>
        <v>0.5</v>
      </c>
      <c r="AB23" s="140">
        <f t="shared" ca="1" si="14"/>
        <v>1</v>
      </c>
      <c r="AC23" s="140">
        <f t="shared" ca="1" si="15"/>
        <v>2</v>
      </c>
      <c r="AD23" s="141">
        <f t="shared" ca="1" si="52"/>
        <v>0.5</v>
      </c>
      <c r="AE23" s="141">
        <f t="shared" ca="1" si="53"/>
        <v>1</v>
      </c>
      <c r="AF23" s="141">
        <f t="shared" si="54"/>
        <v>0</v>
      </c>
      <c r="AG23" s="141">
        <f t="shared" si="55"/>
        <v>0</v>
      </c>
      <c r="AH23" s="142">
        <f t="shared" si="56"/>
        <v>0</v>
      </c>
      <c r="AI23" s="141">
        <f t="shared" si="57"/>
        <v>0</v>
      </c>
      <c r="AJ23" s="141">
        <f t="shared" ca="1" si="58"/>
        <v>1.5</v>
      </c>
      <c r="AK23" s="141">
        <f t="shared" ca="1" si="59"/>
        <v>2</v>
      </c>
      <c r="AL23" s="137" t="str">
        <f t="shared" si="51"/>
        <v/>
      </c>
      <c r="AM23" s="137" t="str">
        <f t="shared" ca="1" si="16"/>
        <v/>
      </c>
      <c r="AN23" s="137" t="str">
        <f t="shared" ca="1" si="17"/>
        <v/>
      </c>
      <c r="AO23" s="137" t="str">
        <f t="shared" ca="1" si="18"/>
        <v>Excavation, Plinth, RCC Slab, Brickwork, Internal Plaster, External Plaster</v>
      </c>
      <c r="AP23" s="137" t="str">
        <f t="shared" ca="1" si="19"/>
        <v xml:space="preserve"> Completed</v>
      </c>
      <c r="AQ23" s="137" t="str">
        <f t="shared" ca="1" si="20"/>
        <v/>
      </c>
    </row>
    <row r="24" spans="1:43" s="143" customFormat="1" ht="15.5" x14ac:dyDescent="0.35">
      <c r="A24" s="132" t="s">
        <v>327</v>
      </c>
      <c r="B24" s="133" t="s">
        <v>391</v>
      </c>
      <c r="C24" s="134">
        <f ca="1">--TRIM(RIGHT(SUBSTITUTE(LEFT(B24,_xlfn.AGGREGATE(16,6,FIND({0,1,2,3,4,5,6,7,8,9},B24,ROW(INDIRECT("1:"&amp;LEN(B24)))),1))," ",REPT(" ",LEN(B24))),LEN(B24)))</f>
        <v>2</v>
      </c>
      <c r="D24" s="135">
        <v>2</v>
      </c>
      <c r="E24" s="135">
        <v>2</v>
      </c>
      <c r="F24" s="144">
        <v>3</v>
      </c>
      <c r="G24" s="148">
        <v>2</v>
      </c>
      <c r="H24" s="144">
        <v>2</v>
      </c>
      <c r="I24" s="135">
        <v>2</v>
      </c>
      <c r="J24" s="135">
        <v>0</v>
      </c>
      <c r="K24" s="135">
        <v>0</v>
      </c>
      <c r="L24" s="135">
        <v>0</v>
      </c>
      <c r="M24" s="135">
        <v>0</v>
      </c>
      <c r="N24" s="136">
        <f t="shared" ca="1" si="0"/>
        <v>0.75</v>
      </c>
      <c r="O24" s="136">
        <f t="shared" ca="1" si="1"/>
        <v>0.9</v>
      </c>
      <c r="P24" s="137" t="str">
        <f t="shared" ca="1" si="2"/>
        <v xml:space="preserve">Excavation, Plinth, RCC Slab, Brickwork, Internal Plaster, External Plaster Completed </v>
      </c>
      <c r="Q24" s="138">
        <f t="shared" ca="1" si="3"/>
        <v>1</v>
      </c>
      <c r="R24" s="138">
        <f t="shared" ca="1" si="4"/>
        <v>1</v>
      </c>
      <c r="S24" s="138">
        <f t="shared" ca="1" si="5"/>
        <v>1</v>
      </c>
      <c r="T24" s="138">
        <f t="shared" ca="1" si="6"/>
        <v>1</v>
      </c>
      <c r="U24" s="138">
        <f t="shared" ca="1" si="7"/>
        <v>1</v>
      </c>
      <c r="V24" s="138">
        <f t="shared" ca="1" si="8"/>
        <v>1</v>
      </c>
      <c r="W24" s="138">
        <f t="shared" ca="1" si="9"/>
        <v>0</v>
      </c>
      <c r="X24" s="138">
        <f t="shared" ca="1" si="10"/>
        <v>0</v>
      </c>
      <c r="Y24" s="138">
        <f t="shared" ca="1" si="11"/>
        <v>0</v>
      </c>
      <c r="Z24" s="138">
        <f t="shared" ca="1" si="12"/>
        <v>0</v>
      </c>
      <c r="AA24" s="139">
        <f t="shared" ca="1" si="13"/>
        <v>0.5</v>
      </c>
      <c r="AB24" s="140">
        <f t="shared" ca="1" si="14"/>
        <v>1</v>
      </c>
      <c r="AC24" s="140">
        <f t="shared" ca="1" si="15"/>
        <v>2</v>
      </c>
      <c r="AD24" s="141">
        <f t="shared" ca="1" si="52"/>
        <v>0.5</v>
      </c>
      <c r="AE24" s="141">
        <f t="shared" ca="1" si="53"/>
        <v>1</v>
      </c>
      <c r="AF24" s="141">
        <f t="shared" si="54"/>
        <v>0</v>
      </c>
      <c r="AG24" s="141">
        <f t="shared" si="55"/>
        <v>0</v>
      </c>
      <c r="AH24" s="142">
        <f t="shared" si="56"/>
        <v>0</v>
      </c>
      <c r="AI24" s="141">
        <f t="shared" si="57"/>
        <v>0</v>
      </c>
      <c r="AJ24" s="141">
        <f t="shared" ca="1" si="58"/>
        <v>1.5</v>
      </c>
      <c r="AK24" s="141">
        <f t="shared" ca="1" si="59"/>
        <v>2</v>
      </c>
      <c r="AL24" s="137" t="str">
        <f t="shared" si="51"/>
        <v/>
      </c>
      <c r="AM24" s="137" t="str">
        <f t="shared" ca="1" si="16"/>
        <v/>
      </c>
      <c r="AN24" s="137" t="str">
        <f t="shared" ca="1" si="17"/>
        <v/>
      </c>
      <c r="AO24" s="137" t="str">
        <f t="shared" ca="1" si="18"/>
        <v>Excavation, Plinth, RCC Slab, Brickwork, Internal Plaster, External Plaster</v>
      </c>
      <c r="AP24" s="137" t="str">
        <f t="shared" ca="1" si="19"/>
        <v xml:space="preserve"> Completed</v>
      </c>
      <c r="AQ24" s="137" t="str">
        <f t="shared" ca="1" si="20"/>
        <v/>
      </c>
    </row>
    <row r="25" spans="1:43" s="143" customFormat="1" ht="15.5" x14ac:dyDescent="0.35">
      <c r="A25" s="132" t="s">
        <v>328</v>
      </c>
      <c r="B25" s="133" t="s">
        <v>391</v>
      </c>
      <c r="C25" s="134">
        <f ca="1">--TRIM(RIGHT(SUBSTITUTE(LEFT(B25,_xlfn.AGGREGATE(16,6,FIND({0,1,2,3,4,5,6,7,8,9},B25,ROW(INDIRECT("1:"&amp;LEN(B25)))),1))," ",REPT(" ",LEN(B25))),LEN(B25)))</f>
        <v>2</v>
      </c>
      <c r="D25" s="135">
        <v>2</v>
      </c>
      <c r="E25" s="135">
        <v>2</v>
      </c>
      <c r="F25" s="135">
        <v>3</v>
      </c>
      <c r="G25" s="144">
        <v>2</v>
      </c>
      <c r="H25" s="144">
        <v>2</v>
      </c>
      <c r="I25" s="144">
        <v>2</v>
      </c>
      <c r="J25" s="144">
        <v>2</v>
      </c>
      <c r="K25" s="144">
        <v>2</v>
      </c>
      <c r="L25" s="144">
        <v>0</v>
      </c>
      <c r="M25" s="135">
        <v>0</v>
      </c>
      <c r="N25" s="136">
        <f t="shared" ca="1" si="0"/>
        <v>0.9</v>
      </c>
      <c r="O25" s="136">
        <f t="shared" ca="1" si="1"/>
        <v>0.95</v>
      </c>
      <c r="P25" s="137" t="str">
        <f t="shared" ca="1" si="2"/>
        <v xml:space="preserve">Excavation, Plinth, RCC Slab, Brickwork, Internal Plaster, External Plaster, Flooring, Painting Completed </v>
      </c>
      <c r="Q25" s="138">
        <f t="shared" ca="1" si="3"/>
        <v>1</v>
      </c>
      <c r="R25" s="138">
        <f t="shared" ca="1" si="4"/>
        <v>1</v>
      </c>
      <c r="S25" s="138">
        <f t="shared" ca="1" si="5"/>
        <v>1</v>
      </c>
      <c r="T25" s="138">
        <f t="shared" ca="1" si="6"/>
        <v>1</v>
      </c>
      <c r="U25" s="138">
        <f t="shared" ca="1" si="7"/>
        <v>1</v>
      </c>
      <c r="V25" s="138">
        <f t="shared" ca="1" si="8"/>
        <v>1</v>
      </c>
      <c r="W25" s="138">
        <f t="shared" ca="1" si="9"/>
        <v>1</v>
      </c>
      <c r="X25" s="138">
        <f t="shared" ca="1" si="10"/>
        <v>1</v>
      </c>
      <c r="Y25" s="138">
        <f t="shared" ca="1" si="11"/>
        <v>0</v>
      </c>
      <c r="Z25" s="138">
        <f t="shared" ca="1" si="12"/>
        <v>0</v>
      </c>
      <c r="AA25" s="139">
        <f t="shared" ca="1" si="13"/>
        <v>0.5</v>
      </c>
      <c r="AB25" s="140">
        <f t="shared" ca="1" si="14"/>
        <v>1</v>
      </c>
      <c r="AC25" s="140">
        <f t="shared" ca="1" si="15"/>
        <v>2</v>
      </c>
      <c r="AD25" s="141">
        <f t="shared" ca="1" si="52"/>
        <v>0.5</v>
      </c>
      <c r="AE25" s="141">
        <f t="shared" ca="1" si="53"/>
        <v>1</v>
      </c>
      <c r="AF25" s="141">
        <f t="shared" si="54"/>
        <v>0</v>
      </c>
      <c r="AG25" s="141">
        <f t="shared" si="55"/>
        <v>0</v>
      </c>
      <c r="AH25" s="142">
        <f t="shared" si="56"/>
        <v>0</v>
      </c>
      <c r="AI25" s="141">
        <f t="shared" si="57"/>
        <v>0</v>
      </c>
      <c r="AJ25" s="141">
        <f t="shared" ca="1" si="58"/>
        <v>1.5</v>
      </c>
      <c r="AK25" s="141">
        <f t="shared" ca="1" si="59"/>
        <v>2</v>
      </c>
      <c r="AL25" s="137" t="str">
        <f t="shared" si="51"/>
        <v/>
      </c>
      <c r="AM25" s="137" t="str">
        <f t="shared" ca="1" si="16"/>
        <v/>
      </c>
      <c r="AN25" s="137" t="str">
        <f t="shared" ca="1" si="17"/>
        <v/>
      </c>
      <c r="AO25" s="137" t="str">
        <f t="shared" ca="1" si="18"/>
        <v>Excavation, Plinth, RCC Slab, Brickwork, Internal Plaster, External Plaster, Flooring, Painting</v>
      </c>
      <c r="AP25" s="137" t="str">
        <f t="shared" ca="1" si="19"/>
        <v xml:space="preserve"> Completed</v>
      </c>
      <c r="AQ25" s="137" t="str">
        <f t="shared" ca="1" si="20"/>
        <v/>
      </c>
    </row>
    <row r="26" spans="1:43" s="143" customFormat="1" ht="15.5" x14ac:dyDescent="0.35">
      <c r="A26" s="132" t="s">
        <v>329</v>
      </c>
      <c r="B26" s="133" t="s">
        <v>391</v>
      </c>
      <c r="C26" s="134">
        <f ca="1">--TRIM(RIGHT(SUBSTITUTE(LEFT(B26,_xlfn.AGGREGATE(16,6,FIND({0,1,2,3,4,5,6,7,8,9},B26,ROW(INDIRECT("1:"&amp;LEN(B26)))),1))," ",REPT(" ",LEN(B26))),LEN(B26)))</f>
        <v>2</v>
      </c>
      <c r="D26" s="135">
        <v>2</v>
      </c>
      <c r="E26" s="135">
        <v>2</v>
      </c>
      <c r="F26" s="135">
        <v>3</v>
      </c>
      <c r="G26" s="144">
        <v>2</v>
      </c>
      <c r="H26" s="144">
        <v>2</v>
      </c>
      <c r="I26" s="144">
        <v>2</v>
      </c>
      <c r="J26" s="144">
        <v>2</v>
      </c>
      <c r="K26" s="144">
        <v>2</v>
      </c>
      <c r="L26" s="144">
        <v>0</v>
      </c>
      <c r="M26" s="135">
        <v>0</v>
      </c>
      <c r="N26" s="136">
        <f t="shared" ca="1" si="0"/>
        <v>0.9</v>
      </c>
      <c r="O26" s="136">
        <f t="shared" ca="1" si="1"/>
        <v>0.95</v>
      </c>
      <c r="P26" s="137" t="str">
        <f t="shared" ca="1" si="2"/>
        <v xml:space="preserve">Excavation, Plinth, RCC Slab, Brickwork, Internal Plaster, External Plaster, Flooring, Painting Completed </v>
      </c>
      <c r="Q26" s="138">
        <f t="shared" ca="1" si="3"/>
        <v>1</v>
      </c>
      <c r="R26" s="138">
        <f t="shared" ca="1" si="4"/>
        <v>1</v>
      </c>
      <c r="S26" s="138">
        <f t="shared" ca="1" si="5"/>
        <v>1</v>
      </c>
      <c r="T26" s="138">
        <f t="shared" ca="1" si="6"/>
        <v>1</v>
      </c>
      <c r="U26" s="138">
        <f t="shared" ca="1" si="7"/>
        <v>1</v>
      </c>
      <c r="V26" s="138">
        <f t="shared" ca="1" si="8"/>
        <v>1</v>
      </c>
      <c r="W26" s="138">
        <f t="shared" ca="1" si="9"/>
        <v>1</v>
      </c>
      <c r="X26" s="138">
        <f t="shared" ca="1" si="10"/>
        <v>1</v>
      </c>
      <c r="Y26" s="138">
        <f t="shared" ca="1" si="11"/>
        <v>0</v>
      </c>
      <c r="Z26" s="138">
        <f t="shared" ca="1" si="12"/>
        <v>0</v>
      </c>
      <c r="AA26" s="139">
        <f t="shared" ca="1" si="13"/>
        <v>0.5</v>
      </c>
      <c r="AB26" s="140">
        <f t="shared" ca="1" si="14"/>
        <v>1</v>
      </c>
      <c r="AC26" s="140">
        <f t="shared" ca="1" si="15"/>
        <v>2</v>
      </c>
      <c r="AD26" s="141">
        <f t="shared" ca="1" si="52"/>
        <v>0.5</v>
      </c>
      <c r="AE26" s="141">
        <f t="shared" ca="1" si="53"/>
        <v>1</v>
      </c>
      <c r="AF26" s="141">
        <f t="shared" si="54"/>
        <v>0</v>
      </c>
      <c r="AG26" s="141">
        <f t="shared" si="55"/>
        <v>0</v>
      </c>
      <c r="AH26" s="142">
        <f t="shared" si="56"/>
        <v>0</v>
      </c>
      <c r="AI26" s="141">
        <f t="shared" si="57"/>
        <v>0</v>
      </c>
      <c r="AJ26" s="141">
        <f t="shared" ca="1" si="58"/>
        <v>1.5</v>
      </c>
      <c r="AK26" s="141">
        <f t="shared" ca="1" si="59"/>
        <v>2</v>
      </c>
      <c r="AL26" s="137" t="str">
        <f t="shared" si="51"/>
        <v/>
      </c>
      <c r="AM26" s="137" t="str">
        <f t="shared" ca="1" si="16"/>
        <v/>
      </c>
      <c r="AN26" s="137" t="str">
        <f t="shared" ca="1" si="17"/>
        <v/>
      </c>
      <c r="AO26" s="137" t="str">
        <f t="shared" ca="1" si="18"/>
        <v>Excavation, Plinth, RCC Slab, Brickwork, Internal Plaster, External Plaster, Flooring, Painting</v>
      </c>
      <c r="AP26" s="137" t="str">
        <f t="shared" ca="1" si="19"/>
        <v xml:space="preserve"> Completed</v>
      </c>
      <c r="AQ26" s="137" t="str">
        <f t="shared" ca="1" si="20"/>
        <v/>
      </c>
    </row>
    <row r="27" spans="1:43" s="143" customFormat="1" ht="15.5" x14ac:dyDescent="0.35">
      <c r="A27" s="132" t="s">
        <v>330</v>
      </c>
      <c r="B27" s="133" t="s">
        <v>391</v>
      </c>
      <c r="C27" s="134">
        <f ca="1">--TRIM(RIGHT(SUBSTITUTE(LEFT(B27,_xlfn.AGGREGATE(16,6,FIND({0,1,2,3,4,5,6,7,8,9},B27,ROW(INDIRECT("1:"&amp;LEN(B27)))),1))," ",REPT(" ",LEN(B27))),LEN(B27)))</f>
        <v>2</v>
      </c>
      <c r="D27" s="135">
        <v>2</v>
      </c>
      <c r="E27" s="135">
        <v>2</v>
      </c>
      <c r="F27" s="135">
        <v>3</v>
      </c>
      <c r="G27" s="144">
        <v>2</v>
      </c>
      <c r="H27" s="144">
        <v>2</v>
      </c>
      <c r="I27" s="144">
        <v>2</v>
      </c>
      <c r="J27" s="144">
        <v>2</v>
      </c>
      <c r="K27" s="148">
        <v>2</v>
      </c>
      <c r="L27" s="135">
        <v>0</v>
      </c>
      <c r="M27" s="135">
        <v>0</v>
      </c>
      <c r="N27" s="136">
        <f t="shared" ca="1" si="0"/>
        <v>0.9</v>
      </c>
      <c r="O27" s="136">
        <f t="shared" ca="1" si="1"/>
        <v>0.95</v>
      </c>
      <c r="P27" s="137" t="str">
        <f t="shared" ca="1" si="2"/>
        <v xml:space="preserve">Excavation, Plinth, RCC Slab, Brickwork, Internal Plaster, External Plaster, Flooring, Painting Completed </v>
      </c>
      <c r="Q27" s="138">
        <f t="shared" ca="1" si="3"/>
        <v>1</v>
      </c>
      <c r="R27" s="138">
        <f t="shared" ca="1" si="4"/>
        <v>1</v>
      </c>
      <c r="S27" s="138">
        <f t="shared" ca="1" si="5"/>
        <v>1</v>
      </c>
      <c r="T27" s="138">
        <f t="shared" ca="1" si="6"/>
        <v>1</v>
      </c>
      <c r="U27" s="138">
        <f t="shared" ca="1" si="7"/>
        <v>1</v>
      </c>
      <c r="V27" s="138">
        <f t="shared" ca="1" si="8"/>
        <v>1</v>
      </c>
      <c r="W27" s="138">
        <f t="shared" ca="1" si="9"/>
        <v>1</v>
      </c>
      <c r="X27" s="138">
        <f t="shared" ca="1" si="10"/>
        <v>1</v>
      </c>
      <c r="Y27" s="138">
        <f t="shared" ca="1" si="11"/>
        <v>0</v>
      </c>
      <c r="Z27" s="138">
        <f t="shared" ca="1" si="12"/>
        <v>0</v>
      </c>
      <c r="AA27" s="139">
        <f t="shared" ca="1" si="13"/>
        <v>0.5</v>
      </c>
      <c r="AB27" s="140">
        <f t="shared" ca="1" si="14"/>
        <v>1</v>
      </c>
      <c r="AC27" s="140">
        <f t="shared" ca="1" si="15"/>
        <v>2</v>
      </c>
      <c r="AD27" s="141">
        <f t="shared" ca="1" si="52"/>
        <v>0.5</v>
      </c>
      <c r="AE27" s="141">
        <f t="shared" ca="1" si="53"/>
        <v>1</v>
      </c>
      <c r="AF27" s="141">
        <f t="shared" si="54"/>
        <v>0</v>
      </c>
      <c r="AG27" s="141">
        <f t="shared" si="55"/>
        <v>0</v>
      </c>
      <c r="AH27" s="142">
        <f t="shared" si="56"/>
        <v>0</v>
      </c>
      <c r="AI27" s="141">
        <f t="shared" si="57"/>
        <v>0</v>
      </c>
      <c r="AJ27" s="141">
        <f t="shared" ca="1" si="58"/>
        <v>1.5</v>
      </c>
      <c r="AK27" s="141">
        <f t="shared" ca="1" si="59"/>
        <v>2</v>
      </c>
      <c r="AL27" s="137" t="str">
        <f t="shared" si="51"/>
        <v/>
      </c>
      <c r="AM27" s="137" t="str">
        <f t="shared" ca="1" si="16"/>
        <v/>
      </c>
      <c r="AN27" s="137" t="str">
        <f t="shared" ca="1" si="17"/>
        <v/>
      </c>
      <c r="AO27" s="137" t="str">
        <f t="shared" ca="1" si="18"/>
        <v>Excavation, Plinth, RCC Slab, Brickwork, Internal Plaster, External Plaster, Flooring, Painting</v>
      </c>
      <c r="AP27" s="137" t="str">
        <f t="shared" ca="1" si="19"/>
        <v xml:space="preserve"> Completed</v>
      </c>
      <c r="AQ27" s="137" t="str">
        <f t="shared" ca="1" si="20"/>
        <v/>
      </c>
    </row>
    <row r="28" spans="1:43" s="143" customFormat="1" ht="15.5" x14ac:dyDescent="0.35">
      <c r="A28" s="132" t="s">
        <v>331</v>
      </c>
      <c r="B28" s="133" t="s">
        <v>391</v>
      </c>
      <c r="C28" s="134">
        <f ca="1">--TRIM(RIGHT(SUBSTITUTE(LEFT(B28,_xlfn.AGGREGATE(16,6,FIND({0,1,2,3,4,5,6,7,8,9},B28,ROW(INDIRECT("1:"&amp;LEN(B28)))),1))," ",REPT(" ",LEN(B28))),LEN(B28)))</f>
        <v>2</v>
      </c>
      <c r="D28" s="135">
        <v>2</v>
      </c>
      <c r="E28" s="135">
        <v>2</v>
      </c>
      <c r="F28" s="135">
        <v>3</v>
      </c>
      <c r="G28" s="144">
        <v>2</v>
      </c>
      <c r="H28" s="144">
        <v>2</v>
      </c>
      <c r="I28" s="144">
        <v>2</v>
      </c>
      <c r="J28" s="144">
        <v>2</v>
      </c>
      <c r="K28" s="148">
        <v>2</v>
      </c>
      <c r="L28" s="135">
        <v>0</v>
      </c>
      <c r="M28" s="135">
        <v>0</v>
      </c>
      <c r="N28" s="136">
        <f t="shared" ca="1" si="0"/>
        <v>0.9</v>
      </c>
      <c r="O28" s="136">
        <f t="shared" ca="1" si="1"/>
        <v>0.95</v>
      </c>
      <c r="P28" s="137" t="str">
        <f t="shared" ca="1" si="2"/>
        <v xml:space="preserve">Excavation, Plinth, RCC Slab, Brickwork, Internal Plaster, External Plaster, Flooring, Painting Completed </v>
      </c>
      <c r="Q28" s="138">
        <f t="shared" ca="1" si="3"/>
        <v>1</v>
      </c>
      <c r="R28" s="138">
        <f t="shared" ca="1" si="4"/>
        <v>1</v>
      </c>
      <c r="S28" s="138">
        <f t="shared" ca="1" si="5"/>
        <v>1</v>
      </c>
      <c r="T28" s="138">
        <f t="shared" ca="1" si="6"/>
        <v>1</v>
      </c>
      <c r="U28" s="138">
        <f t="shared" ca="1" si="7"/>
        <v>1</v>
      </c>
      <c r="V28" s="138">
        <f t="shared" ca="1" si="8"/>
        <v>1</v>
      </c>
      <c r="W28" s="138">
        <f t="shared" ca="1" si="9"/>
        <v>1</v>
      </c>
      <c r="X28" s="138">
        <f t="shared" ca="1" si="10"/>
        <v>1</v>
      </c>
      <c r="Y28" s="138">
        <f t="shared" ca="1" si="11"/>
        <v>0</v>
      </c>
      <c r="Z28" s="138">
        <f t="shared" ca="1" si="12"/>
        <v>0</v>
      </c>
      <c r="AA28" s="139">
        <f t="shared" ca="1" si="13"/>
        <v>0.5</v>
      </c>
      <c r="AB28" s="140">
        <f t="shared" ca="1" si="14"/>
        <v>1</v>
      </c>
      <c r="AC28" s="140">
        <f t="shared" ca="1" si="15"/>
        <v>2</v>
      </c>
      <c r="AD28" s="141">
        <f t="shared" ca="1" si="52"/>
        <v>0.5</v>
      </c>
      <c r="AE28" s="141">
        <f t="shared" ca="1" si="53"/>
        <v>1</v>
      </c>
      <c r="AF28" s="141">
        <f t="shared" si="54"/>
        <v>0</v>
      </c>
      <c r="AG28" s="141">
        <f t="shared" si="55"/>
        <v>0</v>
      </c>
      <c r="AH28" s="142">
        <f t="shared" si="56"/>
        <v>0</v>
      </c>
      <c r="AI28" s="141">
        <f t="shared" si="57"/>
        <v>0</v>
      </c>
      <c r="AJ28" s="141">
        <f t="shared" ca="1" si="58"/>
        <v>1.5</v>
      </c>
      <c r="AK28" s="141">
        <f t="shared" ca="1" si="59"/>
        <v>2</v>
      </c>
      <c r="AL28" s="137" t="str">
        <f t="shared" si="51"/>
        <v/>
      </c>
      <c r="AM28" s="137" t="str">
        <f t="shared" ca="1" si="16"/>
        <v/>
      </c>
      <c r="AN28" s="137" t="str">
        <f t="shared" ca="1" si="17"/>
        <v/>
      </c>
      <c r="AO28" s="137" t="str">
        <f t="shared" ca="1" si="18"/>
        <v>Excavation, Plinth, RCC Slab, Brickwork, Internal Plaster, External Plaster, Flooring, Painting</v>
      </c>
      <c r="AP28" s="137" t="str">
        <f t="shared" ca="1" si="19"/>
        <v xml:space="preserve"> Completed</v>
      </c>
      <c r="AQ28" s="137" t="str">
        <f t="shared" ca="1" si="20"/>
        <v/>
      </c>
    </row>
    <row r="29" spans="1:43" s="143" customFormat="1" ht="15.5" x14ac:dyDescent="0.35">
      <c r="A29" s="132" t="s">
        <v>332</v>
      </c>
      <c r="B29" s="133" t="s">
        <v>391</v>
      </c>
      <c r="C29" s="134">
        <f ca="1">--TRIM(RIGHT(SUBSTITUTE(LEFT(B29,_xlfn.AGGREGATE(16,6,FIND({0,1,2,3,4,5,6,7,8,9},B29,ROW(INDIRECT("1:"&amp;LEN(B29)))),1))," ",REPT(" ",LEN(B29))),LEN(B29)))</f>
        <v>2</v>
      </c>
      <c r="D29" s="135">
        <v>2</v>
      </c>
      <c r="E29" s="135">
        <v>2</v>
      </c>
      <c r="F29" s="135">
        <v>3</v>
      </c>
      <c r="G29" s="144">
        <v>2</v>
      </c>
      <c r="H29" s="144">
        <v>2</v>
      </c>
      <c r="I29" s="148">
        <v>2</v>
      </c>
      <c r="J29" s="148">
        <v>2</v>
      </c>
      <c r="K29" s="148">
        <v>2</v>
      </c>
      <c r="L29" s="135">
        <v>0</v>
      </c>
      <c r="M29" s="135">
        <v>0</v>
      </c>
      <c r="N29" s="136">
        <f t="shared" ca="1" si="0"/>
        <v>0.9</v>
      </c>
      <c r="O29" s="136">
        <f t="shared" ca="1" si="1"/>
        <v>0.95</v>
      </c>
      <c r="P29" s="137" t="str">
        <f t="shared" ca="1" si="2"/>
        <v xml:space="preserve">Excavation, Plinth, RCC Slab, Brickwork, Internal Plaster, External Plaster, Flooring, Painting Completed </v>
      </c>
      <c r="Q29" s="138">
        <f t="shared" ca="1" si="3"/>
        <v>1</v>
      </c>
      <c r="R29" s="138">
        <f t="shared" ca="1" si="4"/>
        <v>1</v>
      </c>
      <c r="S29" s="138">
        <f t="shared" ca="1" si="5"/>
        <v>1</v>
      </c>
      <c r="T29" s="138">
        <f t="shared" ca="1" si="6"/>
        <v>1</v>
      </c>
      <c r="U29" s="138">
        <f t="shared" ca="1" si="7"/>
        <v>1</v>
      </c>
      <c r="V29" s="138">
        <f t="shared" ca="1" si="8"/>
        <v>1</v>
      </c>
      <c r="W29" s="138">
        <f t="shared" ca="1" si="9"/>
        <v>1</v>
      </c>
      <c r="X29" s="138">
        <f t="shared" ca="1" si="10"/>
        <v>1</v>
      </c>
      <c r="Y29" s="138">
        <f t="shared" ca="1" si="11"/>
        <v>0</v>
      </c>
      <c r="Z29" s="138">
        <f t="shared" ca="1" si="12"/>
        <v>0</v>
      </c>
      <c r="AA29" s="139">
        <f t="shared" ca="1" si="13"/>
        <v>0.5</v>
      </c>
      <c r="AB29" s="140">
        <f t="shared" ca="1" si="14"/>
        <v>1</v>
      </c>
      <c r="AC29" s="140">
        <f t="shared" ca="1" si="15"/>
        <v>2</v>
      </c>
      <c r="AD29" s="141">
        <f t="shared" ca="1" si="52"/>
        <v>0.5</v>
      </c>
      <c r="AE29" s="141">
        <f t="shared" ca="1" si="53"/>
        <v>1</v>
      </c>
      <c r="AF29" s="141">
        <f t="shared" si="54"/>
        <v>0</v>
      </c>
      <c r="AG29" s="141">
        <f t="shared" si="55"/>
        <v>0</v>
      </c>
      <c r="AH29" s="142">
        <f t="shared" si="56"/>
        <v>0</v>
      </c>
      <c r="AI29" s="141">
        <f t="shared" si="57"/>
        <v>0</v>
      </c>
      <c r="AJ29" s="141">
        <f t="shared" ca="1" si="58"/>
        <v>1.5</v>
      </c>
      <c r="AK29" s="141">
        <f t="shared" ca="1" si="59"/>
        <v>2</v>
      </c>
      <c r="AL29" s="137" t="str">
        <f t="shared" si="51"/>
        <v/>
      </c>
      <c r="AM29" s="137" t="str">
        <f t="shared" ca="1" si="16"/>
        <v/>
      </c>
      <c r="AN29" s="137" t="str">
        <f t="shared" ca="1" si="17"/>
        <v/>
      </c>
      <c r="AO29" s="137" t="str">
        <f t="shared" ca="1" si="18"/>
        <v>Excavation, Plinth, RCC Slab, Brickwork, Internal Plaster, External Plaster, Flooring, Painting</v>
      </c>
      <c r="AP29" s="137" t="str">
        <f t="shared" ca="1" si="19"/>
        <v xml:space="preserve"> Completed</v>
      </c>
      <c r="AQ29" s="137" t="str">
        <f t="shared" ca="1" si="20"/>
        <v/>
      </c>
    </row>
    <row r="30" spans="1:43" s="143" customFormat="1" ht="15.5" x14ac:dyDescent="0.35">
      <c r="A30" s="132" t="s">
        <v>333</v>
      </c>
      <c r="B30" s="133" t="s">
        <v>391</v>
      </c>
      <c r="C30" s="134">
        <f ca="1">--TRIM(RIGHT(SUBSTITUTE(LEFT(B30,_xlfn.AGGREGATE(16,6,FIND({0,1,2,3,4,5,6,7,8,9},B30,ROW(INDIRECT("1:"&amp;LEN(B30)))),1))," ",REPT(" ",LEN(B30))),LEN(B30)))</f>
        <v>2</v>
      </c>
      <c r="D30" s="135">
        <v>2</v>
      </c>
      <c r="E30" s="135">
        <v>2</v>
      </c>
      <c r="F30" s="135">
        <v>3</v>
      </c>
      <c r="G30" s="144">
        <v>2</v>
      </c>
      <c r="H30" s="144">
        <v>2</v>
      </c>
      <c r="I30" s="148">
        <v>2</v>
      </c>
      <c r="J30" s="148">
        <v>2</v>
      </c>
      <c r="K30" s="148">
        <v>2</v>
      </c>
      <c r="L30" s="135">
        <v>0</v>
      </c>
      <c r="M30" s="135">
        <v>0</v>
      </c>
      <c r="N30" s="136">
        <f t="shared" ca="1" si="0"/>
        <v>0.9</v>
      </c>
      <c r="O30" s="136">
        <f t="shared" ca="1" si="1"/>
        <v>0.95</v>
      </c>
      <c r="P30" s="137" t="str">
        <f t="shared" ca="1" si="2"/>
        <v xml:space="preserve">Excavation, Plinth, RCC Slab, Brickwork, Internal Plaster, External Plaster, Flooring, Painting Completed </v>
      </c>
      <c r="Q30" s="138">
        <f t="shared" ca="1" si="3"/>
        <v>1</v>
      </c>
      <c r="R30" s="138">
        <f t="shared" ca="1" si="4"/>
        <v>1</v>
      </c>
      <c r="S30" s="138">
        <f t="shared" ca="1" si="5"/>
        <v>1</v>
      </c>
      <c r="T30" s="138">
        <f t="shared" ca="1" si="6"/>
        <v>1</v>
      </c>
      <c r="U30" s="138">
        <f t="shared" ca="1" si="7"/>
        <v>1</v>
      </c>
      <c r="V30" s="138">
        <f t="shared" ca="1" si="8"/>
        <v>1</v>
      </c>
      <c r="W30" s="138">
        <f t="shared" ca="1" si="9"/>
        <v>1</v>
      </c>
      <c r="X30" s="138">
        <f t="shared" ca="1" si="10"/>
        <v>1</v>
      </c>
      <c r="Y30" s="138">
        <f t="shared" ca="1" si="11"/>
        <v>0</v>
      </c>
      <c r="Z30" s="138">
        <f t="shared" ca="1" si="12"/>
        <v>0</v>
      </c>
      <c r="AA30" s="139">
        <f t="shared" ca="1" si="13"/>
        <v>0.5</v>
      </c>
      <c r="AB30" s="140">
        <f t="shared" ca="1" si="14"/>
        <v>1</v>
      </c>
      <c r="AC30" s="140">
        <f t="shared" ca="1" si="15"/>
        <v>2</v>
      </c>
      <c r="AD30" s="141">
        <f t="shared" ca="1" si="52"/>
        <v>0.5</v>
      </c>
      <c r="AE30" s="141">
        <f t="shared" ca="1" si="53"/>
        <v>1</v>
      </c>
      <c r="AF30" s="141">
        <f t="shared" si="54"/>
        <v>0</v>
      </c>
      <c r="AG30" s="141">
        <f t="shared" si="55"/>
        <v>0</v>
      </c>
      <c r="AH30" s="142">
        <f t="shared" si="56"/>
        <v>0</v>
      </c>
      <c r="AI30" s="141">
        <f t="shared" si="57"/>
        <v>0</v>
      </c>
      <c r="AJ30" s="141">
        <f t="shared" ca="1" si="58"/>
        <v>1.5</v>
      </c>
      <c r="AK30" s="141">
        <f t="shared" ca="1" si="59"/>
        <v>2</v>
      </c>
      <c r="AL30" s="137" t="str">
        <f t="shared" si="51"/>
        <v/>
      </c>
      <c r="AM30" s="137" t="str">
        <f t="shared" ca="1" si="16"/>
        <v/>
      </c>
      <c r="AN30" s="137" t="str">
        <f t="shared" ca="1" si="17"/>
        <v/>
      </c>
      <c r="AO30" s="137" t="str">
        <f t="shared" ca="1" si="18"/>
        <v>Excavation, Plinth, RCC Slab, Brickwork, Internal Plaster, External Plaster, Flooring, Painting</v>
      </c>
      <c r="AP30" s="137" t="str">
        <f t="shared" ca="1" si="19"/>
        <v xml:space="preserve"> Completed</v>
      </c>
      <c r="AQ30" s="137" t="str">
        <f t="shared" ca="1" si="20"/>
        <v/>
      </c>
    </row>
    <row r="31" spans="1:43" s="143" customFormat="1" ht="15.5" x14ac:dyDescent="0.35">
      <c r="A31" s="132" t="s">
        <v>335</v>
      </c>
      <c r="B31" s="133" t="s">
        <v>391</v>
      </c>
      <c r="C31" s="134">
        <f ca="1">--TRIM(RIGHT(SUBSTITUTE(LEFT(B31,_xlfn.AGGREGATE(16,6,FIND({0,1,2,3,4,5,6,7,8,9},B31,ROW(INDIRECT("1:"&amp;LEN(B31)))),1))," ",REPT(" ",LEN(B31))),LEN(B31)))</f>
        <v>2</v>
      </c>
      <c r="D31" s="135">
        <v>2</v>
      </c>
      <c r="E31" s="135">
        <v>2</v>
      </c>
      <c r="F31" s="135">
        <v>3</v>
      </c>
      <c r="G31" s="144">
        <v>2</v>
      </c>
      <c r="H31" s="148">
        <v>2</v>
      </c>
      <c r="I31" s="148">
        <v>2</v>
      </c>
      <c r="J31" s="135">
        <v>1</v>
      </c>
      <c r="K31" s="135">
        <v>1</v>
      </c>
      <c r="L31" s="135">
        <v>0</v>
      </c>
      <c r="M31" s="135">
        <v>0</v>
      </c>
      <c r="N31" s="136">
        <f t="shared" ca="1" si="0"/>
        <v>0.82499999999999996</v>
      </c>
      <c r="O31" s="136">
        <f t="shared" ca="1" si="1"/>
        <v>0.92500000000000004</v>
      </c>
      <c r="P31" s="137" t="str">
        <f t="shared" ca="1" si="2"/>
        <v>Excavation, Plinth, RCC Slab, Brickwork, Internal Plaster, External Plaster Completed, Flooring upto 1 Floor, Painting upto 1 Floor Completed</v>
      </c>
      <c r="Q31" s="138">
        <f t="shared" ca="1" si="3"/>
        <v>1</v>
      </c>
      <c r="R31" s="138">
        <f t="shared" ca="1" si="4"/>
        <v>1</v>
      </c>
      <c r="S31" s="138">
        <f t="shared" ca="1" si="5"/>
        <v>1</v>
      </c>
      <c r="T31" s="138">
        <f t="shared" ca="1" si="6"/>
        <v>1</v>
      </c>
      <c r="U31" s="138">
        <f t="shared" ca="1" si="7"/>
        <v>1</v>
      </c>
      <c r="V31" s="138">
        <f t="shared" ca="1" si="8"/>
        <v>1</v>
      </c>
      <c r="W31" s="138">
        <f t="shared" ca="1" si="9"/>
        <v>0.5</v>
      </c>
      <c r="X31" s="138">
        <f t="shared" ca="1" si="10"/>
        <v>0.5</v>
      </c>
      <c r="Y31" s="138">
        <f t="shared" ca="1" si="11"/>
        <v>0</v>
      </c>
      <c r="Z31" s="138">
        <f t="shared" ca="1" si="12"/>
        <v>0</v>
      </c>
      <c r="AA31" s="139">
        <f t="shared" ca="1" si="13"/>
        <v>0.5</v>
      </c>
      <c r="AB31" s="140">
        <f t="shared" ca="1" si="14"/>
        <v>1</v>
      </c>
      <c r="AC31" s="140">
        <f t="shared" ca="1" si="15"/>
        <v>2</v>
      </c>
      <c r="AD31" s="141">
        <f t="shared" ca="1" si="52"/>
        <v>0.5</v>
      </c>
      <c r="AE31" s="141">
        <f t="shared" ca="1" si="53"/>
        <v>1</v>
      </c>
      <c r="AF31" s="141">
        <f t="shared" si="54"/>
        <v>0</v>
      </c>
      <c r="AG31" s="141">
        <f t="shared" si="55"/>
        <v>0</v>
      </c>
      <c r="AH31" s="142">
        <f t="shared" si="56"/>
        <v>0</v>
      </c>
      <c r="AI31" s="141">
        <f t="shared" si="57"/>
        <v>0</v>
      </c>
      <c r="AJ31" s="141">
        <f t="shared" ca="1" si="58"/>
        <v>1.5</v>
      </c>
      <c r="AK31" s="141">
        <f t="shared" ca="1" si="59"/>
        <v>2</v>
      </c>
      <c r="AL31" s="137" t="str">
        <f t="shared" si="51"/>
        <v/>
      </c>
      <c r="AM31" s="137" t="str">
        <f t="shared" ca="1" si="16"/>
        <v/>
      </c>
      <c r="AN31" s="137" t="str">
        <f t="shared" ca="1" si="17"/>
        <v>, Flooring upto 1 Floor, Painting upto 1 Floor</v>
      </c>
      <c r="AO31" s="137" t="str">
        <f t="shared" ca="1" si="18"/>
        <v>Excavation, Plinth, RCC Slab, Brickwork, Internal Plaster, External Plaster</v>
      </c>
      <c r="AP31" s="137" t="str">
        <f t="shared" ca="1" si="19"/>
        <v xml:space="preserve"> Completed</v>
      </c>
      <c r="AQ31" s="137" t="str">
        <f t="shared" ca="1" si="20"/>
        <v>Completed</v>
      </c>
    </row>
    <row r="32" spans="1:43" s="143" customFormat="1" ht="15.5" x14ac:dyDescent="0.35">
      <c r="A32" s="132" t="s">
        <v>334</v>
      </c>
      <c r="B32" s="133" t="s">
        <v>391</v>
      </c>
      <c r="C32" s="134">
        <f ca="1">--TRIM(RIGHT(SUBSTITUTE(LEFT(B32,_xlfn.AGGREGATE(16,6,FIND({0,1,2,3,4,5,6,7,8,9},B32,ROW(INDIRECT("1:"&amp;LEN(B32)))),1))," ",REPT(" ",LEN(B32))),LEN(B32)))</f>
        <v>2</v>
      </c>
      <c r="D32" s="135">
        <v>2</v>
      </c>
      <c r="E32" s="135">
        <v>2</v>
      </c>
      <c r="F32" s="135">
        <v>3</v>
      </c>
      <c r="G32" s="144">
        <v>2</v>
      </c>
      <c r="H32" s="148">
        <v>2</v>
      </c>
      <c r="I32" s="148">
        <v>2</v>
      </c>
      <c r="J32" s="135">
        <v>1</v>
      </c>
      <c r="K32" s="135">
        <v>1</v>
      </c>
      <c r="L32" s="135">
        <v>0</v>
      </c>
      <c r="M32" s="135">
        <v>0</v>
      </c>
      <c r="N32" s="136">
        <f t="shared" ca="1" si="0"/>
        <v>0.82499999999999996</v>
      </c>
      <c r="O32" s="136">
        <f t="shared" ca="1" si="1"/>
        <v>0.92500000000000004</v>
      </c>
      <c r="P32" s="137" t="str">
        <f t="shared" ca="1" si="2"/>
        <v>Excavation, Plinth, RCC Slab, Brickwork, Internal Plaster, External Plaster Completed, Flooring upto 1 Floor, Painting upto 1 Floor Completed</v>
      </c>
      <c r="Q32" s="138">
        <f t="shared" ca="1" si="3"/>
        <v>1</v>
      </c>
      <c r="R32" s="138">
        <f t="shared" ca="1" si="4"/>
        <v>1</v>
      </c>
      <c r="S32" s="138">
        <f t="shared" ca="1" si="5"/>
        <v>1</v>
      </c>
      <c r="T32" s="138">
        <f t="shared" ca="1" si="6"/>
        <v>1</v>
      </c>
      <c r="U32" s="138">
        <f t="shared" ca="1" si="7"/>
        <v>1</v>
      </c>
      <c r="V32" s="138">
        <f t="shared" ca="1" si="8"/>
        <v>1</v>
      </c>
      <c r="W32" s="138">
        <f t="shared" ca="1" si="9"/>
        <v>0.5</v>
      </c>
      <c r="X32" s="138">
        <f t="shared" ca="1" si="10"/>
        <v>0.5</v>
      </c>
      <c r="Y32" s="138">
        <f t="shared" ca="1" si="11"/>
        <v>0</v>
      </c>
      <c r="Z32" s="138">
        <f t="shared" ca="1" si="12"/>
        <v>0</v>
      </c>
      <c r="AA32" s="139">
        <f t="shared" ca="1" si="13"/>
        <v>0.5</v>
      </c>
      <c r="AB32" s="140">
        <f t="shared" ca="1" si="14"/>
        <v>1</v>
      </c>
      <c r="AC32" s="140">
        <f t="shared" ca="1" si="15"/>
        <v>2</v>
      </c>
      <c r="AD32" s="141">
        <f t="shared" ca="1" si="52"/>
        <v>0.5</v>
      </c>
      <c r="AE32" s="141">
        <f t="shared" ca="1" si="53"/>
        <v>1</v>
      </c>
      <c r="AF32" s="141">
        <f t="shared" si="54"/>
        <v>0</v>
      </c>
      <c r="AG32" s="141">
        <f t="shared" si="55"/>
        <v>0</v>
      </c>
      <c r="AH32" s="142">
        <f t="shared" si="56"/>
        <v>0</v>
      </c>
      <c r="AI32" s="141">
        <f t="shared" si="57"/>
        <v>0</v>
      </c>
      <c r="AJ32" s="141">
        <f t="shared" ca="1" si="58"/>
        <v>1.5</v>
      </c>
      <c r="AK32" s="141">
        <f t="shared" ca="1" si="59"/>
        <v>2</v>
      </c>
      <c r="AL32" s="137" t="str">
        <f t="shared" ref="AL32:AL41" si="60">(IF(W101=(1+T101),"",IF(W101&gt;0,", RCC upto "&amp;W101&amp;" Slab","")))&amp;(IF(X101=T101,"",IF(X101&gt;0,", Brickwork upto "&amp;X101&amp;" Floor","")))&amp;(IF(Y101=T101,"",IF(Y101&gt;0,", Internal Plaster upto "&amp;Y101&amp;" Floor","")))&amp;(IF(Z101=T101,"",IF(Z101&gt;0,", External Plaster upto "&amp;Z101&amp;" Floor","")))&amp;(IF(AA101=T101,"",IF(AA101&gt;0,", Flooring upto "&amp;AA101&amp;" Floor","")))&amp;(IF(AB101=T101,"",IF(AB101&gt;0,", Painting upto "&amp;AB101&amp;" Floor","")))&amp;(IF(AC101=T101,"",IF(AC101&gt;0,", Finishing upto "&amp;AC101&amp;" Floor","")))&amp;(IF(AD101=T101,"",IF(AD101&gt;0,", Possession upto "&amp;AD101&amp;" Floor","")))</f>
        <v/>
      </c>
      <c r="AM32" s="137" t="str">
        <f t="shared" ca="1" si="16"/>
        <v/>
      </c>
      <c r="AN32" s="137" t="str">
        <f t="shared" ca="1" si="17"/>
        <v>, Flooring upto 1 Floor, Painting upto 1 Floor</v>
      </c>
      <c r="AO32" s="137" t="str">
        <f t="shared" ca="1" si="18"/>
        <v>Excavation, Plinth, RCC Slab, Brickwork, Internal Plaster, External Plaster</v>
      </c>
      <c r="AP32" s="137" t="str">
        <f t="shared" ca="1" si="19"/>
        <v xml:space="preserve"> Completed</v>
      </c>
      <c r="AQ32" s="137" t="str">
        <f t="shared" ca="1" si="20"/>
        <v>Completed</v>
      </c>
    </row>
    <row r="33" spans="1:43" s="143" customFormat="1" ht="15.5" x14ac:dyDescent="0.35">
      <c r="A33" s="132" t="s">
        <v>336</v>
      </c>
      <c r="B33" s="133" t="s">
        <v>391</v>
      </c>
      <c r="C33" s="134">
        <f ca="1">--TRIM(RIGHT(SUBSTITUTE(LEFT(B33,_xlfn.AGGREGATE(16,6,FIND({0,1,2,3,4,5,6,7,8,9},B33,ROW(INDIRECT("1:"&amp;LEN(B33)))),1))," ",REPT(" ",LEN(B33))),LEN(B33)))</f>
        <v>2</v>
      </c>
      <c r="D33" s="135">
        <v>2</v>
      </c>
      <c r="E33" s="135">
        <v>2</v>
      </c>
      <c r="F33" s="144">
        <v>3</v>
      </c>
      <c r="G33" s="148">
        <v>2</v>
      </c>
      <c r="H33" s="148">
        <v>2</v>
      </c>
      <c r="I33" s="135">
        <v>2</v>
      </c>
      <c r="J33" s="135">
        <v>0</v>
      </c>
      <c r="K33" s="135">
        <v>0</v>
      </c>
      <c r="L33" s="135">
        <v>0</v>
      </c>
      <c r="M33" s="135">
        <v>0</v>
      </c>
      <c r="N33" s="136">
        <f t="shared" ca="1" si="0"/>
        <v>0.75</v>
      </c>
      <c r="O33" s="136">
        <f t="shared" ca="1" si="1"/>
        <v>0.9</v>
      </c>
      <c r="P33" s="137" t="str">
        <f t="shared" ca="1" si="2"/>
        <v xml:space="preserve">Excavation, Plinth, RCC Slab, Brickwork, Internal Plaster, External Plaster Completed </v>
      </c>
      <c r="Q33" s="138">
        <f t="shared" ca="1" si="3"/>
        <v>1</v>
      </c>
      <c r="R33" s="138">
        <f t="shared" ca="1" si="4"/>
        <v>1</v>
      </c>
      <c r="S33" s="138">
        <f t="shared" ca="1" si="5"/>
        <v>1</v>
      </c>
      <c r="T33" s="138">
        <f t="shared" ca="1" si="6"/>
        <v>1</v>
      </c>
      <c r="U33" s="138">
        <f t="shared" ca="1" si="7"/>
        <v>1</v>
      </c>
      <c r="V33" s="138">
        <f t="shared" ca="1" si="8"/>
        <v>1</v>
      </c>
      <c r="W33" s="138">
        <f t="shared" ca="1" si="9"/>
        <v>0</v>
      </c>
      <c r="X33" s="138">
        <f t="shared" ca="1" si="10"/>
        <v>0</v>
      </c>
      <c r="Y33" s="138">
        <f t="shared" ca="1" si="11"/>
        <v>0</v>
      </c>
      <c r="Z33" s="138">
        <f t="shared" ca="1" si="12"/>
        <v>0</v>
      </c>
      <c r="AA33" s="139">
        <f t="shared" ca="1" si="13"/>
        <v>0.5</v>
      </c>
      <c r="AB33" s="140">
        <f t="shared" ca="1" si="14"/>
        <v>1</v>
      </c>
      <c r="AC33" s="140">
        <f t="shared" ca="1" si="15"/>
        <v>2</v>
      </c>
      <c r="AD33" s="141">
        <f t="shared" ca="1" si="52"/>
        <v>0.5</v>
      </c>
      <c r="AE33" s="141">
        <f t="shared" ca="1" si="53"/>
        <v>1</v>
      </c>
      <c r="AF33" s="141">
        <f t="shared" si="54"/>
        <v>0</v>
      </c>
      <c r="AG33" s="141">
        <f t="shared" si="55"/>
        <v>0</v>
      </c>
      <c r="AH33" s="142">
        <f t="shared" si="56"/>
        <v>0</v>
      </c>
      <c r="AI33" s="141">
        <f t="shared" si="57"/>
        <v>0</v>
      </c>
      <c r="AJ33" s="141">
        <f t="shared" ca="1" si="58"/>
        <v>1.5</v>
      </c>
      <c r="AK33" s="141">
        <f t="shared" ca="1" si="59"/>
        <v>2</v>
      </c>
      <c r="AL33" s="137" t="str">
        <f t="shared" si="60"/>
        <v/>
      </c>
      <c r="AM33" s="137" t="str">
        <f t="shared" ca="1" si="16"/>
        <v/>
      </c>
      <c r="AN33" s="137" t="str">
        <f t="shared" ca="1" si="17"/>
        <v/>
      </c>
      <c r="AO33" s="137" t="str">
        <f t="shared" ca="1" si="18"/>
        <v>Excavation, Plinth, RCC Slab, Brickwork, Internal Plaster, External Plaster</v>
      </c>
      <c r="AP33" s="137" t="str">
        <f t="shared" ca="1" si="19"/>
        <v xml:space="preserve"> Completed</v>
      </c>
      <c r="AQ33" s="137" t="str">
        <f t="shared" ca="1" si="20"/>
        <v/>
      </c>
    </row>
    <row r="34" spans="1:43" s="143" customFormat="1" ht="15.5" x14ac:dyDescent="0.35">
      <c r="A34" s="132" t="s">
        <v>337</v>
      </c>
      <c r="B34" s="133" t="s">
        <v>391</v>
      </c>
      <c r="C34" s="134">
        <f ca="1">--TRIM(RIGHT(SUBSTITUTE(LEFT(B34,_xlfn.AGGREGATE(16,6,FIND({0,1,2,3,4,5,6,7,8,9},B34,ROW(INDIRECT("1:"&amp;LEN(B34)))),1))," ",REPT(" ",LEN(B34))),LEN(B34)))</f>
        <v>2</v>
      </c>
      <c r="D34" s="135">
        <v>2</v>
      </c>
      <c r="E34" s="135">
        <v>2</v>
      </c>
      <c r="F34" s="144">
        <v>3</v>
      </c>
      <c r="G34" s="148">
        <v>2</v>
      </c>
      <c r="H34" s="148">
        <v>2</v>
      </c>
      <c r="I34" s="135">
        <v>2</v>
      </c>
      <c r="J34" s="135">
        <v>0</v>
      </c>
      <c r="K34" s="135">
        <v>0</v>
      </c>
      <c r="L34" s="135">
        <v>0</v>
      </c>
      <c r="M34" s="135">
        <v>0</v>
      </c>
      <c r="N34" s="136">
        <f t="shared" ca="1" si="0"/>
        <v>0.75</v>
      </c>
      <c r="O34" s="136">
        <f t="shared" ca="1" si="1"/>
        <v>0.9</v>
      </c>
      <c r="P34" s="137" t="str">
        <f t="shared" ca="1" si="2"/>
        <v xml:space="preserve">Excavation, Plinth, RCC Slab, Brickwork, Internal Plaster, External Plaster Completed </v>
      </c>
      <c r="Q34" s="138">
        <f t="shared" ca="1" si="3"/>
        <v>1</v>
      </c>
      <c r="R34" s="138">
        <f t="shared" ca="1" si="4"/>
        <v>1</v>
      </c>
      <c r="S34" s="138">
        <f t="shared" ca="1" si="5"/>
        <v>1</v>
      </c>
      <c r="T34" s="138">
        <f t="shared" ca="1" si="6"/>
        <v>1</v>
      </c>
      <c r="U34" s="138">
        <f t="shared" ca="1" si="7"/>
        <v>1</v>
      </c>
      <c r="V34" s="138">
        <f t="shared" ca="1" si="8"/>
        <v>1</v>
      </c>
      <c r="W34" s="138">
        <f t="shared" ca="1" si="9"/>
        <v>0</v>
      </c>
      <c r="X34" s="138">
        <f t="shared" ca="1" si="10"/>
        <v>0</v>
      </c>
      <c r="Y34" s="138">
        <f t="shared" ca="1" si="11"/>
        <v>0</v>
      </c>
      <c r="Z34" s="138">
        <f t="shared" ca="1" si="12"/>
        <v>0</v>
      </c>
      <c r="AA34" s="139">
        <f t="shared" ca="1" si="13"/>
        <v>0.5</v>
      </c>
      <c r="AB34" s="140">
        <f t="shared" ca="1" si="14"/>
        <v>1</v>
      </c>
      <c r="AC34" s="140">
        <f t="shared" ca="1" si="15"/>
        <v>2</v>
      </c>
      <c r="AD34" s="141">
        <f t="shared" ca="1" si="52"/>
        <v>0.5</v>
      </c>
      <c r="AE34" s="141">
        <f t="shared" ca="1" si="53"/>
        <v>1</v>
      </c>
      <c r="AF34" s="141">
        <f t="shared" si="54"/>
        <v>0</v>
      </c>
      <c r="AG34" s="141">
        <f t="shared" si="55"/>
        <v>0</v>
      </c>
      <c r="AH34" s="142">
        <f t="shared" si="56"/>
        <v>0</v>
      </c>
      <c r="AI34" s="141">
        <f t="shared" si="57"/>
        <v>0</v>
      </c>
      <c r="AJ34" s="141">
        <f t="shared" ca="1" si="58"/>
        <v>1.5</v>
      </c>
      <c r="AK34" s="141">
        <f t="shared" ca="1" si="59"/>
        <v>2</v>
      </c>
      <c r="AL34" s="137" t="str">
        <f t="shared" si="60"/>
        <v/>
      </c>
      <c r="AM34" s="137" t="str">
        <f t="shared" ca="1" si="16"/>
        <v/>
      </c>
      <c r="AN34" s="137" t="str">
        <f t="shared" ca="1" si="17"/>
        <v/>
      </c>
      <c r="AO34" s="137" t="str">
        <f t="shared" ca="1" si="18"/>
        <v>Excavation, Plinth, RCC Slab, Brickwork, Internal Plaster, External Plaster</v>
      </c>
      <c r="AP34" s="137" t="str">
        <f t="shared" ca="1" si="19"/>
        <v xml:space="preserve"> Completed</v>
      </c>
      <c r="AQ34" s="137" t="str">
        <f t="shared" ca="1" si="20"/>
        <v/>
      </c>
    </row>
    <row r="35" spans="1:43" s="143" customFormat="1" ht="15.5" x14ac:dyDescent="0.35">
      <c r="A35" s="132" t="s">
        <v>338</v>
      </c>
      <c r="B35" s="133" t="s">
        <v>391</v>
      </c>
      <c r="C35" s="134">
        <f ca="1">--TRIM(RIGHT(SUBSTITUTE(LEFT(B35,_xlfn.AGGREGATE(16,6,FIND({0,1,2,3,4,5,6,7,8,9},B35,ROW(INDIRECT("1:"&amp;LEN(B35)))),1))," ",REPT(" ",LEN(B35))),LEN(B35)))</f>
        <v>2</v>
      </c>
      <c r="D35" s="135">
        <v>2</v>
      </c>
      <c r="E35" s="135">
        <v>2</v>
      </c>
      <c r="F35" s="144">
        <v>3</v>
      </c>
      <c r="G35" s="148">
        <v>2</v>
      </c>
      <c r="H35" s="148">
        <v>2</v>
      </c>
      <c r="I35" s="135">
        <v>2</v>
      </c>
      <c r="J35" s="135">
        <v>0</v>
      </c>
      <c r="K35" s="135">
        <v>0</v>
      </c>
      <c r="L35" s="135">
        <v>0</v>
      </c>
      <c r="M35" s="135">
        <v>0</v>
      </c>
      <c r="N35" s="136">
        <f t="shared" ca="1" si="0"/>
        <v>0.75</v>
      </c>
      <c r="O35" s="136">
        <f t="shared" ca="1" si="1"/>
        <v>0.9</v>
      </c>
      <c r="P35" s="137" t="str">
        <f t="shared" ca="1" si="2"/>
        <v xml:space="preserve">Excavation, Plinth, RCC Slab, Brickwork, Internal Plaster, External Plaster Completed </v>
      </c>
      <c r="Q35" s="138">
        <f t="shared" ca="1" si="3"/>
        <v>1</v>
      </c>
      <c r="R35" s="138">
        <f t="shared" ca="1" si="4"/>
        <v>1</v>
      </c>
      <c r="S35" s="138">
        <f t="shared" ca="1" si="5"/>
        <v>1</v>
      </c>
      <c r="T35" s="138">
        <f t="shared" ca="1" si="6"/>
        <v>1</v>
      </c>
      <c r="U35" s="138">
        <f t="shared" ca="1" si="7"/>
        <v>1</v>
      </c>
      <c r="V35" s="138">
        <f t="shared" ca="1" si="8"/>
        <v>1</v>
      </c>
      <c r="W35" s="138">
        <f t="shared" ca="1" si="9"/>
        <v>0</v>
      </c>
      <c r="X35" s="138">
        <f t="shared" ca="1" si="10"/>
        <v>0</v>
      </c>
      <c r="Y35" s="138">
        <f t="shared" ca="1" si="11"/>
        <v>0</v>
      </c>
      <c r="Z35" s="138">
        <f t="shared" ca="1" si="12"/>
        <v>0</v>
      </c>
      <c r="AA35" s="139">
        <f t="shared" ca="1" si="13"/>
        <v>0.5</v>
      </c>
      <c r="AB35" s="140">
        <f t="shared" ca="1" si="14"/>
        <v>1</v>
      </c>
      <c r="AC35" s="140">
        <f t="shared" ca="1" si="15"/>
        <v>2</v>
      </c>
      <c r="AD35" s="141">
        <f t="shared" ca="1" si="52"/>
        <v>0.5</v>
      </c>
      <c r="AE35" s="141">
        <f t="shared" ca="1" si="53"/>
        <v>1</v>
      </c>
      <c r="AF35" s="141">
        <f t="shared" si="54"/>
        <v>0</v>
      </c>
      <c r="AG35" s="141">
        <f t="shared" si="55"/>
        <v>0</v>
      </c>
      <c r="AH35" s="142">
        <f t="shared" si="56"/>
        <v>0</v>
      </c>
      <c r="AI35" s="141">
        <f t="shared" si="57"/>
        <v>0</v>
      </c>
      <c r="AJ35" s="141">
        <f t="shared" ca="1" si="58"/>
        <v>1.5</v>
      </c>
      <c r="AK35" s="141">
        <f t="shared" ca="1" si="59"/>
        <v>2</v>
      </c>
      <c r="AL35" s="137" t="str">
        <f t="shared" si="60"/>
        <v/>
      </c>
      <c r="AM35" s="137" t="str">
        <f t="shared" ca="1" si="16"/>
        <v/>
      </c>
      <c r="AN35" s="137" t="str">
        <f t="shared" ca="1" si="17"/>
        <v/>
      </c>
      <c r="AO35" s="137" t="str">
        <f t="shared" ca="1" si="18"/>
        <v>Excavation, Plinth, RCC Slab, Brickwork, Internal Plaster, External Plaster</v>
      </c>
      <c r="AP35" s="137" t="str">
        <f t="shared" ca="1" si="19"/>
        <v xml:space="preserve"> Completed</v>
      </c>
      <c r="AQ35" s="137" t="str">
        <f t="shared" ca="1" si="20"/>
        <v/>
      </c>
    </row>
    <row r="36" spans="1:43" s="143" customFormat="1" ht="15.5" x14ac:dyDescent="0.35">
      <c r="A36" s="132" t="s">
        <v>339</v>
      </c>
      <c r="B36" s="133" t="s">
        <v>391</v>
      </c>
      <c r="C36" s="134">
        <f ca="1">--TRIM(RIGHT(SUBSTITUTE(LEFT(B36,_xlfn.AGGREGATE(16,6,FIND({0,1,2,3,4,5,6,7,8,9},B36,ROW(INDIRECT("1:"&amp;LEN(B36)))),1))," ",REPT(" ",LEN(B36))),LEN(B36)))</f>
        <v>2</v>
      </c>
      <c r="D36" s="135">
        <v>2</v>
      </c>
      <c r="E36" s="135">
        <v>2</v>
      </c>
      <c r="F36" s="144">
        <v>3</v>
      </c>
      <c r="G36" s="148">
        <v>2</v>
      </c>
      <c r="H36" s="148">
        <v>2</v>
      </c>
      <c r="I36" s="135">
        <v>2</v>
      </c>
      <c r="J36" s="135">
        <v>0</v>
      </c>
      <c r="K36" s="135">
        <v>0</v>
      </c>
      <c r="L36" s="135">
        <v>0</v>
      </c>
      <c r="M36" s="135">
        <v>0</v>
      </c>
      <c r="N36" s="136">
        <f t="shared" ca="1" si="0"/>
        <v>0.75</v>
      </c>
      <c r="O36" s="136">
        <f t="shared" ca="1" si="1"/>
        <v>0.9</v>
      </c>
      <c r="P36" s="137" t="str">
        <f t="shared" ca="1" si="2"/>
        <v xml:space="preserve">Excavation, Plinth, RCC Slab, Brickwork, Internal Plaster, External Plaster Completed </v>
      </c>
      <c r="Q36" s="138">
        <f t="shared" ca="1" si="3"/>
        <v>1</v>
      </c>
      <c r="R36" s="138">
        <f t="shared" ca="1" si="4"/>
        <v>1</v>
      </c>
      <c r="S36" s="138">
        <f t="shared" ca="1" si="5"/>
        <v>1</v>
      </c>
      <c r="T36" s="138">
        <f t="shared" ca="1" si="6"/>
        <v>1</v>
      </c>
      <c r="U36" s="138">
        <f t="shared" ca="1" si="7"/>
        <v>1</v>
      </c>
      <c r="V36" s="138">
        <f t="shared" ca="1" si="8"/>
        <v>1</v>
      </c>
      <c r="W36" s="138">
        <f t="shared" ca="1" si="9"/>
        <v>0</v>
      </c>
      <c r="X36" s="138">
        <f t="shared" ca="1" si="10"/>
        <v>0</v>
      </c>
      <c r="Y36" s="138">
        <f t="shared" ca="1" si="11"/>
        <v>0</v>
      </c>
      <c r="Z36" s="138">
        <f t="shared" ca="1" si="12"/>
        <v>0</v>
      </c>
      <c r="AA36" s="139">
        <f t="shared" ca="1" si="13"/>
        <v>0.5</v>
      </c>
      <c r="AB36" s="140">
        <f t="shared" ca="1" si="14"/>
        <v>1</v>
      </c>
      <c r="AC36" s="140">
        <f t="shared" ca="1" si="15"/>
        <v>2</v>
      </c>
      <c r="AD36" s="141">
        <f t="shared" ca="1" si="52"/>
        <v>0.5</v>
      </c>
      <c r="AE36" s="141">
        <f t="shared" ca="1" si="53"/>
        <v>1</v>
      </c>
      <c r="AF36" s="141">
        <f t="shared" si="54"/>
        <v>0</v>
      </c>
      <c r="AG36" s="141">
        <f t="shared" si="55"/>
        <v>0</v>
      </c>
      <c r="AH36" s="142">
        <f t="shared" si="56"/>
        <v>0</v>
      </c>
      <c r="AI36" s="141">
        <f t="shared" si="57"/>
        <v>0</v>
      </c>
      <c r="AJ36" s="141">
        <f t="shared" ca="1" si="58"/>
        <v>1.5</v>
      </c>
      <c r="AK36" s="141">
        <f t="shared" ca="1" si="59"/>
        <v>2</v>
      </c>
      <c r="AL36" s="137" t="str">
        <f t="shared" si="60"/>
        <v/>
      </c>
      <c r="AM36" s="137" t="str">
        <f t="shared" ca="1" si="16"/>
        <v/>
      </c>
      <c r="AN36" s="137" t="str">
        <f t="shared" ca="1" si="17"/>
        <v/>
      </c>
      <c r="AO36" s="137" t="str">
        <f t="shared" ca="1" si="18"/>
        <v>Excavation, Plinth, RCC Slab, Brickwork, Internal Plaster, External Plaster</v>
      </c>
      <c r="AP36" s="137" t="str">
        <f t="shared" ca="1" si="19"/>
        <v xml:space="preserve"> Completed</v>
      </c>
      <c r="AQ36" s="137" t="str">
        <f t="shared" ca="1" si="20"/>
        <v/>
      </c>
    </row>
    <row r="37" spans="1:43" s="143" customFormat="1" ht="15.5" x14ac:dyDescent="0.35">
      <c r="A37" s="132" t="s">
        <v>340</v>
      </c>
      <c r="B37" s="133" t="s">
        <v>391</v>
      </c>
      <c r="C37" s="134">
        <f ca="1">--TRIM(RIGHT(SUBSTITUTE(LEFT(B37,_xlfn.AGGREGATE(16,6,FIND({0,1,2,3,4,5,6,7,8,9},B37,ROW(INDIRECT("1:"&amp;LEN(B37)))),1))," ",REPT(" ",LEN(B37))),LEN(B37)))</f>
        <v>2</v>
      </c>
      <c r="D37" s="135">
        <v>2</v>
      </c>
      <c r="E37" s="135">
        <v>2</v>
      </c>
      <c r="F37" s="148">
        <v>3</v>
      </c>
      <c r="G37" s="148">
        <v>2</v>
      </c>
      <c r="H37" s="135">
        <v>2</v>
      </c>
      <c r="I37" s="135">
        <v>2</v>
      </c>
      <c r="J37" s="135">
        <v>0</v>
      </c>
      <c r="K37" s="135">
        <v>0</v>
      </c>
      <c r="L37" s="135">
        <v>0</v>
      </c>
      <c r="M37" s="135">
        <v>0</v>
      </c>
      <c r="N37" s="136">
        <f t="shared" ca="1" si="0"/>
        <v>0.75</v>
      </c>
      <c r="O37" s="136">
        <f t="shared" ca="1" si="1"/>
        <v>0.9</v>
      </c>
      <c r="P37" s="137" t="str">
        <f t="shared" ca="1" si="2"/>
        <v xml:space="preserve">Excavation, Plinth, RCC Slab, Brickwork, Internal Plaster, External Plaster Completed </v>
      </c>
      <c r="Q37" s="138">
        <f t="shared" ca="1" si="3"/>
        <v>1</v>
      </c>
      <c r="R37" s="138">
        <f t="shared" ca="1" si="4"/>
        <v>1</v>
      </c>
      <c r="S37" s="138">
        <f t="shared" ca="1" si="5"/>
        <v>1</v>
      </c>
      <c r="T37" s="138">
        <f t="shared" ca="1" si="6"/>
        <v>1</v>
      </c>
      <c r="U37" s="138">
        <f t="shared" ca="1" si="7"/>
        <v>1</v>
      </c>
      <c r="V37" s="138">
        <f t="shared" ca="1" si="8"/>
        <v>1</v>
      </c>
      <c r="W37" s="138">
        <f t="shared" ca="1" si="9"/>
        <v>0</v>
      </c>
      <c r="X37" s="138">
        <f t="shared" ca="1" si="10"/>
        <v>0</v>
      </c>
      <c r="Y37" s="138">
        <f t="shared" ca="1" si="11"/>
        <v>0</v>
      </c>
      <c r="Z37" s="138">
        <f t="shared" ca="1" si="12"/>
        <v>0</v>
      </c>
      <c r="AA37" s="139">
        <f t="shared" ca="1" si="13"/>
        <v>0.5</v>
      </c>
      <c r="AB37" s="140">
        <f t="shared" ca="1" si="14"/>
        <v>1</v>
      </c>
      <c r="AC37" s="140">
        <f t="shared" ca="1" si="15"/>
        <v>2</v>
      </c>
      <c r="AD37" s="141">
        <f t="shared" ca="1" si="52"/>
        <v>0.5</v>
      </c>
      <c r="AE37" s="141">
        <f t="shared" ca="1" si="53"/>
        <v>1</v>
      </c>
      <c r="AF37" s="141">
        <f t="shared" si="54"/>
        <v>0</v>
      </c>
      <c r="AG37" s="141">
        <f t="shared" si="55"/>
        <v>0</v>
      </c>
      <c r="AH37" s="142">
        <f t="shared" si="56"/>
        <v>0</v>
      </c>
      <c r="AI37" s="141">
        <f t="shared" si="57"/>
        <v>0</v>
      </c>
      <c r="AJ37" s="141">
        <f t="shared" ca="1" si="58"/>
        <v>1.5</v>
      </c>
      <c r="AK37" s="141">
        <f t="shared" ca="1" si="59"/>
        <v>2</v>
      </c>
      <c r="AL37" s="137" t="str">
        <f t="shared" si="60"/>
        <v/>
      </c>
      <c r="AM37" s="137" t="str">
        <f t="shared" ca="1" si="16"/>
        <v/>
      </c>
      <c r="AN37" s="137" t="str">
        <f t="shared" ca="1" si="17"/>
        <v/>
      </c>
      <c r="AO37" s="137" t="str">
        <f t="shared" ca="1" si="18"/>
        <v>Excavation, Plinth, RCC Slab, Brickwork, Internal Plaster, External Plaster</v>
      </c>
      <c r="AP37" s="137" t="str">
        <f t="shared" ca="1" si="19"/>
        <v xml:space="preserve"> Completed</v>
      </c>
      <c r="AQ37" s="137" t="str">
        <f t="shared" ca="1" si="20"/>
        <v/>
      </c>
    </row>
    <row r="38" spans="1:43" s="143" customFormat="1" ht="15.5" x14ac:dyDescent="0.35">
      <c r="A38" s="132" t="s">
        <v>341</v>
      </c>
      <c r="B38" s="133" t="s">
        <v>391</v>
      </c>
      <c r="C38" s="134">
        <f ca="1">--TRIM(RIGHT(SUBSTITUTE(LEFT(B38,_xlfn.AGGREGATE(16,6,FIND({0,1,2,3,4,5,6,7,8,9},B38,ROW(INDIRECT("1:"&amp;LEN(B38)))),1))," ",REPT(" ",LEN(B38))),LEN(B38)))</f>
        <v>2</v>
      </c>
      <c r="D38" s="135">
        <v>2</v>
      </c>
      <c r="E38" s="135">
        <v>2</v>
      </c>
      <c r="F38" s="148">
        <v>3</v>
      </c>
      <c r="G38" s="148">
        <v>2</v>
      </c>
      <c r="H38" s="135">
        <v>2</v>
      </c>
      <c r="I38" s="135">
        <v>2</v>
      </c>
      <c r="J38" s="135">
        <v>0</v>
      </c>
      <c r="K38" s="135">
        <v>0</v>
      </c>
      <c r="L38" s="135">
        <v>0</v>
      </c>
      <c r="M38" s="135">
        <v>0</v>
      </c>
      <c r="N38" s="136">
        <f t="shared" ca="1" si="0"/>
        <v>0.75</v>
      </c>
      <c r="O38" s="136">
        <f t="shared" ca="1" si="1"/>
        <v>0.9</v>
      </c>
      <c r="P38" s="137" t="str">
        <f t="shared" ca="1" si="2"/>
        <v xml:space="preserve">Excavation, Plinth, RCC Slab, Brickwork, Internal Plaster, External Plaster Completed </v>
      </c>
      <c r="Q38" s="138">
        <f t="shared" ca="1" si="3"/>
        <v>1</v>
      </c>
      <c r="R38" s="138">
        <f t="shared" ca="1" si="4"/>
        <v>1</v>
      </c>
      <c r="S38" s="138">
        <f t="shared" ca="1" si="5"/>
        <v>1</v>
      </c>
      <c r="T38" s="138">
        <f t="shared" ca="1" si="6"/>
        <v>1</v>
      </c>
      <c r="U38" s="138">
        <f t="shared" ca="1" si="7"/>
        <v>1</v>
      </c>
      <c r="V38" s="138">
        <f t="shared" ca="1" si="8"/>
        <v>1</v>
      </c>
      <c r="W38" s="138">
        <f t="shared" ca="1" si="9"/>
        <v>0</v>
      </c>
      <c r="X38" s="138">
        <f t="shared" ca="1" si="10"/>
        <v>0</v>
      </c>
      <c r="Y38" s="138">
        <f t="shared" ca="1" si="11"/>
        <v>0</v>
      </c>
      <c r="Z38" s="138">
        <f t="shared" ca="1" si="12"/>
        <v>0</v>
      </c>
      <c r="AA38" s="139">
        <f t="shared" ca="1" si="13"/>
        <v>0.5</v>
      </c>
      <c r="AB38" s="140">
        <f t="shared" ca="1" si="14"/>
        <v>1</v>
      </c>
      <c r="AC38" s="140">
        <f t="shared" ca="1" si="15"/>
        <v>2</v>
      </c>
      <c r="AD38" s="141">
        <f t="shared" ca="1" si="52"/>
        <v>0.5</v>
      </c>
      <c r="AE38" s="141">
        <f t="shared" ca="1" si="53"/>
        <v>1</v>
      </c>
      <c r="AF38" s="141">
        <f t="shared" si="54"/>
        <v>0</v>
      </c>
      <c r="AG38" s="141">
        <f t="shared" si="55"/>
        <v>0</v>
      </c>
      <c r="AH38" s="142">
        <f t="shared" si="56"/>
        <v>0</v>
      </c>
      <c r="AI38" s="141">
        <f t="shared" si="57"/>
        <v>0</v>
      </c>
      <c r="AJ38" s="141">
        <f t="shared" ca="1" si="58"/>
        <v>1.5</v>
      </c>
      <c r="AK38" s="141">
        <f t="shared" ca="1" si="59"/>
        <v>2</v>
      </c>
      <c r="AL38" s="137" t="str">
        <f t="shared" si="60"/>
        <v/>
      </c>
      <c r="AM38" s="137" t="str">
        <f t="shared" ca="1" si="16"/>
        <v/>
      </c>
      <c r="AN38" s="137" t="str">
        <f t="shared" ca="1" si="17"/>
        <v/>
      </c>
      <c r="AO38" s="137" t="str">
        <f t="shared" ca="1" si="18"/>
        <v>Excavation, Plinth, RCC Slab, Brickwork, Internal Plaster, External Plaster</v>
      </c>
      <c r="AP38" s="137" t="str">
        <f t="shared" ca="1" si="19"/>
        <v xml:space="preserve"> Completed</v>
      </c>
      <c r="AQ38" s="137" t="str">
        <f t="shared" ca="1" si="20"/>
        <v/>
      </c>
    </row>
    <row r="39" spans="1:43" s="143" customFormat="1" ht="15.5" x14ac:dyDescent="0.35">
      <c r="A39" s="132" t="s">
        <v>342</v>
      </c>
      <c r="B39" s="133" t="s">
        <v>391</v>
      </c>
      <c r="C39" s="134">
        <f ca="1">--TRIM(RIGHT(SUBSTITUTE(LEFT(B39,_xlfn.AGGREGATE(16,6,FIND({0,1,2,3,4,5,6,7,8,9},B39,ROW(INDIRECT("1:"&amp;LEN(B39)))),1))," ",REPT(" ",LEN(B39))),LEN(B39)))</f>
        <v>2</v>
      </c>
      <c r="D39" s="135">
        <v>2</v>
      </c>
      <c r="E39" s="135">
        <v>2</v>
      </c>
      <c r="F39" s="148">
        <v>3</v>
      </c>
      <c r="G39" s="148">
        <v>2</v>
      </c>
      <c r="H39" s="135">
        <v>0.5</v>
      </c>
      <c r="I39" s="135">
        <v>0.5</v>
      </c>
      <c r="J39" s="135">
        <v>0</v>
      </c>
      <c r="K39" s="135">
        <v>0</v>
      </c>
      <c r="L39" s="135">
        <v>0</v>
      </c>
      <c r="M39" s="135">
        <v>0</v>
      </c>
      <c r="N39" s="136">
        <f t="shared" ca="1" si="0"/>
        <v>0.61875000000000002</v>
      </c>
      <c r="O39" s="136">
        <f t="shared" ca="1" si="1"/>
        <v>0.82499999999999996</v>
      </c>
      <c r="P39" s="137" t="str">
        <f t="shared" ca="1" si="2"/>
        <v>Excavation, Plinth, RCC Slab, Brickwork Completed, Internal Plaster upto 0.5 Floor, External Plaster upto 0.5 Floor Completed</v>
      </c>
      <c r="Q39" s="138">
        <f t="shared" ca="1" si="3"/>
        <v>1</v>
      </c>
      <c r="R39" s="138">
        <f t="shared" ca="1" si="4"/>
        <v>1</v>
      </c>
      <c r="S39" s="138">
        <f t="shared" ca="1" si="5"/>
        <v>1</v>
      </c>
      <c r="T39" s="138">
        <f t="shared" ca="1" si="6"/>
        <v>1</v>
      </c>
      <c r="U39" s="138">
        <f t="shared" ca="1" si="7"/>
        <v>0.25</v>
      </c>
      <c r="V39" s="138">
        <f t="shared" ca="1" si="8"/>
        <v>0.25</v>
      </c>
      <c r="W39" s="138">
        <f t="shared" ca="1" si="9"/>
        <v>0</v>
      </c>
      <c r="X39" s="138">
        <f t="shared" ca="1" si="10"/>
        <v>0</v>
      </c>
      <c r="Y39" s="138">
        <f t="shared" ca="1" si="11"/>
        <v>0</v>
      </c>
      <c r="Z39" s="138">
        <f t="shared" ca="1" si="12"/>
        <v>0</v>
      </c>
      <c r="AA39" s="139">
        <f t="shared" ca="1" si="13"/>
        <v>0.5</v>
      </c>
      <c r="AB39" s="140">
        <f t="shared" ca="1" si="14"/>
        <v>1</v>
      </c>
      <c r="AC39" s="140">
        <f t="shared" ca="1" si="15"/>
        <v>2</v>
      </c>
      <c r="AD39" s="141">
        <f t="shared" ca="1" si="52"/>
        <v>0.5</v>
      </c>
      <c r="AE39" s="141">
        <f t="shared" ca="1" si="53"/>
        <v>1</v>
      </c>
      <c r="AF39" s="141">
        <f t="shared" si="54"/>
        <v>0</v>
      </c>
      <c r="AG39" s="141">
        <f t="shared" si="55"/>
        <v>0</v>
      </c>
      <c r="AH39" s="142">
        <f t="shared" si="56"/>
        <v>0</v>
      </c>
      <c r="AI39" s="141">
        <f t="shared" si="57"/>
        <v>0</v>
      </c>
      <c r="AJ39" s="141">
        <f t="shared" ca="1" si="58"/>
        <v>1.5</v>
      </c>
      <c r="AK39" s="141">
        <f t="shared" ca="1" si="59"/>
        <v>2</v>
      </c>
      <c r="AL39" s="137" t="str">
        <f t="shared" si="60"/>
        <v/>
      </c>
      <c r="AM39" s="137" t="str">
        <f t="shared" ca="1" si="16"/>
        <v/>
      </c>
      <c r="AN39" s="137" t="str">
        <f t="shared" ca="1" si="17"/>
        <v>, Internal Plaster upto 0.5 Floor, External Plaster upto 0.5 Floor</v>
      </c>
      <c r="AO39" s="137" t="str">
        <f t="shared" ca="1" si="18"/>
        <v>Excavation, Plinth, RCC Slab, Brickwork</v>
      </c>
      <c r="AP39" s="137" t="str">
        <f t="shared" ca="1" si="19"/>
        <v xml:space="preserve"> Completed</v>
      </c>
      <c r="AQ39" s="137" t="str">
        <f t="shared" ca="1" si="20"/>
        <v>Completed</v>
      </c>
    </row>
    <row r="40" spans="1:43" s="143" customFormat="1" ht="15.5" x14ac:dyDescent="0.35">
      <c r="A40" s="132" t="s">
        <v>343</v>
      </c>
      <c r="B40" s="133" t="s">
        <v>391</v>
      </c>
      <c r="C40" s="134">
        <f ca="1">--TRIM(RIGHT(SUBSTITUTE(LEFT(B40,_xlfn.AGGREGATE(16,6,FIND({0,1,2,3,4,5,6,7,8,9},B40,ROW(INDIRECT("1:"&amp;LEN(B40)))),1))," ",REPT(" ",LEN(B40))),LEN(B40)))</f>
        <v>2</v>
      </c>
      <c r="D40" s="135">
        <v>2</v>
      </c>
      <c r="E40" s="135">
        <v>2</v>
      </c>
      <c r="F40" s="148">
        <v>3</v>
      </c>
      <c r="G40" s="148">
        <v>2</v>
      </c>
      <c r="H40" s="135">
        <v>0.5</v>
      </c>
      <c r="I40" s="135">
        <v>0.5</v>
      </c>
      <c r="J40" s="135">
        <v>0</v>
      </c>
      <c r="K40" s="135">
        <v>0</v>
      </c>
      <c r="L40" s="135">
        <v>0</v>
      </c>
      <c r="M40" s="135">
        <v>0</v>
      </c>
      <c r="N40" s="136">
        <f t="shared" ca="1" si="0"/>
        <v>0.61875000000000002</v>
      </c>
      <c r="O40" s="136">
        <f t="shared" ca="1" si="1"/>
        <v>0.82499999999999996</v>
      </c>
      <c r="P40" s="137" t="str">
        <f t="shared" ca="1" si="2"/>
        <v>Excavation, Plinth, RCC Slab, Brickwork Completed, Internal Plaster upto 0.5 Floor, External Plaster upto 0.5 Floor Completed</v>
      </c>
      <c r="Q40" s="138">
        <f t="shared" ca="1" si="3"/>
        <v>1</v>
      </c>
      <c r="R40" s="138">
        <f t="shared" ca="1" si="4"/>
        <v>1</v>
      </c>
      <c r="S40" s="138">
        <f t="shared" ca="1" si="5"/>
        <v>1</v>
      </c>
      <c r="T40" s="138">
        <f t="shared" ca="1" si="6"/>
        <v>1</v>
      </c>
      <c r="U40" s="138">
        <f t="shared" ca="1" si="7"/>
        <v>0.25</v>
      </c>
      <c r="V40" s="138">
        <f t="shared" ca="1" si="8"/>
        <v>0.25</v>
      </c>
      <c r="W40" s="138">
        <f t="shared" ca="1" si="9"/>
        <v>0</v>
      </c>
      <c r="X40" s="138">
        <f t="shared" ca="1" si="10"/>
        <v>0</v>
      </c>
      <c r="Y40" s="138">
        <f t="shared" ca="1" si="11"/>
        <v>0</v>
      </c>
      <c r="Z40" s="138">
        <f t="shared" ca="1" si="12"/>
        <v>0</v>
      </c>
      <c r="AA40" s="139">
        <f t="shared" ca="1" si="13"/>
        <v>0.5</v>
      </c>
      <c r="AB40" s="140">
        <f t="shared" ca="1" si="14"/>
        <v>1</v>
      </c>
      <c r="AC40" s="140">
        <f t="shared" ca="1" si="15"/>
        <v>2</v>
      </c>
      <c r="AD40" s="141">
        <f t="shared" ca="1" si="52"/>
        <v>0.5</v>
      </c>
      <c r="AE40" s="141">
        <f t="shared" ca="1" si="53"/>
        <v>1</v>
      </c>
      <c r="AF40" s="141">
        <f t="shared" si="54"/>
        <v>0</v>
      </c>
      <c r="AG40" s="141">
        <f t="shared" si="55"/>
        <v>0</v>
      </c>
      <c r="AH40" s="142">
        <f t="shared" si="56"/>
        <v>0</v>
      </c>
      <c r="AI40" s="141">
        <f t="shared" si="57"/>
        <v>0</v>
      </c>
      <c r="AJ40" s="141">
        <f t="shared" ca="1" si="58"/>
        <v>1.5</v>
      </c>
      <c r="AK40" s="141">
        <f t="shared" ca="1" si="59"/>
        <v>2</v>
      </c>
      <c r="AL40" s="137" t="str">
        <f t="shared" si="60"/>
        <v/>
      </c>
      <c r="AM40" s="137" t="str">
        <f t="shared" ca="1" si="16"/>
        <v/>
      </c>
      <c r="AN40" s="137" t="str">
        <f t="shared" ca="1" si="17"/>
        <v>, Internal Plaster upto 0.5 Floor, External Plaster upto 0.5 Floor</v>
      </c>
      <c r="AO40" s="137" t="str">
        <f t="shared" ca="1" si="18"/>
        <v>Excavation, Plinth, RCC Slab, Brickwork</v>
      </c>
      <c r="AP40" s="137" t="str">
        <f t="shared" ca="1" si="19"/>
        <v xml:space="preserve"> Completed</v>
      </c>
      <c r="AQ40" s="137" t="str">
        <f t="shared" ca="1" si="20"/>
        <v>Completed</v>
      </c>
    </row>
    <row r="41" spans="1:43" s="143" customFormat="1" ht="15.5" x14ac:dyDescent="0.35">
      <c r="A41" s="132" t="s">
        <v>344</v>
      </c>
      <c r="B41" s="133" t="s">
        <v>391</v>
      </c>
      <c r="C41" s="134">
        <f ca="1">--TRIM(RIGHT(SUBSTITUTE(LEFT(B41,_xlfn.AGGREGATE(16,6,FIND({0,1,2,3,4,5,6,7,8,9},B41,ROW(INDIRECT("1:"&amp;LEN(B41)))),1))," ",REPT(" ",LEN(B41))),LEN(B41)))</f>
        <v>2</v>
      </c>
      <c r="D41" s="144">
        <v>2</v>
      </c>
      <c r="E41" s="144">
        <v>2</v>
      </c>
      <c r="F41" s="144">
        <v>3</v>
      </c>
      <c r="G41" s="135">
        <v>2</v>
      </c>
      <c r="H41" s="135">
        <v>0.5</v>
      </c>
      <c r="I41" s="135">
        <v>0.5</v>
      </c>
      <c r="J41" s="135">
        <v>0</v>
      </c>
      <c r="K41" s="135">
        <v>0</v>
      </c>
      <c r="L41" s="135">
        <v>0</v>
      </c>
      <c r="M41" s="135">
        <v>0</v>
      </c>
      <c r="N41" s="136">
        <f t="shared" ca="1" si="0"/>
        <v>0.61875000000000002</v>
      </c>
      <c r="O41" s="136">
        <f t="shared" ca="1" si="1"/>
        <v>0.82499999999999996</v>
      </c>
      <c r="P41" s="137" t="str">
        <f t="shared" ca="1" si="2"/>
        <v>Excavation, Plinth, RCC Slab, Brickwork Completed, Internal Plaster upto 0.5 Floor, External Plaster upto 0.5 Floor Completed</v>
      </c>
      <c r="Q41" s="138">
        <f t="shared" ca="1" si="3"/>
        <v>1</v>
      </c>
      <c r="R41" s="138">
        <f t="shared" ca="1" si="4"/>
        <v>1</v>
      </c>
      <c r="S41" s="138">
        <f t="shared" ca="1" si="5"/>
        <v>1</v>
      </c>
      <c r="T41" s="138">
        <f t="shared" ca="1" si="6"/>
        <v>1</v>
      </c>
      <c r="U41" s="138">
        <f t="shared" ca="1" si="7"/>
        <v>0.25</v>
      </c>
      <c r="V41" s="138">
        <f t="shared" ca="1" si="8"/>
        <v>0.25</v>
      </c>
      <c r="W41" s="138">
        <f t="shared" ca="1" si="9"/>
        <v>0</v>
      </c>
      <c r="X41" s="138">
        <f t="shared" ca="1" si="10"/>
        <v>0</v>
      </c>
      <c r="Y41" s="138">
        <f t="shared" ca="1" si="11"/>
        <v>0</v>
      </c>
      <c r="Z41" s="138">
        <f t="shared" ca="1" si="12"/>
        <v>0</v>
      </c>
      <c r="AA41" s="139">
        <f t="shared" ca="1" si="13"/>
        <v>0.5</v>
      </c>
      <c r="AB41" s="140">
        <f t="shared" ca="1" si="14"/>
        <v>1</v>
      </c>
      <c r="AC41" s="140">
        <f t="shared" ca="1" si="15"/>
        <v>2</v>
      </c>
      <c r="AD41" s="141">
        <f t="shared" ca="1" si="52"/>
        <v>0.5</v>
      </c>
      <c r="AE41" s="141">
        <f t="shared" ca="1" si="53"/>
        <v>1</v>
      </c>
      <c r="AF41" s="141">
        <f t="shared" si="54"/>
        <v>0</v>
      </c>
      <c r="AG41" s="141">
        <f t="shared" si="55"/>
        <v>0</v>
      </c>
      <c r="AH41" s="142">
        <f t="shared" si="56"/>
        <v>0</v>
      </c>
      <c r="AI41" s="141">
        <f t="shared" si="57"/>
        <v>0</v>
      </c>
      <c r="AJ41" s="141">
        <f t="shared" ca="1" si="58"/>
        <v>1.5</v>
      </c>
      <c r="AK41" s="141">
        <f t="shared" ca="1" si="59"/>
        <v>2</v>
      </c>
      <c r="AL41" s="137" t="str">
        <f t="shared" si="60"/>
        <v/>
      </c>
      <c r="AM41" s="137" t="str">
        <f t="shared" ca="1" si="16"/>
        <v/>
      </c>
      <c r="AN41" s="137" t="str">
        <f t="shared" ca="1" si="17"/>
        <v>, Internal Plaster upto 0.5 Floor, External Plaster upto 0.5 Floor</v>
      </c>
      <c r="AO41" s="137" t="str">
        <f t="shared" ca="1" si="18"/>
        <v>Excavation, Plinth, RCC Slab, Brickwork</v>
      </c>
      <c r="AP41" s="137" t="str">
        <f t="shared" ca="1" si="19"/>
        <v xml:space="preserve"> Completed</v>
      </c>
      <c r="AQ41" s="137" t="str">
        <f t="shared" ca="1" si="20"/>
        <v>Completed</v>
      </c>
    </row>
    <row r="42" spans="1:43" s="143" customFormat="1" ht="15.5" x14ac:dyDescent="0.35">
      <c r="A42" s="132" t="s">
        <v>345</v>
      </c>
      <c r="B42" s="133" t="s">
        <v>391</v>
      </c>
      <c r="C42" s="134">
        <f ca="1">--TRIM(RIGHT(SUBSTITUTE(LEFT(B42,_xlfn.AGGREGATE(16,6,FIND({0,1,2,3,4,5,6,7,8,9},B42,ROW(INDIRECT("1:"&amp;LEN(B42)))),1))," ",REPT(" ",LEN(B42))),LEN(B42)))</f>
        <v>2</v>
      </c>
      <c r="D42" s="144">
        <v>2</v>
      </c>
      <c r="E42" s="144">
        <v>2</v>
      </c>
      <c r="F42" s="144">
        <v>3</v>
      </c>
      <c r="G42" s="135">
        <v>2</v>
      </c>
      <c r="H42" s="135">
        <v>0.5</v>
      </c>
      <c r="I42" s="135">
        <v>0.5</v>
      </c>
      <c r="J42" s="135">
        <v>0</v>
      </c>
      <c r="K42" s="135">
        <v>0</v>
      </c>
      <c r="L42" s="135">
        <v>0</v>
      </c>
      <c r="M42" s="135">
        <v>0</v>
      </c>
      <c r="N42" s="136">
        <f t="shared" ca="1" si="0"/>
        <v>0.61875000000000002</v>
      </c>
      <c r="O42" s="136">
        <f t="shared" ca="1" si="1"/>
        <v>0.82499999999999996</v>
      </c>
      <c r="P42" s="137" t="str">
        <f t="shared" ca="1" si="2"/>
        <v>Excavation, Plinth, RCC Slab, Brickwork Completed, Internal Plaster upto 0.5 Floor, External Plaster upto 0.5 Floor Completed</v>
      </c>
      <c r="Q42" s="138">
        <f t="shared" ca="1" si="3"/>
        <v>1</v>
      </c>
      <c r="R42" s="138">
        <f t="shared" ca="1" si="4"/>
        <v>1</v>
      </c>
      <c r="S42" s="138">
        <f t="shared" ca="1" si="5"/>
        <v>1</v>
      </c>
      <c r="T42" s="138">
        <f t="shared" ca="1" si="6"/>
        <v>1</v>
      </c>
      <c r="U42" s="138">
        <f t="shared" ca="1" si="7"/>
        <v>0.25</v>
      </c>
      <c r="V42" s="138">
        <f t="shared" ca="1" si="8"/>
        <v>0.25</v>
      </c>
      <c r="W42" s="138">
        <f t="shared" ca="1" si="9"/>
        <v>0</v>
      </c>
      <c r="X42" s="138">
        <f t="shared" ca="1" si="10"/>
        <v>0</v>
      </c>
      <c r="Y42" s="138">
        <f t="shared" ca="1" si="11"/>
        <v>0</v>
      </c>
      <c r="Z42" s="138">
        <f t="shared" ca="1" si="12"/>
        <v>0</v>
      </c>
      <c r="AA42" s="139">
        <f t="shared" ca="1" si="13"/>
        <v>0.5</v>
      </c>
      <c r="AB42" s="140">
        <f t="shared" ca="1" si="14"/>
        <v>1</v>
      </c>
      <c r="AC42" s="140">
        <f t="shared" ca="1" si="15"/>
        <v>2</v>
      </c>
      <c r="AD42" s="141">
        <f t="shared" ref="AD42:AD54" ca="1" si="61">(IF(M27&gt;1,(C42/(M27+2)),C42/4))</f>
        <v>0.5</v>
      </c>
      <c r="AE42" s="141">
        <f t="shared" ref="AE42:AE54" ca="1" si="62">(IF(M27&gt;1,(C42/(M27+2)+AD42),C42/4+AD42))</f>
        <v>1</v>
      </c>
      <c r="AF42" s="141">
        <f t="shared" ref="AF42:AF54" si="63">(IF(M27&gt;1,(C42/(M27+2)+AE42),0))</f>
        <v>0</v>
      </c>
      <c r="AG42" s="141">
        <f t="shared" ref="AG42:AG54" si="64">(IF(M27&gt;2,(C42/(M27+2)+AF42),0))</f>
        <v>0</v>
      </c>
      <c r="AH42" s="142">
        <f t="shared" ref="AH42:AH54" si="65">(IF(M27&gt;3,(C42/(M27+2)+AG42),0))</f>
        <v>0</v>
      </c>
      <c r="AI42" s="141">
        <f t="shared" ref="AI42:AI54" si="66">(IF(M27&gt;4,(C42/(M27+2)+AH42),0))</f>
        <v>0</v>
      </c>
      <c r="AJ42" s="141">
        <f t="shared" ref="AJ42:AJ54" ca="1" si="67">(IF(M27=1,(C42/(M27+3)+AE42),IF(M27=0,(C42/4+AE42),IF(M27&gt;1,0))))</f>
        <v>1.5</v>
      </c>
      <c r="AK42" s="141">
        <f t="shared" ref="AK42:AK54" ca="1" si="68">(IF(M27&gt;1.5,(C42/(M27+2)+AE42+MAX(0,AF42-AE42)+MAX(0,AG42-AF42)+MAX(0,AH42-AG42)+MAX(0,AI42-AH42)+MAX(0,AJ42-AI42)),IF(M27=1,(C42/(M27+3)+AJ42),IF(M27=0,C42/4+AJ42))))</f>
        <v>2</v>
      </c>
      <c r="AL42" s="137" t="str">
        <f t="shared" ref="AL42:AL54" si="69">(IF(W109=(1+T109),"",IF(W109&gt;0,", RCC upto "&amp;W109&amp;" Slab","")))&amp;(IF(X109=T109,"",IF(X109&gt;0,", Brickwork upto "&amp;X109&amp;" Floor","")))&amp;(IF(Y109=T109,"",IF(Y109&gt;0,", Internal Plaster upto "&amp;Y109&amp;" Floor","")))&amp;(IF(Z109=T109,"",IF(Z109&gt;0,", External Plaster upto "&amp;Z109&amp;" Floor","")))&amp;(IF(AA109=T109,"",IF(AA109&gt;0,", Flooring upto "&amp;AA109&amp;" Floor","")))&amp;(IF(AB109=T109,"",IF(AB109&gt;0,", Painting upto "&amp;AB109&amp;" Floor","")))&amp;(IF(AC109=T109,"",IF(AC109&gt;0,", Finishing upto "&amp;AC109&amp;" Floor","")))&amp;(IF(AD109=T109,"",IF(AD109&gt;0,", Possession upto "&amp;AD109&amp;" Floor","")))</f>
        <v/>
      </c>
      <c r="AM42" s="137" t="str">
        <f t="shared" ca="1" si="16"/>
        <v/>
      </c>
      <c r="AN42" s="137" t="str">
        <f t="shared" ca="1" si="17"/>
        <v>, Internal Plaster upto 0.5 Floor, External Plaster upto 0.5 Floor</v>
      </c>
      <c r="AO42" s="137" t="str">
        <f t="shared" ca="1" si="18"/>
        <v>Excavation, Plinth, RCC Slab, Brickwork</v>
      </c>
      <c r="AP42" s="137" t="str">
        <f t="shared" ca="1" si="19"/>
        <v xml:space="preserve"> Completed</v>
      </c>
      <c r="AQ42" s="137" t="str">
        <f t="shared" ca="1" si="20"/>
        <v>Completed</v>
      </c>
    </row>
    <row r="43" spans="1:43" s="143" customFormat="1" ht="15.5" x14ac:dyDescent="0.35">
      <c r="A43" s="132" t="s">
        <v>346</v>
      </c>
      <c r="B43" s="133" t="s">
        <v>391</v>
      </c>
      <c r="C43" s="134">
        <f ca="1">--TRIM(RIGHT(SUBSTITUTE(LEFT(B43,_xlfn.AGGREGATE(16,6,FIND({0,1,2,3,4,5,6,7,8,9},B43,ROW(INDIRECT("1:"&amp;LEN(B43)))),1))," ",REPT(" ",LEN(B43))),LEN(B43)))</f>
        <v>2</v>
      </c>
      <c r="D43" s="144">
        <v>2</v>
      </c>
      <c r="E43" s="144">
        <v>2</v>
      </c>
      <c r="F43" s="148">
        <v>3</v>
      </c>
      <c r="G43" s="135">
        <v>2</v>
      </c>
      <c r="H43" s="135">
        <v>0</v>
      </c>
      <c r="I43" s="135">
        <v>0.5</v>
      </c>
      <c r="J43" s="135">
        <v>0</v>
      </c>
      <c r="K43" s="135">
        <v>0</v>
      </c>
      <c r="L43" s="135">
        <v>0</v>
      </c>
      <c r="M43" s="135">
        <v>0</v>
      </c>
      <c r="N43" s="136">
        <f t="shared" ca="1" si="0"/>
        <v>0.6</v>
      </c>
      <c r="O43" s="136">
        <f t="shared" ca="1" si="1"/>
        <v>0.8125</v>
      </c>
      <c r="P43" s="137" t="str">
        <f t="shared" ca="1" si="2"/>
        <v>Excavation, Plinth, RCC Slab, Brickwork Completed, External Plaster upto 0.5 Floor Completed</v>
      </c>
      <c r="Q43" s="138">
        <f t="shared" ca="1" si="3"/>
        <v>1</v>
      </c>
      <c r="R43" s="138">
        <f t="shared" ca="1" si="4"/>
        <v>1</v>
      </c>
      <c r="S43" s="138">
        <f t="shared" ca="1" si="5"/>
        <v>1</v>
      </c>
      <c r="T43" s="138">
        <f t="shared" ca="1" si="6"/>
        <v>1</v>
      </c>
      <c r="U43" s="138">
        <f t="shared" ca="1" si="7"/>
        <v>0</v>
      </c>
      <c r="V43" s="138">
        <f t="shared" ca="1" si="8"/>
        <v>0.25</v>
      </c>
      <c r="W43" s="138">
        <f t="shared" ca="1" si="9"/>
        <v>0</v>
      </c>
      <c r="X43" s="138">
        <f t="shared" ca="1" si="10"/>
        <v>0</v>
      </c>
      <c r="Y43" s="138">
        <f t="shared" ca="1" si="11"/>
        <v>0</v>
      </c>
      <c r="Z43" s="138">
        <f t="shared" ca="1" si="12"/>
        <v>0</v>
      </c>
      <c r="AA43" s="139">
        <f t="shared" ca="1" si="13"/>
        <v>0.5</v>
      </c>
      <c r="AB43" s="140">
        <f t="shared" ca="1" si="14"/>
        <v>1</v>
      </c>
      <c r="AC43" s="140">
        <f t="shared" ca="1" si="15"/>
        <v>2</v>
      </c>
      <c r="AD43" s="141">
        <f t="shared" ca="1" si="61"/>
        <v>0.5</v>
      </c>
      <c r="AE43" s="141">
        <f t="shared" ca="1" si="62"/>
        <v>1</v>
      </c>
      <c r="AF43" s="141">
        <f t="shared" si="63"/>
        <v>0</v>
      </c>
      <c r="AG43" s="141">
        <f t="shared" si="64"/>
        <v>0</v>
      </c>
      <c r="AH43" s="142">
        <f t="shared" si="65"/>
        <v>0</v>
      </c>
      <c r="AI43" s="141">
        <f t="shared" si="66"/>
        <v>0</v>
      </c>
      <c r="AJ43" s="141">
        <f t="shared" ca="1" si="67"/>
        <v>1.5</v>
      </c>
      <c r="AK43" s="141">
        <f t="shared" ca="1" si="68"/>
        <v>2</v>
      </c>
      <c r="AL43" s="137" t="str">
        <f t="shared" si="69"/>
        <v/>
      </c>
      <c r="AM43" s="137" t="str">
        <f t="shared" ca="1" si="16"/>
        <v/>
      </c>
      <c r="AN43" s="137" t="str">
        <f t="shared" ca="1" si="17"/>
        <v>, External Plaster upto 0.5 Floor</v>
      </c>
      <c r="AO43" s="137" t="str">
        <f t="shared" ca="1" si="18"/>
        <v>Excavation, Plinth, RCC Slab, Brickwork</v>
      </c>
      <c r="AP43" s="137" t="str">
        <f t="shared" ca="1" si="19"/>
        <v xml:space="preserve"> Completed</v>
      </c>
      <c r="AQ43" s="137" t="str">
        <f t="shared" ca="1" si="20"/>
        <v>Completed</v>
      </c>
    </row>
    <row r="44" spans="1:43" s="143" customFormat="1" ht="15.5" x14ac:dyDescent="0.35">
      <c r="A44" s="132" t="s">
        <v>347</v>
      </c>
      <c r="B44" s="133" t="s">
        <v>391</v>
      </c>
      <c r="C44" s="134">
        <f ca="1">--TRIM(RIGHT(SUBSTITUTE(LEFT(B44,_xlfn.AGGREGATE(16,6,FIND({0,1,2,3,4,5,6,7,8,9},B44,ROW(INDIRECT("1:"&amp;LEN(B44)))),1))," ",REPT(" ",LEN(B44))),LEN(B44)))</f>
        <v>2</v>
      </c>
      <c r="D44" s="144">
        <v>2</v>
      </c>
      <c r="E44" s="144">
        <v>2</v>
      </c>
      <c r="F44" s="148">
        <v>3</v>
      </c>
      <c r="G44" s="135">
        <v>2</v>
      </c>
      <c r="H44" s="135">
        <v>0</v>
      </c>
      <c r="I44" s="135">
        <v>0.5</v>
      </c>
      <c r="J44" s="135">
        <v>0</v>
      </c>
      <c r="K44" s="135">
        <v>0</v>
      </c>
      <c r="L44" s="135">
        <v>0</v>
      </c>
      <c r="M44" s="135">
        <v>0</v>
      </c>
      <c r="N44" s="136">
        <f t="shared" ca="1" si="0"/>
        <v>0.6</v>
      </c>
      <c r="O44" s="136">
        <f t="shared" ca="1" si="1"/>
        <v>0.8125</v>
      </c>
      <c r="P44" s="137" t="str">
        <f t="shared" ca="1" si="2"/>
        <v>Excavation, Plinth, RCC Slab, Brickwork Completed, External Plaster upto 0.5 Floor Completed</v>
      </c>
      <c r="Q44" s="138">
        <f t="shared" ca="1" si="3"/>
        <v>1</v>
      </c>
      <c r="R44" s="138">
        <f t="shared" ca="1" si="4"/>
        <v>1</v>
      </c>
      <c r="S44" s="138">
        <f t="shared" ca="1" si="5"/>
        <v>1</v>
      </c>
      <c r="T44" s="138">
        <f t="shared" ca="1" si="6"/>
        <v>1</v>
      </c>
      <c r="U44" s="138">
        <f t="shared" ca="1" si="7"/>
        <v>0</v>
      </c>
      <c r="V44" s="138">
        <f t="shared" ca="1" si="8"/>
        <v>0.25</v>
      </c>
      <c r="W44" s="138">
        <f t="shared" ca="1" si="9"/>
        <v>0</v>
      </c>
      <c r="X44" s="138">
        <f t="shared" ca="1" si="10"/>
        <v>0</v>
      </c>
      <c r="Y44" s="138">
        <f t="shared" ca="1" si="11"/>
        <v>0</v>
      </c>
      <c r="Z44" s="138">
        <f t="shared" ca="1" si="12"/>
        <v>0</v>
      </c>
      <c r="AA44" s="139">
        <f t="shared" ca="1" si="13"/>
        <v>0.5</v>
      </c>
      <c r="AB44" s="140">
        <f t="shared" ca="1" si="14"/>
        <v>1</v>
      </c>
      <c r="AC44" s="140">
        <f t="shared" ca="1" si="15"/>
        <v>2</v>
      </c>
      <c r="AD44" s="141">
        <f t="shared" ca="1" si="61"/>
        <v>0.5</v>
      </c>
      <c r="AE44" s="141">
        <f t="shared" ca="1" si="62"/>
        <v>1</v>
      </c>
      <c r="AF44" s="141">
        <f t="shared" si="63"/>
        <v>0</v>
      </c>
      <c r="AG44" s="141">
        <f t="shared" si="64"/>
        <v>0</v>
      </c>
      <c r="AH44" s="142">
        <f t="shared" si="65"/>
        <v>0</v>
      </c>
      <c r="AI44" s="141">
        <f t="shared" si="66"/>
        <v>0</v>
      </c>
      <c r="AJ44" s="141">
        <f t="shared" ca="1" si="67"/>
        <v>1.5</v>
      </c>
      <c r="AK44" s="141">
        <f t="shared" ca="1" si="68"/>
        <v>2</v>
      </c>
      <c r="AL44" s="137" t="str">
        <f t="shared" si="69"/>
        <v/>
      </c>
      <c r="AM44" s="137" t="str">
        <f t="shared" ca="1" si="16"/>
        <v/>
      </c>
      <c r="AN44" s="137" t="str">
        <f t="shared" ca="1" si="17"/>
        <v>, External Plaster upto 0.5 Floor</v>
      </c>
      <c r="AO44" s="137" t="str">
        <f t="shared" ca="1" si="18"/>
        <v>Excavation, Plinth, RCC Slab, Brickwork</v>
      </c>
      <c r="AP44" s="137" t="str">
        <f t="shared" ca="1" si="19"/>
        <v xml:space="preserve"> Completed</v>
      </c>
      <c r="AQ44" s="137" t="str">
        <f t="shared" ca="1" si="20"/>
        <v>Completed</v>
      </c>
    </row>
    <row r="45" spans="1:43" s="108" customFormat="1" ht="15.5" x14ac:dyDescent="0.35">
      <c r="A45" s="111" t="s">
        <v>348</v>
      </c>
      <c r="B45" s="113" t="s">
        <v>391</v>
      </c>
      <c r="C45" s="114">
        <f ca="1">--TRIM(RIGHT(SUBSTITUTE(LEFT(B45,_xlfn.AGGREGATE(16,6,FIND({0,1,2,3,4,5,6,7,8,9},B45,ROW(INDIRECT("1:"&amp;LEN(B45)))),1))," ",REPT(" ",LEN(B45))),LEN(B45)))</f>
        <v>2</v>
      </c>
      <c r="D45" s="99">
        <v>2</v>
      </c>
      <c r="E45" s="99">
        <v>2</v>
      </c>
      <c r="F45" s="99">
        <v>1</v>
      </c>
      <c r="G45" s="99">
        <v>0</v>
      </c>
      <c r="H45" s="99">
        <v>0</v>
      </c>
      <c r="I45" s="99">
        <v>0</v>
      </c>
      <c r="J45" s="99">
        <v>0</v>
      </c>
      <c r="K45" s="99">
        <v>0</v>
      </c>
      <c r="L45" s="99">
        <v>0</v>
      </c>
      <c r="M45" s="99">
        <v>0</v>
      </c>
      <c r="N45" s="100">
        <f t="shared" ca="1" si="0"/>
        <v>0.23333333333333336</v>
      </c>
      <c r="O45" s="100">
        <f t="shared" ca="1" si="1"/>
        <v>0.55000000000000004</v>
      </c>
      <c r="P45" s="101" t="str">
        <f t="shared" ca="1" si="2"/>
        <v>Excavation, Plinth Completed, RCC upto 1 Slab Completed</v>
      </c>
      <c r="Q45" s="102">
        <f t="shared" ca="1" si="3"/>
        <v>1</v>
      </c>
      <c r="R45" s="102">
        <f t="shared" ca="1" si="4"/>
        <v>1</v>
      </c>
      <c r="S45" s="102">
        <f t="shared" ca="1" si="5"/>
        <v>0.33333333333333337</v>
      </c>
      <c r="T45" s="102">
        <f t="shared" ca="1" si="6"/>
        <v>0</v>
      </c>
      <c r="U45" s="102">
        <f t="shared" ca="1" si="7"/>
        <v>0</v>
      </c>
      <c r="V45" s="102">
        <f t="shared" ca="1" si="8"/>
        <v>0</v>
      </c>
      <c r="W45" s="102">
        <f t="shared" ca="1" si="9"/>
        <v>0</v>
      </c>
      <c r="X45" s="102">
        <f t="shared" ca="1" si="10"/>
        <v>0</v>
      </c>
      <c r="Y45" s="102">
        <f t="shared" ca="1" si="11"/>
        <v>0</v>
      </c>
      <c r="Z45" s="102">
        <f t="shared" ca="1" si="12"/>
        <v>0</v>
      </c>
      <c r="AA45" s="103">
        <f t="shared" ca="1" si="13"/>
        <v>0.5</v>
      </c>
      <c r="AB45" s="104">
        <f t="shared" ca="1" si="14"/>
        <v>1</v>
      </c>
      <c r="AC45" s="104">
        <f t="shared" ca="1" si="15"/>
        <v>2</v>
      </c>
      <c r="AD45" s="105">
        <f t="shared" ca="1" si="61"/>
        <v>0.5</v>
      </c>
      <c r="AE45" s="105">
        <f t="shared" ca="1" si="62"/>
        <v>1</v>
      </c>
      <c r="AF45" s="105">
        <f t="shared" si="63"/>
        <v>0</v>
      </c>
      <c r="AG45" s="105">
        <f t="shared" si="64"/>
        <v>0</v>
      </c>
      <c r="AH45" s="106">
        <f t="shared" si="65"/>
        <v>0</v>
      </c>
      <c r="AI45" s="105">
        <f t="shared" si="66"/>
        <v>0</v>
      </c>
      <c r="AJ45" s="105">
        <f t="shared" ca="1" si="67"/>
        <v>1.5</v>
      </c>
      <c r="AK45" s="105">
        <f t="shared" ca="1" si="68"/>
        <v>2</v>
      </c>
      <c r="AL45" s="107" t="str">
        <f t="shared" si="69"/>
        <v/>
      </c>
      <c r="AM45" s="107" t="str">
        <f t="shared" ca="1" si="16"/>
        <v/>
      </c>
      <c r="AN45" s="107" t="str">
        <f t="shared" ca="1" si="17"/>
        <v>, RCC upto 1 Slab</v>
      </c>
      <c r="AO45" s="107" t="str">
        <f t="shared" ca="1" si="18"/>
        <v>Excavation, Plinth</v>
      </c>
      <c r="AP45" s="107" t="str">
        <f t="shared" ca="1" si="19"/>
        <v xml:space="preserve"> Completed</v>
      </c>
      <c r="AQ45" s="107" t="str">
        <f t="shared" ca="1" si="20"/>
        <v>Completed</v>
      </c>
    </row>
    <row r="46" spans="1:43" s="108" customFormat="1" ht="15.5" x14ac:dyDescent="0.35">
      <c r="A46" s="111" t="s">
        <v>349</v>
      </c>
      <c r="B46" s="113" t="s">
        <v>391</v>
      </c>
      <c r="C46" s="114">
        <f ca="1">--TRIM(RIGHT(SUBSTITUTE(LEFT(B46,_xlfn.AGGREGATE(16,6,FIND({0,1,2,3,4,5,6,7,8,9},B46,ROW(INDIRECT("1:"&amp;LEN(B46)))),1))," ",REPT(" ",LEN(B46))),LEN(B46)))</f>
        <v>2</v>
      </c>
      <c r="D46" s="99">
        <v>2</v>
      </c>
      <c r="E46" s="144">
        <v>2</v>
      </c>
      <c r="F46" s="99">
        <v>1</v>
      </c>
      <c r="G46" s="99">
        <v>0</v>
      </c>
      <c r="H46" s="99">
        <v>0</v>
      </c>
      <c r="I46" s="99">
        <v>0</v>
      </c>
      <c r="J46" s="99">
        <v>0</v>
      </c>
      <c r="K46" s="99">
        <v>0</v>
      </c>
      <c r="L46" s="99">
        <v>0</v>
      </c>
      <c r="M46" s="99">
        <v>0</v>
      </c>
      <c r="N46" s="100">
        <f t="shared" ca="1" si="0"/>
        <v>0.23333333333333336</v>
      </c>
      <c r="O46" s="100">
        <f t="shared" ca="1" si="1"/>
        <v>0.55000000000000004</v>
      </c>
      <c r="P46" s="107" t="str">
        <f t="shared" ca="1" si="2"/>
        <v>Excavation, Plinth Completed, RCC upto 1 Slab Completed</v>
      </c>
      <c r="Q46" s="102">
        <f t="shared" ca="1" si="3"/>
        <v>1</v>
      </c>
      <c r="R46" s="102">
        <f t="shared" ca="1" si="4"/>
        <v>1</v>
      </c>
      <c r="S46" s="102">
        <f t="shared" ca="1" si="5"/>
        <v>0.33333333333333337</v>
      </c>
      <c r="T46" s="102">
        <f t="shared" ca="1" si="6"/>
        <v>0</v>
      </c>
      <c r="U46" s="102">
        <f t="shared" ca="1" si="7"/>
        <v>0</v>
      </c>
      <c r="V46" s="102">
        <f t="shared" ca="1" si="8"/>
        <v>0</v>
      </c>
      <c r="W46" s="102">
        <f t="shared" ca="1" si="9"/>
        <v>0</v>
      </c>
      <c r="X46" s="102">
        <f t="shared" ca="1" si="10"/>
        <v>0</v>
      </c>
      <c r="Y46" s="102">
        <f t="shared" ca="1" si="11"/>
        <v>0</v>
      </c>
      <c r="Z46" s="102">
        <f t="shared" ca="1" si="12"/>
        <v>0</v>
      </c>
      <c r="AA46" s="103">
        <f t="shared" ca="1" si="13"/>
        <v>0.5</v>
      </c>
      <c r="AB46" s="104">
        <f t="shared" ca="1" si="14"/>
        <v>1</v>
      </c>
      <c r="AC46" s="104">
        <f t="shared" ca="1" si="15"/>
        <v>2</v>
      </c>
      <c r="AD46" s="105">
        <f t="shared" ca="1" si="61"/>
        <v>0.5</v>
      </c>
      <c r="AE46" s="105">
        <f t="shared" ca="1" si="62"/>
        <v>1</v>
      </c>
      <c r="AF46" s="105">
        <f t="shared" si="63"/>
        <v>0</v>
      </c>
      <c r="AG46" s="105">
        <f t="shared" si="64"/>
        <v>0</v>
      </c>
      <c r="AH46" s="106">
        <f t="shared" si="65"/>
        <v>0</v>
      </c>
      <c r="AI46" s="105">
        <f t="shared" si="66"/>
        <v>0</v>
      </c>
      <c r="AJ46" s="105">
        <f t="shared" ca="1" si="67"/>
        <v>1.5</v>
      </c>
      <c r="AK46" s="105">
        <f t="shared" ca="1" si="68"/>
        <v>2</v>
      </c>
      <c r="AL46" s="107" t="str">
        <f t="shared" si="69"/>
        <v/>
      </c>
      <c r="AM46" s="107" t="str">
        <f t="shared" ca="1" si="16"/>
        <v/>
      </c>
      <c r="AN46" s="107" t="str">
        <f t="shared" ca="1" si="17"/>
        <v>, RCC upto 1 Slab</v>
      </c>
      <c r="AO46" s="107" t="str">
        <f t="shared" ca="1" si="18"/>
        <v>Excavation, Plinth</v>
      </c>
      <c r="AP46" s="107" t="str">
        <f t="shared" ca="1" si="19"/>
        <v xml:space="preserve"> Completed</v>
      </c>
      <c r="AQ46" s="107" t="str">
        <f t="shared" ca="1" si="20"/>
        <v>Completed</v>
      </c>
    </row>
    <row r="47" spans="1:43" s="108" customFormat="1" ht="15.5" x14ac:dyDescent="0.35">
      <c r="A47" s="111" t="s">
        <v>350</v>
      </c>
      <c r="B47" s="113" t="s">
        <v>391</v>
      </c>
      <c r="C47" s="114">
        <f ca="1">--TRIM(RIGHT(SUBSTITUTE(LEFT(B47,_xlfn.AGGREGATE(16,6,FIND({0,1,2,3,4,5,6,7,8,9},B47,ROW(INDIRECT("1:"&amp;LEN(B47)))),1))," ",REPT(" ",LEN(B47))),LEN(B47)))</f>
        <v>2</v>
      </c>
      <c r="D47" s="144">
        <v>2</v>
      </c>
      <c r="E47" s="144">
        <v>2</v>
      </c>
      <c r="F47" s="148">
        <v>2</v>
      </c>
      <c r="G47" s="99">
        <v>0.5</v>
      </c>
      <c r="H47" s="99">
        <v>0</v>
      </c>
      <c r="I47" s="99">
        <v>0</v>
      </c>
      <c r="J47" s="99">
        <v>0</v>
      </c>
      <c r="K47" s="99">
        <v>0</v>
      </c>
      <c r="L47" s="99">
        <v>0</v>
      </c>
      <c r="M47" s="99">
        <v>0</v>
      </c>
      <c r="N47" s="100">
        <f t="shared" ca="1" si="0"/>
        <v>0.38541666666666674</v>
      </c>
      <c r="O47" s="100">
        <f t="shared" ca="1" si="1"/>
        <v>0.66249999999999998</v>
      </c>
      <c r="P47" s="107" t="str">
        <f t="shared" ca="1" si="2"/>
        <v>Excavation, Plinth Completed, RCC upto 2 Slab, Brickwork upto 0.5 Floor Completed</v>
      </c>
      <c r="Q47" s="102">
        <f t="shared" ca="1" si="3"/>
        <v>1</v>
      </c>
      <c r="R47" s="102">
        <f t="shared" ca="1" si="4"/>
        <v>1</v>
      </c>
      <c r="S47" s="102">
        <f t="shared" ca="1" si="5"/>
        <v>0.66666666666666674</v>
      </c>
      <c r="T47" s="102">
        <f t="shared" ca="1" si="6"/>
        <v>0.25</v>
      </c>
      <c r="U47" s="102">
        <f t="shared" ca="1" si="7"/>
        <v>0</v>
      </c>
      <c r="V47" s="102">
        <f t="shared" ca="1" si="8"/>
        <v>0</v>
      </c>
      <c r="W47" s="102">
        <f t="shared" ca="1" si="9"/>
        <v>0</v>
      </c>
      <c r="X47" s="102">
        <f t="shared" ca="1" si="10"/>
        <v>0</v>
      </c>
      <c r="Y47" s="102">
        <f t="shared" ca="1" si="11"/>
        <v>0</v>
      </c>
      <c r="Z47" s="102">
        <f t="shared" ca="1" si="12"/>
        <v>0</v>
      </c>
      <c r="AA47" s="103">
        <f t="shared" ca="1" si="13"/>
        <v>0.5</v>
      </c>
      <c r="AB47" s="104">
        <f t="shared" ca="1" si="14"/>
        <v>1</v>
      </c>
      <c r="AC47" s="104">
        <f t="shared" ca="1" si="15"/>
        <v>2</v>
      </c>
      <c r="AD47" s="105">
        <f t="shared" ca="1" si="61"/>
        <v>0.5</v>
      </c>
      <c r="AE47" s="105">
        <f t="shared" ca="1" si="62"/>
        <v>1</v>
      </c>
      <c r="AF47" s="105">
        <f t="shared" si="63"/>
        <v>0</v>
      </c>
      <c r="AG47" s="105">
        <f t="shared" si="64"/>
        <v>0</v>
      </c>
      <c r="AH47" s="106">
        <f t="shared" si="65"/>
        <v>0</v>
      </c>
      <c r="AI47" s="105">
        <f t="shared" si="66"/>
        <v>0</v>
      </c>
      <c r="AJ47" s="105">
        <f t="shared" ca="1" si="67"/>
        <v>1.5</v>
      </c>
      <c r="AK47" s="105">
        <f t="shared" ca="1" si="68"/>
        <v>2</v>
      </c>
      <c r="AL47" s="107" t="str">
        <f t="shared" si="69"/>
        <v/>
      </c>
      <c r="AM47" s="107" t="str">
        <f t="shared" ca="1" si="16"/>
        <v/>
      </c>
      <c r="AN47" s="107" t="str">
        <f t="shared" ca="1" si="17"/>
        <v>, RCC upto 2 Slab, Brickwork upto 0.5 Floor</v>
      </c>
      <c r="AO47" s="107" t="str">
        <f t="shared" ca="1" si="18"/>
        <v>Excavation, Plinth</v>
      </c>
      <c r="AP47" s="107" t="str">
        <f t="shared" ca="1" si="19"/>
        <v xml:space="preserve"> Completed</v>
      </c>
      <c r="AQ47" s="107" t="str">
        <f t="shared" ca="1" si="20"/>
        <v>Completed</v>
      </c>
    </row>
    <row r="48" spans="1:43" s="108" customFormat="1" ht="15.5" x14ac:dyDescent="0.35">
      <c r="A48" s="111" t="s">
        <v>351</v>
      </c>
      <c r="B48" s="113" t="s">
        <v>391</v>
      </c>
      <c r="C48" s="114">
        <f ca="1">--TRIM(RIGHT(SUBSTITUTE(LEFT(B48,_xlfn.AGGREGATE(16,6,FIND({0,1,2,3,4,5,6,7,8,9},B48,ROW(INDIRECT("1:"&amp;LEN(B48)))),1))," ",REPT(" ",LEN(B48))),LEN(B48)))</f>
        <v>2</v>
      </c>
      <c r="D48" s="144">
        <v>2</v>
      </c>
      <c r="E48" s="144">
        <v>2</v>
      </c>
      <c r="F48" s="148">
        <v>2</v>
      </c>
      <c r="G48" s="99">
        <v>0.5</v>
      </c>
      <c r="H48" s="99">
        <v>0</v>
      </c>
      <c r="I48" s="99">
        <v>0</v>
      </c>
      <c r="J48" s="99">
        <v>0</v>
      </c>
      <c r="K48" s="99">
        <v>0</v>
      </c>
      <c r="L48" s="99">
        <v>0</v>
      </c>
      <c r="M48" s="99">
        <v>0</v>
      </c>
      <c r="N48" s="100">
        <f t="shared" ca="1" si="0"/>
        <v>0.38541666666666674</v>
      </c>
      <c r="O48" s="100">
        <f t="shared" ca="1" si="1"/>
        <v>0.66249999999999998</v>
      </c>
      <c r="P48" s="107" t="str">
        <f t="shared" ca="1" si="2"/>
        <v>Excavation, Plinth Completed, RCC upto 2 Slab, Brickwork upto 0.5 Floor Completed</v>
      </c>
      <c r="Q48" s="102">
        <f t="shared" ca="1" si="3"/>
        <v>1</v>
      </c>
      <c r="R48" s="102">
        <f t="shared" ca="1" si="4"/>
        <v>1</v>
      </c>
      <c r="S48" s="102">
        <f t="shared" ca="1" si="5"/>
        <v>0.66666666666666674</v>
      </c>
      <c r="T48" s="102">
        <f t="shared" ca="1" si="6"/>
        <v>0.25</v>
      </c>
      <c r="U48" s="102">
        <f t="shared" ca="1" si="7"/>
        <v>0</v>
      </c>
      <c r="V48" s="102">
        <f t="shared" ca="1" si="8"/>
        <v>0</v>
      </c>
      <c r="W48" s="102">
        <f t="shared" ca="1" si="9"/>
        <v>0</v>
      </c>
      <c r="X48" s="102">
        <f t="shared" ca="1" si="10"/>
        <v>0</v>
      </c>
      <c r="Y48" s="102">
        <f t="shared" ca="1" si="11"/>
        <v>0</v>
      </c>
      <c r="Z48" s="102">
        <f t="shared" ca="1" si="12"/>
        <v>0</v>
      </c>
      <c r="AA48" s="103">
        <f t="shared" ca="1" si="13"/>
        <v>0.5</v>
      </c>
      <c r="AB48" s="104">
        <f t="shared" ca="1" si="14"/>
        <v>1</v>
      </c>
      <c r="AC48" s="104">
        <f t="shared" ca="1" si="15"/>
        <v>2</v>
      </c>
      <c r="AD48" s="105">
        <f t="shared" ca="1" si="61"/>
        <v>0.5</v>
      </c>
      <c r="AE48" s="105">
        <f t="shared" ca="1" si="62"/>
        <v>1</v>
      </c>
      <c r="AF48" s="105">
        <f t="shared" si="63"/>
        <v>0</v>
      </c>
      <c r="AG48" s="105">
        <f t="shared" si="64"/>
        <v>0</v>
      </c>
      <c r="AH48" s="106">
        <f t="shared" si="65"/>
        <v>0</v>
      </c>
      <c r="AI48" s="105">
        <f t="shared" si="66"/>
        <v>0</v>
      </c>
      <c r="AJ48" s="105">
        <f t="shared" ca="1" si="67"/>
        <v>1.5</v>
      </c>
      <c r="AK48" s="105">
        <f t="shared" ca="1" si="68"/>
        <v>2</v>
      </c>
      <c r="AL48" s="107" t="str">
        <f t="shared" si="69"/>
        <v/>
      </c>
      <c r="AM48" s="107" t="str">
        <f t="shared" ca="1" si="16"/>
        <v/>
      </c>
      <c r="AN48" s="107" t="str">
        <f t="shared" ca="1" si="17"/>
        <v>, RCC upto 2 Slab, Brickwork upto 0.5 Floor</v>
      </c>
      <c r="AO48" s="107" t="str">
        <f t="shared" ca="1" si="18"/>
        <v>Excavation, Plinth</v>
      </c>
      <c r="AP48" s="107" t="str">
        <f t="shared" ca="1" si="19"/>
        <v xml:space="preserve"> Completed</v>
      </c>
      <c r="AQ48" s="107" t="str">
        <f t="shared" ca="1" si="20"/>
        <v>Completed</v>
      </c>
    </row>
    <row r="49" spans="1:43" s="108" customFormat="1" ht="15.5" x14ac:dyDescent="0.35">
      <c r="A49" s="111" t="s">
        <v>352</v>
      </c>
      <c r="B49" s="113" t="s">
        <v>391</v>
      </c>
      <c r="C49" s="114">
        <f ca="1">--TRIM(RIGHT(SUBSTITUTE(LEFT(B49,_xlfn.AGGREGATE(16,6,FIND({0,1,2,3,4,5,6,7,8,9},B49,ROW(INDIRECT("1:"&amp;LEN(B49)))),1))," ",REPT(" ",LEN(B49))),LEN(B49)))</f>
        <v>2</v>
      </c>
      <c r="D49" s="144">
        <v>2</v>
      </c>
      <c r="E49" s="144">
        <v>2</v>
      </c>
      <c r="F49" s="148">
        <v>2</v>
      </c>
      <c r="G49" s="99">
        <v>0.5</v>
      </c>
      <c r="H49" s="99">
        <v>0</v>
      </c>
      <c r="I49" s="99">
        <v>0</v>
      </c>
      <c r="J49" s="99">
        <v>0</v>
      </c>
      <c r="K49" s="99">
        <v>0</v>
      </c>
      <c r="L49" s="99">
        <v>0</v>
      </c>
      <c r="M49" s="99">
        <v>0</v>
      </c>
      <c r="N49" s="100">
        <f t="shared" ca="1" si="0"/>
        <v>0.38541666666666674</v>
      </c>
      <c r="O49" s="100">
        <f t="shared" ca="1" si="1"/>
        <v>0.66249999999999998</v>
      </c>
      <c r="P49" s="107" t="str">
        <f t="shared" ca="1" si="2"/>
        <v>Excavation, Plinth Completed, RCC upto 2 Slab, Brickwork upto 0.5 Floor Completed</v>
      </c>
      <c r="Q49" s="102">
        <f t="shared" ca="1" si="3"/>
        <v>1</v>
      </c>
      <c r="R49" s="102">
        <f t="shared" ca="1" si="4"/>
        <v>1</v>
      </c>
      <c r="S49" s="102">
        <f t="shared" ca="1" si="5"/>
        <v>0.66666666666666674</v>
      </c>
      <c r="T49" s="102">
        <f t="shared" ca="1" si="6"/>
        <v>0.25</v>
      </c>
      <c r="U49" s="102">
        <f t="shared" ca="1" si="7"/>
        <v>0</v>
      </c>
      <c r="V49" s="102">
        <f t="shared" ca="1" si="8"/>
        <v>0</v>
      </c>
      <c r="W49" s="102">
        <f t="shared" ca="1" si="9"/>
        <v>0</v>
      </c>
      <c r="X49" s="102">
        <f t="shared" ca="1" si="10"/>
        <v>0</v>
      </c>
      <c r="Y49" s="102">
        <f t="shared" ca="1" si="11"/>
        <v>0</v>
      </c>
      <c r="Z49" s="102">
        <f t="shared" ca="1" si="12"/>
        <v>0</v>
      </c>
      <c r="AA49" s="103">
        <f t="shared" ca="1" si="13"/>
        <v>0.5</v>
      </c>
      <c r="AB49" s="104">
        <f t="shared" ca="1" si="14"/>
        <v>1</v>
      </c>
      <c r="AC49" s="104">
        <f t="shared" ca="1" si="15"/>
        <v>2</v>
      </c>
      <c r="AD49" s="105">
        <f t="shared" ca="1" si="61"/>
        <v>0.5</v>
      </c>
      <c r="AE49" s="105">
        <f t="shared" ca="1" si="62"/>
        <v>1</v>
      </c>
      <c r="AF49" s="105">
        <f t="shared" si="63"/>
        <v>0</v>
      </c>
      <c r="AG49" s="105">
        <f t="shared" si="64"/>
        <v>0</v>
      </c>
      <c r="AH49" s="106">
        <f t="shared" si="65"/>
        <v>0</v>
      </c>
      <c r="AI49" s="105">
        <f t="shared" si="66"/>
        <v>0</v>
      </c>
      <c r="AJ49" s="105">
        <f t="shared" ca="1" si="67"/>
        <v>1.5</v>
      </c>
      <c r="AK49" s="105">
        <f t="shared" ca="1" si="68"/>
        <v>2</v>
      </c>
      <c r="AL49" s="107" t="str">
        <f t="shared" si="69"/>
        <v/>
      </c>
      <c r="AM49" s="107" t="str">
        <f t="shared" ca="1" si="16"/>
        <v/>
      </c>
      <c r="AN49" s="107" t="str">
        <f t="shared" ca="1" si="17"/>
        <v>, RCC upto 2 Slab, Brickwork upto 0.5 Floor</v>
      </c>
      <c r="AO49" s="107" t="str">
        <f t="shared" ca="1" si="18"/>
        <v>Excavation, Plinth</v>
      </c>
      <c r="AP49" s="107" t="str">
        <f t="shared" ca="1" si="19"/>
        <v xml:space="preserve"> Completed</v>
      </c>
      <c r="AQ49" s="107" t="str">
        <f t="shared" ca="1" si="20"/>
        <v>Completed</v>
      </c>
    </row>
    <row r="50" spans="1:43" s="108" customFormat="1" ht="15.5" x14ac:dyDescent="0.35">
      <c r="A50" s="111" t="s">
        <v>353</v>
      </c>
      <c r="B50" s="113" t="s">
        <v>391</v>
      </c>
      <c r="C50" s="114">
        <f ca="1">--TRIM(RIGHT(SUBSTITUTE(LEFT(B50,_xlfn.AGGREGATE(16,6,FIND({0,1,2,3,4,5,6,7,8,9},B50,ROW(INDIRECT("1:"&amp;LEN(B50)))),1))," ",REPT(" ",LEN(B50))),LEN(B50)))</f>
        <v>2</v>
      </c>
      <c r="D50" s="144">
        <v>2</v>
      </c>
      <c r="E50" s="144">
        <v>2</v>
      </c>
      <c r="F50" s="148">
        <v>2</v>
      </c>
      <c r="G50" s="99">
        <v>0.5</v>
      </c>
      <c r="H50" s="99">
        <v>0</v>
      </c>
      <c r="I50" s="99">
        <v>0</v>
      </c>
      <c r="J50" s="99">
        <v>0</v>
      </c>
      <c r="K50" s="99">
        <v>0</v>
      </c>
      <c r="L50" s="99">
        <v>0</v>
      </c>
      <c r="M50" s="99">
        <v>0</v>
      </c>
      <c r="N50" s="100">
        <f t="shared" ca="1" si="0"/>
        <v>0.38541666666666674</v>
      </c>
      <c r="O50" s="100">
        <f t="shared" ca="1" si="1"/>
        <v>0.66249999999999998</v>
      </c>
      <c r="P50" s="107" t="str">
        <f t="shared" ca="1" si="2"/>
        <v>Excavation, Plinth Completed, RCC upto 2 Slab, Brickwork upto 0.5 Floor Completed</v>
      </c>
      <c r="Q50" s="102">
        <f t="shared" ca="1" si="3"/>
        <v>1</v>
      </c>
      <c r="R50" s="102">
        <f t="shared" ca="1" si="4"/>
        <v>1</v>
      </c>
      <c r="S50" s="102">
        <f t="shared" ca="1" si="5"/>
        <v>0.66666666666666674</v>
      </c>
      <c r="T50" s="102">
        <f t="shared" ca="1" si="6"/>
        <v>0.25</v>
      </c>
      <c r="U50" s="102">
        <f t="shared" ca="1" si="7"/>
        <v>0</v>
      </c>
      <c r="V50" s="102">
        <f t="shared" ca="1" si="8"/>
        <v>0</v>
      </c>
      <c r="W50" s="102">
        <f t="shared" ca="1" si="9"/>
        <v>0</v>
      </c>
      <c r="X50" s="102">
        <f t="shared" ca="1" si="10"/>
        <v>0</v>
      </c>
      <c r="Y50" s="102">
        <f t="shared" ca="1" si="11"/>
        <v>0</v>
      </c>
      <c r="Z50" s="102">
        <f t="shared" ca="1" si="12"/>
        <v>0</v>
      </c>
      <c r="AA50" s="103">
        <f t="shared" ca="1" si="13"/>
        <v>0.5</v>
      </c>
      <c r="AB50" s="104">
        <f t="shared" ca="1" si="14"/>
        <v>1</v>
      </c>
      <c r="AC50" s="104">
        <f t="shared" ca="1" si="15"/>
        <v>2</v>
      </c>
      <c r="AD50" s="105">
        <f t="shared" ca="1" si="61"/>
        <v>0.5</v>
      </c>
      <c r="AE50" s="105">
        <f t="shared" ca="1" si="62"/>
        <v>1</v>
      </c>
      <c r="AF50" s="105">
        <f t="shared" si="63"/>
        <v>0</v>
      </c>
      <c r="AG50" s="105">
        <f t="shared" si="64"/>
        <v>0</v>
      </c>
      <c r="AH50" s="106">
        <f t="shared" si="65"/>
        <v>0</v>
      </c>
      <c r="AI50" s="105">
        <f t="shared" si="66"/>
        <v>0</v>
      </c>
      <c r="AJ50" s="105">
        <f t="shared" ca="1" si="67"/>
        <v>1.5</v>
      </c>
      <c r="AK50" s="105">
        <f t="shared" ca="1" si="68"/>
        <v>2</v>
      </c>
      <c r="AL50" s="107" t="str">
        <f t="shared" si="69"/>
        <v/>
      </c>
      <c r="AM50" s="107" t="str">
        <f t="shared" ca="1" si="16"/>
        <v/>
      </c>
      <c r="AN50" s="107" t="str">
        <f t="shared" ca="1" si="17"/>
        <v>, RCC upto 2 Slab, Brickwork upto 0.5 Floor</v>
      </c>
      <c r="AO50" s="107" t="str">
        <f t="shared" ca="1" si="18"/>
        <v>Excavation, Plinth</v>
      </c>
      <c r="AP50" s="107" t="str">
        <f t="shared" ca="1" si="19"/>
        <v xml:space="preserve"> Completed</v>
      </c>
      <c r="AQ50" s="107" t="str">
        <f t="shared" ca="1" si="20"/>
        <v>Completed</v>
      </c>
    </row>
    <row r="51" spans="1:43" s="108" customFormat="1" ht="15.5" x14ac:dyDescent="0.35">
      <c r="A51" s="111" t="s">
        <v>354</v>
      </c>
      <c r="B51" s="113" t="s">
        <v>391</v>
      </c>
      <c r="C51" s="114">
        <f ca="1">--TRIM(RIGHT(SUBSTITUTE(LEFT(B51,_xlfn.AGGREGATE(16,6,FIND({0,1,2,3,4,5,6,7,8,9},B51,ROW(INDIRECT("1:"&amp;LEN(B51)))),1))," ",REPT(" ",LEN(B51))),LEN(B51)))</f>
        <v>2</v>
      </c>
      <c r="D51" s="144">
        <v>2</v>
      </c>
      <c r="E51" s="144">
        <v>2</v>
      </c>
      <c r="F51" s="99">
        <v>3</v>
      </c>
      <c r="G51" s="99">
        <v>0.5</v>
      </c>
      <c r="H51" s="99">
        <v>0</v>
      </c>
      <c r="I51" s="99">
        <v>0</v>
      </c>
      <c r="J51" s="99">
        <v>0</v>
      </c>
      <c r="K51" s="99">
        <v>0</v>
      </c>
      <c r="L51" s="99">
        <v>0</v>
      </c>
      <c r="M51" s="99">
        <v>0</v>
      </c>
      <c r="N51" s="100">
        <f t="shared" ca="1" si="0"/>
        <v>0.51875000000000004</v>
      </c>
      <c r="O51" s="100">
        <f t="shared" ca="1" si="1"/>
        <v>0.76249999999999996</v>
      </c>
      <c r="P51" s="107" t="str">
        <f t="shared" ca="1" si="2"/>
        <v>Excavation, Plinth, RCC Slab Completed, Brickwork upto 0.5 Floor Completed</v>
      </c>
      <c r="Q51" s="102">
        <f t="shared" ca="1" si="3"/>
        <v>1</v>
      </c>
      <c r="R51" s="102">
        <f t="shared" ca="1" si="4"/>
        <v>1</v>
      </c>
      <c r="S51" s="102">
        <f t="shared" ca="1" si="5"/>
        <v>1</v>
      </c>
      <c r="T51" s="102">
        <f t="shared" ca="1" si="6"/>
        <v>0.25</v>
      </c>
      <c r="U51" s="102">
        <f t="shared" ca="1" si="7"/>
        <v>0</v>
      </c>
      <c r="V51" s="102">
        <f t="shared" ca="1" si="8"/>
        <v>0</v>
      </c>
      <c r="W51" s="102">
        <f t="shared" ca="1" si="9"/>
        <v>0</v>
      </c>
      <c r="X51" s="102">
        <f t="shared" ca="1" si="10"/>
        <v>0</v>
      </c>
      <c r="Y51" s="102">
        <f t="shared" ca="1" si="11"/>
        <v>0</v>
      </c>
      <c r="Z51" s="102">
        <f t="shared" ca="1" si="12"/>
        <v>0</v>
      </c>
      <c r="AA51" s="103">
        <f t="shared" ca="1" si="13"/>
        <v>0.5</v>
      </c>
      <c r="AB51" s="104">
        <f t="shared" ca="1" si="14"/>
        <v>1</v>
      </c>
      <c r="AC51" s="104">
        <f t="shared" ca="1" si="15"/>
        <v>2</v>
      </c>
      <c r="AD51" s="105">
        <f t="shared" ca="1" si="61"/>
        <v>0.5</v>
      </c>
      <c r="AE51" s="105">
        <f t="shared" ca="1" si="62"/>
        <v>1</v>
      </c>
      <c r="AF51" s="105">
        <f t="shared" si="63"/>
        <v>0</v>
      </c>
      <c r="AG51" s="105">
        <f t="shared" si="64"/>
        <v>0</v>
      </c>
      <c r="AH51" s="106">
        <f t="shared" si="65"/>
        <v>0</v>
      </c>
      <c r="AI51" s="105">
        <f t="shared" si="66"/>
        <v>0</v>
      </c>
      <c r="AJ51" s="105">
        <f t="shared" ca="1" si="67"/>
        <v>1.5</v>
      </c>
      <c r="AK51" s="105">
        <f t="shared" ca="1" si="68"/>
        <v>2</v>
      </c>
      <c r="AL51" s="107" t="str">
        <f t="shared" si="69"/>
        <v/>
      </c>
      <c r="AM51" s="107" t="str">
        <f t="shared" ca="1" si="16"/>
        <v/>
      </c>
      <c r="AN51" s="107" t="str">
        <f t="shared" ca="1" si="17"/>
        <v>, Brickwork upto 0.5 Floor</v>
      </c>
      <c r="AO51" s="107" t="str">
        <f t="shared" ca="1" si="18"/>
        <v>Excavation, Plinth, RCC Slab</v>
      </c>
      <c r="AP51" s="107" t="str">
        <f t="shared" ca="1" si="19"/>
        <v xml:space="preserve"> Completed</v>
      </c>
      <c r="AQ51" s="107" t="str">
        <f t="shared" ca="1" si="20"/>
        <v>Completed</v>
      </c>
    </row>
    <row r="52" spans="1:43" s="108" customFormat="1" ht="15.5" x14ac:dyDescent="0.35">
      <c r="A52" s="111" t="s">
        <v>361</v>
      </c>
      <c r="B52" s="113" t="s">
        <v>391</v>
      </c>
      <c r="C52" s="114">
        <f ca="1">--TRIM(RIGHT(SUBSTITUTE(LEFT(B52,_xlfn.AGGREGATE(16,6,FIND({0,1,2,3,4,5,6,7,8,9},B52,ROW(INDIRECT("1:"&amp;LEN(B52)))),1))," ",REPT(" ",LEN(B52))),LEN(B52)))</f>
        <v>2</v>
      </c>
      <c r="D52" s="144">
        <v>2</v>
      </c>
      <c r="E52" s="144">
        <v>2</v>
      </c>
      <c r="F52" s="99">
        <v>3</v>
      </c>
      <c r="G52" s="99">
        <v>0.5</v>
      </c>
      <c r="H52" s="99">
        <v>0</v>
      </c>
      <c r="I52" s="99">
        <v>0</v>
      </c>
      <c r="J52" s="99">
        <v>0</v>
      </c>
      <c r="K52" s="99">
        <v>0</v>
      </c>
      <c r="L52" s="99">
        <v>0</v>
      </c>
      <c r="M52" s="99">
        <v>0</v>
      </c>
      <c r="N52" s="100">
        <f t="shared" ca="1" si="0"/>
        <v>0.51875000000000004</v>
      </c>
      <c r="O52" s="100">
        <f t="shared" ca="1" si="1"/>
        <v>0.76249999999999996</v>
      </c>
      <c r="P52" s="107" t="str">
        <f t="shared" ca="1" si="2"/>
        <v>Excavation, Plinth, RCC Slab Completed, Brickwork upto 0.5 Floor Completed</v>
      </c>
      <c r="Q52" s="102">
        <f t="shared" ca="1" si="3"/>
        <v>1</v>
      </c>
      <c r="R52" s="102">
        <f t="shared" ca="1" si="4"/>
        <v>1</v>
      </c>
      <c r="S52" s="102">
        <f t="shared" ca="1" si="5"/>
        <v>1</v>
      </c>
      <c r="T52" s="102">
        <f t="shared" ca="1" si="6"/>
        <v>0.25</v>
      </c>
      <c r="U52" s="102">
        <f t="shared" ca="1" si="7"/>
        <v>0</v>
      </c>
      <c r="V52" s="102">
        <f t="shared" ca="1" si="8"/>
        <v>0</v>
      </c>
      <c r="W52" s="102">
        <f t="shared" ca="1" si="9"/>
        <v>0</v>
      </c>
      <c r="X52" s="102">
        <f t="shared" ca="1" si="10"/>
        <v>0</v>
      </c>
      <c r="Y52" s="102">
        <f t="shared" ca="1" si="11"/>
        <v>0</v>
      </c>
      <c r="Z52" s="102">
        <f t="shared" ca="1" si="12"/>
        <v>0</v>
      </c>
      <c r="AA52" s="103">
        <f t="shared" ca="1" si="13"/>
        <v>0.5</v>
      </c>
      <c r="AB52" s="104">
        <f t="shared" ca="1" si="14"/>
        <v>1</v>
      </c>
      <c r="AC52" s="104">
        <f t="shared" ca="1" si="15"/>
        <v>2</v>
      </c>
      <c r="AD52" s="105">
        <f t="shared" ca="1" si="61"/>
        <v>0.5</v>
      </c>
      <c r="AE52" s="105">
        <f t="shared" ca="1" si="62"/>
        <v>1</v>
      </c>
      <c r="AF52" s="105">
        <f t="shared" si="63"/>
        <v>0</v>
      </c>
      <c r="AG52" s="105">
        <f t="shared" si="64"/>
        <v>0</v>
      </c>
      <c r="AH52" s="106">
        <f t="shared" si="65"/>
        <v>0</v>
      </c>
      <c r="AI52" s="105">
        <f t="shared" si="66"/>
        <v>0</v>
      </c>
      <c r="AJ52" s="105">
        <f t="shared" ca="1" si="67"/>
        <v>1.5</v>
      </c>
      <c r="AK52" s="105">
        <f t="shared" ca="1" si="68"/>
        <v>2</v>
      </c>
      <c r="AL52" s="107" t="str">
        <f t="shared" si="69"/>
        <v/>
      </c>
      <c r="AM52" s="107" t="str">
        <f t="shared" ca="1" si="16"/>
        <v/>
      </c>
      <c r="AN52" s="107" t="str">
        <f t="shared" ca="1" si="17"/>
        <v>, Brickwork upto 0.5 Floor</v>
      </c>
      <c r="AO52" s="107" t="str">
        <f t="shared" ca="1" si="18"/>
        <v>Excavation, Plinth, RCC Slab</v>
      </c>
      <c r="AP52" s="107" t="str">
        <f t="shared" ca="1" si="19"/>
        <v xml:space="preserve"> Completed</v>
      </c>
      <c r="AQ52" s="107" t="str">
        <f t="shared" ca="1" si="20"/>
        <v>Completed</v>
      </c>
    </row>
    <row r="53" spans="1:43" s="143" customFormat="1" ht="15.5" x14ac:dyDescent="0.35">
      <c r="A53" s="132" t="s">
        <v>355</v>
      </c>
      <c r="B53" s="133" t="s">
        <v>391</v>
      </c>
      <c r="C53" s="134">
        <f ca="1">--TRIM(RIGHT(SUBSTITUTE(LEFT(B53,_xlfn.AGGREGATE(16,6,FIND({0,1,2,3,4,5,6,7,8,9},B53,ROW(INDIRECT("1:"&amp;LEN(B53)))),1))," ",REPT(" ",LEN(B53))),LEN(B53)))</f>
        <v>2</v>
      </c>
      <c r="D53" s="135">
        <v>0</v>
      </c>
      <c r="E53" s="135">
        <v>0</v>
      </c>
      <c r="F53" s="135">
        <v>0</v>
      </c>
      <c r="G53" s="135">
        <v>0</v>
      </c>
      <c r="H53" s="135">
        <v>0</v>
      </c>
      <c r="I53" s="135">
        <v>0</v>
      </c>
      <c r="J53" s="135">
        <v>0</v>
      </c>
      <c r="K53" s="135">
        <v>0</v>
      </c>
      <c r="L53" s="135">
        <v>0</v>
      </c>
      <c r="M53" s="135">
        <v>0</v>
      </c>
      <c r="N53" s="136">
        <f t="shared" ca="1" si="0"/>
        <v>0</v>
      </c>
      <c r="O53" s="136">
        <f t="shared" ca="1" si="1"/>
        <v>0</v>
      </c>
      <c r="P53" s="137" t="str">
        <f t="shared" ca="1" si="2"/>
        <v xml:space="preserve">Work not yet Started. </v>
      </c>
      <c r="Q53" s="138">
        <f t="shared" ca="1" si="3"/>
        <v>0</v>
      </c>
      <c r="R53" s="138">
        <f t="shared" ca="1" si="4"/>
        <v>0</v>
      </c>
      <c r="S53" s="138">
        <f t="shared" ca="1" si="5"/>
        <v>0</v>
      </c>
      <c r="T53" s="138">
        <f t="shared" ca="1" si="6"/>
        <v>0</v>
      </c>
      <c r="U53" s="138">
        <f t="shared" ca="1" si="7"/>
        <v>0</v>
      </c>
      <c r="V53" s="138">
        <f t="shared" ca="1" si="8"/>
        <v>0</v>
      </c>
      <c r="W53" s="138">
        <f t="shared" ca="1" si="9"/>
        <v>0</v>
      </c>
      <c r="X53" s="138">
        <f t="shared" ca="1" si="10"/>
        <v>0</v>
      </c>
      <c r="Y53" s="138">
        <f t="shared" ca="1" si="11"/>
        <v>0</v>
      </c>
      <c r="Z53" s="138">
        <f t="shared" ca="1" si="12"/>
        <v>0</v>
      </c>
      <c r="AA53" s="139">
        <f t="shared" ca="1" si="13"/>
        <v>0.5</v>
      </c>
      <c r="AB53" s="140">
        <f t="shared" ca="1" si="14"/>
        <v>1</v>
      </c>
      <c r="AC53" s="140">
        <f t="shared" ca="1" si="15"/>
        <v>2</v>
      </c>
      <c r="AD53" s="141">
        <f t="shared" ca="1" si="61"/>
        <v>0.5</v>
      </c>
      <c r="AE53" s="141">
        <f t="shared" ca="1" si="62"/>
        <v>1</v>
      </c>
      <c r="AF53" s="141">
        <f t="shared" si="63"/>
        <v>0</v>
      </c>
      <c r="AG53" s="141">
        <f t="shared" si="64"/>
        <v>0</v>
      </c>
      <c r="AH53" s="142">
        <f t="shared" si="65"/>
        <v>0</v>
      </c>
      <c r="AI53" s="141">
        <f t="shared" si="66"/>
        <v>0</v>
      </c>
      <c r="AJ53" s="141">
        <f t="shared" ca="1" si="67"/>
        <v>1.5</v>
      </c>
      <c r="AK53" s="141">
        <f t="shared" ca="1" si="68"/>
        <v>2</v>
      </c>
      <c r="AL53" s="137" t="str">
        <f t="shared" si="69"/>
        <v/>
      </c>
      <c r="AM53" s="137" t="str">
        <f t="shared" si="16"/>
        <v>Work not yet Started.</v>
      </c>
      <c r="AN53" s="137" t="str">
        <f t="shared" ca="1" si="17"/>
        <v/>
      </c>
      <c r="AO53" s="137" t="str">
        <f t="shared" ca="1" si="18"/>
        <v/>
      </c>
      <c r="AP53" s="137" t="str">
        <f t="shared" ca="1" si="19"/>
        <v/>
      </c>
      <c r="AQ53" s="137" t="str">
        <f t="shared" ca="1" si="20"/>
        <v/>
      </c>
    </row>
    <row r="54" spans="1:43" s="143" customFormat="1" ht="15.5" x14ac:dyDescent="0.35">
      <c r="A54" s="132" t="s">
        <v>356</v>
      </c>
      <c r="B54" s="133" t="s">
        <v>391</v>
      </c>
      <c r="C54" s="134">
        <f ca="1">--TRIM(RIGHT(SUBSTITUTE(LEFT(B54,_xlfn.AGGREGATE(16,6,FIND({0,1,2,3,4,5,6,7,8,9},B54,ROW(INDIRECT("1:"&amp;LEN(B54)))),1))," ",REPT(" ",LEN(B54))),LEN(B54)))</f>
        <v>2</v>
      </c>
      <c r="D54" s="135">
        <v>0</v>
      </c>
      <c r="E54" s="135">
        <v>0</v>
      </c>
      <c r="F54" s="135">
        <v>0</v>
      </c>
      <c r="G54" s="135">
        <v>0</v>
      </c>
      <c r="H54" s="135">
        <v>0</v>
      </c>
      <c r="I54" s="135">
        <v>0</v>
      </c>
      <c r="J54" s="135">
        <v>0</v>
      </c>
      <c r="K54" s="135">
        <v>0</v>
      </c>
      <c r="L54" s="135">
        <v>0</v>
      </c>
      <c r="M54" s="135">
        <v>0</v>
      </c>
      <c r="N54" s="136">
        <f t="shared" ca="1" si="0"/>
        <v>0</v>
      </c>
      <c r="O54" s="136">
        <f t="shared" ca="1" si="1"/>
        <v>0</v>
      </c>
      <c r="P54" s="137" t="str">
        <f t="shared" ca="1" si="2"/>
        <v xml:space="preserve">Work not yet Started. </v>
      </c>
      <c r="Q54" s="138">
        <f t="shared" ca="1" si="3"/>
        <v>0</v>
      </c>
      <c r="R54" s="138">
        <f t="shared" ca="1" si="4"/>
        <v>0</v>
      </c>
      <c r="S54" s="138">
        <f t="shared" ca="1" si="5"/>
        <v>0</v>
      </c>
      <c r="T54" s="138">
        <f t="shared" ca="1" si="6"/>
        <v>0</v>
      </c>
      <c r="U54" s="138">
        <f t="shared" ca="1" si="7"/>
        <v>0</v>
      </c>
      <c r="V54" s="138">
        <f t="shared" ca="1" si="8"/>
        <v>0</v>
      </c>
      <c r="W54" s="138">
        <f t="shared" ca="1" si="9"/>
        <v>0</v>
      </c>
      <c r="X54" s="138">
        <f t="shared" ca="1" si="10"/>
        <v>0</v>
      </c>
      <c r="Y54" s="138">
        <f t="shared" ca="1" si="11"/>
        <v>0</v>
      </c>
      <c r="Z54" s="138">
        <f t="shared" ca="1" si="12"/>
        <v>0</v>
      </c>
      <c r="AA54" s="139">
        <f t="shared" ca="1" si="13"/>
        <v>0.5</v>
      </c>
      <c r="AB54" s="140">
        <f t="shared" ca="1" si="14"/>
        <v>1</v>
      </c>
      <c r="AC54" s="140">
        <f t="shared" ca="1" si="15"/>
        <v>2</v>
      </c>
      <c r="AD54" s="141">
        <f t="shared" ca="1" si="61"/>
        <v>0.5</v>
      </c>
      <c r="AE54" s="141">
        <f t="shared" ca="1" si="62"/>
        <v>1</v>
      </c>
      <c r="AF54" s="141">
        <f t="shared" si="63"/>
        <v>0</v>
      </c>
      <c r="AG54" s="141">
        <f t="shared" si="64"/>
        <v>0</v>
      </c>
      <c r="AH54" s="142">
        <f t="shared" si="65"/>
        <v>0</v>
      </c>
      <c r="AI54" s="141">
        <f t="shared" si="66"/>
        <v>0</v>
      </c>
      <c r="AJ54" s="141">
        <f t="shared" ca="1" si="67"/>
        <v>1.5</v>
      </c>
      <c r="AK54" s="141">
        <f t="shared" ca="1" si="68"/>
        <v>2</v>
      </c>
      <c r="AL54" s="137" t="str">
        <f t="shared" si="69"/>
        <v/>
      </c>
      <c r="AM54" s="137" t="str">
        <f t="shared" si="16"/>
        <v>Work not yet Started.</v>
      </c>
      <c r="AN54" s="137" t="str">
        <f t="shared" ca="1" si="17"/>
        <v/>
      </c>
      <c r="AO54" s="137" t="str">
        <f t="shared" ca="1" si="18"/>
        <v/>
      </c>
      <c r="AP54" s="137" t="str">
        <f t="shared" ca="1" si="19"/>
        <v/>
      </c>
      <c r="AQ54" s="137" t="str">
        <f t="shared" ca="1" si="20"/>
        <v/>
      </c>
    </row>
    <row r="55" spans="1:43" s="143" customFormat="1" ht="15.5" x14ac:dyDescent="0.35">
      <c r="A55" s="132" t="s">
        <v>357</v>
      </c>
      <c r="B55" s="133" t="s">
        <v>391</v>
      </c>
      <c r="C55" s="134">
        <f ca="1">--TRIM(RIGHT(SUBSTITUTE(LEFT(B55,_xlfn.AGGREGATE(16,6,FIND({0,1,2,3,4,5,6,7,8,9},B55,ROW(INDIRECT("1:"&amp;LEN(B55)))),1))," ",REPT(" ",LEN(B55))),LEN(B55)))</f>
        <v>2</v>
      </c>
      <c r="D55" s="135">
        <v>0</v>
      </c>
      <c r="E55" s="135">
        <v>0</v>
      </c>
      <c r="F55" s="135">
        <v>0</v>
      </c>
      <c r="G55" s="135">
        <v>0</v>
      </c>
      <c r="H55" s="135">
        <v>0</v>
      </c>
      <c r="I55" s="135">
        <v>0</v>
      </c>
      <c r="J55" s="135">
        <v>0</v>
      </c>
      <c r="K55" s="135">
        <v>0</v>
      </c>
      <c r="L55" s="135">
        <v>0</v>
      </c>
      <c r="M55" s="135">
        <v>0</v>
      </c>
      <c r="N55" s="136">
        <f t="shared" ca="1" si="0"/>
        <v>0</v>
      </c>
      <c r="O55" s="136">
        <f t="shared" ca="1" si="1"/>
        <v>0</v>
      </c>
      <c r="P55" s="137" t="str">
        <f t="shared" ca="1" si="2"/>
        <v xml:space="preserve">Work not yet Started. </v>
      </c>
      <c r="Q55" s="138">
        <f t="shared" ca="1" si="3"/>
        <v>0</v>
      </c>
      <c r="R55" s="138">
        <f t="shared" ca="1" si="4"/>
        <v>0</v>
      </c>
      <c r="S55" s="138">
        <f t="shared" ca="1" si="5"/>
        <v>0</v>
      </c>
      <c r="T55" s="138">
        <f t="shared" ca="1" si="6"/>
        <v>0</v>
      </c>
      <c r="U55" s="138">
        <f t="shared" ca="1" si="7"/>
        <v>0</v>
      </c>
      <c r="V55" s="138">
        <f t="shared" ca="1" si="8"/>
        <v>0</v>
      </c>
      <c r="W55" s="138">
        <f t="shared" ca="1" si="9"/>
        <v>0</v>
      </c>
      <c r="X55" s="138">
        <f t="shared" ca="1" si="10"/>
        <v>0</v>
      </c>
      <c r="Y55" s="138">
        <f t="shared" ca="1" si="11"/>
        <v>0</v>
      </c>
      <c r="Z55" s="138">
        <f t="shared" ca="1" si="12"/>
        <v>0</v>
      </c>
      <c r="AA55" s="139">
        <f t="shared" ca="1" si="13"/>
        <v>0.5</v>
      </c>
      <c r="AB55" s="140">
        <f t="shared" ca="1" si="14"/>
        <v>1</v>
      </c>
      <c r="AC55" s="140">
        <f t="shared" ca="1" si="15"/>
        <v>2</v>
      </c>
      <c r="AD55" s="141">
        <f t="shared" ref="AD55:AD57" ca="1" si="70">(IF(M41&gt;1,(C55/(M41+2)),C55/4))</f>
        <v>0.5</v>
      </c>
      <c r="AE55" s="141">
        <f t="shared" ref="AE55:AE57" ca="1" si="71">(IF(M41&gt;1,(C55/(M41+2)+AD55),C55/4+AD55))</f>
        <v>1</v>
      </c>
      <c r="AF55" s="141">
        <f t="shared" ref="AF55:AF57" si="72">(IF(M41&gt;1,(C55/(M41+2)+AE55),0))</f>
        <v>0</v>
      </c>
      <c r="AG55" s="141">
        <f t="shared" ref="AG55:AG57" si="73">(IF(M41&gt;2,(C55/(M41+2)+AF55),0))</f>
        <v>0</v>
      </c>
      <c r="AH55" s="142">
        <f t="shared" ref="AH55:AH57" si="74">(IF(M41&gt;3,(C55/(M41+2)+AG55),0))</f>
        <v>0</v>
      </c>
      <c r="AI55" s="141">
        <f t="shared" ref="AI55:AI57" si="75">(IF(M41&gt;4,(C55/(M41+2)+AH55),0))</f>
        <v>0</v>
      </c>
      <c r="AJ55" s="141">
        <f t="shared" ref="AJ55:AJ57" ca="1" si="76">(IF(M41=1,(C55/(M41+3)+AE55),IF(M41=0,(C55/4+AE55),IF(M41&gt;1,0))))</f>
        <v>1.5</v>
      </c>
      <c r="AK55" s="141">
        <f t="shared" ref="AK55:AK57" ca="1" si="77">(IF(M41&gt;1.5,(C55/(M41+2)+AE55+MAX(0,AF55-AE55)+MAX(0,AG55-AF55)+MAX(0,AH55-AG55)+MAX(0,AI55-AH55)+MAX(0,AJ55-AI55)),IF(M41=1,(C55/(M41+3)+AJ55),IF(M41=0,C55/4+AJ55))))</f>
        <v>2</v>
      </c>
      <c r="AL55" s="137" t="str">
        <f>(IF(W123=(1+T123),"",IF(W123&gt;0,", RCC upto "&amp;W123&amp;" Slab","")))&amp;(IF(X123=T123,"",IF(X123&gt;0,", Brickwork upto "&amp;X123&amp;" Floor","")))&amp;(IF(Y123=T123,"",IF(Y123&gt;0,", Internal Plaster upto "&amp;Y123&amp;" Floor","")))&amp;(IF(Z123=T123,"",IF(Z123&gt;0,", External Plaster upto "&amp;Z123&amp;" Floor","")))&amp;(IF(AA123=T123,"",IF(AA123&gt;0,", Flooring upto "&amp;AA123&amp;" Floor","")))&amp;(IF(AB123=T123,"",IF(AB123&gt;0,", Painting upto "&amp;AB123&amp;" Floor","")))&amp;(IF(AC123=T123,"",IF(AC123&gt;0,", Finishing upto "&amp;AC123&amp;" Floor","")))&amp;(IF(AD123=T123,"",IF(AD123&gt;0,", Possession upto "&amp;AD123&amp;" Floor","")))</f>
        <v/>
      </c>
      <c r="AM55" s="137" t="str">
        <f t="shared" si="16"/>
        <v>Work not yet Started.</v>
      </c>
      <c r="AN55" s="137" t="str">
        <f t="shared" ca="1" si="17"/>
        <v/>
      </c>
      <c r="AO55" s="137" t="str">
        <f t="shared" ca="1" si="18"/>
        <v/>
      </c>
      <c r="AP55" s="137" t="str">
        <f t="shared" ca="1" si="19"/>
        <v/>
      </c>
      <c r="AQ55" s="137" t="str">
        <f t="shared" ca="1" si="20"/>
        <v/>
      </c>
    </row>
    <row r="56" spans="1:43" s="143" customFormat="1" ht="15.5" x14ac:dyDescent="0.35">
      <c r="A56" s="132" t="s">
        <v>358</v>
      </c>
      <c r="B56" s="133" t="s">
        <v>391</v>
      </c>
      <c r="C56" s="134">
        <f ca="1">--TRIM(RIGHT(SUBSTITUTE(LEFT(B56,_xlfn.AGGREGATE(16,6,FIND({0,1,2,3,4,5,6,7,8,9},B56,ROW(INDIRECT("1:"&amp;LEN(B56)))),1))," ",REPT(" ",LEN(B56))),LEN(B56)))</f>
        <v>2</v>
      </c>
      <c r="D56" s="135">
        <v>2</v>
      </c>
      <c r="E56" s="135">
        <v>2</v>
      </c>
      <c r="F56" s="144">
        <v>3</v>
      </c>
      <c r="G56" s="144">
        <v>1.5</v>
      </c>
      <c r="H56" s="148">
        <v>0</v>
      </c>
      <c r="I56" s="148">
        <v>0</v>
      </c>
      <c r="J56" s="135">
        <v>0</v>
      </c>
      <c r="K56" s="135">
        <v>0</v>
      </c>
      <c r="L56" s="135">
        <v>0</v>
      </c>
      <c r="M56" s="135">
        <v>0</v>
      </c>
      <c r="N56" s="136">
        <f t="shared" ca="1" si="0"/>
        <v>0.55625000000000002</v>
      </c>
      <c r="O56" s="136">
        <f t="shared" ca="1" si="1"/>
        <v>0.78749999999999998</v>
      </c>
      <c r="P56" s="137" t="str">
        <f t="shared" ca="1" si="2"/>
        <v>Excavation, Plinth, RCC Slab Completed, Brickwork upto 1.5 Floor Completed</v>
      </c>
      <c r="Q56" s="138">
        <f t="shared" ca="1" si="3"/>
        <v>1</v>
      </c>
      <c r="R56" s="138">
        <f t="shared" ca="1" si="4"/>
        <v>1</v>
      </c>
      <c r="S56" s="138">
        <f t="shared" ca="1" si="5"/>
        <v>1</v>
      </c>
      <c r="T56" s="138">
        <f t="shared" ca="1" si="6"/>
        <v>0.75</v>
      </c>
      <c r="U56" s="138">
        <f t="shared" ca="1" si="7"/>
        <v>0</v>
      </c>
      <c r="V56" s="138">
        <f t="shared" ca="1" si="8"/>
        <v>0</v>
      </c>
      <c r="W56" s="138">
        <f t="shared" ca="1" si="9"/>
        <v>0</v>
      </c>
      <c r="X56" s="138">
        <f t="shared" ca="1" si="10"/>
        <v>0</v>
      </c>
      <c r="Y56" s="138">
        <f t="shared" ca="1" si="11"/>
        <v>0</v>
      </c>
      <c r="Z56" s="138">
        <f t="shared" ca="1" si="12"/>
        <v>0</v>
      </c>
      <c r="AA56" s="139">
        <f t="shared" ca="1" si="13"/>
        <v>0.5</v>
      </c>
      <c r="AB56" s="140">
        <f t="shared" ca="1" si="14"/>
        <v>1</v>
      </c>
      <c r="AC56" s="140">
        <f t="shared" ca="1" si="15"/>
        <v>2</v>
      </c>
      <c r="AD56" s="141">
        <f t="shared" ca="1" si="70"/>
        <v>0.5</v>
      </c>
      <c r="AE56" s="141">
        <f t="shared" ca="1" si="71"/>
        <v>1</v>
      </c>
      <c r="AF56" s="141">
        <f t="shared" si="72"/>
        <v>0</v>
      </c>
      <c r="AG56" s="141">
        <f t="shared" si="73"/>
        <v>0</v>
      </c>
      <c r="AH56" s="142">
        <f t="shared" si="74"/>
        <v>0</v>
      </c>
      <c r="AI56" s="141">
        <f t="shared" si="75"/>
        <v>0</v>
      </c>
      <c r="AJ56" s="141">
        <f t="shared" ca="1" si="76"/>
        <v>1.5</v>
      </c>
      <c r="AK56" s="141">
        <f t="shared" ca="1" si="77"/>
        <v>2</v>
      </c>
      <c r="AL56" s="137" t="str">
        <f>(IF(W124=(1+T124),"",IF(W124&gt;0,", RCC upto "&amp;W124&amp;" Slab","")))&amp;(IF(X124=T124,"",IF(X124&gt;0,", Brickwork upto "&amp;X124&amp;" Floor","")))&amp;(IF(Y124=T124,"",IF(Y124&gt;0,", Internal Plaster upto "&amp;Y124&amp;" Floor","")))&amp;(IF(Z124=T124,"",IF(Z124&gt;0,", External Plaster upto "&amp;Z124&amp;" Floor","")))&amp;(IF(AA124=T124,"",IF(AA124&gt;0,", Flooring upto "&amp;AA124&amp;" Floor","")))&amp;(IF(AB124=T124,"",IF(AB124&gt;0,", Painting upto "&amp;AB124&amp;" Floor","")))&amp;(IF(AC124=T124,"",IF(AC124&gt;0,", Finishing upto "&amp;AC124&amp;" Floor","")))&amp;(IF(AD124=T124,"",IF(AD124&gt;0,", Possession upto "&amp;AD124&amp;" Floor","")))</f>
        <v/>
      </c>
      <c r="AM56" s="137" t="str">
        <f t="shared" ca="1" si="16"/>
        <v/>
      </c>
      <c r="AN56" s="137" t="str">
        <f t="shared" ca="1" si="17"/>
        <v>, Brickwork upto 1.5 Floor</v>
      </c>
      <c r="AO56" s="137" t="str">
        <f t="shared" ca="1" si="18"/>
        <v>Excavation, Plinth, RCC Slab</v>
      </c>
      <c r="AP56" s="137" t="str">
        <f t="shared" ca="1" si="19"/>
        <v xml:space="preserve"> Completed</v>
      </c>
      <c r="AQ56" s="137" t="str">
        <f t="shared" ca="1" si="20"/>
        <v>Completed</v>
      </c>
    </row>
    <row r="57" spans="1:43" s="143" customFormat="1" ht="15.5" x14ac:dyDescent="0.35">
      <c r="A57" s="132" t="s">
        <v>359</v>
      </c>
      <c r="B57" s="133" t="s">
        <v>391</v>
      </c>
      <c r="C57" s="134">
        <f ca="1">--TRIM(RIGHT(SUBSTITUTE(LEFT(B57,_xlfn.AGGREGATE(16,6,FIND({0,1,2,3,4,5,6,7,8,9},B57,ROW(INDIRECT("1:"&amp;LEN(B57)))),1))," ",REPT(" ",LEN(B57))),LEN(B57)))</f>
        <v>2</v>
      </c>
      <c r="D57" s="135">
        <v>0</v>
      </c>
      <c r="E57" s="135">
        <v>0</v>
      </c>
      <c r="F57" s="135">
        <v>0</v>
      </c>
      <c r="G57" s="135">
        <v>0</v>
      </c>
      <c r="H57" s="135">
        <v>0</v>
      </c>
      <c r="I57" s="135">
        <v>0</v>
      </c>
      <c r="J57" s="135">
        <v>0</v>
      </c>
      <c r="K57" s="135">
        <v>0</v>
      </c>
      <c r="L57" s="135">
        <v>0</v>
      </c>
      <c r="M57" s="135">
        <v>0</v>
      </c>
      <c r="N57" s="136">
        <f t="shared" ca="1" si="0"/>
        <v>0</v>
      </c>
      <c r="O57" s="136">
        <f t="shared" ca="1" si="1"/>
        <v>0</v>
      </c>
      <c r="P57" s="137" t="str">
        <f t="shared" ca="1" si="2"/>
        <v xml:space="preserve">Work not yet Started. </v>
      </c>
      <c r="Q57" s="138">
        <f t="shared" ca="1" si="3"/>
        <v>0</v>
      </c>
      <c r="R57" s="138">
        <f t="shared" ca="1" si="4"/>
        <v>0</v>
      </c>
      <c r="S57" s="138">
        <f t="shared" ca="1" si="5"/>
        <v>0</v>
      </c>
      <c r="T57" s="138">
        <f t="shared" ca="1" si="6"/>
        <v>0</v>
      </c>
      <c r="U57" s="138">
        <f t="shared" ca="1" si="7"/>
        <v>0</v>
      </c>
      <c r="V57" s="138">
        <f t="shared" ca="1" si="8"/>
        <v>0</v>
      </c>
      <c r="W57" s="138">
        <f t="shared" ca="1" si="9"/>
        <v>0</v>
      </c>
      <c r="X57" s="138">
        <f t="shared" ca="1" si="10"/>
        <v>0</v>
      </c>
      <c r="Y57" s="138">
        <f t="shared" ca="1" si="11"/>
        <v>0</v>
      </c>
      <c r="Z57" s="138">
        <f t="shared" ca="1" si="12"/>
        <v>0</v>
      </c>
      <c r="AA57" s="139">
        <f t="shared" ca="1" si="13"/>
        <v>0.5</v>
      </c>
      <c r="AB57" s="140">
        <f t="shared" ca="1" si="14"/>
        <v>1</v>
      </c>
      <c r="AC57" s="140">
        <f t="shared" ca="1" si="15"/>
        <v>2</v>
      </c>
      <c r="AD57" s="141">
        <f t="shared" ca="1" si="70"/>
        <v>0.5</v>
      </c>
      <c r="AE57" s="141">
        <f t="shared" ca="1" si="71"/>
        <v>1</v>
      </c>
      <c r="AF57" s="141">
        <f t="shared" si="72"/>
        <v>0</v>
      </c>
      <c r="AG57" s="141">
        <f t="shared" si="73"/>
        <v>0</v>
      </c>
      <c r="AH57" s="142">
        <f t="shared" si="74"/>
        <v>0</v>
      </c>
      <c r="AI57" s="141">
        <f t="shared" si="75"/>
        <v>0</v>
      </c>
      <c r="AJ57" s="141">
        <f t="shared" ca="1" si="76"/>
        <v>1.5</v>
      </c>
      <c r="AK57" s="141">
        <f t="shared" ca="1" si="77"/>
        <v>2</v>
      </c>
      <c r="AL57" s="137" t="str">
        <f>(IF(W125=(1+T125),"",IF(W125&gt;0,", RCC upto "&amp;W125&amp;" Slab","")))&amp;(IF(X125=T125,"",IF(X125&gt;0,", Brickwork upto "&amp;X125&amp;" Floor","")))&amp;(IF(Y125=T125,"",IF(Y125&gt;0,", Internal Plaster upto "&amp;Y125&amp;" Floor","")))&amp;(IF(Z125=T125,"",IF(Z125&gt;0,", External Plaster upto "&amp;Z125&amp;" Floor","")))&amp;(IF(AA125=T125,"",IF(AA125&gt;0,", Flooring upto "&amp;AA125&amp;" Floor","")))&amp;(IF(AB125=T125,"",IF(AB125&gt;0,", Painting upto "&amp;AB125&amp;" Floor","")))&amp;(IF(AC125=T125,"",IF(AC125&gt;0,", Finishing upto "&amp;AC125&amp;" Floor","")))&amp;(IF(AD125=T125,"",IF(AD125&gt;0,", Possession upto "&amp;AD125&amp;" Floor","")))</f>
        <v/>
      </c>
      <c r="AM57" s="137" t="str">
        <f t="shared" si="16"/>
        <v>Work not yet Started.</v>
      </c>
      <c r="AN57" s="137" t="str">
        <f t="shared" ca="1" si="17"/>
        <v/>
      </c>
      <c r="AO57" s="137" t="str">
        <f t="shared" ca="1" si="18"/>
        <v/>
      </c>
      <c r="AP57" s="137" t="str">
        <f t="shared" ca="1" si="19"/>
        <v/>
      </c>
      <c r="AQ57" s="137" t="str">
        <f t="shared" ca="1" si="20"/>
        <v/>
      </c>
    </row>
    <row r="60" spans="1:43" ht="15" thickBot="1" x14ac:dyDescent="0.4"/>
    <row r="61" spans="1:43" ht="15" x14ac:dyDescent="0.35">
      <c r="A61" s="171" t="s">
        <v>132</v>
      </c>
      <c r="B61" s="172"/>
      <c r="C61" s="173" t="s">
        <v>382</v>
      </c>
      <c r="D61" s="174"/>
      <c r="E61" s="174"/>
      <c r="F61" s="174"/>
      <c r="G61" s="174"/>
      <c r="H61" s="175"/>
      <c r="I61" s="47" t="str">
        <f ca="1">IF(D74=100%,"All work Completed. Possession granted to the Building.",IF(D73=100%,"All work Completed, Waiting for OC",I62&amp;""&amp;I63&amp;""&amp;J62&amp;""&amp;J61&amp;" "&amp;J63))</f>
        <v xml:space="preserve">Excavation, Plinth, RCC Slab Completed </v>
      </c>
      <c r="J61" s="48" t="str">
        <f ca="1">(IF(C67=(D62+F62+H62),"",IF(C67&gt;0,", RCC upto "&amp;C67&amp;" Slab","")))&amp;(IF(C68=H62,"",IF(C68&gt;0,", Brickwork upto "&amp;C68&amp;" Floor","")))&amp;(IF(C69=H62,"",IF(C69&gt;0,", Internal Plaster upto "&amp;C69&amp;" Floor","")))&amp;(IF(C70=H62,"",IF(C70&gt;0,", External Plaster upto "&amp;C70&amp;" Floor","")))&amp;(IF(C71=H62,"",IF(C71&gt;0,", Flooring upto "&amp;C71&amp;" Floor","")))&amp;(IF(C72=H62,"",IF(C72&gt;0,", Painting upto "&amp;C72&amp;" Floor","")))&amp;(IF(C73=H62,"",IF(C73&gt;0,", Finishing upto "&amp;C73&amp;" Floor","")))&amp;(IF(C74=H62,"",IF(C74&gt;0,", Possession upto "&amp;C74&amp;" Floor","")))</f>
        <v/>
      </c>
      <c r="L61" s="39"/>
      <c r="M61" s="39"/>
      <c r="O61" s="72"/>
      <c r="P61" s="39"/>
      <c r="Q61" s="39"/>
      <c r="R61" s="39"/>
      <c r="S61" s="39"/>
      <c r="T61" s="73"/>
    </row>
    <row r="62" spans="1:43" ht="15.5" x14ac:dyDescent="0.35">
      <c r="A62" s="16" t="s">
        <v>134</v>
      </c>
      <c r="B62" s="116">
        <v>0</v>
      </c>
      <c r="C62" s="110" t="s">
        <v>66</v>
      </c>
      <c r="D62" s="45">
        <v>1</v>
      </c>
      <c r="E62" s="45" t="s">
        <v>65</v>
      </c>
      <c r="F62" s="14">
        <v>0</v>
      </c>
      <c r="G62" s="46" t="s">
        <v>73</v>
      </c>
      <c r="H62" s="17">
        <f ca="1">--TRIM(RIGHT(SUBSTITUTE(LEFT(C61,_xlfn.AGGREGATE(16,6,FIND({0,1,2,3,4,5,6,7,8,9},C61,ROW(INDIRECT("1:"&amp;LEN(C61)))),1))," ",REPT(" ",LEN(C61))),LEN(C61)))</f>
        <v>1</v>
      </c>
      <c r="I62" s="49" t="str">
        <f ca="1">IF(D65=100%,"Excavation","")&amp;IF(D66=100%,", Plinth","")&amp;IF(D67=100%,", RCC Slab","")&amp;IF(D68=100%,", Brickwork","")&amp;IF(D69=100%,", Internal Plaster","")&amp;IF(D70=100%,", External Plaster","")&amp;IF(D71=100%,", Flooring","")&amp;IF(D72=100%,", Painting","")&amp;IF(D73=100%,", Building common Amenities","")</f>
        <v>Excavation, Plinth, RCC Slab</v>
      </c>
      <c r="J62" s="50" t="str">
        <f ca="1">(IF(C65=0,"Work not yet Started.",IF(D65=25%,"Piling work in process",IF(D65=50%,"Excavation work in process",IF(D65=100%,"","0")))))&amp;(IF(C66=0%,"",IF(C66=J67,", Footing work is process",IF(C66=J68,", Footing work Completed",IF(C66=J69,", 1st Basement Completed",IF(C66=J70,", 1st &amp; 2nd Basement Completed",IF(C66=J71,", 1st to 3rd Basement Completed",IF(C66=J72,", 1st to 4th Basement Completed",IF(C66=J73,", Plinth work is process",IF(C66=J74,"","0"))))))))))</f>
        <v/>
      </c>
      <c r="L62" s="74"/>
      <c r="M62" s="75"/>
      <c r="N62" s="74"/>
      <c r="O62" s="74"/>
      <c r="P62" s="74"/>
      <c r="Q62" s="75"/>
      <c r="R62" s="76"/>
    </row>
    <row r="63" spans="1:43" ht="15" x14ac:dyDescent="0.35">
      <c r="A63" s="248" t="s">
        <v>83</v>
      </c>
      <c r="B63" s="249"/>
      <c r="C63" s="278" t="str">
        <f>(IF($G$87="NA",I61,"All work Completed. OC Received."))</f>
        <v>All work Completed. OC Received.</v>
      </c>
      <c r="D63" s="278"/>
      <c r="E63" s="278"/>
      <c r="F63" s="278"/>
      <c r="G63" s="278"/>
      <c r="H63" s="279"/>
      <c r="I63" s="49" t="str">
        <f ca="1">IF(I62&lt;&gt;""," Completed","")</f>
        <v xml:space="preserve"> Completed</v>
      </c>
      <c r="J63" s="50" t="str">
        <f ca="1">IF(J61&lt;&gt;"","Completed","")</f>
        <v/>
      </c>
      <c r="L63" s="77"/>
      <c r="M63" s="77"/>
      <c r="N63" s="78"/>
      <c r="O63" s="78"/>
      <c r="P63" s="79"/>
      <c r="Q63" s="79"/>
      <c r="R63" s="79"/>
      <c r="S63" s="79"/>
    </row>
    <row r="64" spans="1:43" ht="46.5" x14ac:dyDescent="0.35">
      <c r="A64" s="176" t="s">
        <v>46</v>
      </c>
      <c r="B64" s="177"/>
      <c r="C64" s="117" t="s">
        <v>131</v>
      </c>
      <c r="D64" s="42" t="s">
        <v>76</v>
      </c>
      <c r="E64" s="177" t="s">
        <v>78</v>
      </c>
      <c r="F64" s="177"/>
      <c r="G64" s="177" t="s">
        <v>77</v>
      </c>
      <c r="H64" s="239"/>
      <c r="I64" s="13" t="s">
        <v>133</v>
      </c>
      <c r="J64" s="28">
        <f ca="1">H62*25%</f>
        <v>0.25</v>
      </c>
      <c r="L64" s="80"/>
      <c r="M64" s="80"/>
      <c r="N64" s="81"/>
      <c r="O64" s="81"/>
      <c r="P64" s="80"/>
      <c r="Q64" s="80"/>
      <c r="R64" s="80"/>
      <c r="S64" s="80"/>
    </row>
    <row r="65" spans="1:19" ht="15.5" x14ac:dyDescent="0.35">
      <c r="A65" s="176" t="s">
        <v>120</v>
      </c>
      <c r="B65" s="177"/>
      <c r="C65" s="117">
        <f ca="1">J66</f>
        <v>1</v>
      </c>
      <c r="D65" s="19">
        <f ca="1">((100/H62)*C65)/100</f>
        <v>1</v>
      </c>
      <c r="E65" s="240">
        <f ca="1">(((C66/H62*10)+(40/(D62+F62+H62)*C67)+(7.5/(H62)*C68)+(7.5/(H62)*C69)+(10/H62*C70)+(10/H62*C71)+(5/H62*C72)+(5/H62*C73)+(5/H62*C74))/100)</f>
        <v>0.5</v>
      </c>
      <c r="F65" s="241"/>
      <c r="G65" s="240">
        <f ca="1">((((C65/H62)*20)+((C66/H62)*25)+(30/(H62+F62+D62)*C67)+(5/H62*C68)+(5/H62*C69)+(5/H62*C70)+(5/H62*C71)+(0/H62*C72)+(0/H62*C73)+(5/H62*C74))/100)</f>
        <v>0.75</v>
      </c>
      <c r="H65" s="288"/>
      <c r="I65" s="13" t="s">
        <v>93</v>
      </c>
      <c r="J65" s="29">
        <f ca="1">H62*50%</f>
        <v>0.5</v>
      </c>
      <c r="Q65" s="82"/>
      <c r="S65" s="82"/>
    </row>
    <row r="66" spans="1:19" ht="15.5" x14ac:dyDescent="0.35">
      <c r="A66" s="176" t="s">
        <v>47</v>
      </c>
      <c r="B66" s="177"/>
      <c r="C66" s="117">
        <f ca="1">J74</f>
        <v>1</v>
      </c>
      <c r="D66" s="19">
        <f ca="1">((100/H62)*C66)/100</f>
        <v>1</v>
      </c>
      <c r="E66" s="242"/>
      <c r="F66" s="243"/>
      <c r="G66" s="242"/>
      <c r="H66" s="289"/>
      <c r="I66" s="13" t="s">
        <v>94</v>
      </c>
      <c r="J66" s="29">
        <f ca="1">H62</f>
        <v>1</v>
      </c>
      <c r="M66" s="80"/>
      <c r="P66" s="82"/>
      <c r="Q66" s="82"/>
      <c r="R66" s="82"/>
      <c r="S66" s="82"/>
    </row>
    <row r="67" spans="1:19" ht="15.5" x14ac:dyDescent="0.35">
      <c r="A67" s="176" t="s">
        <v>121</v>
      </c>
      <c r="B67" s="177"/>
      <c r="C67" s="117">
        <f ca="1">D62+H62</f>
        <v>2</v>
      </c>
      <c r="D67" s="19">
        <f ca="1">((100/(D62+F62+H62))*C67)/100</f>
        <v>1</v>
      </c>
      <c r="E67" s="242"/>
      <c r="F67" s="243"/>
      <c r="G67" s="242"/>
      <c r="H67" s="289"/>
      <c r="I67" s="13" t="s">
        <v>95</v>
      </c>
      <c r="J67" s="30">
        <f ca="1">(IF(B62&gt;1,(H62/(B62+2)),H62/4))</f>
        <v>0.25</v>
      </c>
      <c r="M67" s="80"/>
      <c r="P67" s="82"/>
      <c r="Q67" s="82"/>
      <c r="R67" s="82"/>
      <c r="S67" s="82"/>
    </row>
    <row r="68" spans="1:19" ht="15.5" x14ac:dyDescent="0.35">
      <c r="A68" s="176" t="s">
        <v>128</v>
      </c>
      <c r="B68" s="177" t="s">
        <v>122</v>
      </c>
      <c r="C68" s="117">
        <v>0</v>
      </c>
      <c r="D68" s="19">
        <f ca="1">((100/H62)*C68)/100</f>
        <v>0</v>
      </c>
      <c r="E68" s="242"/>
      <c r="F68" s="243"/>
      <c r="G68" s="242"/>
      <c r="H68" s="289"/>
      <c r="I68" s="13" t="s">
        <v>96</v>
      </c>
      <c r="J68" s="30">
        <f ca="1">(IF(B62&gt;1,(H62/(B62+2)+J67),H62/4+J67))</f>
        <v>0.5</v>
      </c>
      <c r="M68" s="80"/>
      <c r="P68" s="82"/>
      <c r="Q68" s="82"/>
      <c r="R68" s="82"/>
      <c r="S68" s="82"/>
    </row>
    <row r="69" spans="1:19" ht="15.5" x14ac:dyDescent="0.35">
      <c r="A69" s="176" t="s">
        <v>129</v>
      </c>
      <c r="B69" s="177" t="s">
        <v>122</v>
      </c>
      <c r="C69" s="117">
        <v>0</v>
      </c>
      <c r="D69" s="19">
        <f ca="1">((100/H62)*C69)/100</f>
        <v>0</v>
      </c>
      <c r="E69" s="242"/>
      <c r="F69" s="243"/>
      <c r="G69" s="242"/>
      <c r="H69" s="289"/>
      <c r="I69" s="13" t="s">
        <v>138</v>
      </c>
      <c r="J69" s="30">
        <f>(IF(B62&gt;1,(H62/(B62+2)+J68),0))</f>
        <v>0</v>
      </c>
      <c r="M69" s="80"/>
      <c r="P69" s="82"/>
      <c r="Q69" s="82"/>
      <c r="R69" s="82"/>
      <c r="S69" s="82"/>
    </row>
    <row r="70" spans="1:19" ht="15.5" x14ac:dyDescent="0.35">
      <c r="A70" s="176" t="s">
        <v>127</v>
      </c>
      <c r="B70" s="177" t="s">
        <v>124</v>
      </c>
      <c r="C70" s="117">
        <v>0</v>
      </c>
      <c r="D70" s="19">
        <f ca="1">((100/(H62))*C70)/100</f>
        <v>0</v>
      </c>
      <c r="E70" s="242"/>
      <c r="F70" s="243"/>
      <c r="G70" s="242"/>
      <c r="H70" s="289"/>
      <c r="I70" s="13" t="s">
        <v>135</v>
      </c>
      <c r="J70" s="30">
        <f>(IF(B62&gt;2,(H62/(B62+2)+J69),0))</f>
        <v>0</v>
      </c>
      <c r="M70" s="80"/>
      <c r="P70" s="82"/>
      <c r="Q70" s="82"/>
      <c r="R70" s="82"/>
      <c r="S70" s="82"/>
    </row>
    <row r="71" spans="1:19" ht="15.5" x14ac:dyDescent="0.35">
      <c r="A71" s="176" t="s">
        <v>123</v>
      </c>
      <c r="B71" s="177" t="s">
        <v>123</v>
      </c>
      <c r="C71" s="117">
        <v>0</v>
      </c>
      <c r="D71" s="19">
        <f ca="1">((100/H62)*C71)/100</f>
        <v>0</v>
      </c>
      <c r="E71" s="242"/>
      <c r="F71" s="243"/>
      <c r="G71" s="242"/>
      <c r="H71" s="289"/>
      <c r="I71" s="13" t="s">
        <v>136</v>
      </c>
      <c r="J71" s="31">
        <f>(IF(B62&gt;3,(H62/(B62+2)+J70),0))</f>
        <v>0</v>
      </c>
      <c r="M71" s="80"/>
      <c r="P71" s="82"/>
      <c r="Q71" s="82"/>
      <c r="R71" s="82"/>
      <c r="S71" s="82"/>
    </row>
    <row r="72" spans="1:19" ht="15.5" x14ac:dyDescent="0.35">
      <c r="A72" s="176" t="s">
        <v>130</v>
      </c>
      <c r="B72" s="177"/>
      <c r="C72" s="117">
        <v>0</v>
      </c>
      <c r="D72" s="19">
        <f ca="1">((100/H62)*C72)/100</f>
        <v>0</v>
      </c>
      <c r="E72" s="242"/>
      <c r="F72" s="243"/>
      <c r="G72" s="242"/>
      <c r="H72" s="289"/>
      <c r="I72" s="13" t="s">
        <v>137</v>
      </c>
      <c r="J72" s="30">
        <f>(IF(B62&gt;4,(H62/(B62+2)+J71),0))</f>
        <v>0</v>
      </c>
      <c r="M72" s="80"/>
      <c r="P72" s="82"/>
      <c r="Q72" s="82"/>
      <c r="R72" s="82"/>
      <c r="S72" s="82"/>
    </row>
    <row r="73" spans="1:19" ht="15.5" x14ac:dyDescent="0.35">
      <c r="A73" s="176" t="s">
        <v>125</v>
      </c>
      <c r="B73" s="177" t="s">
        <v>125</v>
      </c>
      <c r="C73" s="117">
        <v>0</v>
      </c>
      <c r="D73" s="19">
        <f ca="1">((100/(H62))*C73)/100</f>
        <v>0</v>
      </c>
      <c r="E73" s="242"/>
      <c r="F73" s="243"/>
      <c r="G73" s="242"/>
      <c r="H73" s="289"/>
      <c r="I73" s="13" t="s">
        <v>139</v>
      </c>
      <c r="J73" s="30">
        <f ca="1">(IF(B62=1,(H62/(B62+3)+J68),IF(B62=0,(H62/4+J68),IF(B62&gt;1,0))))</f>
        <v>0.75</v>
      </c>
      <c r="M73" s="80"/>
      <c r="P73" s="82"/>
      <c r="Q73" s="82"/>
      <c r="R73" s="82"/>
      <c r="S73" s="82"/>
    </row>
    <row r="74" spans="1:19" ht="16" thickBot="1" x14ac:dyDescent="0.4">
      <c r="A74" s="221" t="s">
        <v>126</v>
      </c>
      <c r="B74" s="222"/>
      <c r="C74" s="118">
        <v>0</v>
      </c>
      <c r="D74" s="20">
        <f ca="1">((100/(H62))*C74)/100</f>
        <v>0</v>
      </c>
      <c r="E74" s="244"/>
      <c r="F74" s="245"/>
      <c r="G74" s="244"/>
      <c r="H74" s="290"/>
      <c r="I74" s="15" t="s">
        <v>97</v>
      </c>
      <c r="J74" s="32">
        <f ca="1">(IF(B62&gt;1.5,(H62/(B62+2)+J68+MAX(0,J69-J68)+MAX(0,J70-J69)+MAX(0,J71-J70)+MAX(0,J72-J71)+MAX(0,J73-J72)),IF(B62=1,(H62/(B62+3)+J73),IF(B62=0,H62/4+J73))))</f>
        <v>1</v>
      </c>
      <c r="M74" s="80"/>
      <c r="P74" s="82"/>
      <c r="Q74" s="82"/>
      <c r="R74" s="82"/>
      <c r="S74" s="82"/>
    </row>
  </sheetData>
  <mergeCells count="20">
    <mergeCell ref="A65:B65"/>
    <mergeCell ref="E65:F74"/>
    <mergeCell ref="G65:H74"/>
    <mergeCell ref="A66:B66"/>
    <mergeCell ref="A67:B67"/>
    <mergeCell ref="A68:B68"/>
    <mergeCell ref="A69:B69"/>
    <mergeCell ref="A70:B70"/>
    <mergeCell ref="A71:B71"/>
    <mergeCell ref="A72:B72"/>
    <mergeCell ref="A73:B73"/>
    <mergeCell ref="A74:B74"/>
    <mergeCell ref="C63:H63"/>
    <mergeCell ref="A64:B64"/>
    <mergeCell ref="E64:F64"/>
    <mergeCell ref="G64:H64"/>
    <mergeCell ref="B1:C1"/>
    <mergeCell ref="A61:B61"/>
    <mergeCell ref="C61:H61"/>
    <mergeCell ref="A63:B6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G18" sqref="G18"/>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339" t="s">
        <v>100</v>
      </c>
      <c r="C3" s="339"/>
      <c r="D3" s="339"/>
      <c r="E3" s="339"/>
      <c r="F3" s="339"/>
      <c r="G3" s="339"/>
      <c r="H3" s="339"/>
    </row>
    <row r="4" spans="1:9" x14ac:dyDescent="0.35">
      <c r="A4" s="2"/>
      <c r="B4" s="3" t="s">
        <v>101</v>
      </c>
      <c r="C4" s="3" t="s">
        <v>102</v>
      </c>
      <c r="D4" s="3" t="s">
        <v>64</v>
      </c>
      <c r="E4" s="3" t="s">
        <v>103</v>
      </c>
      <c r="F4" s="3" t="s">
        <v>109</v>
      </c>
      <c r="G4" s="3" t="s">
        <v>110</v>
      </c>
      <c r="H4" s="3" t="s">
        <v>104</v>
      </c>
    </row>
    <row r="5" spans="1:9" ht="15" customHeight="1" x14ac:dyDescent="0.35">
      <c r="A5" s="2"/>
      <c r="B5" s="5" t="s">
        <v>105</v>
      </c>
      <c r="C5" s="6"/>
      <c r="D5" s="5"/>
      <c r="E5" s="5"/>
      <c r="F5" s="7">
        <f>E5*1.6</f>
        <v>0</v>
      </c>
      <c r="G5" s="7" t="e">
        <f>H5/F5</f>
        <v>#DIV/0!</v>
      </c>
      <c r="H5" s="8"/>
    </row>
    <row r="6" spans="1:9" x14ac:dyDescent="0.35">
      <c r="A6" s="2"/>
      <c r="B6" s="5" t="s">
        <v>105</v>
      </c>
      <c r="C6" s="9"/>
      <c r="D6" s="5"/>
      <c r="E6" s="5"/>
      <c r="F6" s="7">
        <f t="shared" ref="F6:F11" si="0">E6*1.6</f>
        <v>0</v>
      </c>
      <c r="G6" s="7" t="e">
        <f t="shared" ref="G6:G11" si="1">H6/F6</f>
        <v>#DIV/0!</v>
      </c>
      <c r="H6" s="8"/>
    </row>
    <row r="7" spans="1:9" ht="15" customHeight="1" x14ac:dyDescent="0.35">
      <c r="A7" s="2"/>
      <c r="B7" s="5" t="s">
        <v>105</v>
      </c>
      <c r="C7" s="6"/>
      <c r="D7" s="5"/>
      <c r="E7" s="5"/>
      <c r="F7" s="7">
        <f t="shared" si="0"/>
        <v>0</v>
      </c>
      <c r="G7" s="7" t="e">
        <f t="shared" si="1"/>
        <v>#DIV/0!</v>
      </c>
      <c r="H7" s="8"/>
    </row>
    <row r="8" spans="1:9" x14ac:dyDescent="0.35">
      <c r="A8" s="2"/>
      <c r="B8" s="5" t="s">
        <v>105</v>
      </c>
      <c r="C8" s="9"/>
      <c r="D8" s="5"/>
      <c r="E8" s="5"/>
      <c r="F8" s="7">
        <f t="shared" si="0"/>
        <v>0</v>
      </c>
      <c r="G8" s="7" t="e">
        <f t="shared" si="1"/>
        <v>#DIV/0!</v>
      </c>
      <c r="H8" s="8"/>
    </row>
    <row r="9" spans="1:9" ht="15" customHeight="1" x14ac:dyDescent="0.35">
      <c r="A9" s="2"/>
      <c r="B9" s="5" t="s">
        <v>105</v>
      </c>
      <c r="C9" s="9"/>
      <c r="D9" s="5"/>
      <c r="E9" s="5"/>
      <c r="F9" s="7">
        <f t="shared" si="0"/>
        <v>0</v>
      </c>
      <c r="G9" s="7" t="e">
        <f t="shared" si="1"/>
        <v>#DIV/0!</v>
      </c>
      <c r="H9" s="8"/>
    </row>
    <row r="10" spans="1:9" ht="15" customHeight="1" x14ac:dyDescent="0.35">
      <c r="A10" s="2"/>
      <c r="B10" s="5" t="s">
        <v>106</v>
      </c>
      <c r="C10" s="6"/>
      <c r="D10" s="5"/>
      <c r="E10" s="5"/>
      <c r="F10" s="7">
        <f t="shared" si="0"/>
        <v>0</v>
      </c>
      <c r="G10" s="7" t="e">
        <f t="shared" si="1"/>
        <v>#DIV/0!</v>
      </c>
      <c r="H10" s="8"/>
    </row>
    <row r="11" spans="1:9" ht="15" customHeight="1" x14ac:dyDescent="0.35">
      <c r="A11" s="2"/>
      <c r="B11" s="5" t="s">
        <v>106</v>
      </c>
      <c r="C11" s="6"/>
      <c r="D11" s="5"/>
      <c r="E11" s="5"/>
      <c r="F11" s="7">
        <f t="shared" si="0"/>
        <v>0</v>
      </c>
      <c r="G11" s="7" t="e">
        <f t="shared" si="1"/>
        <v>#DIV/0!</v>
      </c>
      <c r="H11" s="8"/>
    </row>
    <row r="12" spans="1:9" ht="15" customHeight="1" x14ac:dyDescent="0.35">
      <c r="A12" s="2"/>
      <c r="B12" s="10" t="s">
        <v>107</v>
      </c>
      <c r="C12" s="5"/>
      <c r="D12" s="5"/>
      <c r="E12" s="5"/>
      <c r="F12" s="5"/>
      <c r="G12" s="11" t="e">
        <f>AVERAGE(G5:G11)</f>
        <v>#DIV/0!</v>
      </c>
      <c r="H12" s="5"/>
    </row>
    <row r="13" spans="1:9" ht="15" customHeight="1" x14ac:dyDescent="0.35">
      <c r="B13" s="10" t="s">
        <v>108</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51"/>
      <c r="C4" s="51" t="s">
        <v>11</v>
      </c>
      <c r="D4" s="52" t="s">
        <v>168</v>
      </c>
      <c r="E4" s="52" t="s">
        <v>178</v>
      </c>
      <c r="F4" s="52" t="s">
        <v>164</v>
      </c>
      <c r="G4" s="52" t="s">
        <v>183</v>
      </c>
      <c r="H4" s="52" t="s">
        <v>201</v>
      </c>
      <c r="J4" t="s">
        <v>183</v>
      </c>
      <c r="K4" t="s">
        <v>199</v>
      </c>
    </row>
    <row r="5" spans="2:11" x14ac:dyDescent="0.35">
      <c r="B5" s="51"/>
      <c r="C5" s="51"/>
      <c r="D5" s="52" t="s">
        <v>169</v>
      </c>
      <c r="E5" s="52" t="s">
        <v>176</v>
      </c>
      <c r="F5" s="52" t="s">
        <v>198</v>
      </c>
      <c r="G5" s="52" t="s">
        <v>184</v>
      </c>
      <c r="H5" s="52" t="s">
        <v>202</v>
      </c>
    </row>
    <row r="6" spans="2:11" x14ac:dyDescent="0.35">
      <c r="B6" s="51"/>
      <c r="C6" s="51"/>
      <c r="D6" s="52" t="s">
        <v>170</v>
      </c>
      <c r="E6" s="52" t="s">
        <v>177</v>
      </c>
      <c r="F6" s="52" t="s">
        <v>199</v>
      </c>
      <c r="G6" s="52" t="s">
        <v>185</v>
      </c>
      <c r="H6" s="52" t="s">
        <v>215</v>
      </c>
    </row>
    <row r="7" spans="2:11" x14ac:dyDescent="0.35">
      <c r="B7" s="51"/>
      <c r="C7" s="51"/>
      <c r="D7" s="52" t="s">
        <v>171</v>
      </c>
      <c r="E7" s="52" t="s">
        <v>179</v>
      </c>
      <c r="F7" s="52" t="s">
        <v>200</v>
      </c>
      <c r="G7" s="52" t="s">
        <v>186</v>
      </c>
      <c r="H7" s="52" t="s">
        <v>203</v>
      </c>
    </row>
    <row r="8" spans="2:11" x14ac:dyDescent="0.35">
      <c r="B8" s="51"/>
      <c r="C8" s="51"/>
      <c r="D8" s="52" t="s">
        <v>172</v>
      </c>
      <c r="E8" s="52" t="s">
        <v>180</v>
      </c>
      <c r="F8" s="52"/>
      <c r="G8" s="52" t="s">
        <v>187</v>
      </c>
      <c r="H8" s="52" t="s">
        <v>204</v>
      </c>
    </row>
    <row r="9" spans="2:11" x14ac:dyDescent="0.35">
      <c r="B9" s="51"/>
      <c r="C9" s="51"/>
      <c r="D9" s="52" t="s">
        <v>173</v>
      </c>
      <c r="E9" s="52" t="s">
        <v>178</v>
      </c>
      <c r="F9" s="52"/>
      <c r="G9" s="52" t="s">
        <v>188</v>
      </c>
      <c r="H9" s="52" t="s">
        <v>205</v>
      </c>
    </row>
    <row r="10" spans="2:11" x14ac:dyDescent="0.35">
      <c r="B10" s="51"/>
      <c r="C10" s="51"/>
      <c r="D10" s="52" t="s">
        <v>174</v>
      </c>
      <c r="E10" s="52" t="s">
        <v>181</v>
      </c>
      <c r="F10" s="52"/>
      <c r="G10" s="52" t="s">
        <v>189</v>
      </c>
      <c r="H10" s="52" t="s">
        <v>206</v>
      </c>
    </row>
    <row r="11" spans="2:11" x14ac:dyDescent="0.35">
      <c r="B11" s="51"/>
      <c r="C11" s="51"/>
      <c r="D11" s="52" t="s">
        <v>175</v>
      </c>
      <c r="E11" s="52" t="s">
        <v>182</v>
      </c>
      <c r="F11" s="52"/>
      <c r="G11" s="52" t="s">
        <v>190</v>
      </c>
      <c r="H11" s="52" t="s">
        <v>207</v>
      </c>
    </row>
    <row r="12" spans="2:11" x14ac:dyDescent="0.35">
      <c r="B12" s="51"/>
      <c r="C12" s="51"/>
      <c r="D12" s="52"/>
      <c r="E12" s="52"/>
      <c r="F12" s="52"/>
      <c r="G12" s="52" t="s">
        <v>191</v>
      </c>
      <c r="H12" s="52" t="s">
        <v>208</v>
      </c>
    </row>
    <row r="13" spans="2:11" x14ac:dyDescent="0.35">
      <c r="B13" s="51"/>
      <c r="C13" s="51"/>
      <c r="D13" s="52"/>
      <c r="E13" s="52"/>
      <c r="F13" s="52"/>
      <c r="G13" s="52" t="s">
        <v>192</v>
      </c>
      <c r="H13" s="52" t="s">
        <v>209</v>
      </c>
    </row>
    <row r="14" spans="2:11" x14ac:dyDescent="0.35">
      <c r="B14" s="51"/>
      <c r="C14" s="51"/>
      <c r="D14" s="52"/>
      <c r="E14" s="52"/>
      <c r="F14" s="52"/>
      <c r="G14" s="52" t="s">
        <v>193</v>
      </c>
      <c r="H14" s="52" t="s">
        <v>210</v>
      </c>
    </row>
    <row r="15" spans="2:11" x14ac:dyDescent="0.35">
      <c r="B15" s="51"/>
      <c r="C15" s="51"/>
      <c r="D15" s="52"/>
      <c r="E15" s="52"/>
      <c r="F15" s="52"/>
      <c r="G15" s="52" t="s">
        <v>194</v>
      </c>
      <c r="H15" s="52" t="s">
        <v>211</v>
      </c>
    </row>
    <row r="16" spans="2:11" x14ac:dyDescent="0.35">
      <c r="B16" s="51"/>
      <c r="C16" s="51"/>
      <c r="D16" s="52"/>
      <c r="E16" s="52"/>
      <c r="F16" s="52"/>
      <c r="G16" s="52" t="s">
        <v>195</v>
      </c>
      <c r="H16" s="52" t="s">
        <v>212</v>
      </c>
    </row>
    <row r="17" spans="2:8" x14ac:dyDescent="0.35">
      <c r="B17" s="51"/>
      <c r="C17" s="51"/>
      <c r="D17" s="52"/>
      <c r="E17" s="52"/>
      <c r="F17" s="52"/>
      <c r="G17" s="52" t="s">
        <v>196</v>
      </c>
      <c r="H17" s="52" t="s">
        <v>213</v>
      </c>
    </row>
    <row r="18" spans="2:8" x14ac:dyDescent="0.35">
      <c r="B18" s="51"/>
      <c r="C18" s="51"/>
      <c r="D18" s="52"/>
      <c r="E18" s="52"/>
      <c r="F18" s="52"/>
      <c r="G18" s="52" t="s">
        <v>197</v>
      </c>
      <c r="H18" s="52" t="s">
        <v>214</v>
      </c>
    </row>
    <row r="24" spans="2:8" x14ac:dyDescent="0.35">
      <c r="C24" t="s">
        <v>161</v>
      </c>
    </row>
    <row r="25" spans="2:8" x14ac:dyDescent="0.35">
      <c r="C25" t="s">
        <v>216</v>
      </c>
    </row>
    <row r="26" spans="2:8" x14ac:dyDescent="0.35">
      <c r="C26" t="s">
        <v>217</v>
      </c>
    </row>
    <row r="27" spans="2:8" x14ac:dyDescent="0.35">
      <c r="C27" t="s">
        <v>218</v>
      </c>
    </row>
    <row r="28" spans="2:8" x14ac:dyDescent="0.35">
      <c r="C28" t="s">
        <v>219</v>
      </c>
    </row>
    <row r="29" spans="2:8" x14ac:dyDescent="0.35">
      <c r="C29" t="s">
        <v>220</v>
      </c>
    </row>
    <row r="30" spans="2:8" x14ac:dyDescent="0.35">
      <c r="C30" t="s">
        <v>161</v>
      </c>
    </row>
    <row r="33" spans="3:11" x14ac:dyDescent="0.35">
      <c r="J33">
        <v>1</v>
      </c>
      <c r="K33">
        <v>2</v>
      </c>
    </row>
    <row r="34" spans="3:11" x14ac:dyDescent="0.35">
      <c r="C34" s="53" t="s">
        <v>226</v>
      </c>
      <c r="D34" s="52" t="s">
        <v>224</v>
      </c>
      <c r="E34" s="52" t="s">
        <v>229</v>
      </c>
      <c r="F34" s="52" t="s">
        <v>227</v>
      </c>
      <c r="G34" s="52" t="s">
        <v>228</v>
      </c>
      <c r="H34" s="52" t="s">
        <v>230</v>
      </c>
      <c r="J34" t="s">
        <v>183</v>
      </c>
      <c r="K34" t="s">
        <v>199</v>
      </c>
    </row>
    <row r="35" spans="3:11" x14ac:dyDescent="0.35">
      <c r="C35" s="51" t="s">
        <v>225</v>
      </c>
      <c r="D35" s="52" t="s">
        <v>162</v>
      </c>
      <c r="E35" s="52" t="s">
        <v>234</v>
      </c>
      <c r="F35" s="52" t="s">
        <v>236</v>
      </c>
      <c r="G35" s="52" t="s">
        <v>238</v>
      </c>
      <c r="H35" s="52"/>
    </row>
    <row r="36" spans="3:11" x14ac:dyDescent="0.35">
      <c r="C36" s="51"/>
      <c r="D36" s="52" t="s">
        <v>231</v>
      </c>
      <c r="E36" s="52" t="s">
        <v>235</v>
      </c>
      <c r="F36" s="52" t="s">
        <v>237</v>
      </c>
      <c r="G36" s="52" t="s">
        <v>239</v>
      </c>
      <c r="H36" s="52"/>
    </row>
    <row r="37" spans="3:11" x14ac:dyDescent="0.35">
      <c r="C37" s="51"/>
      <c r="D37" s="52" t="s">
        <v>232</v>
      </c>
      <c r="E37" s="52"/>
      <c r="F37" s="52"/>
      <c r="G37" s="52" t="s">
        <v>240</v>
      </c>
      <c r="H37" s="52"/>
    </row>
    <row r="38" spans="3:11" x14ac:dyDescent="0.35">
      <c r="C38" s="51"/>
      <c r="D38" s="52" t="s">
        <v>233</v>
      </c>
      <c r="E38" s="52"/>
      <c r="F38" s="52"/>
      <c r="G38" s="52" t="s">
        <v>240</v>
      </c>
      <c r="H38" s="52"/>
    </row>
    <row r="39" spans="3:11" x14ac:dyDescent="0.35">
      <c r="C39" s="51"/>
      <c r="D39" s="52"/>
      <c r="E39" s="52"/>
      <c r="F39" s="52"/>
      <c r="G39" s="52" t="s">
        <v>241</v>
      </c>
      <c r="H39" s="52"/>
    </row>
    <row r="40" spans="3:11" x14ac:dyDescent="0.35">
      <c r="C40" s="51"/>
      <c r="D40" s="52"/>
      <c r="E40" s="52"/>
      <c r="F40" s="52"/>
      <c r="G40" s="52" t="s">
        <v>242</v>
      </c>
      <c r="H40" s="52"/>
    </row>
    <row r="41" spans="3:11" x14ac:dyDescent="0.35">
      <c r="C41" s="51"/>
      <c r="D41" s="52"/>
      <c r="E41" s="52"/>
      <c r="F41" s="52"/>
      <c r="G41" s="52"/>
      <c r="H41" s="52"/>
    </row>
    <row r="43" spans="3:11" x14ac:dyDescent="0.35">
      <c r="C43" t="s">
        <v>243</v>
      </c>
    </row>
    <row r="44" spans="3:11" x14ac:dyDescent="0.35">
      <c r="C44" t="s">
        <v>164</v>
      </c>
      <c r="D44" t="s">
        <v>244</v>
      </c>
    </row>
    <row r="45" spans="3:11" x14ac:dyDescent="0.35">
      <c r="D45" t="s">
        <v>245</v>
      </c>
    </row>
    <row r="46" spans="3:11" x14ac:dyDescent="0.35">
      <c r="D46" t="s">
        <v>246</v>
      </c>
    </row>
    <row r="47" spans="3:11" x14ac:dyDescent="0.35">
      <c r="D47" t="s">
        <v>247</v>
      </c>
    </row>
    <row r="48" spans="3:11" x14ac:dyDescent="0.35">
      <c r="D48" t="s">
        <v>248</v>
      </c>
    </row>
    <row r="49" spans="3:4" x14ac:dyDescent="0.35">
      <c r="C49" t="s">
        <v>168</v>
      </c>
      <c r="D49" t="s">
        <v>249</v>
      </c>
    </row>
    <row r="50" spans="3:4" x14ac:dyDescent="0.35">
      <c r="D50" t="s">
        <v>250</v>
      </c>
    </row>
    <row r="51" spans="3:4" x14ac:dyDescent="0.35">
      <c r="D51" t="s">
        <v>251</v>
      </c>
    </row>
    <row r="52" spans="3:4" x14ac:dyDescent="0.35">
      <c r="D52" t="s">
        <v>254</v>
      </c>
    </row>
    <row r="53" spans="3:4" x14ac:dyDescent="0.35">
      <c r="D53" t="s">
        <v>252</v>
      </c>
    </row>
    <row r="54" spans="3:4" x14ac:dyDescent="0.35">
      <c r="D54" t="s">
        <v>253</v>
      </c>
    </row>
    <row r="55" spans="3:4" x14ac:dyDescent="0.35">
      <c r="D55" t="s">
        <v>255</v>
      </c>
    </row>
    <row r="56" spans="3:4" x14ac:dyDescent="0.35">
      <c r="D56" t="s">
        <v>256</v>
      </c>
    </row>
    <row r="57" spans="3:4" x14ac:dyDescent="0.35">
      <c r="D57" t="s">
        <v>257</v>
      </c>
    </row>
    <row r="58" spans="3:4" x14ac:dyDescent="0.35">
      <c r="D58" t="s">
        <v>259</v>
      </c>
    </row>
    <row r="59" spans="3:4" x14ac:dyDescent="0.35">
      <c r="D59" t="s">
        <v>268</v>
      </c>
    </row>
    <row r="60" spans="3:4" x14ac:dyDescent="0.35">
      <c r="C60" t="s">
        <v>183</v>
      </c>
      <c r="D60" t="s">
        <v>260</v>
      </c>
    </row>
    <row r="61" spans="3:4" x14ac:dyDescent="0.35">
      <c r="D61" t="s">
        <v>258</v>
      </c>
    </row>
    <row r="62" spans="3:4" x14ac:dyDescent="0.35">
      <c r="D62" t="s">
        <v>248</v>
      </c>
    </row>
    <row r="63" spans="3:4" x14ac:dyDescent="0.35">
      <c r="D63" t="s">
        <v>261</v>
      </c>
    </row>
    <row r="64" spans="3:4" x14ac:dyDescent="0.35">
      <c r="D64" t="s">
        <v>262</v>
      </c>
    </row>
    <row r="65" spans="3:4" x14ac:dyDescent="0.35">
      <c r="D65" t="s">
        <v>263</v>
      </c>
    </row>
    <row r="66" spans="3:4" x14ac:dyDescent="0.35">
      <c r="D66" t="s">
        <v>264</v>
      </c>
    </row>
    <row r="67" spans="3:4" x14ac:dyDescent="0.35">
      <c r="C67" t="s">
        <v>178</v>
      </c>
      <c r="D67" t="s">
        <v>265</v>
      </c>
    </row>
    <row r="68" spans="3:4" x14ac:dyDescent="0.35">
      <c r="D68" t="s">
        <v>266</v>
      </c>
    </row>
    <row r="69" spans="3:4" x14ac:dyDescent="0.35">
      <c r="D69" t="s">
        <v>267</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workbookViewId="0">
      <selection activeCell="D22" sqref="D22"/>
    </sheetView>
  </sheetViews>
  <sheetFormatPr defaultRowHeight="14.5" x14ac:dyDescent="0.35"/>
  <cols>
    <col min="2" max="2" width="3" bestFit="1" customWidth="1"/>
    <col min="3" max="3" width="130" customWidth="1"/>
  </cols>
  <sheetData>
    <row r="2" spans="2:3" ht="15" customHeight="1" x14ac:dyDescent="0.35">
      <c r="B2" s="54">
        <v>1</v>
      </c>
      <c r="C2" s="56" t="s">
        <v>272</v>
      </c>
    </row>
    <row r="3" spans="2:3" x14ac:dyDescent="0.35">
      <c r="B3" s="54">
        <v>2</v>
      </c>
      <c r="C3" s="55" t="s">
        <v>273</v>
      </c>
    </row>
    <row r="4" spans="2:3" x14ac:dyDescent="0.35">
      <c r="B4" s="54">
        <v>3</v>
      </c>
      <c r="C4" s="54" t="s">
        <v>274</v>
      </c>
    </row>
    <row r="5" spans="2:3" x14ac:dyDescent="0.35">
      <c r="B5" s="54">
        <v>4</v>
      </c>
      <c r="C5" s="55" t="s">
        <v>275</v>
      </c>
    </row>
    <row r="6" spans="2:3" x14ac:dyDescent="0.35">
      <c r="B6" s="54">
        <v>5</v>
      </c>
      <c r="C6" s="54" t="s">
        <v>276</v>
      </c>
    </row>
    <row r="7" spans="2:3" ht="29" x14ac:dyDescent="0.35">
      <c r="B7" s="54">
        <v>6</v>
      </c>
      <c r="C7" s="55" t="s">
        <v>277</v>
      </c>
    </row>
    <row r="8" spans="2:3" ht="72.5" x14ac:dyDescent="0.35">
      <c r="B8" s="54">
        <v>7</v>
      </c>
      <c r="C8" s="55" t="s">
        <v>278</v>
      </c>
    </row>
    <row r="9" spans="2:3" x14ac:dyDescent="0.35">
      <c r="B9" s="54">
        <v>8</v>
      </c>
      <c r="C9" s="54" t="s">
        <v>279</v>
      </c>
    </row>
    <row r="10" spans="2:3" x14ac:dyDescent="0.35">
      <c r="B10" s="54">
        <v>9</v>
      </c>
      <c r="C10" s="54" t="s">
        <v>280</v>
      </c>
    </row>
    <row r="11" spans="2:3" x14ac:dyDescent="0.35">
      <c r="B11" s="54">
        <v>10</v>
      </c>
      <c r="C11" s="54" t="s">
        <v>281</v>
      </c>
    </row>
    <row r="12" spans="2:3" x14ac:dyDescent="0.35">
      <c r="B12" s="54">
        <v>11</v>
      </c>
      <c r="C12" s="54" t="s">
        <v>282</v>
      </c>
    </row>
    <row r="13" spans="2:3" x14ac:dyDescent="0.35">
      <c r="B13" s="54">
        <v>12</v>
      </c>
      <c r="C13" s="54" t="s">
        <v>283</v>
      </c>
    </row>
    <row r="14" spans="2:3" x14ac:dyDescent="0.35">
      <c r="B14" s="54">
        <v>13</v>
      </c>
      <c r="C14" s="54" t="s">
        <v>284</v>
      </c>
    </row>
    <row r="15" spans="2:3" x14ac:dyDescent="0.35">
      <c r="B15" s="54">
        <v>14</v>
      </c>
      <c r="C15" s="54" t="s">
        <v>274</v>
      </c>
    </row>
    <row r="16" spans="2:3" x14ac:dyDescent="0.35">
      <c r="B16" s="54">
        <v>15</v>
      </c>
      <c r="C16" s="54" t="s">
        <v>287</v>
      </c>
    </row>
    <row r="17" spans="2:3" ht="31.5" customHeight="1" x14ac:dyDescent="0.35">
      <c r="B17" s="60">
        <v>16</v>
      </c>
      <c r="C17" s="62" t="s">
        <v>288</v>
      </c>
    </row>
    <row r="18" spans="2:3" x14ac:dyDescent="0.35">
      <c r="B18" s="61">
        <v>17</v>
      </c>
      <c r="C18" s="62" t="s">
        <v>289</v>
      </c>
    </row>
    <row r="19" spans="2:3" x14ac:dyDescent="0.35">
      <c r="B19" s="60">
        <v>18</v>
      </c>
      <c r="C19" s="54" t="s">
        <v>290</v>
      </c>
    </row>
    <row r="20" spans="2:3" x14ac:dyDescent="0.35">
      <c r="B20" s="61">
        <v>19</v>
      </c>
      <c r="C20" s="54"/>
    </row>
    <row r="21" spans="2:3" x14ac:dyDescent="0.35">
      <c r="B21" s="54">
        <v>20</v>
      </c>
      <c r="C21" s="54"/>
    </row>
    <row r="22" spans="2:3" x14ac:dyDescent="0.35">
      <c r="B22" s="54"/>
      <c r="C22" s="54"/>
    </row>
    <row r="23" spans="2:3" x14ac:dyDescent="0.35">
      <c r="B23" s="54"/>
      <c r="C23" s="54"/>
    </row>
    <row r="24" spans="2:3" x14ac:dyDescent="0.35">
      <c r="B24" s="54"/>
      <c r="C24" s="54"/>
    </row>
    <row r="25" spans="2:3" x14ac:dyDescent="0.35">
      <c r="B25" s="54"/>
      <c r="C25" s="54"/>
    </row>
    <row r="26" spans="2:3" x14ac:dyDescent="0.35">
      <c r="B26" s="54"/>
      <c r="C26" s="54"/>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Construction %</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2025-07-18T12:45:18Z</cp:lastPrinted>
  <dcterms:created xsi:type="dcterms:W3CDTF">2019-07-16T09:29:46Z</dcterms:created>
  <dcterms:modified xsi:type="dcterms:W3CDTF">2025-07-18T12:49:09Z</dcterms:modified>
</cp:coreProperties>
</file>