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Dump\July 2025\16-07-2025\"/>
    </mc:Choice>
  </mc:AlternateContent>
  <bookViews>
    <workbookView xWindow="0" yWindow="0" windowWidth="19200" windowHeight="6640" tabRatio="725"/>
  </bookViews>
  <sheets>
    <sheet name="Report" sheetId="1" r:id="rId1"/>
    <sheet name="Construction %" sheetId="7" r:id="rId2"/>
    <sheet name="valuation" sheetId="5" r:id="rId3"/>
    <sheet name="Research" sheetId="4" r:id="rId4"/>
    <sheet name="Remarks" sheetId="6" r:id="rId5"/>
  </sheets>
  <definedNames>
    <definedName name="_xlnm.Print_Area" localSheetId="0">Report!$A$1:$H$426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3" i="1" l="1"/>
  <c r="I84" i="1"/>
  <c r="K84" i="1" s="1"/>
  <c r="I83" i="1"/>
  <c r="K83" i="1" s="1"/>
  <c r="I82" i="1"/>
  <c r="K82" i="1" s="1"/>
  <c r="I81" i="1"/>
  <c r="K81" i="1" s="1"/>
  <c r="I80" i="1"/>
  <c r="K80" i="1" s="1"/>
  <c r="I79" i="1"/>
  <c r="K79" i="1" s="1"/>
  <c r="I78" i="1"/>
  <c r="K78" i="1" s="1"/>
  <c r="M12" i="1"/>
  <c r="L12" i="1"/>
  <c r="K12" i="1"/>
  <c r="K10" i="1"/>
  <c r="J10" i="1"/>
  <c r="I10" i="1"/>
  <c r="J12" i="1"/>
  <c r="C53" i="1"/>
  <c r="C54" i="1" s="1"/>
  <c r="K85" i="1" l="1"/>
  <c r="G52" i="1"/>
  <c r="F225" i="1"/>
  <c r="C225" i="1"/>
  <c r="D225" i="1" s="1"/>
  <c r="C224" i="1"/>
  <c r="C223" i="1"/>
  <c r="D223" i="1" s="1"/>
  <c r="C222" i="1"/>
  <c r="D222" i="1" s="1"/>
  <c r="F222" i="1"/>
  <c r="F223" i="1"/>
  <c r="F224" i="1"/>
  <c r="F221" i="1"/>
  <c r="C221" i="1"/>
  <c r="D221" i="1" s="1"/>
  <c r="F220" i="1"/>
  <c r="C220" i="1"/>
  <c r="D220" i="1" s="1"/>
  <c r="C219" i="1"/>
  <c r="D219" i="1" s="1"/>
  <c r="C218" i="1"/>
  <c r="D218" i="1" s="1"/>
  <c r="F219" i="1"/>
  <c r="F218" i="1"/>
  <c r="C217" i="1"/>
  <c r="D217" i="1" s="1"/>
  <c r="C216" i="1"/>
  <c r="D216" i="1" s="1"/>
  <c r="F215" i="1"/>
  <c r="F216" i="1"/>
  <c r="F217" i="1"/>
  <c r="C215" i="1"/>
  <c r="D215" i="1" s="1"/>
  <c r="F214" i="1"/>
  <c r="C214" i="1"/>
  <c r="D214" i="1" s="1"/>
  <c r="F213" i="1"/>
  <c r="C213" i="1"/>
  <c r="D213" i="1" s="1"/>
  <c r="C212" i="1"/>
  <c r="D212" i="1" s="1"/>
  <c r="C207" i="1"/>
  <c r="D207" i="1" s="1"/>
  <c r="C208" i="1"/>
  <c r="D208" i="1" s="1"/>
  <c r="C209" i="1"/>
  <c r="D209" i="1" s="1"/>
  <c r="C210" i="1"/>
  <c r="D210" i="1" s="1"/>
  <c r="C211" i="1"/>
  <c r="D211" i="1" s="1"/>
  <c r="C206" i="1"/>
  <c r="D206" i="1" s="1"/>
  <c r="C205" i="1"/>
  <c r="D205" i="1" s="1"/>
  <c r="F205" i="1"/>
  <c r="F206" i="1"/>
  <c r="F207" i="1"/>
  <c r="F208" i="1"/>
  <c r="F209" i="1"/>
  <c r="F210" i="1"/>
  <c r="F211" i="1"/>
  <c r="F212" i="1"/>
  <c r="F204" i="1"/>
  <c r="C204" i="1"/>
  <c r="D204" i="1" s="1"/>
  <c r="F203" i="1"/>
  <c r="F202" i="1"/>
  <c r="F201" i="1"/>
  <c r="F200" i="1"/>
  <c r="F199" i="1"/>
  <c r="F198" i="1"/>
  <c r="D203" i="1"/>
  <c r="C200" i="1"/>
  <c r="D200" i="1" s="1"/>
  <c r="C201" i="1"/>
  <c r="D201" i="1" s="1"/>
  <c r="C202" i="1"/>
  <c r="D202" i="1" s="1"/>
  <c r="C199" i="1"/>
  <c r="C198" i="1"/>
  <c r="D198" i="1" s="1"/>
  <c r="F197" i="1"/>
  <c r="C197" i="1"/>
  <c r="C193" i="1"/>
  <c r="D193" i="1" s="1"/>
  <c r="C194" i="1"/>
  <c r="D194" i="1" s="1"/>
  <c r="C195" i="1"/>
  <c r="D195" i="1" s="1"/>
  <c r="C196" i="1"/>
  <c r="D196" i="1" s="1"/>
  <c r="C192" i="1"/>
  <c r="D192" i="1" s="1"/>
  <c r="F192" i="1"/>
  <c r="F193" i="1"/>
  <c r="F194" i="1"/>
  <c r="F195" i="1"/>
  <c r="F196" i="1"/>
  <c r="F191" i="1"/>
  <c r="C191" i="1"/>
  <c r="D191" i="1" s="1"/>
  <c r="D199" i="1"/>
  <c r="C186" i="1"/>
  <c r="C187" i="1"/>
  <c r="C188" i="1"/>
  <c r="C189" i="1"/>
  <c r="C190" i="1"/>
  <c r="C185" i="1"/>
  <c r="C184" i="1"/>
  <c r="F184" i="1"/>
  <c r="F185" i="1"/>
  <c r="F186" i="1"/>
  <c r="F187" i="1"/>
  <c r="F188" i="1"/>
  <c r="F189" i="1"/>
  <c r="F190" i="1"/>
  <c r="F183" i="1"/>
  <c r="C183" i="1"/>
  <c r="C182" i="1"/>
  <c r="C177" i="1"/>
  <c r="C178" i="1"/>
  <c r="C179" i="1"/>
  <c r="C180" i="1"/>
  <c r="C181" i="1"/>
  <c r="F177" i="1"/>
  <c r="F178" i="1"/>
  <c r="F179" i="1"/>
  <c r="F180" i="1"/>
  <c r="F181" i="1"/>
  <c r="F182" i="1"/>
  <c r="F176" i="1"/>
  <c r="C176" i="1"/>
  <c r="F175" i="1"/>
  <c r="C175" i="1"/>
  <c r="F174" i="1"/>
  <c r="C174" i="1"/>
  <c r="F173" i="1"/>
  <c r="C173" i="1"/>
  <c r="F169" i="1"/>
  <c r="F170" i="1"/>
  <c r="F171" i="1"/>
  <c r="F172" i="1"/>
  <c r="C169" i="1"/>
  <c r="C170" i="1"/>
  <c r="C171" i="1"/>
  <c r="C172" i="1"/>
  <c r="F168" i="1"/>
  <c r="C168" i="1"/>
  <c r="F167" i="1"/>
  <c r="C167" i="1"/>
  <c r="F166" i="1"/>
  <c r="C166" i="1"/>
  <c r="G151" i="1" l="1"/>
  <c r="D197" i="1"/>
  <c r="C151" i="1"/>
  <c r="G149" i="1"/>
  <c r="C150" i="1"/>
  <c r="C149" i="1"/>
  <c r="L169" i="1"/>
  <c r="G150" i="1"/>
  <c r="K166"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224" i="1"/>
  <c r="C152" i="1" l="1"/>
  <c r="C153" i="1" s="1"/>
  <c r="E151" i="1"/>
  <c r="E150" i="1"/>
  <c r="E149" i="1"/>
  <c r="G152" i="1"/>
  <c r="G153" i="1" s="1"/>
  <c r="C84" i="1"/>
  <c r="B84" i="1"/>
  <c r="A80" i="1"/>
  <c r="A81" i="1"/>
  <c r="A82" i="1"/>
  <c r="A83" i="1"/>
  <c r="A84" i="1"/>
  <c r="A85" i="1"/>
  <c r="A86" i="1"/>
  <c r="A87" i="1"/>
  <c r="A88" i="1"/>
  <c r="A89" i="1"/>
  <c r="A90" i="1"/>
  <c r="A91" i="1"/>
  <c r="A79" i="1"/>
  <c r="AM69" i="7"/>
  <c r="AL69" i="7"/>
  <c r="AI69" i="7"/>
  <c r="AH69" i="7"/>
  <c r="AG69" i="7"/>
  <c r="AF69" i="7"/>
  <c r="AM68" i="7"/>
  <c r="AL68" i="7"/>
  <c r="AI68" i="7"/>
  <c r="AH68" i="7"/>
  <c r="AG68" i="7"/>
  <c r="AF68" i="7"/>
  <c r="AM67" i="7"/>
  <c r="AL67" i="7"/>
  <c r="AI67" i="7"/>
  <c r="AH67" i="7"/>
  <c r="AG67" i="7"/>
  <c r="AF67" i="7"/>
  <c r="AM66" i="7"/>
  <c r="AL66" i="7"/>
  <c r="AI66" i="7"/>
  <c r="AH66" i="7"/>
  <c r="AG66" i="7"/>
  <c r="AF66" i="7"/>
  <c r="AL65" i="7"/>
  <c r="AI65" i="7"/>
  <c r="AH65" i="7"/>
  <c r="AG65" i="7"/>
  <c r="AF65" i="7"/>
  <c r="AL64" i="7"/>
  <c r="AI64" i="7"/>
  <c r="AH64" i="7"/>
  <c r="AG64" i="7"/>
  <c r="AF64" i="7"/>
  <c r="AL63" i="7"/>
  <c r="AI63" i="7"/>
  <c r="AH63" i="7"/>
  <c r="AG63" i="7"/>
  <c r="AF63" i="7"/>
  <c r="AL62" i="7"/>
  <c r="AI62" i="7"/>
  <c r="AH62" i="7"/>
  <c r="AG62" i="7"/>
  <c r="AF62" i="7"/>
  <c r="AL61" i="7"/>
  <c r="AI61" i="7"/>
  <c r="AH61" i="7"/>
  <c r="AG61" i="7"/>
  <c r="AF61" i="7"/>
  <c r="AL60" i="7"/>
  <c r="AI60" i="7"/>
  <c r="AH60" i="7"/>
  <c r="AG60" i="7"/>
  <c r="AF60" i="7"/>
  <c r="AL59" i="7"/>
  <c r="AI59" i="7"/>
  <c r="AH59" i="7"/>
  <c r="AG59" i="7"/>
  <c r="AF59" i="7"/>
  <c r="AL58" i="7"/>
  <c r="AI58" i="7"/>
  <c r="AH58" i="7"/>
  <c r="AG58" i="7"/>
  <c r="AF58" i="7"/>
  <c r="AL57" i="7"/>
  <c r="AI57" i="7"/>
  <c r="AH57" i="7"/>
  <c r="AG57" i="7"/>
  <c r="AF57" i="7"/>
  <c r="AM56" i="7"/>
  <c r="AL56" i="7"/>
  <c r="AI56" i="7"/>
  <c r="AH56" i="7"/>
  <c r="AG56" i="7"/>
  <c r="AF56" i="7"/>
  <c r="AM55" i="7"/>
  <c r="AL55" i="7"/>
  <c r="AI55" i="7"/>
  <c r="AH55" i="7"/>
  <c r="AG55" i="7"/>
  <c r="AF55" i="7"/>
  <c r="AM54" i="7"/>
  <c r="AL54" i="7"/>
  <c r="AI54" i="7"/>
  <c r="AH54" i="7"/>
  <c r="AG54" i="7"/>
  <c r="AF54" i="7"/>
  <c r="AL53" i="7"/>
  <c r="AI53" i="7"/>
  <c r="AH53" i="7"/>
  <c r="AG53" i="7"/>
  <c r="AF53" i="7"/>
  <c r="AL52" i="7"/>
  <c r="AI52" i="7"/>
  <c r="AH52" i="7"/>
  <c r="AG52" i="7"/>
  <c r="AF52" i="7"/>
  <c r="AL51" i="7"/>
  <c r="AI51" i="7"/>
  <c r="AH51" i="7"/>
  <c r="AG51" i="7"/>
  <c r="AF51" i="7"/>
  <c r="AL50" i="7"/>
  <c r="AI50" i="7"/>
  <c r="AH50" i="7"/>
  <c r="AG50" i="7"/>
  <c r="AF50" i="7"/>
  <c r="AL49" i="7"/>
  <c r="AI49" i="7"/>
  <c r="AH49" i="7"/>
  <c r="AG49" i="7"/>
  <c r="AF49" i="7"/>
  <c r="AL48" i="7"/>
  <c r="AI48" i="7"/>
  <c r="AH48" i="7"/>
  <c r="AG48" i="7"/>
  <c r="AF48" i="7"/>
  <c r="AL47" i="7"/>
  <c r="AI47" i="7"/>
  <c r="AH47" i="7"/>
  <c r="AG47" i="7"/>
  <c r="AF47" i="7"/>
  <c r="AL46" i="7"/>
  <c r="AI46" i="7"/>
  <c r="AH46" i="7"/>
  <c r="AG46" i="7"/>
  <c r="AF46" i="7"/>
  <c r="AL45" i="7"/>
  <c r="AI45" i="7"/>
  <c r="AH45" i="7"/>
  <c r="AG45" i="7"/>
  <c r="AF45" i="7"/>
  <c r="AL44" i="7"/>
  <c r="AI44" i="7"/>
  <c r="AH44" i="7"/>
  <c r="AG44" i="7"/>
  <c r="AF44" i="7"/>
  <c r="AL43" i="7"/>
  <c r="AI43" i="7"/>
  <c r="AH43" i="7"/>
  <c r="AG43" i="7"/>
  <c r="AF43" i="7"/>
  <c r="AL42" i="7"/>
  <c r="AI42" i="7"/>
  <c r="AH42" i="7"/>
  <c r="AG42" i="7"/>
  <c r="AF42" i="7"/>
  <c r="AL41" i="7"/>
  <c r="AI41" i="7"/>
  <c r="AH41" i="7"/>
  <c r="AG41" i="7"/>
  <c r="AF41" i="7"/>
  <c r="AL40" i="7"/>
  <c r="AI40" i="7"/>
  <c r="AH40" i="7"/>
  <c r="AG40" i="7"/>
  <c r="AF40" i="7"/>
  <c r="AL39" i="7"/>
  <c r="AI39" i="7"/>
  <c r="AH39" i="7"/>
  <c r="AG39" i="7"/>
  <c r="AF39" i="7"/>
  <c r="AL38" i="7"/>
  <c r="AI38" i="7"/>
  <c r="AH38" i="7"/>
  <c r="AG38" i="7"/>
  <c r="AF38" i="7"/>
  <c r="AL37" i="7"/>
  <c r="AI37" i="7"/>
  <c r="AH37" i="7"/>
  <c r="AG37" i="7"/>
  <c r="AF37" i="7"/>
  <c r="AL36" i="7"/>
  <c r="AI36" i="7"/>
  <c r="AH36" i="7"/>
  <c r="AG36" i="7"/>
  <c r="AF36" i="7"/>
  <c r="AL35" i="7"/>
  <c r="AI35" i="7"/>
  <c r="AH35" i="7"/>
  <c r="AG35" i="7"/>
  <c r="AF35" i="7"/>
  <c r="AL34" i="7"/>
  <c r="AI34" i="7"/>
  <c r="AH34" i="7"/>
  <c r="AG34" i="7"/>
  <c r="AF34" i="7"/>
  <c r="AL33" i="7"/>
  <c r="AI33" i="7"/>
  <c r="AH33" i="7"/>
  <c r="AG33" i="7"/>
  <c r="AF33" i="7"/>
  <c r="AL32" i="7"/>
  <c r="AI32" i="7"/>
  <c r="AH32" i="7"/>
  <c r="AG32" i="7"/>
  <c r="AF32" i="7"/>
  <c r="AL31" i="7"/>
  <c r="AI31" i="7"/>
  <c r="AH31" i="7"/>
  <c r="AG31" i="7"/>
  <c r="AF31" i="7"/>
  <c r="AL30" i="7"/>
  <c r="AI30" i="7"/>
  <c r="AH30" i="7"/>
  <c r="AG30" i="7"/>
  <c r="AF30" i="7"/>
  <c r="AL29" i="7"/>
  <c r="AI29" i="7"/>
  <c r="AH29" i="7"/>
  <c r="AG29" i="7"/>
  <c r="AF29" i="7"/>
  <c r="AL28" i="7"/>
  <c r="AI28" i="7"/>
  <c r="AH28" i="7"/>
  <c r="AG28" i="7"/>
  <c r="AF28" i="7"/>
  <c r="AL27" i="7"/>
  <c r="AI27" i="7"/>
  <c r="AH27" i="7"/>
  <c r="AG27" i="7"/>
  <c r="AF27" i="7"/>
  <c r="AL26" i="7"/>
  <c r="AI26" i="7"/>
  <c r="AH26" i="7"/>
  <c r="AG26" i="7"/>
  <c r="AF26" i="7"/>
  <c r="AL25" i="7"/>
  <c r="AI25" i="7"/>
  <c r="AH25" i="7"/>
  <c r="AG25" i="7"/>
  <c r="AF25" i="7"/>
  <c r="AN24" i="7"/>
  <c r="AQ24" i="7" s="1"/>
  <c r="AL24" i="7"/>
  <c r="AI24" i="7"/>
  <c r="AH24" i="7"/>
  <c r="AG24" i="7"/>
  <c r="AF24" i="7"/>
  <c r="AD24" i="7"/>
  <c r="AE24" i="7" s="1"/>
  <c r="AJ24" i="7" s="1"/>
  <c r="AK24" i="7" s="1"/>
  <c r="AC24" i="7"/>
  <c r="AB24" i="7"/>
  <c r="AA24" i="7"/>
  <c r="Z24" i="7"/>
  <c r="Y24" i="7"/>
  <c r="X24" i="7"/>
  <c r="W24" i="7"/>
  <c r="V24" i="7"/>
  <c r="U24" i="7"/>
  <c r="T24" i="7"/>
  <c r="S24" i="7"/>
  <c r="R24" i="7"/>
  <c r="Q24" i="7"/>
  <c r="AL23" i="7"/>
  <c r="AI23" i="7"/>
  <c r="AH23" i="7"/>
  <c r="AG23" i="7"/>
  <c r="AF23" i="7"/>
  <c r="AL22" i="7"/>
  <c r="AI22" i="7"/>
  <c r="AH22" i="7"/>
  <c r="AG22" i="7"/>
  <c r="AF22" i="7"/>
  <c r="AM21" i="7"/>
  <c r="AL21" i="7"/>
  <c r="AI21" i="7"/>
  <c r="AH21" i="7"/>
  <c r="AG21" i="7"/>
  <c r="AF21" i="7"/>
  <c r="AM20" i="7"/>
  <c r="AL20" i="7"/>
  <c r="AI20" i="7"/>
  <c r="AH20" i="7"/>
  <c r="AG20" i="7"/>
  <c r="AF20" i="7"/>
  <c r="AL19" i="7"/>
  <c r="AI19" i="7"/>
  <c r="AH19" i="7"/>
  <c r="AG19" i="7"/>
  <c r="AF19" i="7"/>
  <c r="AL18" i="7"/>
  <c r="AI18" i="7"/>
  <c r="AH18" i="7"/>
  <c r="AG18" i="7"/>
  <c r="AF18" i="7"/>
  <c r="AL17" i="7"/>
  <c r="AI17" i="7"/>
  <c r="AH17" i="7"/>
  <c r="AG17" i="7"/>
  <c r="AF17" i="7"/>
  <c r="J12" i="7"/>
  <c r="J11" i="7"/>
  <c r="J10" i="7"/>
  <c r="J9" i="7"/>
  <c r="C3" i="7"/>
  <c r="C36" i="7"/>
  <c r="C25" i="7"/>
  <c r="C18" i="7"/>
  <c r="C37" i="7"/>
  <c r="C23" i="7"/>
  <c r="C22" i="7"/>
  <c r="C34" i="7"/>
  <c r="C38" i="7"/>
  <c r="C30" i="7"/>
  <c r="C26" i="7"/>
  <c r="C33" i="7"/>
  <c r="C17" i="7"/>
  <c r="H2" i="7"/>
  <c r="C32" i="7"/>
  <c r="C28" i="7"/>
  <c r="C29" i="7"/>
  <c r="C31" i="7"/>
  <c r="C27" i="7"/>
  <c r="C21" i="7"/>
  <c r="C20" i="7"/>
  <c r="C35" i="7"/>
  <c r="E152" i="1" l="1"/>
  <c r="E153" i="1" s="1"/>
  <c r="AO24" i="7"/>
  <c r="AP24" i="7" s="1"/>
  <c r="AA35" i="7"/>
  <c r="S35" i="7"/>
  <c r="Z35" i="7"/>
  <c r="R35" i="7"/>
  <c r="Y35" i="7"/>
  <c r="Q35" i="7"/>
  <c r="W35" i="7"/>
  <c r="O35" i="7"/>
  <c r="AN35" i="7"/>
  <c r="AQ35" i="7" s="1"/>
  <c r="AD35" i="7"/>
  <c r="AE35" i="7" s="1"/>
  <c r="AJ35" i="7" s="1"/>
  <c r="AK35" i="7" s="1"/>
  <c r="N35" i="7"/>
  <c r="AB35" i="7"/>
  <c r="X35" i="7"/>
  <c r="V35" i="7"/>
  <c r="T35" i="7"/>
  <c r="U35" i="7"/>
  <c r="AC35" i="7"/>
  <c r="AB18" i="7"/>
  <c r="T18" i="7"/>
  <c r="Y18" i="7"/>
  <c r="AA18" i="7"/>
  <c r="S18" i="7"/>
  <c r="R18" i="7"/>
  <c r="Q18" i="7"/>
  <c r="Z18" i="7"/>
  <c r="W18" i="7"/>
  <c r="U18" i="7"/>
  <c r="X18" i="7"/>
  <c r="AN18" i="7"/>
  <c r="AQ18" i="7" s="1"/>
  <c r="O18" i="7"/>
  <c r="V18" i="7"/>
  <c r="AD18" i="7"/>
  <c r="AE18" i="7" s="1"/>
  <c r="AJ18" i="7" s="1"/>
  <c r="AK18" i="7" s="1"/>
  <c r="N18" i="7"/>
  <c r="AC18" i="7"/>
  <c r="AB29" i="7"/>
  <c r="T29" i="7"/>
  <c r="AA29" i="7"/>
  <c r="S29" i="7"/>
  <c r="Y29" i="7"/>
  <c r="Q29" i="7"/>
  <c r="W29" i="7"/>
  <c r="U29" i="7"/>
  <c r="AN29" i="7"/>
  <c r="AQ29" i="7" s="1"/>
  <c r="R29" i="7"/>
  <c r="N29" i="7"/>
  <c r="B89" i="1" s="1"/>
  <c r="AD29" i="7"/>
  <c r="AE29" i="7" s="1"/>
  <c r="AJ29" i="7" s="1"/>
  <c r="AK29" i="7" s="1"/>
  <c r="Z29" i="7"/>
  <c r="AC29" i="7"/>
  <c r="O29" i="7"/>
  <c r="C89" i="1" s="1"/>
  <c r="V29" i="7"/>
  <c r="X29" i="7"/>
  <c r="D14" i="7"/>
  <c r="D10" i="7"/>
  <c r="J6" i="7"/>
  <c r="C5" i="7" s="1"/>
  <c r="D5" i="7" s="1"/>
  <c r="J4" i="7"/>
  <c r="D9" i="7"/>
  <c r="D13" i="7"/>
  <c r="J5" i="7"/>
  <c r="J7" i="7"/>
  <c r="J8" i="7" s="1"/>
  <c r="J13" i="7" s="1"/>
  <c r="J14" i="7" s="1"/>
  <c r="C6" i="7" s="1"/>
  <c r="C7" i="7"/>
  <c r="J1" i="7" s="1"/>
  <c r="J3" i="7" s="1"/>
  <c r="D12" i="7"/>
  <c r="D8" i="7"/>
  <c r="D11" i="7"/>
  <c r="AB23" i="7"/>
  <c r="T23" i="7"/>
  <c r="Y23" i="7"/>
  <c r="Q23" i="7"/>
  <c r="AN23" i="7"/>
  <c r="AQ23" i="7" s="1"/>
  <c r="X23" i="7"/>
  <c r="AD23" i="7"/>
  <c r="AE23" i="7" s="1"/>
  <c r="AJ23" i="7" s="1"/>
  <c r="AK23" i="7" s="1"/>
  <c r="V23" i="7"/>
  <c r="N23" i="7"/>
  <c r="B83" i="1" s="1"/>
  <c r="W23" i="7"/>
  <c r="O23" i="7"/>
  <c r="C83" i="1" s="1"/>
  <c r="U23" i="7"/>
  <c r="S23" i="7"/>
  <c r="R23" i="7"/>
  <c r="AC23" i="7"/>
  <c r="AA23" i="7"/>
  <c r="Z23" i="7"/>
  <c r="AA17" i="7"/>
  <c r="S17" i="7"/>
  <c r="Q17" i="7"/>
  <c r="AN17" i="7"/>
  <c r="AQ17" i="7" s="1"/>
  <c r="Z17" i="7"/>
  <c r="P17" i="7" s="1"/>
  <c r="R17" i="7"/>
  <c r="Y17" i="7"/>
  <c r="X17" i="7"/>
  <c r="AD17" i="7"/>
  <c r="AE17" i="7" s="1"/>
  <c r="AJ17" i="7" s="1"/>
  <c r="AK17" i="7" s="1"/>
  <c r="N17" i="7"/>
  <c r="AC17" i="7"/>
  <c r="AB17" i="7"/>
  <c r="W17" i="7"/>
  <c r="V17" i="7"/>
  <c r="U17" i="7"/>
  <c r="T17" i="7"/>
  <c r="O17" i="7"/>
  <c r="Z21" i="7"/>
  <c r="R21" i="7"/>
  <c r="W21" i="7"/>
  <c r="O21" i="7"/>
  <c r="C81" i="1" s="1"/>
  <c r="AB21" i="7"/>
  <c r="T21" i="7"/>
  <c r="AD21" i="7"/>
  <c r="AE21" i="7" s="1"/>
  <c r="AJ21" i="7" s="1"/>
  <c r="AK21" i="7" s="1"/>
  <c r="V21" i="7"/>
  <c r="N21" i="7"/>
  <c r="B81" i="1" s="1"/>
  <c r="AC21" i="7"/>
  <c r="U21" i="7"/>
  <c r="Q21" i="7"/>
  <c r="AA21" i="7"/>
  <c r="AN21" i="7"/>
  <c r="AQ21" i="7" s="1"/>
  <c r="Y21" i="7"/>
  <c r="X21" i="7"/>
  <c r="S21" i="7"/>
  <c r="AA28" i="7"/>
  <c r="S28" i="7"/>
  <c r="Z28" i="7"/>
  <c r="R28" i="7"/>
  <c r="AN28" i="7"/>
  <c r="AQ28" i="7" s="1"/>
  <c r="X28" i="7"/>
  <c r="U28" i="7"/>
  <c r="AD28" i="7"/>
  <c r="AE28" i="7" s="1"/>
  <c r="AJ28" i="7" s="1"/>
  <c r="AK28" i="7" s="1"/>
  <c r="Q28" i="7"/>
  <c r="AC28" i="7"/>
  <c r="O28" i="7"/>
  <c r="C88" i="1" s="1"/>
  <c r="AB28" i="7"/>
  <c r="N28" i="7"/>
  <c r="B88" i="1" s="1"/>
  <c r="W28" i="7"/>
  <c r="Y28" i="7"/>
  <c r="T28" i="7"/>
  <c r="V28" i="7"/>
  <c r="AA22" i="7"/>
  <c r="S22" i="7"/>
  <c r="AN22" i="7"/>
  <c r="AQ22" i="7" s="1"/>
  <c r="X22" i="7"/>
  <c r="W22" i="7"/>
  <c r="O22" i="7"/>
  <c r="C82" i="1" s="1"/>
  <c r="AC22" i="7"/>
  <c r="U22" i="7"/>
  <c r="AD22" i="7"/>
  <c r="AE22" i="7" s="1"/>
  <c r="AJ22" i="7" s="1"/>
  <c r="AK22" i="7" s="1"/>
  <c r="V22" i="7"/>
  <c r="N22" i="7"/>
  <c r="B82" i="1" s="1"/>
  <c r="R22" i="7"/>
  <c r="Q22" i="7"/>
  <c r="Z22" i="7"/>
  <c r="T22" i="7"/>
  <c r="AB22" i="7"/>
  <c r="Y22" i="7"/>
  <c r="Y34" i="7"/>
  <c r="Q34" i="7"/>
  <c r="AN34" i="7"/>
  <c r="AQ34" i="7" s="1"/>
  <c r="X34" i="7"/>
  <c r="AD34" i="7"/>
  <c r="AE34" i="7" s="1"/>
  <c r="AJ34" i="7" s="1"/>
  <c r="AK34" i="7" s="1"/>
  <c r="V34" i="7"/>
  <c r="N34" i="7"/>
  <c r="W34" i="7"/>
  <c r="T34" i="7"/>
  <c r="S34" i="7"/>
  <c r="AC34" i="7"/>
  <c r="R34" i="7"/>
  <c r="AA34" i="7"/>
  <c r="Z34" i="7"/>
  <c r="AB34" i="7"/>
  <c r="O34" i="7"/>
  <c r="U34" i="7"/>
  <c r="AD20" i="7"/>
  <c r="AE20" i="7" s="1"/>
  <c r="AJ20" i="7" s="1"/>
  <c r="AK20" i="7" s="1"/>
  <c r="V20" i="7"/>
  <c r="N20" i="7"/>
  <c r="B80" i="1" s="1"/>
  <c r="AC20" i="7"/>
  <c r="U20" i="7"/>
  <c r="AA20" i="7"/>
  <c r="AB20" i="7"/>
  <c r="T20" i="7"/>
  <c r="S20" i="7"/>
  <c r="AN20" i="7"/>
  <c r="AQ20" i="7" s="1"/>
  <c r="Z20" i="7"/>
  <c r="Y20" i="7"/>
  <c r="O20" i="7"/>
  <c r="C80" i="1" s="1"/>
  <c r="X20" i="7"/>
  <c r="W20" i="7"/>
  <c r="R20" i="7"/>
  <c r="Q20" i="7"/>
  <c r="AB42" i="7"/>
  <c r="T42" i="7"/>
  <c r="Z42" i="7"/>
  <c r="R42" i="7"/>
  <c r="Y42" i="7"/>
  <c r="Q42" i="7"/>
  <c r="AN42" i="7"/>
  <c r="AQ42" i="7" s="1"/>
  <c r="X42" i="7"/>
  <c r="AD42" i="7"/>
  <c r="AE42" i="7" s="1"/>
  <c r="AJ42" i="7" s="1"/>
  <c r="AK42" i="7" s="1"/>
  <c r="V42" i="7"/>
  <c r="AA42" i="7"/>
  <c r="W42" i="7"/>
  <c r="U42" i="7"/>
  <c r="S42" i="7"/>
  <c r="AC42" i="7"/>
  <c r="AB47" i="7"/>
  <c r="T47" i="7"/>
  <c r="AN47" i="7"/>
  <c r="AQ47" i="7" s="1"/>
  <c r="X47" i="7"/>
  <c r="W47" i="7"/>
  <c r="AD47" i="7"/>
  <c r="AE47" i="7" s="1"/>
  <c r="AJ47" i="7" s="1"/>
  <c r="AK47" i="7" s="1"/>
  <c r="V47" i="7"/>
  <c r="Y47" i="7"/>
  <c r="U47" i="7"/>
  <c r="S47" i="7"/>
  <c r="R47" i="7"/>
  <c r="Q47" i="7"/>
  <c r="AC47" i="7"/>
  <c r="AA47" i="7"/>
  <c r="Z47" i="7"/>
  <c r="AN25" i="7"/>
  <c r="AQ25" i="7" s="1"/>
  <c r="X25" i="7"/>
  <c r="W25" i="7"/>
  <c r="O25" i="7"/>
  <c r="C85" i="1" s="1"/>
  <c r="AC25" i="7"/>
  <c r="U25" i="7"/>
  <c r="AD25" i="7"/>
  <c r="AE25" i="7" s="1"/>
  <c r="AJ25" i="7" s="1"/>
  <c r="AK25" i="7" s="1"/>
  <c r="S25" i="7"/>
  <c r="AB25" i="7"/>
  <c r="R25" i="7"/>
  <c r="AA25" i="7"/>
  <c r="Q25" i="7"/>
  <c r="Y25" i="7"/>
  <c r="Z25" i="7"/>
  <c r="N25" i="7"/>
  <c r="B85" i="1" s="1"/>
  <c r="V25" i="7"/>
  <c r="T25" i="7"/>
  <c r="AC19" i="7"/>
  <c r="U19" i="7"/>
  <c r="R19" i="7"/>
  <c r="AB19" i="7"/>
  <c r="T19" i="7"/>
  <c r="AA19" i="7"/>
  <c r="S19" i="7"/>
  <c r="Z19" i="7"/>
  <c r="Q19" i="7"/>
  <c r="O19" i="7"/>
  <c r="C79" i="1" s="1"/>
  <c r="AN19" i="7"/>
  <c r="AQ19" i="7" s="1"/>
  <c r="AD19" i="7"/>
  <c r="AE19" i="7" s="1"/>
  <c r="AJ19" i="7" s="1"/>
  <c r="AK19" i="7" s="1"/>
  <c r="N19" i="7"/>
  <c r="B79" i="1" s="1"/>
  <c r="Y19" i="7"/>
  <c r="V19" i="7"/>
  <c r="X19" i="7"/>
  <c r="W19" i="7"/>
  <c r="Z27" i="7"/>
  <c r="R27" i="7"/>
  <c r="Y27" i="7"/>
  <c r="Q27" i="7"/>
  <c r="W27" i="7"/>
  <c r="O27" i="7"/>
  <c r="C87" i="1" s="1"/>
  <c r="AC27" i="7"/>
  <c r="AA27" i="7"/>
  <c r="X27" i="7"/>
  <c r="V27" i="7"/>
  <c r="T27" i="7"/>
  <c r="U27" i="7"/>
  <c r="AD27" i="7"/>
  <c r="AE27" i="7" s="1"/>
  <c r="AJ27" i="7" s="1"/>
  <c r="AK27" i="7" s="1"/>
  <c r="AN27" i="7"/>
  <c r="AQ27" i="7" s="1"/>
  <c r="AB27" i="7"/>
  <c r="N27" i="7"/>
  <c r="B87" i="1" s="1"/>
  <c r="S27" i="7"/>
  <c r="Z40" i="7"/>
  <c r="R40" i="7"/>
  <c r="AN40" i="7"/>
  <c r="AQ40" i="7" s="1"/>
  <c r="X40" i="7"/>
  <c r="W40" i="7"/>
  <c r="AD40" i="7"/>
  <c r="AE40" i="7" s="1"/>
  <c r="AJ40" i="7" s="1"/>
  <c r="AK40" i="7" s="1"/>
  <c r="V40" i="7"/>
  <c r="AB40" i="7"/>
  <c r="T40" i="7"/>
  <c r="S40" i="7"/>
  <c r="Q40" i="7"/>
  <c r="AC40" i="7"/>
  <c r="AA40" i="7"/>
  <c r="U40" i="7"/>
  <c r="Y40" i="7"/>
  <c r="Y26" i="7"/>
  <c r="Q26" i="7"/>
  <c r="AN26" i="7"/>
  <c r="AQ26" i="7" s="1"/>
  <c r="X26" i="7"/>
  <c r="AD26" i="7"/>
  <c r="AE26" i="7" s="1"/>
  <c r="AJ26" i="7" s="1"/>
  <c r="AK26" i="7" s="1"/>
  <c r="V26" i="7"/>
  <c r="N26" i="7"/>
  <c r="B86" i="1" s="1"/>
  <c r="AA26" i="7"/>
  <c r="W26" i="7"/>
  <c r="U26" i="7"/>
  <c r="T26" i="7"/>
  <c r="AC26" i="7"/>
  <c r="R26" i="7"/>
  <c r="S26" i="7"/>
  <c r="Z26" i="7"/>
  <c r="AB26" i="7"/>
  <c r="O26" i="7"/>
  <c r="C86" i="1" s="1"/>
  <c r="W32" i="7"/>
  <c r="O32" i="7"/>
  <c r="AD32" i="7"/>
  <c r="AE32" i="7" s="1"/>
  <c r="AJ32" i="7" s="1"/>
  <c r="AK32" i="7" s="1"/>
  <c r="V32" i="7"/>
  <c r="N32" i="7"/>
  <c r="AB32" i="7"/>
  <c r="T32" i="7"/>
  <c r="Z32" i="7"/>
  <c r="Y32" i="7"/>
  <c r="U32" i="7"/>
  <c r="S32" i="7"/>
  <c r="AN32" i="7"/>
  <c r="AQ32" i="7" s="1"/>
  <c r="R32" i="7"/>
  <c r="AC32" i="7"/>
  <c r="Q32" i="7"/>
  <c r="AA32" i="7"/>
  <c r="X32" i="7"/>
  <c r="AB36" i="7"/>
  <c r="T36" i="7"/>
  <c r="AA36" i="7"/>
  <c r="S36" i="7"/>
  <c r="Z36" i="7"/>
  <c r="R36" i="7"/>
  <c r="AN36" i="7"/>
  <c r="AQ36" i="7" s="1"/>
  <c r="X36" i="7"/>
  <c r="AC36" i="7"/>
  <c r="Y36" i="7"/>
  <c r="V36" i="7"/>
  <c r="U36" i="7"/>
  <c r="Q36" i="7"/>
  <c r="AD36" i="7"/>
  <c r="AE36" i="7" s="1"/>
  <c r="AJ36" i="7" s="1"/>
  <c r="AK36" i="7" s="1"/>
  <c r="O36" i="7"/>
  <c r="N36" i="7"/>
  <c r="W36" i="7"/>
  <c r="AN33" i="7"/>
  <c r="AQ33" i="7" s="1"/>
  <c r="X33" i="7"/>
  <c r="W33" i="7"/>
  <c r="O33" i="7"/>
  <c r="AC33" i="7"/>
  <c r="U33" i="7"/>
  <c r="S33" i="7"/>
  <c r="AD33" i="7"/>
  <c r="AE33" i="7" s="1"/>
  <c r="AJ33" i="7" s="1"/>
  <c r="AK33" i="7" s="1"/>
  <c r="R33" i="7"/>
  <c r="AA33" i="7"/>
  <c r="N33" i="7"/>
  <c r="Z33" i="7"/>
  <c r="Y33" i="7"/>
  <c r="V33" i="7"/>
  <c r="T33" i="7"/>
  <c r="AB33" i="7"/>
  <c r="Q33" i="7"/>
  <c r="AA41" i="7"/>
  <c r="S41" i="7"/>
  <c r="Y41" i="7"/>
  <c r="Q41" i="7"/>
  <c r="AN41" i="7"/>
  <c r="AQ41" i="7" s="1"/>
  <c r="X41" i="7"/>
  <c r="W41" i="7"/>
  <c r="AC41" i="7"/>
  <c r="U41" i="7"/>
  <c r="V41" i="7"/>
  <c r="T41" i="7"/>
  <c r="R41" i="7"/>
  <c r="AD41" i="7"/>
  <c r="AE41" i="7" s="1"/>
  <c r="AJ41" i="7" s="1"/>
  <c r="AK41" i="7" s="1"/>
  <c r="Z41" i="7"/>
  <c r="AB41" i="7"/>
  <c r="AN51" i="7"/>
  <c r="AQ51" i="7" s="1"/>
  <c r="X51" i="7"/>
  <c r="AD51" i="7"/>
  <c r="AE51" i="7" s="1"/>
  <c r="AJ51" i="7" s="1"/>
  <c r="AK51" i="7" s="1"/>
  <c r="V51" i="7"/>
  <c r="AB51" i="7"/>
  <c r="T51" i="7"/>
  <c r="AA51" i="7"/>
  <c r="S51" i="7"/>
  <c r="Z51" i="7"/>
  <c r="R51" i="7"/>
  <c r="AC51" i="7"/>
  <c r="Y51" i="7"/>
  <c r="W51" i="7"/>
  <c r="U51" i="7"/>
  <c r="Q51" i="7"/>
  <c r="AB63" i="7"/>
  <c r="T63" i="7"/>
  <c r="AA63" i="7"/>
  <c r="S63" i="7"/>
  <c r="Z63" i="7"/>
  <c r="R63" i="7"/>
  <c r="Y63" i="7"/>
  <c r="Q63" i="7"/>
  <c r="AN63" i="7"/>
  <c r="AQ63" i="7" s="1"/>
  <c r="X63" i="7"/>
  <c r="W63" i="7"/>
  <c r="AD63" i="7"/>
  <c r="AE63" i="7" s="1"/>
  <c r="AJ63" i="7" s="1"/>
  <c r="AK63" i="7" s="1"/>
  <c r="V63" i="7"/>
  <c r="AC63" i="7"/>
  <c r="U63" i="7"/>
  <c r="AD31" i="7"/>
  <c r="AE31" i="7" s="1"/>
  <c r="AJ31" i="7" s="1"/>
  <c r="AK31" i="7" s="1"/>
  <c r="V31" i="7"/>
  <c r="N31" i="7"/>
  <c r="B91" i="1" s="1"/>
  <c r="AC31" i="7"/>
  <c r="U31" i="7"/>
  <c r="AA31" i="7"/>
  <c r="S31" i="7"/>
  <c r="T31" i="7"/>
  <c r="AN31" i="7"/>
  <c r="AQ31" i="7" s="1"/>
  <c r="Q31" i="7"/>
  <c r="AB31" i="7"/>
  <c r="Z31" i="7"/>
  <c r="O31" i="7"/>
  <c r="C91" i="1" s="1"/>
  <c r="X31" i="7"/>
  <c r="Y31" i="7"/>
  <c r="W31" i="7"/>
  <c r="R31" i="7"/>
  <c r="Y39" i="7"/>
  <c r="Q39" i="7"/>
  <c r="W39" i="7"/>
  <c r="AD39" i="7"/>
  <c r="AE39" i="7" s="1"/>
  <c r="AJ39" i="7" s="1"/>
  <c r="AK39" i="7" s="1"/>
  <c r="V39" i="7"/>
  <c r="AC39" i="7"/>
  <c r="U39" i="7"/>
  <c r="AA39" i="7"/>
  <c r="S39" i="7"/>
  <c r="AB39" i="7"/>
  <c r="AN39" i="7"/>
  <c r="AQ39" i="7" s="1"/>
  <c r="Z39" i="7"/>
  <c r="X39" i="7"/>
  <c r="R39" i="7"/>
  <c r="T39" i="7"/>
  <c r="AD49" i="7"/>
  <c r="AE49" i="7" s="1"/>
  <c r="AJ49" i="7" s="1"/>
  <c r="AK49" i="7" s="1"/>
  <c r="V49" i="7"/>
  <c r="AB49" i="7"/>
  <c r="T49" i="7"/>
  <c r="Z49" i="7"/>
  <c r="R49" i="7"/>
  <c r="Y49" i="7"/>
  <c r="Q49" i="7"/>
  <c r="AN49" i="7"/>
  <c r="AQ49" i="7" s="1"/>
  <c r="X49" i="7"/>
  <c r="W49" i="7"/>
  <c r="U49" i="7"/>
  <c r="S49" i="7"/>
  <c r="AC49" i="7"/>
  <c r="AA49" i="7"/>
  <c r="AC30" i="7"/>
  <c r="U30" i="7"/>
  <c r="AB30" i="7"/>
  <c r="T30" i="7"/>
  <c r="Z30" i="7"/>
  <c r="R30" i="7"/>
  <c r="AA30" i="7"/>
  <c r="O30" i="7"/>
  <c r="C90" i="1" s="1"/>
  <c r="X30" i="7"/>
  <c r="W30" i="7"/>
  <c r="AN30" i="7"/>
  <c r="AQ30" i="7" s="1"/>
  <c r="V30" i="7"/>
  <c r="S30" i="7"/>
  <c r="Q30" i="7"/>
  <c r="AD30" i="7"/>
  <c r="AE30" i="7" s="1"/>
  <c r="AJ30" i="7" s="1"/>
  <c r="AK30" i="7" s="1"/>
  <c r="Y30" i="7"/>
  <c r="N30" i="7"/>
  <c r="B90" i="1" s="1"/>
  <c r="AN38" i="7"/>
  <c r="AQ38" i="7" s="1"/>
  <c r="X38" i="7"/>
  <c r="AD38" i="7"/>
  <c r="AE38" i="7" s="1"/>
  <c r="AJ38" i="7" s="1"/>
  <c r="AK38" i="7" s="1"/>
  <c r="V38" i="7"/>
  <c r="N38" i="7"/>
  <c r="AC38" i="7"/>
  <c r="U38" i="7"/>
  <c r="AB38" i="7"/>
  <c r="T38" i="7"/>
  <c r="Z38" i="7"/>
  <c r="R38" i="7"/>
  <c r="AA38" i="7"/>
  <c r="Y38" i="7"/>
  <c r="W38" i="7"/>
  <c r="S38" i="7"/>
  <c r="O38" i="7"/>
  <c r="Q38" i="7"/>
  <c r="AB55" i="7"/>
  <c r="T55" i="7"/>
  <c r="AA55" i="7"/>
  <c r="S55" i="7"/>
  <c r="Z55" i="7"/>
  <c r="R55" i="7"/>
  <c r="AN55" i="7"/>
  <c r="AQ55" i="7" s="1"/>
  <c r="X55" i="7"/>
  <c r="W55" i="7"/>
  <c r="AD55" i="7"/>
  <c r="AE55" i="7" s="1"/>
  <c r="AJ55" i="7" s="1"/>
  <c r="AK55" i="7" s="1"/>
  <c r="V55" i="7"/>
  <c r="Y55" i="7"/>
  <c r="U55" i="7"/>
  <c r="Q55" i="7"/>
  <c r="AC55" i="7"/>
  <c r="W37" i="7"/>
  <c r="O37" i="7"/>
  <c r="AC37" i="7"/>
  <c r="U37" i="7"/>
  <c r="AB37" i="7"/>
  <c r="T37" i="7"/>
  <c r="AA37" i="7"/>
  <c r="S37" i="7"/>
  <c r="Y37" i="7"/>
  <c r="Q37" i="7"/>
  <c r="Z37" i="7"/>
  <c r="AN37" i="7"/>
  <c r="AQ37" i="7" s="1"/>
  <c r="X37" i="7"/>
  <c r="R37" i="7"/>
  <c r="N37" i="7"/>
  <c r="AD37" i="7"/>
  <c r="AE37" i="7" s="1"/>
  <c r="AJ37" i="7" s="1"/>
  <c r="AK37" i="7" s="1"/>
  <c r="V37" i="7"/>
  <c r="AB44" i="7"/>
  <c r="V44" i="7"/>
  <c r="AN44" i="7"/>
  <c r="AQ44" i="7" s="1"/>
  <c r="AD44" i="7"/>
  <c r="AE44" i="7" s="1"/>
  <c r="AJ44" i="7" s="1"/>
  <c r="AK44" i="7" s="1"/>
  <c r="U44" i="7"/>
  <c r="AC44" i="7"/>
  <c r="T44" i="7"/>
  <c r="AA44" i="7"/>
  <c r="S44" i="7"/>
  <c r="Z44" i="7"/>
  <c r="R44" i="7"/>
  <c r="X44" i="7"/>
  <c r="Q44" i="7"/>
  <c r="Y44" i="7"/>
  <c r="W44" i="7"/>
  <c r="AC43" i="7"/>
  <c r="U43" i="7"/>
  <c r="AA43" i="7"/>
  <c r="S43" i="7"/>
  <c r="Z43" i="7"/>
  <c r="R43" i="7"/>
  <c r="Y43" i="7"/>
  <c r="Q43" i="7"/>
  <c r="W43" i="7"/>
  <c r="AB43" i="7"/>
  <c r="AN43" i="7"/>
  <c r="AQ43" i="7" s="1"/>
  <c r="X43" i="7"/>
  <c r="V43" i="7"/>
  <c r="T43" i="7"/>
  <c r="AD43" i="7"/>
  <c r="AE43" i="7" s="1"/>
  <c r="AJ43" i="7" s="1"/>
  <c r="AK43" i="7" s="1"/>
  <c r="W46" i="7"/>
  <c r="AD46" i="7"/>
  <c r="AE46" i="7" s="1"/>
  <c r="AJ46" i="7" s="1"/>
  <c r="AK46" i="7" s="1"/>
  <c r="V46" i="7"/>
  <c r="AC46" i="7"/>
  <c r="U46" i="7"/>
  <c r="AB46" i="7"/>
  <c r="Q46" i="7"/>
  <c r="AN46" i="7"/>
  <c r="AQ46" i="7" s="1"/>
  <c r="AA46" i="7"/>
  <c r="Z46" i="7"/>
  <c r="Y46" i="7"/>
  <c r="X46" i="7"/>
  <c r="S46" i="7"/>
  <c r="T46" i="7"/>
  <c r="R46" i="7"/>
  <c r="AA54" i="7"/>
  <c r="S54" i="7"/>
  <c r="Y54" i="7"/>
  <c r="Q54" i="7"/>
  <c r="W54" i="7"/>
  <c r="AD54" i="7"/>
  <c r="AE54" i="7" s="1"/>
  <c r="AJ54" i="7" s="1"/>
  <c r="AK54" i="7" s="1"/>
  <c r="V54" i="7"/>
  <c r="AC54" i="7"/>
  <c r="U54" i="7"/>
  <c r="R54" i="7"/>
  <c r="AN54" i="7"/>
  <c r="AQ54" i="7" s="1"/>
  <c r="AB54" i="7"/>
  <c r="Z54" i="7"/>
  <c r="X54" i="7"/>
  <c r="T54" i="7"/>
  <c r="AA62" i="7"/>
  <c r="S62" i="7"/>
  <c r="Z62" i="7"/>
  <c r="R62" i="7"/>
  <c r="Y62" i="7"/>
  <c r="Q62" i="7"/>
  <c r="AN62" i="7"/>
  <c r="AQ62" i="7" s="1"/>
  <c r="X62" i="7"/>
  <c r="W62" i="7"/>
  <c r="AD62" i="7"/>
  <c r="AE62" i="7" s="1"/>
  <c r="AJ62" i="7" s="1"/>
  <c r="AK62" i="7" s="1"/>
  <c r="V62" i="7"/>
  <c r="AC62" i="7"/>
  <c r="U62" i="7"/>
  <c r="AB62" i="7"/>
  <c r="T62" i="7"/>
  <c r="AD45" i="7"/>
  <c r="AE45" i="7" s="1"/>
  <c r="AJ45" i="7" s="1"/>
  <c r="AK45" i="7" s="1"/>
  <c r="V45" i="7"/>
  <c r="AC45" i="7"/>
  <c r="U45" i="7"/>
  <c r="AB45" i="7"/>
  <c r="T45" i="7"/>
  <c r="X45" i="7"/>
  <c r="W45" i="7"/>
  <c r="S45" i="7"/>
  <c r="R45" i="7"/>
  <c r="Q45" i="7"/>
  <c r="Z45" i="7"/>
  <c r="AA45" i="7"/>
  <c r="Y45" i="7"/>
  <c r="AN45" i="7"/>
  <c r="AQ45" i="7" s="1"/>
  <c r="Z53" i="7"/>
  <c r="R53" i="7"/>
  <c r="AN53" i="7"/>
  <c r="AQ53" i="7" s="1"/>
  <c r="X53" i="7"/>
  <c r="AD53" i="7"/>
  <c r="AE53" i="7" s="1"/>
  <c r="AJ53" i="7" s="1"/>
  <c r="AK53" i="7" s="1"/>
  <c r="V53" i="7"/>
  <c r="AC53" i="7"/>
  <c r="U53" i="7"/>
  <c r="AB53" i="7"/>
  <c r="T53" i="7"/>
  <c r="AA53" i="7"/>
  <c r="Y53" i="7"/>
  <c r="W53" i="7"/>
  <c r="S53" i="7"/>
  <c r="Q53" i="7"/>
  <c r="Z61" i="7"/>
  <c r="R61" i="7"/>
  <c r="Y61" i="7"/>
  <c r="Q61" i="7"/>
  <c r="AN61" i="7"/>
  <c r="AQ61" i="7" s="1"/>
  <c r="X61" i="7"/>
  <c r="W61" i="7"/>
  <c r="AD61" i="7"/>
  <c r="AE61" i="7" s="1"/>
  <c r="AJ61" i="7" s="1"/>
  <c r="AK61" i="7" s="1"/>
  <c r="V61" i="7"/>
  <c r="AC61" i="7"/>
  <c r="U61" i="7"/>
  <c r="AB61" i="7"/>
  <c r="T61" i="7"/>
  <c r="AA61" i="7"/>
  <c r="S61" i="7"/>
  <c r="Z69" i="7"/>
  <c r="R69" i="7"/>
  <c r="Y69" i="7"/>
  <c r="Q69" i="7"/>
  <c r="AN69" i="7"/>
  <c r="AQ69" i="7" s="1"/>
  <c r="X69" i="7"/>
  <c r="W69" i="7"/>
  <c r="AD69" i="7"/>
  <c r="AE69" i="7" s="1"/>
  <c r="AJ69" i="7" s="1"/>
  <c r="AK69" i="7" s="1"/>
  <c r="V69" i="7"/>
  <c r="AC69" i="7"/>
  <c r="U69" i="7"/>
  <c r="AB69" i="7"/>
  <c r="T69" i="7"/>
  <c r="AA69" i="7"/>
  <c r="S69" i="7"/>
  <c r="Y52" i="7"/>
  <c r="Q52" i="7"/>
  <c r="W52" i="7"/>
  <c r="AC52" i="7"/>
  <c r="U52" i="7"/>
  <c r="AB52" i="7"/>
  <c r="T52" i="7"/>
  <c r="AA52" i="7"/>
  <c r="S52" i="7"/>
  <c r="AD52" i="7"/>
  <c r="AE52" i="7" s="1"/>
  <c r="AJ52" i="7" s="1"/>
  <c r="AK52" i="7" s="1"/>
  <c r="Z52" i="7"/>
  <c r="AN52" i="7"/>
  <c r="AQ52" i="7" s="1"/>
  <c r="X52" i="7"/>
  <c r="V52" i="7"/>
  <c r="R52" i="7"/>
  <c r="Y60" i="7"/>
  <c r="Q60" i="7"/>
  <c r="AN60" i="7"/>
  <c r="AQ60" i="7" s="1"/>
  <c r="X60" i="7"/>
  <c r="W60" i="7"/>
  <c r="AD60" i="7"/>
  <c r="AE60" i="7" s="1"/>
  <c r="AJ60" i="7" s="1"/>
  <c r="AK60" i="7" s="1"/>
  <c r="V60" i="7"/>
  <c r="AC60" i="7"/>
  <c r="U60" i="7"/>
  <c r="AB60" i="7"/>
  <c r="T60" i="7"/>
  <c r="AA60" i="7"/>
  <c r="S60" i="7"/>
  <c r="Z60" i="7"/>
  <c r="R60" i="7"/>
  <c r="Y68" i="7"/>
  <c r="Q68" i="7"/>
  <c r="AN68" i="7"/>
  <c r="AQ68" i="7" s="1"/>
  <c r="X68" i="7"/>
  <c r="W68" i="7"/>
  <c r="AD68" i="7"/>
  <c r="AE68" i="7" s="1"/>
  <c r="AJ68" i="7" s="1"/>
  <c r="AK68" i="7" s="1"/>
  <c r="V68" i="7"/>
  <c r="AC68" i="7"/>
  <c r="U68" i="7"/>
  <c r="AB68" i="7"/>
  <c r="T68" i="7"/>
  <c r="AA68" i="7"/>
  <c r="S68" i="7"/>
  <c r="Z68" i="7"/>
  <c r="R68" i="7"/>
  <c r="AN59" i="7"/>
  <c r="AQ59" i="7" s="1"/>
  <c r="X59" i="7"/>
  <c r="W59" i="7"/>
  <c r="AD59" i="7"/>
  <c r="AE59" i="7" s="1"/>
  <c r="AJ59" i="7" s="1"/>
  <c r="AK59" i="7" s="1"/>
  <c r="V59" i="7"/>
  <c r="AC59" i="7"/>
  <c r="U59" i="7"/>
  <c r="AB59" i="7"/>
  <c r="T59" i="7"/>
  <c r="AA59" i="7"/>
  <c r="S59" i="7"/>
  <c r="Z59" i="7"/>
  <c r="R59" i="7"/>
  <c r="Y59" i="7"/>
  <c r="Q59" i="7"/>
  <c r="AN67" i="7"/>
  <c r="AQ67" i="7" s="1"/>
  <c r="X67" i="7"/>
  <c r="W67" i="7"/>
  <c r="AD67" i="7"/>
  <c r="AE67" i="7" s="1"/>
  <c r="AJ67" i="7" s="1"/>
  <c r="AK67" i="7" s="1"/>
  <c r="V67" i="7"/>
  <c r="AC67" i="7"/>
  <c r="U67" i="7"/>
  <c r="AB67" i="7"/>
  <c r="T67" i="7"/>
  <c r="AA67" i="7"/>
  <c r="S67" i="7"/>
  <c r="Z67" i="7"/>
  <c r="R67" i="7"/>
  <c r="Y67" i="7"/>
  <c r="Q67" i="7"/>
  <c r="W50" i="7"/>
  <c r="AC50" i="7"/>
  <c r="U50" i="7"/>
  <c r="AA50" i="7"/>
  <c r="S50" i="7"/>
  <c r="Z50" i="7"/>
  <c r="R50" i="7"/>
  <c r="Y50" i="7"/>
  <c r="Q50" i="7"/>
  <c r="X50" i="7"/>
  <c r="V50" i="7"/>
  <c r="T50" i="7"/>
  <c r="AD50" i="7"/>
  <c r="AE50" i="7" s="1"/>
  <c r="AJ50" i="7" s="1"/>
  <c r="AK50" i="7" s="1"/>
  <c r="AB50" i="7"/>
  <c r="AN50" i="7"/>
  <c r="AQ50" i="7" s="1"/>
  <c r="W58" i="7"/>
  <c r="AD58" i="7"/>
  <c r="AE58" i="7" s="1"/>
  <c r="AJ58" i="7" s="1"/>
  <c r="AK58" i="7" s="1"/>
  <c r="V58" i="7"/>
  <c r="AC58" i="7"/>
  <c r="U58" i="7"/>
  <c r="AB58" i="7"/>
  <c r="T58" i="7"/>
  <c r="AA58" i="7"/>
  <c r="S58" i="7"/>
  <c r="Z58" i="7"/>
  <c r="R58" i="7"/>
  <c r="Y58" i="7"/>
  <c r="Q58" i="7"/>
  <c r="X58" i="7"/>
  <c r="AN58" i="7"/>
  <c r="AQ58" i="7" s="1"/>
  <c r="W66" i="7"/>
  <c r="AD66" i="7"/>
  <c r="AE66" i="7" s="1"/>
  <c r="AJ66" i="7" s="1"/>
  <c r="AK66" i="7" s="1"/>
  <c r="V66" i="7"/>
  <c r="AC66" i="7"/>
  <c r="U66" i="7"/>
  <c r="AB66" i="7"/>
  <c r="T66" i="7"/>
  <c r="AA66" i="7"/>
  <c r="S66" i="7"/>
  <c r="Z66" i="7"/>
  <c r="R66" i="7"/>
  <c r="Y66" i="7"/>
  <c r="Q66" i="7"/>
  <c r="X66" i="7"/>
  <c r="AN66" i="7"/>
  <c r="AQ66" i="7" s="1"/>
  <c r="AD57" i="7"/>
  <c r="AE57" i="7" s="1"/>
  <c r="AJ57" i="7" s="1"/>
  <c r="AK57" i="7" s="1"/>
  <c r="V57" i="7"/>
  <c r="AC57" i="7"/>
  <c r="U57" i="7"/>
  <c r="AB57" i="7"/>
  <c r="T57" i="7"/>
  <c r="Z57" i="7"/>
  <c r="R57" i="7"/>
  <c r="Y57" i="7"/>
  <c r="Q57" i="7"/>
  <c r="AN57" i="7"/>
  <c r="AQ57" i="7" s="1"/>
  <c r="X57" i="7"/>
  <c r="W57" i="7"/>
  <c r="S57" i="7"/>
  <c r="AA57" i="7"/>
  <c r="AD65" i="7"/>
  <c r="AE65" i="7" s="1"/>
  <c r="AJ65" i="7" s="1"/>
  <c r="AK65" i="7" s="1"/>
  <c r="V65" i="7"/>
  <c r="AC65" i="7"/>
  <c r="U65" i="7"/>
  <c r="AB65" i="7"/>
  <c r="T65" i="7"/>
  <c r="AA65" i="7"/>
  <c r="S65" i="7"/>
  <c r="Z65" i="7"/>
  <c r="R65" i="7"/>
  <c r="Y65" i="7"/>
  <c r="Q65" i="7"/>
  <c r="AN65" i="7"/>
  <c r="AQ65" i="7" s="1"/>
  <c r="X65" i="7"/>
  <c r="W65" i="7"/>
  <c r="AC48" i="7"/>
  <c r="U48" i="7"/>
  <c r="AA48" i="7"/>
  <c r="Y48" i="7"/>
  <c r="Q48" i="7"/>
  <c r="AN48" i="7"/>
  <c r="AQ48" i="7" s="1"/>
  <c r="X48" i="7"/>
  <c r="W48" i="7"/>
  <c r="T48" i="7"/>
  <c r="S48" i="7"/>
  <c r="R48" i="7"/>
  <c r="AD48" i="7"/>
  <c r="AE48" i="7" s="1"/>
  <c r="AJ48" i="7" s="1"/>
  <c r="AK48" i="7" s="1"/>
  <c r="AB48" i="7"/>
  <c r="Z48" i="7"/>
  <c r="V48" i="7"/>
  <c r="AC56" i="7"/>
  <c r="U56" i="7"/>
  <c r="AB56" i="7"/>
  <c r="T56" i="7"/>
  <c r="AA56" i="7"/>
  <c r="S56" i="7"/>
  <c r="Y56" i="7"/>
  <c r="Q56" i="7"/>
  <c r="AN56" i="7"/>
  <c r="AQ56" i="7" s="1"/>
  <c r="X56" i="7"/>
  <c r="W56" i="7"/>
  <c r="AD56" i="7"/>
  <c r="AE56" i="7" s="1"/>
  <c r="AJ56" i="7" s="1"/>
  <c r="AK56" i="7" s="1"/>
  <c r="Z56" i="7"/>
  <c r="V56" i="7"/>
  <c r="R56" i="7"/>
  <c r="AC64" i="7"/>
  <c r="U64" i="7"/>
  <c r="AB64" i="7"/>
  <c r="T64" i="7"/>
  <c r="AA64" i="7"/>
  <c r="S64" i="7"/>
  <c r="Z64" i="7"/>
  <c r="R64" i="7"/>
  <c r="Y64" i="7"/>
  <c r="Q64" i="7"/>
  <c r="AN64" i="7"/>
  <c r="AQ64" i="7" s="1"/>
  <c r="X64" i="7"/>
  <c r="W64" i="7"/>
  <c r="AD64" i="7"/>
  <c r="AE64" i="7" s="1"/>
  <c r="AJ64" i="7" s="1"/>
  <c r="AK64" i="7" s="1"/>
  <c r="V64" i="7"/>
  <c r="AM24" i="7"/>
  <c r="P24" i="7" s="1"/>
  <c r="D84" i="1" s="1"/>
  <c r="AM19" i="7" l="1"/>
  <c r="AO67" i="7"/>
  <c r="AP67" i="7" s="1"/>
  <c r="AO54" i="7"/>
  <c r="AP54" i="7" s="1"/>
  <c r="AO20" i="7"/>
  <c r="AP20" i="7" s="1"/>
  <c r="E5" i="7"/>
  <c r="D6" i="7"/>
  <c r="AO56" i="7"/>
  <c r="AP56" i="7" s="1"/>
  <c r="AO48" i="7"/>
  <c r="AP48" i="7" s="1"/>
  <c r="AM48" i="7"/>
  <c r="AO66" i="7"/>
  <c r="AP66" i="7" s="1"/>
  <c r="AO60" i="7"/>
  <c r="AP60" i="7" s="1"/>
  <c r="AM60" i="7"/>
  <c r="AO62" i="7"/>
  <c r="AP62" i="7" s="1"/>
  <c r="AM62" i="7"/>
  <c r="AO43" i="7"/>
  <c r="AP43" i="7" s="1"/>
  <c r="AM43" i="7"/>
  <c r="AO49" i="7"/>
  <c r="AP49" i="7" s="1"/>
  <c r="AM49" i="7"/>
  <c r="AM51" i="7"/>
  <c r="AO51" i="7"/>
  <c r="AP51" i="7" s="1"/>
  <c r="AM32" i="7"/>
  <c r="AO32" i="7"/>
  <c r="AP32" i="7" s="1"/>
  <c r="AM25" i="7"/>
  <c r="AO25" i="7"/>
  <c r="AP25" i="7" s="1"/>
  <c r="AO57" i="7"/>
  <c r="AP57" i="7" s="1"/>
  <c r="AM57" i="7"/>
  <c r="AM47" i="7"/>
  <c r="AO47" i="7"/>
  <c r="AP47" i="7" s="1"/>
  <c r="J2" i="7"/>
  <c r="G5" i="7"/>
  <c r="AO29" i="7"/>
  <c r="AP29" i="7" s="1"/>
  <c r="AM29" i="7"/>
  <c r="AM46" i="7"/>
  <c r="AO46" i="7"/>
  <c r="AP46" i="7" s="1"/>
  <c r="AO55" i="7"/>
  <c r="AP55" i="7" s="1"/>
  <c r="AM40" i="7"/>
  <c r="AO40" i="7"/>
  <c r="AP40" i="7" s="1"/>
  <c r="AM22" i="7"/>
  <c r="AO22" i="7"/>
  <c r="AP22" i="7" s="1"/>
  <c r="AO21" i="7"/>
  <c r="AP21" i="7" s="1"/>
  <c r="AO17" i="7"/>
  <c r="AP17" i="7" s="1"/>
  <c r="AM17" i="7"/>
  <c r="AO64" i="7"/>
  <c r="AP64" i="7" s="1"/>
  <c r="AM64" i="7"/>
  <c r="AO35" i="7"/>
  <c r="AP35" i="7" s="1"/>
  <c r="AM35" i="7"/>
  <c r="AO65" i="7"/>
  <c r="AP65" i="7" s="1"/>
  <c r="AM65" i="7"/>
  <c r="AM58" i="7"/>
  <c r="AO58" i="7"/>
  <c r="AP58" i="7" s="1"/>
  <c r="AO68" i="7"/>
  <c r="AP68" i="7" s="1"/>
  <c r="AO52" i="7"/>
  <c r="AP52" i="7" s="1"/>
  <c r="AM52" i="7"/>
  <c r="AO44" i="7"/>
  <c r="AP44" i="7" s="1"/>
  <c r="AM44" i="7"/>
  <c r="AO39" i="7"/>
  <c r="AP39" i="7" s="1"/>
  <c r="AM39" i="7"/>
  <c r="AO26" i="7"/>
  <c r="AP26" i="7" s="1"/>
  <c r="AM26" i="7"/>
  <c r="AO34" i="7"/>
  <c r="AP34" i="7" s="1"/>
  <c r="AM34" i="7"/>
  <c r="AO18" i="7"/>
  <c r="AP18" i="7" s="1"/>
  <c r="AM18" i="7"/>
  <c r="AO41" i="7"/>
  <c r="AP41" i="7" s="1"/>
  <c r="AM41" i="7"/>
  <c r="AO27" i="7"/>
  <c r="AP27" i="7" s="1"/>
  <c r="AM27" i="7"/>
  <c r="AM37" i="7"/>
  <c r="AO37" i="7"/>
  <c r="AP37" i="7" s="1"/>
  <c r="AM30" i="7"/>
  <c r="AO30" i="7"/>
  <c r="AP30" i="7" s="1"/>
  <c r="AO63" i="7"/>
  <c r="AP63" i="7" s="1"/>
  <c r="AM63" i="7"/>
  <c r="AO28" i="7"/>
  <c r="AP28" i="7" s="1"/>
  <c r="AM28" i="7"/>
  <c r="AO23" i="7"/>
  <c r="AP23" i="7" s="1"/>
  <c r="AM23" i="7"/>
  <c r="AO61" i="7"/>
  <c r="AP61" i="7" s="1"/>
  <c r="AM61" i="7"/>
  <c r="AM50" i="7"/>
  <c r="AO50" i="7"/>
  <c r="AP50" i="7" s="1"/>
  <c r="AM59" i="7"/>
  <c r="AO59" i="7"/>
  <c r="AP59" i="7" s="1"/>
  <c r="AO69" i="7"/>
  <c r="AP69" i="7" s="1"/>
  <c r="AO53" i="7"/>
  <c r="AP53" i="7" s="1"/>
  <c r="AM53" i="7"/>
  <c r="AO38" i="7"/>
  <c r="AP38" i="7" s="1"/>
  <c r="AM38" i="7"/>
  <c r="AM31" i="7"/>
  <c r="AO31" i="7"/>
  <c r="AP31" i="7" s="1"/>
  <c r="AM33" i="7"/>
  <c r="AO33" i="7"/>
  <c r="AP33" i="7" s="1"/>
  <c r="AO45" i="7"/>
  <c r="AP45" i="7" s="1"/>
  <c r="AM45" i="7"/>
  <c r="AO36" i="7"/>
  <c r="AP36" i="7" s="1"/>
  <c r="AM36" i="7"/>
  <c r="AO19" i="7"/>
  <c r="AP19" i="7" s="1"/>
  <c r="AO42" i="7"/>
  <c r="AP42" i="7" s="1"/>
  <c r="AM42" i="7"/>
  <c r="D7" i="7"/>
  <c r="I2" i="7" l="1"/>
  <c r="I3" i="7" s="1"/>
  <c r="I1" i="7" s="1"/>
  <c r="P23" i="7"/>
  <c r="D83" i="1" s="1"/>
  <c r="P32" i="7"/>
  <c r="P20" i="7"/>
  <c r="D80" i="1" s="1"/>
  <c r="P34" i="7"/>
  <c r="P33" i="7"/>
  <c r="P38" i="7"/>
  <c r="P25" i="7"/>
  <c r="D85" i="1" s="1"/>
  <c r="P22" i="7"/>
  <c r="D82" i="1" s="1"/>
  <c r="P30" i="7"/>
  <c r="D90" i="1" s="1"/>
  <c r="P31" i="7"/>
  <c r="D91" i="1" s="1"/>
  <c r="P36" i="7"/>
  <c r="P27" i="7"/>
  <c r="D87" i="1" s="1"/>
  <c r="P26" i="7"/>
  <c r="D86" i="1" s="1"/>
  <c r="P28" i="7"/>
  <c r="D88" i="1" s="1"/>
  <c r="P35" i="7"/>
  <c r="P37" i="7"/>
  <c r="P29" i="7"/>
  <c r="D89" i="1" s="1"/>
  <c r="P19" i="7"/>
  <c r="D79" i="1" s="1"/>
  <c r="P18" i="7"/>
  <c r="P21" i="7"/>
  <c r="D81" i="1" s="1"/>
  <c r="I31" i="1" l="1"/>
  <c r="E43" i="1" l="1"/>
  <c r="I45" i="1"/>
  <c r="B228" i="1" l="1"/>
  <c r="F160" i="1" l="1"/>
  <c r="H160" i="1" s="1"/>
  <c r="F161" i="1"/>
  <c r="H161" i="1" s="1"/>
  <c r="F162" i="1"/>
  <c r="H162" i="1" s="1"/>
  <c r="F159" i="1"/>
  <c r="H159" i="1" s="1"/>
  <c r="G60" i="1" l="1"/>
  <c r="C60" i="1"/>
  <c r="G58" i="1"/>
  <c r="C58" i="1"/>
  <c r="S33" i="1" l="1"/>
  <c r="F11" i="5" l="1"/>
  <c r="G11" i="5" s="1"/>
  <c r="F10" i="5"/>
  <c r="G10" i="5" s="1"/>
  <c r="F9" i="5"/>
  <c r="G9" i="5" s="1"/>
  <c r="F8" i="5"/>
  <c r="G8" i="5" s="1"/>
  <c r="F7" i="5"/>
  <c r="G7" i="5" s="1"/>
  <c r="F6" i="5"/>
  <c r="G6" i="5" s="1"/>
  <c r="F5" i="5"/>
  <c r="G5" i="5" s="1"/>
  <c r="G12" i="5" s="1"/>
  <c r="D257" i="1"/>
  <c r="B229" i="1"/>
  <c r="A160" i="1"/>
  <c r="A161" i="1" s="1"/>
  <c r="A162" i="1" s="1"/>
  <c r="F146" i="1"/>
  <c r="C120" i="1"/>
  <c r="C106" i="1"/>
  <c r="C92" i="1"/>
  <c r="D71" i="1"/>
  <c r="D64" i="1"/>
  <c r="G54" i="1"/>
  <c r="E44" i="1"/>
  <c r="E45" i="1" s="1"/>
  <c r="E28" i="1"/>
  <c r="E26" i="1"/>
  <c r="C16" i="1"/>
  <c r="I15" i="1"/>
  <c r="Z13" i="1"/>
  <c r="E3" i="1"/>
  <c r="H107" i="1"/>
  <c r="H93" i="1"/>
  <c r="H121" i="1"/>
  <c r="J92" i="1" l="1"/>
  <c r="J94" i="1" s="1"/>
  <c r="J95" i="1"/>
  <c r="J96" i="1"/>
  <c r="J97" i="1"/>
  <c r="C96" i="1" s="1"/>
  <c r="J111" i="1"/>
  <c r="E110" i="1"/>
  <c r="D115" i="1"/>
  <c r="D117" i="1"/>
  <c r="D111" i="1"/>
  <c r="J110" i="1"/>
  <c r="D116" i="1"/>
  <c r="J106" i="1"/>
  <c r="J108" i="1" s="1"/>
  <c r="D114" i="1"/>
  <c r="J109" i="1"/>
  <c r="D113" i="1"/>
  <c r="D119" i="1"/>
  <c r="D118" i="1"/>
  <c r="D112" i="1"/>
  <c r="D100" i="1"/>
  <c r="D102" i="1"/>
  <c r="D101" i="1"/>
  <c r="D105" i="1"/>
  <c r="D99" i="1"/>
  <c r="D104" i="1"/>
  <c r="D98" i="1"/>
  <c r="D103" i="1"/>
  <c r="C126" i="1"/>
  <c r="J120" i="1" s="1"/>
  <c r="J122" i="1" s="1"/>
  <c r="D129" i="1"/>
  <c r="D131" i="1"/>
  <c r="J125" i="1"/>
  <c r="C124" i="1" s="1"/>
  <c r="D124" i="1" s="1"/>
  <c r="D130" i="1"/>
  <c r="J124" i="1"/>
  <c r="D128" i="1"/>
  <c r="J123" i="1"/>
  <c r="D127" i="1"/>
  <c r="D133" i="1"/>
  <c r="D132" i="1"/>
  <c r="B121" i="1"/>
  <c r="B107" i="1"/>
  <c r="B93" i="1"/>
  <c r="J98" i="1" s="1"/>
  <c r="C110" i="1" l="1"/>
  <c r="D110" i="1" s="1"/>
  <c r="I107" i="1" s="1"/>
  <c r="I108" i="1" s="1"/>
  <c r="D96" i="1"/>
  <c r="D126" i="1"/>
  <c r="J131" i="1"/>
  <c r="J128" i="1"/>
  <c r="J130" i="1"/>
  <c r="J129" i="1"/>
  <c r="J126" i="1"/>
  <c r="J127" i="1" s="1"/>
  <c r="J132" i="1" s="1"/>
  <c r="J133" i="1" s="1"/>
  <c r="C125" i="1" s="1"/>
  <c r="E124" i="1" s="1"/>
  <c r="J117" i="1"/>
  <c r="J114" i="1"/>
  <c r="J116" i="1"/>
  <c r="J115" i="1"/>
  <c r="J112" i="1"/>
  <c r="J113" i="1" s="1"/>
  <c r="J102" i="1"/>
  <c r="J100" i="1"/>
  <c r="J101" i="1"/>
  <c r="J99" i="1"/>
  <c r="J104" i="1" s="1"/>
  <c r="J105" i="1" s="1"/>
  <c r="C97" i="1" s="1"/>
  <c r="J103" i="1"/>
  <c r="G110" i="1" l="1"/>
  <c r="J93" i="1"/>
  <c r="J118" i="1"/>
  <c r="J119" i="1" s="1"/>
  <c r="J107" i="1" s="1"/>
  <c r="I106" i="1" s="1"/>
  <c r="C108" i="1" s="1"/>
  <c r="D125" i="1"/>
  <c r="I121" i="1" s="1"/>
  <c r="J121" i="1"/>
  <c r="G124" i="1"/>
  <c r="E96" i="1"/>
  <c r="D97" i="1"/>
  <c r="I93" i="1" s="1"/>
  <c r="G96" i="1"/>
  <c r="D75" i="1" s="1"/>
  <c r="F76" i="1" l="1"/>
  <c r="D76" i="1"/>
  <c r="I122" i="1"/>
  <c r="I120" i="1" s="1"/>
  <c r="C122" i="1" s="1"/>
  <c r="I94" i="1"/>
  <c r="I92" i="1" s="1"/>
  <c r="C94"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7" authorId="1" shapeId="0">
      <text>
        <r>
          <rPr>
            <b/>
            <sz val="9"/>
            <color indexed="81"/>
            <rFont val="Tahoma"/>
            <family val="2"/>
          </rPr>
          <t>SACHIN:</t>
        </r>
        <r>
          <rPr>
            <sz val="9"/>
            <color indexed="81"/>
            <rFont val="Tahoma"/>
            <family val="2"/>
          </rPr>
          <t xml:space="preserve">
Floor with height</t>
        </r>
      </text>
    </comment>
    <comment ref="C59" authorId="1" shapeId="0">
      <text>
        <r>
          <rPr>
            <b/>
            <sz val="9"/>
            <color indexed="81"/>
            <rFont val="Tahoma"/>
            <family val="2"/>
          </rPr>
          <t>SACHIN:</t>
        </r>
        <r>
          <rPr>
            <sz val="9"/>
            <color indexed="81"/>
            <rFont val="Tahoma"/>
            <family val="2"/>
          </rPr>
          <t xml:space="preserve">
Survey Nos.</t>
        </r>
      </text>
    </comment>
    <comment ref="C61" authorId="1" shapeId="0">
      <text>
        <r>
          <rPr>
            <b/>
            <sz val="9"/>
            <color indexed="81"/>
            <rFont val="Tahoma"/>
            <family val="2"/>
          </rPr>
          <t>SACHIN:</t>
        </r>
        <r>
          <rPr>
            <sz val="9"/>
            <color indexed="81"/>
            <rFont val="Tahoma"/>
            <family val="2"/>
          </rPr>
          <t xml:space="preserve">
Height from AMSL</t>
        </r>
      </text>
    </comment>
    <comment ref="D64"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39"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<sst xmlns="http://schemas.openxmlformats.org/spreadsheetml/2006/main" count="897" uniqueCount="440">
  <si>
    <t xml:space="preserve">Valuation Report </t>
  </si>
  <si>
    <t>Date:</t>
  </si>
  <si>
    <t>CPC Name:</t>
  </si>
  <si>
    <t>Date Of Property Visit</t>
  </si>
  <si>
    <t>Name of the builder group</t>
  </si>
  <si>
    <t>Name of the builder company</t>
  </si>
  <si>
    <t>Name of the Project</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</si>
  <si>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</si>
  <si>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</si>
  <si>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</si>
  <si>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</si>
  <si>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</si>
  <si>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</si>
  <si>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</si>
  <si>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</si>
  <si>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</si>
  <si>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</si>
  <si>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</si>
  <si>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</si>
  <si>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</si>
  <si>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</si>
  <si>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</si>
  <si>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</si>
  <si>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</si>
  <si>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</si>
  <si>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</si>
  <si>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</si>
  <si>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</si>
  <si>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</si>
  <si>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</si>
  <si>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</si>
  <si>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</si>
  <si>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</si>
  <si>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</si>
  <si>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</si>
  <si>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</si>
  <si>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</si>
  <si>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</si>
  <si>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</si>
  <si>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</si>
  <si>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</si>
  <si>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</si>
  <si>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</si>
  <si>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</si>
  <si>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</si>
  <si>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</si>
  <si>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</si>
  <si>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</si>
  <si>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</si>
  <si>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</si>
  <si>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</si>
  <si>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</si>
  <si>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</si>
  <si>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</si>
  <si>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</si>
  <si>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</si>
  <si>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</si>
  <si>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</si>
  <si>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</si>
  <si>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</si>
  <si>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</si>
  <si>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</si>
  <si>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</si>
  <si>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</si>
  <si>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</si>
  <si>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</si>
  <si>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</si>
  <si>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</si>
  <si>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</si>
  <si>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</si>
  <si>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</si>
  <si>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</si>
  <si>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</si>
  <si>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</si>
  <si>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</si>
  <si>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</si>
  <si>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</si>
  <si>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</si>
  <si>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</si>
  <si>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</si>
  <si>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</si>
  <si>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</si>
  <si>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</si>
  <si>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</si>
  <si>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</si>
  <si>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</si>
  <si>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</si>
  <si>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</si>
  <si>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</si>
  <si>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</si>
  <si>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</si>
  <si>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</si>
  <si>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</si>
  <si>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</si>
  <si>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</si>
  <si>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</si>
  <si>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</si>
  <si>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</si>
  <si>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</si>
  <si>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</si>
  <si>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</si>
  <si>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</si>
  <si>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</si>
  <si>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</si>
  <si>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</si>
  <si>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</si>
  <si>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</si>
  <si>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</si>
  <si>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</si>
  <si>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</si>
  <si>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</si>
  <si>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r>
      <t xml:space="preserve">Shop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</si>
  <si>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</si>
  <si>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</si>
  <si>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</si>
  <si>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</si>
  <si>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</si>
  <si>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</si>
  <si>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</si>
  <si>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</si>
  <si>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</si>
  <si>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</si>
  <si>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</si>
  <si>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</si>
  <si>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</si>
  <si>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</si>
  <si>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</si>
  <si>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</si>
  <si>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</si>
  <si>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</si>
  <si>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</si>
  <si>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</si>
  <si>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</si>
  <si>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</si>
  <si>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</si>
  <si>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</si>
  <si>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</si>
  <si>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</si>
  <si>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</si>
  <si>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</si>
  <si>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</si>
  <si>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</si>
  <si>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</si>
  <si>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</si>
  <si>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</si>
  <si>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</si>
  <si>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</si>
  <si>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</si>
  <si>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</si>
  <si>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</si>
  <si>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</si>
  <si>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</si>
  <si>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</si>
  <si>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</si>
  <si>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</si>
  <si>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</si>
  <si>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</si>
  <si>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</si>
  <si>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</si>
  <si>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</si>
  <si>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</si>
  <si>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</si>
  <si>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</si>
  <si>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</si>
  <si>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</si>
  <si>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Floor Rise Rate from    Floor</t>
  </si>
  <si>
    <t>Shop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</si>
  <si>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</si>
  <si>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</si>
  <si>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</si>
  <si>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</si>
  <si>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</si>
  <si>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</si>
  <si>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</si>
  <si>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</si>
  <si>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</si>
  <si>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</si>
  <si>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</si>
  <si>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</si>
  <si>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</si>
  <si>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</si>
  <si>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</si>
  <si>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</si>
  <si>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</si>
  <si>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</si>
  <si>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</si>
  <si>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</si>
  <si>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</si>
  <si>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</si>
  <si>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</si>
  <si>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</si>
  <si>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</si>
  <si>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</si>
  <si>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</si>
  <si>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</si>
  <si>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</si>
  <si>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</si>
  <si>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</si>
  <si>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</si>
  <si>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</si>
  <si>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</si>
  <si>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</si>
  <si>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</si>
  <si>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</si>
  <si>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</si>
  <si>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</si>
  <si>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</si>
  <si>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</si>
  <si>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</si>
  <si>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</si>
  <si>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</si>
  <si>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</si>
  <si>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</si>
  <si>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</si>
  <si>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</si>
  <si>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</si>
  <si>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</si>
  <si>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</si>
  <si>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</si>
  <si>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</si>
  <si>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</si>
  <si>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</si>
  <si>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</si>
  <si>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</si>
  <si>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</si>
  <si>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</si>
  <si>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</si>
  <si>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</si>
  <si>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</si>
  <si>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</si>
  <si>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</si>
  <si>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</si>
  <si>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</si>
  <si>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</si>
  <si>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</si>
  <si>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</si>
  <si>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</si>
  <si>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</si>
  <si>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</si>
  <si>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</si>
  <si>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</si>
  <si>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</si>
  <si>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</si>
  <si>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</si>
  <si>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</si>
  <si>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</si>
  <si>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</si>
  <si>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</si>
  <si>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</si>
  <si>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</si>
  <si>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</si>
  <si>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</si>
  <si>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</si>
  <si>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</si>
  <si>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</si>
  <si>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</si>
  <si>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</si>
  <si>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</si>
  <si>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</si>
  <si>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</si>
  <si>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</si>
  <si>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</si>
  <si>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</si>
  <si>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</si>
  <si>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</si>
  <si>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</si>
  <si>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</si>
  <si>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</si>
  <si>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</si>
  <si>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</si>
  <si>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</si>
  <si>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</si>
  <si>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</si>
  <si>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</si>
  <si>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</si>
  <si>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</si>
  <si>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</si>
  <si>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</si>
  <si>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</si>
  <si>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</si>
  <si>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</si>
  <si>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</si>
  <si>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</si>
  <si>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</si>
  <si>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</si>
  <si>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</si>
  <si>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B Wing = 1B + G + 1st to 19th Floor</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</si>
  <si>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</si>
  <si>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</si>
  <si>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</si>
  <si>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</si>
  <si>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Residential</t>
  </si>
  <si>
    <t>Plot Area Details :</t>
  </si>
  <si>
    <t>Details of Plot Area</t>
  </si>
  <si>
    <t>Plot/
Bunglow
No</t>
  </si>
  <si>
    <t>Plot Type</t>
  </si>
  <si>
    <t>Plot Area
(Sq.Mt.)</t>
  </si>
  <si>
    <t>Plot Area
(Sq.Ft.)</t>
  </si>
  <si>
    <t>Permissible Built
up Area on Basic
FSI
(In Sq.ft)</t>
  </si>
  <si>
    <t>Carpet Area</t>
  </si>
  <si>
    <t xml:space="preserve">Demarkation
Status
</t>
  </si>
  <si>
    <t>G + 1</t>
  </si>
  <si>
    <t>Plot/ Banglow no</t>
  </si>
  <si>
    <t>Floor</t>
  </si>
  <si>
    <t>RCC</t>
  </si>
  <si>
    <t>Brick work</t>
  </si>
  <si>
    <t>Ext. Plaster</t>
  </si>
  <si>
    <t>Flooring</t>
  </si>
  <si>
    <t>Painting</t>
  </si>
  <si>
    <t>Finishing</t>
  </si>
  <si>
    <t>Plot/ Banglow No</t>
  </si>
  <si>
    <t>Disburse-ment %</t>
  </si>
  <si>
    <t>P52000021746</t>
  </si>
  <si>
    <t>Magnolia Cluster 4</t>
  </si>
  <si>
    <t>Wadhwa Construction And Infrastructure Private
Limited</t>
  </si>
  <si>
    <t>Mr. Mahadev 9820740932</t>
  </si>
  <si>
    <t>Survey No</t>
  </si>
  <si>
    <t>Vardoli</t>
  </si>
  <si>
    <t>Vardoli Road</t>
  </si>
  <si>
    <t>60 Plots</t>
  </si>
  <si>
    <t>CIDCO/NAINA/PANVEL/VARDOLI/LT-OO593/CC/2023/0311</t>
  </si>
  <si>
    <t>Row House = G + 2</t>
  </si>
  <si>
    <t>Row House = G + 3</t>
  </si>
  <si>
    <t>As per RERA - 30/12/2026</t>
  </si>
  <si>
    <t>Club Magnolia, Tennis Court, Childrens Play Area, Yoga lawn, Jogging Track, Open Gymnasium, Flower Garden etc</t>
  </si>
  <si>
    <r>
      <t xml:space="preserve">Proposed Amenities :                                                                                                                                                                                                                         </t>
    </r>
    <r>
      <rPr>
        <b/>
        <sz val="12"/>
        <color theme="1"/>
        <rFont val="Times New Roman"/>
        <family val="1"/>
      </rPr>
      <t xml:space="preserve">                                               </t>
    </r>
  </si>
  <si>
    <t>A-43</t>
  </si>
  <si>
    <t>A-44</t>
  </si>
  <si>
    <t>A-45</t>
  </si>
  <si>
    <t>A-46</t>
  </si>
  <si>
    <t>A-47</t>
  </si>
  <si>
    <t>A-48</t>
  </si>
  <si>
    <t>A-49</t>
  </si>
  <si>
    <t>A-50</t>
  </si>
  <si>
    <t>A-51</t>
  </si>
  <si>
    <t>Semi - Detached</t>
  </si>
  <si>
    <t>Row House</t>
  </si>
  <si>
    <t>Detached</t>
  </si>
  <si>
    <t>B-17</t>
  </si>
  <si>
    <t>B-18</t>
  </si>
  <si>
    <t>B-19</t>
  </si>
  <si>
    <t>B-20</t>
  </si>
  <si>
    <t>B-21</t>
  </si>
  <si>
    <t>B-22</t>
  </si>
  <si>
    <t>B-23</t>
  </si>
  <si>
    <t>B-24</t>
  </si>
  <si>
    <t>C-16</t>
  </si>
  <si>
    <t>C-17</t>
  </si>
  <si>
    <t>C-18</t>
  </si>
  <si>
    <t>C-19</t>
  </si>
  <si>
    <t>C-20</t>
  </si>
  <si>
    <t>C-21</t>
  </si>
  <si>
    <t>C-22</t>
  </si>
  <si>
    <t>C-23</t>
  </si>
  <si>
    <t>D-13</t>
  </si>
  <si>
    <t>D-14</t>
  </si>
  <si>
    <t>D-15</t>
  </si>
  <si>
    <t>D-16</t>
  </si>
  <si>
    <t>D-17</t>
  </si>
  <si>
    <t>D-18</t>
  </si>
  <si>
    <t>D-19</t>
  </si>
  <si>
    <t>E-17</t>
  </si>
  <si>
    <t>E-18</t>
  </si>
  <si>
    <t>E-19</t>
  </si>
  <si>
    <t>E-20</t>
  </si>
  <si>
    <t>E-21</t>
  </si>
  <si>
    <t>E-22</t>
  </si>
  <si>
    <t>F-22</t>
  </si>
  <si>
    <t>F-23</t>
  </si>
  <si>
    <t>F-24</t>
  </si>
  <si>
    <t>F-25</t>
  </si>
  <si>
    <t>F-26</t>
  </si>
  <si>
    <t>F-27</t>
  </si>
  <si>
    <t>F-28</t>
  </si>
  <si>
    <t>F-29</t>
  </si>
  <si>
    <t>F-30</t>
  </si>
  <si>
    <t>F-31</t>
  </si>
  <si>
    <t>F-32</t>
  </si>
  <si>
    <t>F-33</t>
  </si>
  <si>
    <t>F-34</t>
  </si>
  <si>
    <t>F-35</t>
  </si>
  <si>
    <t>F-36</t>
  </si>
  <si>
    <t>F-37</t>
  </si>
  <si>
    <t>G-23</t>
  </si>
  <si>
    <t>G-24</t>
  </si>
  <si>
    <t>G-25</t>
  </si>
  <si>
    <t>G-26</t>
  </si>
  <si>
    <t>G-27</t>
  </si>
  <si>
    <t>G-28</t>
  </si>
  <si>
    <t>Nitesh Patil</t>
  </si>
  <si>
    <t>Approved Floor plan No.(Plot No.B-24)</t>
  </si>
  <si>
    <t>CIDCO/NAINA/PANVEL/VARDOLI/LT-00567/CC/2023/0273</t>
  </si>
  <si>
    <t>Approved Floor plan No.(Plot No.B-17)</t>
  </si>
  <si>
    <t>Approved Plans</t>
  </si>
  <si>
    <t>The Reserves - Wadhwa Wise City</t>
  </si>
  <si>
    <t>18.973055,73.194670</t>
  </si>
  <si>
    <t>https://maps.app.goo.gl/66L9mCQokXxtArPG6</t>
  </si>
  <si>
    <t>12.00M Wide Road/Other Plot</t>
  </si>
  <si>
    <t>Other Plot</t>
  </si>
  <si>
    <t>18.00 M Wide Road</t>
  </si>
  <si>
    <t>Open Plot</t>
  </si>
  <si>
    <t>Internal Road</t>
  </si>
  <si>
    <t>Open Plot/Kirki River</t>
  </si>
  <si>
    <t>C16 to C23</t>
  </si>
  <si>
    <t>D13 to D19</t>
  </si>
  <si>
    <t>E17 to E22</t>
  </si>
  <si>
    <t>F22 to F37</t>
  </si>
  <si>
    <t>G23 to G28</t>
  </si>
  <si>
    <t>refered other plots From CC</t>
  </si>
  <si>
    <t>As per RERA</t>
  </si>
  <si>
    <t>CC (Signature Not Verified)</t>
  </si>
  <si>
    <t>43/0, 44/1, 50/1(Part), 51/1, 51/2, 51/4, 51/5, 52/0, 53/0, 61/2 and 61/3</t>
  </si>
  <si>
    <t>CIDCO/NAINA/Panvel/Wardoli/LT-00593/CC/2023/0311</t>
  </si>
  <si>
    <t>A43 to A51</t>
  </si>
  <si>
    <t>B17 to B24</t>
  </si>
  <si>
    <t>Building Details Floor Wise</t>
  </si>
  <si>
    <t xml:space="preserve">Please check for Environment Clearance Certificate. 
</t>
  </si>
  <si>
    <t>We considered Gross Plot area = Net Plot Area</t>
  </si>
  <si>
    <t>Plot No.F38 is registered on RERA but is not mentioned in approved plan.</t>
  </si>
  <si>
    <t>We have considered plot nos from RERA.</t>
  </si>
  <si>
    <t>Project is located at 11.6km from Panvel Railway Station &amp;
4.2km from proposed Bhingar Railway Station.
Habitation located at approx 1km from project.
Wadhwa Construction And Infrastructure Private Limited other Project Wadhwa Wise City is at 1km distance from this project</t>
  </si>
  <si>
    <t>11.6KM from Panvel Railway Station</t>
  </si>
  <si>
    <t>Recommended rate of the Plot Per Sq. Ft.</t>
  </si>
  <si>
    <t>Kirki River is located at 0.03km in South direction of Project.</t>
  </si>
  <si>
    <t>Plot A43 to A51
Plot B17 to B24
Plot C16 to C23
Plot D13 to D19
Plot E17 to E22
Plot F22 to F37
Plot G23 to G28</t>
  </si>
  <si>
    <t>Total Plot Area</t>
  </si>
  <si>
    <t>Semi - Detached -29, Row House -24, Detached - 7</t>
  </si>
  <si>
    <t>Total Permissible Builtup Area</t>
  </si>
  <si>
    <t>Name / No of the Plot</t>
  </si>
  <si>
    <t>Currently this APF Done for Plot, Therefore EC Remark removed as per dicussion with Smith sir on 02/01/2025</t>
  </si>
  <si>
    <t>Total Net BUA = 55000.00 Sq. M</t>
  </si>
  <si>
    <t>We have updated latest CC (On 08/01/2025).</t>
  </si>
  <si>
    <t>Remark No. 13</t>
  </si>
  <si>
    <t>7500 to 8500 by smith on 21/01/2025 higher  IndeX II</t>
  </si>
  <si>
    <t>Recommended Rates/Other Charges of the Property have been revised on 22/01/2025.
with reference to Index II of Plot No. A49, which is attached below</t>
  </si>
  <si>
    <t>Miss. Siya Chaudhary</t>
  </si>
  <si>
    <t>Pooja Kawale</t>
  </si>
  <si>
    <t>Construction Work has not yet Started. Boundary wall construction work is in process of Plot A43 to A51, F22 to F37 &amp; G23 to G28.</t>
  </si>
  <si>
    <t>RATE 9000  by SMITH VERBAL MATCHED WITH RATE OF WADHWA RZ PHASE 1 On 30/08/2025</t>
  </si>
  <si>
    <t>Recommended Rates of the Property have been revised on 30/08/2025.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</si>
</sst>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64" formatCode="0.0"/>
    <numFmt numFmtId="165" formatCode="_(* #,##0.00_);_(* \(#,##0.00\);_(* &quot;-&quot;??_);_(@_)"/>
    <numFmt numFmtId="166" formatCode="_(* #,##0_);_(* \(#,##0\);_(* &quot;-&quot;??_);_(@_)"/>
    <numFmt numFmtId="167" formatCode="_ * #,##0_ ;_ * \-#,##0_ ;_ * &quot;-&quot;??_ ;_ @_ "/>
    <numFmt numFmtId="168" formatCode="0.000"/>
  </numFmts>
  <fonts count="36"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sz val="11"/>
      <color rgb="FFFF0000"/>
      <name val="Times New Roman"/>
      <family val="1"/>
    </font>
    <font>
      <b/>
      <sz val="11"/>
      <color rgb="FF000000"/>
      <name val="Calibri"/>
      <family val="2"/>
    </font>
    <font>
      <sz val="11"/>
      <color theme="1"/>
      <name val="Calibri"/>
      <family val="2"/>
    </font>
    <font>
      <sz val="10"/>
      <name val="Times New Roman"/>
      <family val="1"/>
    </font>
    <font>
      <b/>
      <sz val="11"/>
      <color theme="1"/>
      <name val="Times New Roman"/>
      <family val="1"/>
    </font>
    <font>
      <b/>
      <sz val="16"/>
      <color rgb="FFFF0000"/>
      <name val="Times New Roman"/>
      <family val="1"/>
    </font>
  </fonts>
  <fills count="3">
    <fill>
      <patternFill patternType="none"/>
    </fill>
    <fill>
      <patternFill patternType="gray125"/>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71">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9" fontId="17" fillId="0" borderId="16"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15" fillId="0" borderId="1" xfId="1" applyFont="1" applyBorder="1" applyAlignment="1" applyProtection="1">
      <alignment horizontal="center" vertical="top" wrapText="1"/>
      <protection locked="0"/>
    </xf>
    <xf numFmtId="1" fontId="15" fillId="0" borderId="1" xfId="1" applyNumberFormat="1" applyFont="1" applyBorder="1" applyAlignment="1" applyProtection="1">
      <alignment horizontal="center" vertical="top" wrapText="1"/>
      <protection locked="0"/>
    </xf>
    <xf numFmtId="0" fontId="0" fillId="0" borderId="25" xfId="0" applyBorder="1"/>
    <xf numFmtId="0" fontId="0" fillId="0" borderId="8" xfId="0" applyBorder="1"/>
    <xf numFmtId="0" fontId="0" fillId="0" borderId="1" xfId="0" applyBorder="1" applyAlignment="1">
      <alignment vertical="top" wrapText="1"/>
    </xf>
    <xf numFmtId="1" fontId="17" fillId="0" borderId="3" xfId="1" applyNumberFormat="1" applyFont="1" applyBorder="1" applyAlignment="1" applyProtection="1">
      <alignment horizontal="center" vertical="top" wrapText="1"/>
      <protection locked="0"/>
    </xf>
    <xf numFmtId="164" fontId="7" fillId="0" borderId="0" xfId="1" applyNumberFormat="1" applyFont="1"/>
    <xf numFmtId="1" fontId="8" fillId="0" borderId="3" xfId="1" applyNumberFormat="1" applyFont="1" applyBorder="1" applyAlignment="1" applyProtection="1">
      <alignment horizontal="center" vertical="top" wrapText="1"/>
      <protection locked="0"/>
    </xf>
    <xf numFmtId="1" fontId="8" fillId="0" borderId="17" xfId="1" applyNumberFormat="1" applyFont="1" applyBorder="1" applyAlignment="1" applyProtection="1">
      <alignment horizontal="center" vertical="top" wrapText="1"/>
      <protection locked="0"/>
    </xf>
    <xf numFmtId="1" fontId="4" fillId="0" borderId="3" xfId="1" applyNumberFormat="1" applyFont="1" applyBorder="1" applyAlignment="1" applyProtection="1">
      <alignment horizontal="center" vertical="top" wrapText="1"/>
      <protection locked="0"/>
    </xf>
    <xf numFmtId="1" fontId="6" fillId="0" borderId="17" xfId="1" applyNumberFormat="1" applyFont="1" applyBorder="1" applyAlignment="1" applyProtection="1">
      <alignment horizontal="center" vertical="center" wrapText="1"/>
      <protection locked="0"/>
    </xf>
    <xf numFmtId="1" fontId="6" fillId="0" borderId="3" xfId="1" applyNumberFormat="1" applyFont="1" applyBorder="1" applyAlignment="1" applyProtection="1">
      <alignment horizontal="center" vertical="center" wrapText="1"/>
      <protection locked="0"/>
    </xf>
    <xf numFmtId="1" fontId="13" fillId="0" borderId="3" xfId="1" applyNumberFormat="1" applyFont="1" applyBorder="1" applyAlignment="1" applyProtection="1">
      <alignment horizontal="center" vertical="top" wrapText="1"/>
      <protection locked="0"/>
    </xf>
    <xf numFmtId="0" fontId="8" fillId="0" borderId="0" xfId="1" applyFont="1" applyAlignment="1" applyProtection="1">
      <alignment horizontal="center" vertical="top" wrapText="1"/>
      <protection locked="0"/>
    </xf>
    <xf numFmtId="0" fontId="25" fillId="0" borderId="0" xfId="0" applyFont="1"/>
    <xf numFmtId="0" fontId="12" fillId="0" borderId="0" xfId="1" applyFont="1" applyAlignment="1" applyProtection="1">
      <alignment horizontal="center" vertical="top"/>
      <protection locked="0"/>
    </xf>
    <xf numFmtId="0" fontId="15" fillId="0" borderId="0" xfId="1" applyFont="1" applyAlignment="1" applyProtection="1">
      <alignment horizontal="center" vertical="top"/>
      <protection locked="0"/>
    </xf>
    <xf numFmtId="0" fontId="6" fillId="0" borderId="0" xfId="1" applyFont="1" applyAlignment="1" applyProtection="1">
      <alignment horizontal="center" vertical="top"/>
      <protection locked="0"/>
    </xf>
    <xf numFmtId="0" fontId="13" fillId="0" borderId="0" xfId="1" applyFont="1" applyAlignment="1" applyProtection="1">
      <alignment vertical="top"/>
      <protection locked="0"/>
    </xf>
    <xf numFmtId="0" fontId="13" fillId="0" borderId="0" xfId="1" applyFont="1" applyAlignment="1" applyProtection="1">
      <alignment horizontal="center" vertical="top" wrapText="1"/>
      <protection locked="0"/>
    </xf>
    <xf numFmtId="0" fontId="13" fillId="0" borderId="0" xfId="1" applyFont="1" applyAlignment="1" applyProtection="1">
      <alignment vertical="top" wrapText="1"/>
      <protection locked="0"/>
    </xf>
    <xf numFmtId="0" fontId="7" fillId="0" borderId="0" xfId="1" applyFont="1" applyAlignment="1" applyProtection="1">
      <alignment vertical="top" wrapText="1"/>
      <protection locked="0"/>
    </xf>
    <xf numFmtId="0" fontId="7" fillId="0" borderId="0" xfId="1" applyFont="1" applyAlignment="1" applyProtection="1">
      <alignment horizontal="center" vertical="top" wrapText="1"/>
      <protection locked="0"/>
    </xf>
    <xf numFmtId="9" fontId="7" fillId="0" borderId="0" xfId="8" applyFont="1" applyFill="1" applyBorder="1" applyAlignment="1" applyProtection="1">
      <alignment vertical="center" wrapText="1"/>
      <protection locked="0"/>
    </xf>
    <xf numFmtId="0" fontId="16" fillId="0" borderId="3" xfId="0" applyFont="1" applyBorder="1" applyAlignment="1">
      <alignment horizontal="center" vertical="top" wrapText="1"/>
    </xf>
    <xf numFmtId="0" fontId="16" fillId="0" borderId="3" xfId="0" applyFont="1" applyBorder="1" applyAlignment="1">
      <alignment horizontal="left" vertical="top" wrapText="1"/>
    </xf>
    <xf numFmtId="0" fontId="7" fillId="0" borderId="32" xfId="1" applyFont="1" applyBorder="1" applyAlignment="1" applyProtection="1">
      <alignment vertical="top" wrapText="1"/>
      <protection locked="0"/>
    </xf>
    <xf numFmtId="0" fontId="7" fillId="0" borderId="33" xfId="1" applyFont="1" applyBorder="1" applyAlignment="1" applyProtection="1">
      <alignment vertical="top" wrapText="1"/>
      <protection locked="0"/>
    </xf>
    <xf numFmtId="0" fontId="7" fillId="0" borderId="3" xfId="1" applyFont="1" applyBorder="1" applyAlignment="1" applyProtection="1">
      <alignment vertical="top" wrapText="1"/>
      <protection locked="0"/>
    </xf>
    <xf numFmtId="0" fontId="16" fillId="0" borderId="1" xfId="0" applyFont="1" applyBorder="1" applyAlignment="1">
      <alignment horizontal="center" vertical="top" wrapText="1"/>
    </xf>
    <xf numFmtId="9" fontId="7" fillId="0" borderId="1" xfId="8" applyFont="1" applyFill="1" applyBorder="1" applyAlignment="1" applyProtection="1">
      <alignment horizontal="center" vertical="center" wrapText="1"/>
      <protection locked="0"/>
    </xf>
    <xf numFmtId="0" fontId="25" fillId="2" borderId="1" xfId="0" applyFont="1" applyFill="1" applyBorder="1"/>
    <xf numFmtId="0" fontId="7" fillId="0" borderId="1" xfId="1" applyFont="1" applyBorder="1"/>
    <xf numFmtId="0" fontId="18" fillId="0" borderId="1" xfId="0" applyFont="1" applyBorder="1" applyProtection="1">
      <protection hidden="1"/>
    </xf>
    <xf numFmtId="1" fontId="0" fillId="0" borderId="1" xfId="0" applyNumberFormat="1" applyBorder="1"/>
    <xf numFmtId="1" fontId="0" fillId="0" borderId="1" xfId="0" applyNumberFormat="1" applyBorder="1" applyAlignment="1">
      <alignment horizontal="right"/>
    </xf>
    <xf numFmtId="0" fontId="25" fillId="0" borderId="1" xfId="0" applyFont="1" applyBorder="1"/>
    <xf numFmtId="0" fontId="30" fillId="0" borderId="1" xfId="0" applyFont="1" applyBorder="1" applyAlignment="1">
      <alignment horizontal="center" vertical="top" wrapText="1"/>
    </xf>
    <xf numFmtId="0" fontId="4" fillId="0" borderId="8" xfId="1" applyFont="1" applyBorder="1" applyAlignment="1" applyProtection="1">
      <alignment horizontal="center" vertical="top" wrapText="1"/>
      <protection locked="0"/>
    </xf>
    <xf numFmtId="0" fontId="4" fillId="0" borderId="16" xfId="1" applyFont="1" applyBorder="1" applyAlignment="1" applyProtection="1">
      <alignment horizontal="center" vertical="top" wrapText="1"/>
      <protection locked="0"/>
    </xf>
    <xf numFmtId="0" fontId="6" fillId="0" borderId="16" xfId="1" applyFont="1" applyBorder="1" applyAlignment="1" applyProtection="1">
      <alignment horizontal="center" vertical="top" wrapText="1"/>
      <protection locked="0"/>
    </xf>
    <xf numFmtId="9" fontId="12" fillId="0" borderId="16" xfId="1" applyNumberFormat="1" applyFont="1" applyBorder="1" applyAlignment="1" applyProtection="1">
      <alignment horizontal="center" vertical="top" wrapText="1"/>
      <protection locked="0"/>
    </xf>
    <xf numFmtId="0" fontId="20" fillId="0" borderId="1" xfId="0" applyFont="1" applyBorder="1"/>
    <xf numFmtId="0" fontId="32" fillId="0" borderId="1" xfId="0" applyFont="1" applyBorder="1"/>
    <xf numFmtId="2" fontId="7" fillId="0" borderId="0" xfId="1" applyNumberFormat="1" applyFont="1" applyAlignment="1">
      <alignment horizontal="center" vertical="center"/>
    </xf>
    <xf numFmtId="168" fontId="7" fillId="0" borderId="0" xfId="1" applyNumberFormat="1" applyFont="1" applyAlignment="1">
      <alignment horizontal="center" vertical="center"/>
    </xf>
    <xf numFmtId="1" fontId="7" fillId="0" borderId="1" xfId="1" applyNumberFormat="1" applyFont="1" applyBorder="1" applyAlignment="1" applyProtection="1">
      <alignment horizontal="center" vertical="center" wrapText="1"/>
      <protection locked="0"/>
    </xf>
    <xf numFmtId="0" fontId="17" fillId="0" borderId="0" xfId="1" applyFont="1"/>
    <xf numFmtId="0" fontId="35" fillId="0" borderId="0" xfId="1" applyFont="1"/>
    <xf numFmtId="1" fontId="6" fillId="0" borderId="1" xfId="0" applyNumberFormat="1" applyFont="1" applyBorder="1" applyAlignment="1" applyProtection="1">
      <alignment horizontal="center" vertical="center" wrapText="1"/>
      <protection locked="0"/>
    </xf>
    <xf numFmtId="0" fontId="6" fillId="0" borderId="16" xfId="1" applyFont="1" applyBorder="1" applyAlignment="1" applyProtection="1">
      <alignment horizontal="center" vertical="top"/>
      <protection locked="0"/>
    </xf>
    <xf numFmtId="1" fontId="12" fillId="0" borderId="17"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vertical="top" wrapText="1"/>
      <protection locked="0"/>
    </xf>
    <xf numFmtId="1" fontId="6"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8" fillId="0" borderId="1" xfId="0" applyNumberFormat="1" applyFont="1" applyBorder="1" applyAlignment="1" applyProtection="1">
      <alignment vertical="top" wrapText="1"/>
      <protection locked="0"/>
    </xf>
    <xf numFmtId="1" fontId="13" fillId="0" borderId="1" xfId="0" applyNumberFormat="1" applyFont="1" applyBorder="1" applyAlignment="1" applyProtection="1">
      <alignment vertical="top" wrapText="1"/>
      <protection locked="0"/>
    </xf>
    <xf numFmtId="1" fontId="34" fillId="0" borderId="8" xfId="1" applyNumberFormat="1" applyFont="1" applyBorder="1" applyAlignment="1" applyProtection="1">
      <alignment horizontal="center" vertical="center" wrapText="1"/>
      <protection locked="0"/>
    </xf>
    <xf numFmtId="1" fontId="34" fillId="0" borderId="9"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0" fontId="12" fillId="0" borderId="8" xfId="1" applyFont="1" applyBorder="1" applyAlignment="1" applyProtection="1">
      <alignment horizontal="left" vertical="top" wrapText="1"/>
      <protection locked="0"/>
    </xf>
    <xf numFmtId="0" fontId="12" fillId="0" borderId="21" xfId="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0" fontId="7" fillId="0" borderId="1" xfId="1" applyFont="1" applyBorder="1" applyAlignment="1" applyProtection="1">
      <alignment horizontal="center" vertical="top" wrapText="1"/>
      <protection locked="0"/>
    </xf>
    <xf numFmtId="0" fontId="7" fillId="0" borderId="5" xfId="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167" fontId="12" fillId="0" borderId="1" xfId="9" applyNumberFormat="1" applyFont="1" applyFill="1" applyBorder="1" applyAlignment="1" applyProtection="1">
      <alignment horizontal="left" vertical="top"/>
      <protection locked="0"/>
    </xf>
    <xf numFmtId="0" fontId="7" fillId="0" borderId="4" xfId="1" applyFont="1" applyBorder="1" applyAlignment="1" applyProtection="1">
      <alignment horizontal="center" vertical="top" wrapText="1"/>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0" fontId="27"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7" fillId="0" borderId="0" xfId="1" applyNumberFormat="1" applyFont="1" applyAlignment="1">
      <alignment horizontal="center" vertical="center"/>
    </xf>
    <xf numFmtId="1" fontId="10" fillId="0" borderId="35" xfId="0" applyNumberFormat="1" applyFont="1" applyBorder="1" applyAlignment="1" applyProtection="1">
      <alignment horizontal="center" vertical="center"/>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10" fillId="0" borderId="8" xfId="1" applyFont="1" applyBorder="1" applyAlignment="1" applyProtection="1">
      <alignment horizontal="left" vertical="top"/>
      <protection locked="0"/>
    </xf>
    <xf numFmtId="0" fontId="10" fillId="0" borderId="21" xfId="1" applyFont="1" applyBorder="1" applyAlignment="1" applyProtection="1">
      <alignment horizontal="left" vertical="top"/>
      <protection locked="0"/>
    </xf>
    <xf numFmtId="0" fontId="10" fillId="0" borderId="9" xfId="1" applyFont="1" applyBorder="1" applyAlignment="1" applyProtection="1">
      <alignment horizontal="left" vertical="top"/>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horizontal="left" vertical="top"/>
      <protection locked="0"/>
    </xf>
    <xf numFmtId="1"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0" fontId="12" fillId="0" borderId="1" xfId="1" applyFont="1" applyBorder="1" applyAlignment="1" applyProtection="1">
      <alignment horizontal="left" vertical="top"/>
      <protection locked="0"/>
    </xf>
    <xf numFmtId="0" fontId="15" fillId="0" borderId="3" xfId="1" applyFont="1" applyBorder="1" applyAlignment="1" applyProtection="1">
      <alignment horizontal="left" vertical="top" wrapText="1"/>
      <protection locked="0"/>
    </xf>
    <xf numFmtId="0" fontId="15"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2"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2" fontId="6" fillId="0" borderId="1" xfId="1" applyNumberFormat="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6" fillId="0" borderId="1" xfId="1" applyFont="1" applyBorder="1" applyAlignment="1" applyProtection="1">
      <alignment horizontal="left" vertical="top" wrapText="1"/>
      <protection locked="0"/>
    </xf>
    <xf numFmtId="0" fontId="7" fillId="0" borderId="1" xfId="1" applyFont="1" applyBorder="1" applyAlignment="1" applyProtection="1">
      <alignment horizontal="left"/>
      <protection locked="0"/>
    </xf>
    <xf numFmtId="0" fontId="7" fillId="0" borderId="1" xfId="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12" fillId="0" borderId="7"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33" fillId="0" borderId="8" xfId="1" applyFont="1" applyBorder="1" applyAlignment="1" applyProtection="1">
      <alignment horizontal="left" vertical="top" wrapText="1"/>
      <protection locked="0"/>
    </xf>
    <xf numFmtId="0" fontId="33" fillId="0" borderId="21" xfId="1" applyFont="1" applyBorder="1" applyAlignment="1" applyProtection="1">
      <alignment horizontal="left" vertical="top" wrapText="1"/>
      <protection locked="0"/>
    </xf>
    <xf numFmtId="0" fontId="33" fillId="0" borderId="9" xfId="1" applyFont="1" applyBorder="1" applyAlignment="1" applyProtection="1">
      <alignment horizontal="left" vertical="top"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8" fillId="0" borderId="3" xfId="0" applyNumberFormat="1" applyFont="1" applyBorder="1" applyAlignment="1" applyProtection="1">
      <alignment horizontal="center" vertical="center" wrapText="1"/>
      <protection locked="0"/>
    </xf>
    <xf numFmtId="1" fontId="10" fillId="0" borderId="3" xfId="0" applyNumberFormat="1"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1" fontId="6" fillId="0" borderId="1" xfId="0" applyNumberFormat="1" applyFont="1" applyBorder="1" applyAlignment="1" applyProtection="1">
      <alignment horizontal="center" vertical="center" wrapText="1"/>
      <protection locked="0"/>
    </xf>
    <xf numFmtId="1" fontId="17" fillId="0" borderId="3" xfId="1" applyNumberFormat="1" applyFont="1" applyBorder="1" applyAlignment="1" applyProtection="1">
      <alignment horizontal="center" vertical="top" wrapText="1"/>
      <protection locked="0"/>
    </xf>
    <xf numFmtId="1" fontId="17" fillId="0" borderId="16" xfId="1" applyNumberFormat="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16" fillId="0" borderId="1" xfId="1" applyFont="1" applyBorder="1" applyAlignment="1" applyProtection="1">
      <alignment horizontal="center" vertical="top" wrapText="1"/>
      <protection locked="0"/>
    </xf>
    <xf numFmtId="167" fontId="15" fillId="0" borderId="1" xfId="9" applyNumberFormat="1" applyFont="1" applyFill="1" applyBorder="1" applyAlignment="1" applyProtection="1">
      <alignment horizontal="left" vertical="top"/>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8" fillId="0" borderId="1" xfId="0" applyNumberFormat="1" applyFont="1" applyBorder="1" applyAlignment="1" applyProtection="1">
      <alignment horizontal="left" vertical="top" wrapText="1"/>
      <protection locked="0"/>
    </xf>
    <xf numFmtId="0" fontId="8" fillId="0" borderId="16" xfId="1" applyFont="1" applyBorder="1" applyAlignment="1" applyProtection="1">
      <alignment horizontal="center" vertical="top"/>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7" fillId="0" borderId="1" xfId="1" applyFont="1" applyBorder="1" applyAlignment="1" applyProtection="1">
      <alignment horizontal="center" vertical="top"/>
      <protection locked="0"/>
    </xf>
    <xf numFmtId="1" fontId="4" fillId="0" borderId="8" xfId="1" applyNumberFormat="1" applyFont="1" applyBorder="1" applyAlignment="1" applyProtection="1">
      <alignment horizontal="center" vertical="top" wrapText="1"/>
      <protection locked="0"/>
    </xf>
    <xf numFmtId="1" fontId="4" fillId="0" borderId="9" xfId="1" applyNumberFormat="1" applyFont="1" applyBorder="1" applyAlignment="1" applyProtection="1">
      <alignment horizontal="center" vertical="top" wrapText="1"/>
      <protection locked="0"/>
    </xf>
    <xf numFmtId="0" fontId="8" fillId="0" borderId="16" xfId="1" applyFont="1" applyBorder="1" applyAlignment="1" applyProtection="1">
      <alignment horizontal="left" vertical="top"/>
      <protection locked="0"/>
    </xf>
    <xf numFmtId="0" fontId="12" fillId="0" borderId="19"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15" fillId="0" borderId="19" xfId="1" applyFont="1" applyBorder="1" applyAlignment="1" applyProtection="1">
      <alignment horizontal="left" vertical="top"/>
      <protection locked="0"/>
    </xf>
    <xf numFmtId="0" fontId="15" fillId="0" borderId="2" xfId="1" applyFont="1" applyBorder="1" applyAlignment="1" applyProtection="1">
      <alignment horizontal="left" vertical="top"/>
      <protection locked="0"/>
    </xf>
    <xf numFmtId="0" fontId="15" fillId="0" borderId="20" xfId="1" applyFont="1" applyBorder="1" applyAlignment="1" applyProtection="1">
      <alignment horizontal="left" vertical="top"/>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5" fillId="0" borderId="1" xfId="1" applyFont="1" applyBorder="1" applyAlignment="1" applyProtection="1">
      <alignment horizontal="left" vertical="top" wrapText="1"/>
      <protection locked="0"/>
    </xf>
    <xf numFmtId="0" fontId="15" fillId="0" borderId="1" xfId="1" applyFont="1" applyBorder="1" applyAlignment="1" applyProtection="1">
      <alignment horizontal="left" vertical="top"/>
      <protection locked="0"/>
    </xf>
    <xf numFmtId="0" fontId="15" fillId="0" borderId="25" xfId="1" applyFont="1" applyBorder="1" applyAlignment="1" applyProtection="1">
      <alignment horizontal="left" vertical="top"/>
      <protection locked="0"/>
    </xf>
    <xf numFmtId="0" fontId="15" fillId="0" borderId="0" xfId="1" applyFont="1" applyAlignment="1" applyProtection="1">
      <alignment horizontal="left" vertical="top"/>
      <protection locked="0"/>
    </xf>
    <xf numFmtId="0" fontId="15" fillId="0" borderId="26" xfId="1" applyFont="1" applyBorder="1" applyAlignment="1" applyProtection="1">
      <alignment horizontal="left" vertical="top"/>
      <protection locked="0"/>
    </xf>
    <xf numFmtId="0" fontId="6" fillId="0" borderId="1" xfId="1" applyFont="1" applyBorder="1" applyAlignment="1" applyProtection="1">
      <alignment vertical="top"/>
      <protection locked="0"/>
    </xf>
    <xf numFmtId="1" fontId="8" fillId="0" borderId="34" xfId="0" applyNumberFormat="1" applyFont="1" applyBorder="1" applyAlignment="1" applyProtection="1">
      <alignment horizontal="center" vertical="center" wrapText="1"/>
      <protection locked="0"/>
    </xf>
    <xf numFmtId="1" fontId="8" fillId="0" borderId="35" xfId="0" applyNumberFormat="1" applyFont="1" applyBorder="1" applyAlignment="1" applyProtection="1">
      <alignment horizontal="center" vertical="center" wrapText="1"/>
      <protection locked="0"/>
    </xf>
    <xf numFmtId="0" fontId="10" fillId="0" borderId="35" xfId="0" applyFont="1" applyBorder="1" applyAlignment="1" applyProtection="1">
      <alignment horizontal="center" vertical="center"/>
      <protection locked="0"/>
    </xf>
    <xf numFmtId="14" fontId="12" fillId="0" borderId="8" xfId="1" applyNumberFormat="1" applyFont="1" applyBorder="1" applyAlignment="1" applyProtection="1">
      <alignment horizontal="left" vertical="top" wrapText="1"/>
      <protection locked="0"/>
    </xf>
    <xf numFmtId="14" fontId="12" fillId="0" borderId="9" xfId="1" applyNumberFormat="1" applyFont="1" applyBorder="1" applyAlignment="1" applyProtection="1">
      <alignment horizontal="left" vertical="top" wrapText="1"/>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7" fillId="0" borderId="25" xfId="1" applyFont="1" applyBorder="1" applyAlignment="1">
      <alignment horizontal="center"/>
    </xf>
    <xf numFmtId="0" fontId="7" fillId="0" borderId="0" xfId="1" applyFont="1" applyAlignment="1">
      <alignment horizontal="center"/>
    </xf>
    <xf numFmtId="0" fontId="13" fillId="0" borderId="1" xfId="1" applyFont="1" applyBorder="1" applyAlignment="1" applyProtection="1">
      <alignment horizontal="center"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10" fillId="0" borderId="1" xfId="0" applyFont="1" applyBorder="1" applyAlignment="1" applyProtection="1">
      <alignment horizontal="center" vertical="center"/>
      <protection locked="0"/>
    </xf>
    <xf numFmtId="0" fontId="6" fillId="0" borderId="3" xfId="1" applyFont="1" applyBorder="1" applyAlignment="1" applyProtection="1">
      <alignment horizontal="left" vertical="top"/>
      <protection locked="0"/>
    </xf>
    <xf numFmtId="0" fontId="8" fillId="0" borderId="1" xfId="1" applyFont="1" applyBorder="1" applyAlignment="1" applyProtection="1">
      <alignment horizontal="left" vertical="top" wrapText="1"/>
      <protection locked="0"/>
    </xf>
    <xf numFmtId="0" fontId="10" fillId="0" borderId="1" xfId="1" applyFont="1" applyBorder="1" applyAlignment="1">
      <alignment horizontal="left" vertical="top"/>
    </xf>
    <xf numFmtId="0" fontId="16" fillId="0" borderId="17" xfId="0" applyFont="1" applyBorder="1" applyAlignment="1">
      <alignment horizontal="center" vertical="top" wrapText="1"/>
    </xf>
    <xf numFmtId="0" fontId="16" fillId="0" borderId="18" xfId="0" applyFont="1" applyBorder="1" applyAlignment="1">
      <alignment horizontal="center" vertical="top" wrapText="1"/>
    </xf>
    <xf numFmtId="0" fontId="9"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png"/><Relationship Id="rId27" Type="http://schemas.openxmlformats.org/officeDocument/2006/relationships/image" Target="../media/image27.png"/></Relationships>
</file>

<file path=xl/drawings/_rels/drawing2.xml.rels><?xml version="1.0" encoding="UTF-8" standalone="yes"?>
<Relationships xmlns="http://schemas.openxmlformats.org/package/2006/relationships"><Relationship Id="rId1" Type="http://schemas.openxmlformats.org/officeDocument/2006/relationships/image" Target="../media/image3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0.png"/><Relationship Id="rId1" Type="http://schemas.openxmlformats.org/officeDocument/2006/relationships/image" Target="../media/image29.png"/></Relationships>
</file>

<file path=xl/drawings/drawing1.xml><?xml version="1.0" encoding="utf-8"?>
<xdr:wsDr xmlns:xdr="http://schemas.openxmlformats.org/drawingml/2006/spreadsheetDrawing" xmlns:a="http://schemas.openxmlformats.org/drawingml/2006/main">
  <xdr:twoCellAnchor editAs="oneCell">
    <xdr:from>
      <xdr:col>2</xdr:col>
      <xdr:colOff>602121</xdr:colOff>
      <xdr:row>370</xdr:row>
      <xdr:rowOff>182320</xdr:rowOff>
    </xdr:from>
    <xdr:to>
      <xdr:col>5</xdr:col>
      <xdr:colOff>285621</xdr:colOff>
      <xdr:row>384</xdr:row>
      <xdr:rowOff>12700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240421" y="66793820"/>
          <a:ext cx="2280650" cy="2586280"/>
        </a:xfrm>
        <a:prstGeom prst="rect">
          <a:avLst/>
        </a:prstGeom>
        <a:ln>
          <a:solidFill>
            <a:schemeClr val="tx1"/>
          </a:solidFill>
        </a:ln>
      </xdr:spPr>
    </xdr:pic>
    <xdr:clientData/>
  </xdr:twoCellAnchor>
  <xdr:twoCellAnchor editAs="oneCell">
    <xdr:from>
      <xdr:col>1</xdr:col>
      <xdr:colOff>342900</xdr:colOff>
      <xdr:row>343</xdr:row>
      <xdr:rowOff>19050</xdr:rowOff>
    </xdr:from>
    <xdr:to>
      <xdr:col>6</xdr:col>
      <xdr:colOff>400300</xdr:colOff>
      <xdr:row>370</xdr:row>
      <xdr:rowOff>18374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rot="5400000">
          <a:off x="510050" y="56859025"/>
          <a:ext cx="5400000" cy="4210300"/>
        </a:xfrm>
        <a:prstGeom prst="rect">
          <a:avLst/>
        </a:prstGeom>
        <a:ln>
          <a:solidFill>
            <a:schemeClr val="tx1"/>
          </a:solidFill>
        </a:ln>
      </xdr:spPr>
    </xdr:pic>
    <xdr:clientData/>
  </xdr:twoCellAnchor>
  <xdr:twoCellAnchor>
    <xdr:from>
      <xdr:col>0</xdr:col>
      <xdr:colOff>485775</xdr:colOff>
      <xdr:row>402</xdr:row>
      <xdr:rowOff>12453</xdr:rowOff>
    </xdr:from>
    <xdr:to>
      <xdr:col>7</xdr:col>
      <xdr:colOff>237450</xdr:colOff>
      <xdr:row>417</xdr:row>
      <xdr:rowOff>149916</xdr:rowOff>
    </xdr:to>
    <xdr:grpSp>
      <xdr:nvGrpSpPr>
        <xdr:cNvPr id="33" name="Group 32">
          <a:extLst>
            <a:ext uri="{FF2B5EF4-FFF2-40B4-BE49-F238E27FC236}">
              <a16:creationId xmlns:a16="http://schemas.microsoft.com/office/drawing/2014/main" id="{4C396D40-9456-B38E-F1E6-115B1274C2E8}"/>
            </a:ext>
          </a:extLst>
        </xdr:cNvPr>
        <xdr:cNvGrpSpPr/>
      </xdr:nvGrpSpPr>
      <xdr:grpSpPr>
        <a:xfrm>
          <a:off x="485775" y="74497953"/>
          <a:ext cx="5676225" cy="3090213"/>
          <a:chOff x="1638082" y="4527081"/>
          <a:chExt cx="5400000" cy="3137838"/>
        </a:xfrm>
      </xdr:grpSpPr>
      <xdr:pic>
        <xdr:nvPicPr>
          <xdr:cNvPr id="34" name="Picture 33" descr="A map of a city&#10;&#10;Description automatically generated">
            <a:extLst>
              <a:ext uri="{FF2B5EF4-FFF2-40B4-BE49-F238E27FC236}">
                <a16:creationId xmlns:a16="http://schemas.microsoft.com/office/drawing/2014/main" id="{739441EC-AE4B-28CC-DAD7-A94142DF0354}"/>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1638082" y="4527081"/>
            <a:ext cx="5400000" cy="3137838"/>
          </a:xfrm>
          <a:prstGeom prst="rect">
            <a:avLst/>
          </a:prstGeom>
          <a:ln>
            <a:solidFill>
              <a:schemeClr val="tx1"/>
            </a:solidFill>
          </a:ln>
        </xdr:spPr>
      </xdr:pic>
      <xdr:sp macro="" textlink="">
        <xdr:nvSpPr>
          <xdr:cNvPr id="35" name="Rectangle 34">
            <a:extLst>
              <a:ext uri="{FF2B5EF4-FFF2-40B4-BE49-F238E27FC236}">
                <a16:creationId xmlns:a16="http://schemas.microsoft.com/office/drawing/2014/main" id="{F48BCCE7-2E6C-3F21-0217-9C685B5CAB0B}"/>
              </a:ext>
            </a:extLst>
          </xdr:cNvPr>
          <xdr:cNvSpPr/>
        </xdr:nvSpPr>
        <xdr:spPr>
          <a:xfrm>
            <a:off x="3667125" y="5476875"/>
            <a:ext cx="1085850" cy="1647825"/>
          </a:xfrm>
          <a:prstGeom prst="rect">
            <a:avLst/>
          </a:prstGeom>
          <a:noFill/>
          <a:ln w="28575">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editAs="oneCell">
    <xdr:from>
      <xdr:col>9</xdr:col>
      <xdr:colOff>671632</xdr:colOff>
      <xdr:row>46</xdr:row>
      <xdr:rowOff>16009</xdr:rowOff>
    </xdr:from>
    <xdr:to>
      <xdr:col>14</xdr:col>
      <xdr:colOff>121290</xdr:colOff>
      <xdr:row>63</xdr:row>
      <xdr:rowOff>591</xdr:rowOff>
    </xdr:to>
    <xdr:pic>
      <xdr:nvPicPr>
        <xdr:cNvPr id="4" name="Picture 3">
          <a:extLst>
            <a:ext uri="{FF2B5EF4-FFF2-40B4-BE49-F238E27FC236}">
              <a16:creationId xmlns:a16="http://schemas.microsoft.com/office/drawing/2014/main" id="{91FC1961-FC39-F068-9EAE-DF4BC6F47B83}"/>
            </a:ext>
          </a:extLst>
        </xdr:cNvPr>
        <xdr:cNvPicPr>
          <a:picLocks noChangeAspect="1"/>
        </xdr:cNvPicPr>
      </xdr:nvPicPr>
      <xdr:blipFill>
        <a:blip xmlns:r="http://schemas.openxmlformats.org/officeDocument/2006/relationships" r:embed="rId4"/>
        <a:stretch>
          <a:fillRect/>
        </a:stretch>
      </xdr:blipFill>
      <xdr:spPr>
        <a:xfrm>
          <a:off x="8213191" y="11300333"/>
          <a:ext cx="3472570" cy="2683332"/>
        </a:xfrm>
        <a:prstGeom prst="rect">
          <a:avLst/>
        </a:prstGeom>
        <a:ln>
          <a:solidFill>
            <a:schemeClr val="tx1"/>
          </a:solidFill>
        </a:ln>
      </xdr:spPr>
    </xdr:pic>
    <xdr:clientData/>
  </xdr:twoCellAnchor>
  <xdr:twoCellAnchor editAs="oneCell">
    <xdr:from>
      <xdr:col>9</xdr:col>
      <xdr:colOff>507207</xdr:colOff>
      <xdr:row>14</xdr:row>
      <xdr:rowOff>166687</xdr:rowOff>
    </xdr:from>
    <xdr:to>
      <xdr:col>13</xdr:col>
      <xdr:colOff>780618</xdr:colOff>
      <xdr:row>15</xdr:row>
      <xdr:rowOff>597614</xdr:rowOff>
    </xdr:to>
    <xdr:pic>
      <xdr:nvPicPr>
        <xdr:cNvPr id="5" name="Picture 4">
          <a:extLst>
            <a:ext uri="{FF2B5EF4-FFF2-40B4-BE49-F238E27FC236}">
              <a16:creationId xmlns:a16="http://schemas.microsoft.com/office/drawing/2014/main" id="{B626503D-3EB1-6F24-6629-E7A73B175394}"/>
            </a:ext>
          </a:extLst>
        </xdr:cNvPr>
        <xdr:cNvPicPr>
          <a:picLocks noChangeAspect="1"/>
        </xdr:cNvPicPr>
      </xdr:nvPicPr>
      <xdr:blipFill>
        <a:blip xmlns:r="http://schemas.openxmlformats.org/officeDocument/2006/relationships" r:embed="rId5"/>
        <a:stretch>
          <a:fillRect/>
        </a:stretch>
      </xdr:blipFill>
      <xdr:spPr>
        <a:xfrm>
          <a:off x="8051007" y="3709987"/>
          <a:ext cx="3454761" cy="630952"/>
        </a:xfrm>
        <a:prstGeom prst="rect">
          <a:avLst/>
        </a:prstGeom>
        <a:ln>
          <a:solidFill>
            <a:schemeClr val="tx1"/>
          </a:solidFill>
        </a:ln>
      </xdr:spPr>
    </xdr:pic>
    <xdr:clientData/>
  </xdr:twoCellAnchor>
  <xdr:twoCellAnchor editAs="oneCell">
    <xdr:from>
      <xdr:col>8</xdr:col>
      <xdr:colOff>159855</xdr:colOff>
      <xdr:row>19</xdr:row>
      <xdr:rowOff>149087</xdr:rowOff>
    </xdr:from>
    <xdr:to>
      <xdr:col>13</xdr:col>
      <xdr:colOff>317180</xdr:colOff>
      <xdr:row>23</xdr:row>
      <xdr:rowOff>229824</xdr:rowOff>
    </xdr:to>
    <xdr:pic>
      <xdr:nvPicPr>
        <xdr:cNvPr id="6" name="Picture 5">
          <a:extLst>
            <a:ext uri="{FF2B5EF4-FFF2-40B4-BE49-F238E27FC236}">
              <a16:creationId xmlns:a16="http://schemas.microsoft.com/office/drawing/2014/main" id="{1139FBA5-0C26-574E-B8A9-8E30B94B51B2}"/>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6545746" y="5093804"/>
          <a:ext cx="4497412" cy="1074650"/>
        </a:xfrm>
        <a:prstGeom prst="rect">
          <a:avLst/>
        </a:prstGeom>
        <a:ln>
          <a:solidFill>
            <a:schemeClr val="tx1"/>
          </a:solidFill>
        </a:ln>
      </xdr:spPr>
    </xdr:pic>
    <xdr:clientData/>
  </xdr:twoCellAnchor>
  <xdr:twoCellAnchor editAs="oneCell">
    <xdr:from>
      <xdr:col>8</xdr:col>
      <xdr:colOff>579205</xdr:colOff>
      <xdr:row>27</xdr:row>
      <xdr:rowOff>23112</xdr:rowOff>
    </xdr:from>
    <xdr:to>
      <xdr:col>19</xdr:col>
      <xdr:colOff>2857</xdr:colOff>
      <xdr:row>36</xdr:row>
      <xdr:rowOff>98377</xdr:rowOff>
    </xdr:to>
    <xdr:pic>
      <xdr:nvPicPr>
        <xdr:cNvPr id="7" name="Picture 6">
          <a:extLst>
            <a:ext uri="{FF2B5EF4-FFF2-40B4-BE49-F238E27FC236}">
              <a16:creationId xmlns:a16="http://schemas.microsoft.com/office/drawing/2014/main" id="{619D08AF-6EA8-F472-A2B1-078F2A9AF96D}"/>
            </a:ext>
          </a:extLst>
        </xdr:cNvPr>
        <xdr:cNvPicPr>
          <a:picLocks noChangeAspect="1"/>
        </xdr:cNvPicPr>
      </xdr:nvPicPr>
      <xdr:blipFill>
        <a:blip xmlns:r="http://schemas.openxmlformats.org/officeDocument/2006/relationships" r:embed="rId7"/>
        <a:stretch>
          <a:fillRect/>
        </a:stretch>
      </xdr:blipFill>
      <xdr:spPr>
        <a:xfrm>
          <a:off x="6955352" y="8091347"/>
          <a:ext cx="8134033" cy="1879412"/>
        </a:xfrm>
        <a:prstGeom prst="rect">
          <a:avLst/>
        </a:prstGeom>
        <a:ln>
          <a:solidFill>
            <a:schemeClr val="tx1"/>
          </a:solidFill>
        </a:ln>
      </xdr:spPr>
    </xdr:pic>
    <xdr:clientData/>
  </xdr:twoCellAnchor>
  <xdr:twoCellAnchor editAs="oneCell">
    <xdr:from>
      <xdr:col>8</xdr:col>
      <xdr:colOff>142046</xdr:colOff>
      <xdr:row>13</xdr:row>
      <xdr:rowOff>196296</xdr:rowOff>
    </xdr:from>
    <xdr:to>
      <xdr:col>19</xdr:col>
      <xdr:colOff>516859</xdr:colOff>
      <xdr:row>19</xdr:row>
      <xdr:rowOff>47000</xdr:rowOff>
    </xdr:to>
    <xdr:pic>
      <xdr:nvPicPr>
        <xdr:cNvPr id="8" name="Picture 7"/>
        <xdr:cNvPicPr>
          <a:picLocks noChangeAspect="1"/>
        </xdr:cNvPicPr>
      </xdr:nvPicPr>
      <xdr:blipFill>
        <a:blip xmlns:r="http://schemas.openxmlformats.org/officeDocument/2006/relationships" r:embed="rId8"/>
        <a:stretch>
          <a:fillRect/>
        </a:stretch>
      </xdr:blipFill>
      <xdr:spPr>
        <a:xfrm>
          <a:off x="6523796" y="4796871"/>
          <a:ext cx="9090188" cy="1469954"/>
        </a:xfrm>
        <a:prstGeom prst="rect">
          <a:avLst/>
        </a:prstGeom>
      </xdr:spPr>
    </xdr:pic>
    <xdr:clientData/>
  </xdr:twoCellAnchor>
  <xdr:twoCellAnchor editAs="oneCell">
    <xdr:from>
      <xdr:col>1</xdr:col>
      <xdr:colOff>6837</xdr:colOff>
      <xdr:row>386</xdr:row>
      <xdr:rowOff>95250</xdr:rowOff>
    </xdr:from>
    <xdr:to>
      <xdr:col>6</xdr:col>
      <xdr:colOff>590550</xdr:colOff>
      <xdr:row>401</xdr:row>
      <xdr:rowOff>47625</xdr:rowOff>
    </xdr:to>
    <xdr:pic>
      <xdr:nvPicPr>
        <xdr:cNvPr id="36" name="Picture 35">
          <a:extLst>
            <a:ext uri="{FF2B5EF4-FFF2-40B4-BE49-F238E27FC236}">
              <a16:creationId xmlns:a16="http://schemas.microsoft.com/office/drawing/2014/main" id="{00000000-0008-0000-0000-00002A000000}"/>
            </a:ext>
          </a:extLst>
        </xdr:cNvPr>
        <xdr:cNvPicPr>
          <a:picLocks noChangeAspect="1"/>
        </xdr:cNvPicPr>
      </xdr:nvPicPr>
      <xdr:blipFill rotWithShape="1">
        <a:blip xmlns:r="http://schemas.openxmlformats.org/officeDocument/2006/relationships" r:embed="rId9" cstate="screen">
          <a:extLst>
            <a:ext uri="{28A0092B-C50C-407E-A947-70E740481C1C}">
              <a14:useLocalDpi xmlns:a14="http://schemas.microsoft.com/office/drawing/2010/main"/>
            </a:ext>
          </a:extLst>
        </a:blip>
        <a:srcRect/>
        <a:stretch/>
      </xdr:blipFill>
      <xdr:spPr>
        <a:xfrm>
          <a:off x="768837" y="72894825"/>
          <a:ext cx="4736613" cy="2952750"/>
        </a:xfrm>
        <a:prstGeom prst="rect">
          <a:avLst/>
        </a:prstGeom>
        <a:ln>
          <a:solidFill>
            <a:schemeClr val="tx1"/>
          </a:solidFill>
        </a:ln>
      </xdr:spPr>
    </xdr:pic>
    <xdr:clientData/>
  </xdr:twoCellAnchor>
  <xdr:twoCellAnchor>
    <xdr:from>
      <xdr:col>8</xdr:col>
      <xdr:colOff>161925</xdr:colOff>
      <xdr:row>257</xdr:row>
      <xdr:rowOff>133350</xdr:rowOff>
    </xdr:from>
    <xdr:to>
      <xdr:col>15</xdr:col>
      <xdr:colOff>54727</xdr:colOff>
      <xdr:row>291</xdr:row>
      <xdr:rowOff>100799</xdr:rowOff>
    </xdr:to>
    <xdr:grpSp>
      <xdr:nvGrpSpPr>
        <xdr:cNvPr id="10" name="Group 9"/>
        <xdr:cNvGrpSpPr/>
      </xdr:nvGrpSpPr>
      <xdr:grpSpPr>
        <a:xfrm>
          <a:off x="7013575" y="46081950"/>
          <a:ext cx="6166602" cy="6653999"/>
          <a:chOff x="257175" y="45824775"/>
          <a:chExt cx="5884027" cy="6758774"/>
        </a:xfrm>
      </xdr:grpSpPr>
      <xdr:pic>
        <xdr:nvPicPr>
          <xdr:cNvPr id="32" name="Picture 31" descr="insp-215487-843.jpg (719×540)"/>
          <xdr:cNvPicPr>
            <a:picLocks noChangeAspect="1" noChangeArrowheads="1"/>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273627" y="45824775"/>
            <a:ext cx="287599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7" name="Picture 36" descr="insp-215487-861.jpg (719×540)"/>
          <xdr:cNvPicPr>
            <a:picLocks noChangeAspect="1" noChangeArrowheads="1"/>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a:fillRect/>
          </a:stretch>
        </xdr:blipFill>
        <xdr:spPr bwMode="auto">
          <a:xfrm>
            <a:off x="3265203" y="45824775"/>
            <a:ext cx="287599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8" name="Picture 37" descr="insp-215487-860.jpg (719×540)"/>
          <xdr:cNvPicPr>
            <a:picLocks noChangeAspect="1" noChangeArrowheads="1"/>
          </xdr:cNvPicPr>
        </xdr:nvPicPr>
        <xdr:blipFill>
          <a:blip xmlns:r="http://schemas.openxmlformats.org/officeDocument/2006/relationships" r:embed="rId12" cstate="screen">
            <a:extLst>
              <a:ext uri="{28A0092B-C50C-407E-A947-70E740481C1C}">
                <a14:useLocalDpi xmlns:a14="http://schemas.microsoft.com/office/drawing/2010/main"/>
              </a:ext>
            </a:extLst>
          </a:blip>
          <a:srcRect/>
          <a:stretch>
            <a:fillRect/>
          </a:stretch>
        </xdr:blipFill>
        <xdr:spPr bwMode="auto">
          <a:xfrm>
            <a:off x="257175" y="48124162"/>
            <a:ext cx="287599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9" name="Picture 38" descr="insp-215487-874.jpg (719×540)"/>
          <xdr:cNvPicPr>
            <a:picLocks noChangeAspect="1" noChangeArrowheads="1"/>
          </xdr:cNvPicPr>
        </xdr:nvPicPr>
        <xdr:blipFill>
          <a:blip xmlns:r="http://schemas.openxmlformats.org/officeDocument/2006/relationships" r:embed="rId13" cstate="screen">
            <a:extLst>
              <a:ext uri="{28A0092B-C50C-407E-A947-70E740481C1C}">
                <a14:useLocalDpi xmlns:a14="http://schemas.microsoft.com/office/drawing/2010/main"/>
              </a:ext>
            </a:extLst>
          </a:blip>
          <a:srcRect/>
          <a:stretch>
            <a:fillRect/>
          </a:stretch>
        </xdr:blipFill>
        <xdr:spPr bwMode="auto">
          <a:xfrm>
            <a:off x="3265203" y="48124162"/>
            <a:ext cx="287599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0" name="Picture 39" descr="insp-215487-877.jpg (719×540)"/>
          <xdr:cNvPicPr>
            <a:picLocks noChangeAspect="1" noChangeArrowheads="1"/>
          </xdr:cNvPicPr>
        </xdr:nvPicPr>
        <xdr:blipFill>
          <a:blip xmlns:r="http://schemas.openxmlformats.org/officeDocument/2006/relationships" r:embed="rId14" cstate="screen">
            <a:extLst>
              <a:ext uri="{28A0092B-C50C-407E-A947-70E740481C1C}">
                <a14:useLocalDpi xmlns:a14="http://schemas.microsoft.com/office/drawing/2010/main"/>
              </a:ext>
            </a:extLst>
          </a:blip>
          <a:srcRect/>
          <a:stretch>
            <a:fillRect/>
          </a:stretch>
        </xdr:blipFill>
        <xdr:spPr bwMode="auto">
          <a:xfrm>
            <a:off x="3265202" y="50423549"/>
            <a:ext cx="287599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1" name="Picture 40" descr="insp-215487-883.jpg (719×540)"/>
          <xdr:cNvPicPr>
            <a:picLocks noChangeAspect="1" noChangeArrowheads="1"/>
          </xdr:cNvPicPr>
        </xdr:nvPicPr>
        <xdr:blipFill>
          <a:blip xmlns:r="http://schemas.openxmlformats.org/officeDocument/2006/relationships" r:embed="rId15" cstate="screen">
            <a:extLst>
              <a:ext uri="{28A0092B-C50C-407E-A947-70E740481C1C}">
                <a14:useLocalDpi xmlns:a14="http://schemas.microsoft.com/office/drawing/2010/main"/>
              </a:ext>
            </a:extLst>
          </a:blip>
          <a:srcRect/>
          <a:stretch>
            <a:fillRect/>
          </a:stretch>
        </xdr:blipFill>
        <xdr:spPr bwMode="auto">
          <a:xfrm>
            <a:off x="257175" y="50423549"/>
            <a:ext cx="287599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0</xdr:col>
      <xdr:colOff>723901</xdr:colOff>
      <xdr:row>300</xdr:row>
      <xdr:rowOff>180975</xdr:rowOff>
    </xdr:from>
    <xdr:to>
      <xdr:col>7</xdr:col>
      <xdr:colOff>72765</xdr:colOff>
      <xdr:row>340</xdr:row>
      <xdr:rowOff>99975</xdr:rowOff>
    </xdr:to>
    <xdr:pic>
      <xdr:nvPicPr>
        <xdr:cNvPr id="49" name="Picture 48"/>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723901" y="62579250"/>
          <a:ext cx="4997189" cy="7920000"/>
        </a:xfrm>
        <a:prstGeom prst="rect">
          <a:avLst/>
        </a:prstGeom>
        <a:ln>
          <a:solidFill>
            <a:schemeClr val="tx1"/>
          </a:solidFill>
        </a:ln>
      </xdr:spPr>
    </xdr:pic>
    <xdr:clientData/>
  </xdr:twoCellAnchor>
  <xdr:twoCellAnchor editAs="oneCell">
    <xdr:from>
      <xdr:col>8</xdr:col>
      <xdr:colOff>514350</xdr:colOff>
      <xdr:row>299</xdr:row>
      <xdr:rowOff>0</xdr:rowOff>
    </xdr:from>
    <xdr:to>
      <xdr:col>15</xdr:col>
      <xdr:colOff>323963</xdr:colOff>
      <xdr:row>344</xdr:row>
      <xdr:rowOff>139700</xdr:rowOff>
    </xdr:to>
    <xdr:pic>
      <xdr:nvPicPr>
        <xdr:cNvPr id="50" name="Picture 49"/>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6896100" y="62083950"/>
          <a:ext cx="5800838" cy="9144000"/>
        </a:xfrm>
        <a:prstGeom prst="rect">
          <a:avLst/>
        </a:prstGeom>
        <a:ln>
          <a:solidFill>
            <a:schemeClr val="tx1"/>
          </a:solidFill>
        </a:ln>
      </xdr:spPr>
    </xdr:pic>
    <xdr:clientData/>
  </xdr:twoCellAnchor>
  <xdr:twoCellAnchor>
    <xdr:from>
      <xdr:col>0</xdr:col>
      <xdr:colOff>50800</xdr:colOff>
      <xdr:row>257</xdr:row>
      <xdr:rowOff>88900</xdr:rowOff>
    </xdr:from>
    <xdr:to>
      <xdr:col>7</xdr:col>
      <xdr:colOff>882708</xdr:colOff>
      <xdr:row>292</xdr:row>
      <xdr:rowOff>3113</xdr:rowOff>
    </xdr:to>
    <xdr:grpSp>
      <xdr:nvGrpSpPr>
        <xdr:cNvPr id="9" name="Group 8"/>
        <xdr:cNvGrpSpPr/>
      </xdr:nvGrpSpPr>
      <xdr:grpSpPr>
        <a:xfrm>
          <a:off x="50800" y="46037500"/>
          <a:ext cx="6756458" cy="6797613"/>
          <a:chOff x="50800" y="45675550"/>
          <a:chExt cx="6756458" cy="6797613"/>
        </a:xfrm>
      </xdr:grpSpPr>
      <xdr:pic>
        <xdr:nvPicPr>
          <xdr:cNvPr id="47" name="Picture 46"/>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3461997" y="50853163"/>
            <a:ext cx="1213313" cy="1620000"/>
          </a:xfrm>
          <a:prstGeom prst="rect">
            <a:avLst/>
          </a:prstGeom>
          <a:ln>
            <a:solidFill>
              <a:schemeClr val="tx1"/>
            </a:solidFill>
          </a:ln>
        </xdr:spPr>
      </xdr:pic>
      <xdr:pic>
        <xdr:nvPicPr>
          <xdr:cNvPr id="48" name="Picture 47"/>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50800" y="45675550"/>
            <a:ext cx="2157000" cy="1620000"/>
          </a:xfrm>
          <a:prstGeom prst="rect">
            <a:avLst/>
          </a:prstGeom>
          <a:ln>
            <a:solidFill>
              <a:schemeClr val="tx1"/>
            </a:solidFill>
          </a:ln>
        </xdr:spPr>
      </xdr:pic>
      <xdr:pic>
        <xdr:nvPicPr>
          <xdr:cNvPr id="51" name="Picture 50"/>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2105955" y="50853163"/>
            <a:ext cx="1213313" cy="1620000"/>
          </a:xfrm>
          <a:prstGeom prst="rect">
            <a:avLst/>
          </a:prstGeom>
          <a:ln>
            <a:solidFill>
              <a:schemeClr val="tx1"/>
            </a:solidFill>
          </a:ln>
        </xdr:spPr>
      </xdr:pic>
      <xdr:pic>
        <xdr:nvPicPr>
          <xdr:cNvPr id="52" name="Picture 51"/>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4650258" y="49127292"/>
            <a:ext cx="2157000" cy="1620000"/>
          </a:xfrm>
          <a:prstGeom prst="rect">
            <a:avLst/>
          </a:prstGeom>
          <a:ln>
            <a:solidFill>
              <a:schemeClr val="tx1"/>
            </a:solidFill>
          </a:ln>
        </xdr:spPr>
      </xdr:pic>
      <xdr:pic>
        <xdr:nvPicPr>
          <xdr:cNvPr id="53" name="Picture 52"/>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2350529" y="45675550"/>
            <a:ext cx="2157000" cy="1620000"/>
          </a:xfrm>
          <a:prstGeom prst="rect">
            <a:avLst/>
          </a:prstGeom>
          <a:ln>
            <a:solidFill>
              <a:schemeClr val="tx1"/>
            </a:solidFill>
          </a:ln>
        </xdr:spPr>
      </xdr:pic>
      <xdr:pic>
        <xdr:nvPicPr>
          <xdr:cNvPr id="54" name="Picture 53"/>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a:ext>
            </a:extLst>
          </a:blip>
          <a:stretch>
            <a:fillRect/>
          </a:stretch>
        </xdr:blipFill>
        <xdr:spPr>
          <a:xfrm>
            <a:off x="4650258" y="45675550"/>
            <a:ext cx="2157000" cy="1620000"/>
          </a:xfrm>
          <a:prstGeom prst="rect">
            <a:avLst/>
          </a:prstGeom>
          <a:ln>
            <a:solidFill>
              <a:schemeClr val="tx1"/>
            </a:solidFill>
          </a:ln>
        </xdr:spPr>
      </xdr:pic>
      <xdr:pic>
        <xdr:nvPicPr>
          <xdr:cNvPr id="55" name="Picture 54"/>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a:ext>
            </a:extLst>
          </a:blip>
          <a:stretch>
            <a:fillRect/>
          </a:stretch>
        </xdr:blipFill>
        <xdr:spPr>
          <a:xfrm>
            <a:off x="50800" y="47401421"/>
            <a:ext cx="2157000" cy="1620000"/>
          </a:xfrm>
          <a:prstGeom prst="rect">
            <a:avLst/>
          </a:prstGeom>
          <a:ln>
            <a:solidFill>
              <a:schemeClr val="tx1"/>
            </a:solidFill>
          </a:ln>
        </xdr:spPr>
      </xdr:pic>
      <xdr:pic>
        <xdr:nvPicPr>
          <xdr:cNvPr id="66" name="Picture 65"/>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a:ext>
            </a:extLst>
          </a:blip>
          <a:stretch>
            <a:fillRect/>
          </a:stretch>
        </xdr:blipFill>
        <xdr:spPr>
          <a:xfrm>
            <a:off x="2350529" y="47401421"/>
            <a:ext cx="2157000" cy="1620000"/>
          </a:xfrm>
          <a:prstGeom prst="rect">
            <a:avLst/>
          </a:prstGeom>
          <a:ln>
            <a:solidFill>
              <a:schemeClr val="tx1"/>
            </a:solidFill>
          </a:ln>
        </xdr:spPr>
      </xdr:pic>
      <xdr:pic>
        <xdr:nvPicPr>
          <xdr:cNvPr id="67" name="Picture 66"/>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a:ext>
            </a:extLst>
          </a:blip>
          <a:stretch>
            <a:fillRect/>
          </a:stretch>
        </xdr:blipFill>
        <xdr:spPr>
          <a:xfrm>
            <a:off x="4650258" y="47401421"/>
            <a:ext cx="2157000" cy="1620000"/>
          </a:xfrm>
          <a:prstGeom prst="rect">
            <a:avLst/>
          </a:prstGeom>
          <a:ln>
            <a:solidFill>
              <a:schemeClr val="tx1"/>
            </a:solidFill>
          </a:ln>
        </xdr:spPr>
      </xdr:pic>
      <xdr:pic>
        <xdr:nvPicPr>
          <xdr:cNvPr id="68" name="Picture 67"/>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a:ext>
            </a:extLst>
          </a:blip>
          <a:stretch>
            <a:fillRect/>
          </a:stretch>
        </xdr:blipFill>
        <xdr:spPr>
          <a:xfrm>
            <a:off x="50800" y="49127292"/>
            <a:ext cx="2157000" cy="1620000"/>
          </a:xfrm>
          <a:prstGeom prst="rect">
            <a:avLst/>
          </a:prstGeom>
          <a:ln>
            <a:solidFill>
              <a:schemeClr val="tx1"/>
            </a:solidFill>
          </a:ln>
        </xdr:spPr>
      </xdr:pic>
      <xdr:pic>
        <xdr:nvPicPr>
          <xdr:cNvPr id="69" name="Picture 68"/>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a:ext>
            </a:extLst>
          </a:blip>
          <a:stretch>
            <a:fillRect/>
          </a:stretch>
        </xdr:blipFill>
        <xdr:spPr>
          <a:xfrm>
            <a:off x="2350529" y="49127292"/>
            <a:ext cx="2157000" cy="162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66L9mCQokXxtArPG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86"/>
  <sheetViews>
    <sheetView tabSelected="1" showWhiteSpace="0" view="pageBreakPreview" zoomScaleNormal="100" zoomScaleSheetLayoutView="100" zoomScalePageLayoutView="85" workbookViewId="0">
      <selection activeCell="K12" sqref="K12"/>
    </sheetView>
  </sheetViews>
  <sheetFormatPr defaultColWidth="9.1796875" defaultRowHeight="15.5" x14ac:dyDescent="0.35"/>
  <cols>
    <col min="1" max="1" width="11.453125" style="40" customWidth="1"/>
    <col min="2" max="2" width="12" style="40" customWidth="1"/>
    <col min="3" max="4" width="12.7265625" style="40" customWidth="1"/>
    <col min="5" max="5" width="11.7265625" style="40" customWidth="1"/>
    <col min="6" max="6" width="13.1796875" style="40" customWidth="1"/>
    <col min="7" max="7" width="11" style="40" customWidth="1"/>
    <col min="8" max="8" width="13.26953125" style="40" customWidth="1"/>
    <col min="9" max="9" width="17.453125" style="21" customWidth="1"/>
    <col min="10" max="10" width="11.453125" style="21" customWidth="1"/>
    <col min="11" max="11" width="10.54296875" style="21" bestFit="1" customWidth="1"/>
    <col min="12" max="12" width="13.81640625" style="21" bestFit="1" customWidth="1"/>
    <col min="13" max="13" width="11.81640625" style="21" customWidth="1"/>
    <col min="14" max="14" width="12.54296875" style="21" customWidth="1"/>
    <col min="15" max="15" width="12.1796875" style="21" customWidth="1"/>
    <col min="16" max="16" width="11.7265625" style="21" customWidth="1"/>
    <col min="17" max="18" width="9.1796875" style="21"/>
    <col min="19" max="19" width="10.81640625" style="21" bestFit="1" customWidth="1"/>
    <col min="20" max="20" width="10.7265625" style="21" customWidth="1"/>
    <col min="21" max="247" width="9.1796875" style="21"/>
    <col min="248" max="248" width="8.7265625" style="21" customWidth="1"/>
    <col min="249" max="249" width="9.81640625" style="21" customWidth="1"/>
    <col min="250" max="250" width="14.453125" style="21" customWidth="1"/>
    <col min="251" max="251" width="7.26953125" style="21" customWidth="1"/>
    <col min="252" max="252" width="5.54296875" style="21" customWidth="1"/>
    <col min="253" max="253" width="9" style="21" customWidth="1"/>
    <col min="254" max="255" width="9.81640625" style="21" customWidth="1"/>
    <col min="256" max="256" width="11.1796875" style="21" customWidth="1"/>
    <col min="257" max="257" width="2.81640625" style="21" customWidth="1"/>
    <col min="258" max="258" width="3.54296875" style="21" customWidth="1"/>
    <col min="259" max="503" width="9.1796875" style="21"/>
    <col min="504" max="504" width="8.7265625" style="21" customWidth="1"/>
    <col min="505" max="505" width="9.81640625" style="21" customWidth="1"/>
    <col min="506" max="506" width="14.453125" style="21" customWidth="1"/>
    <col min="507" max="507" width="7.26953125" style="21" customWidth="1"/>
    <col min="508" max="508" width="5.54296875" style="21" customWidth="1"/>
    <col min="509" max="509" width="9" style="21" customWidth="1"/>
    <col min="510" max="511" width="9.81640625" style="21" customWidth="1"/>
    <col min="512" max="512" width="11.1796875" style="21" customWidth="1"/>
    <col min="513" max="513" width="2.81640625" style="21" customWidth="1"/>
    <col min="514" max="514" width="3.54296875" style="21" customWidth="1"/>
    <col min="515" max="759" width="9.1796875" style="21"/>
    <col min="760" max="760" width="8.7265625" style="21" customWidth="1"/>
    <col min="761" max="761" width="9.81640625" style="21" customWidth="1"/>
    <col min="762" max="762" width="14.453125" style="21" customWidth="1"/>
    <col min="763" max="763" width="7.26953125" style="21" customWidth="1"/>
    <col min="764" max="764" width="5.54296875" style="21" customWidth="1"/>
    <col min="765" max="765" width="9" style="21" customWidth="1"/>
    <col min="766" max="767" width="9.81640625" style="21" customWidth="1"/>
    <col min="768" max="768" width="11.1796875" style="21" customWidth="1"/>
    <col min="769" max="769" width="2.81640625" style="21" customWidth="1"/>
    <col min="770" max="770" width="3.54296875" style="21" customWidth="1"/>
    <col min="771" max="1015" width="9.1796875" style="21"/>
    <col min="1016" max="1016" width="8.7265625" style="21" customWidth="1"/>
    <col min="1017" max="1017" width="9.81640625" style="21" customWidth="1"/>
    <col min="1018" max="1018" width="14.453125" style="21" customWidth="1"/>
    <col min="1019" max="1019" width="7.26953125" style="21" customWidth="1"/>
    <col min="1020" max="1020" width="5.54296875" style="21" customWidth="1"/>
    <col min="1021" max="1021" width="9" style="21" customWidth="1"/>
    <col min="1022" max="1023" width="9.81640625" style="21" customWidth="1"/>
    <col min="1024" max="1024" width="11.1796875" style="21" customWidth="1"/>
    <col min="1025" max="1025" width="2.81640625" style="21" customWidth="1"/>
    <col min="1026" max="1026" width="3.54296875" style="21" customWidth="1"/>
    <col min="1027" max="1271" width="9.1796875" style="21"/>
    <col min="1272" max="1272" width="8.7265625" style="21" customWidth="1"/>
    <col min="1273" max="1273" width="9.81640625" style="21" customWidth="1"/>
    <col min="1274" max="1274" width="14.453125" style="21" customWidth="1"/>
    <col min="1275" max="1275" width="7.26953125" style="21" customWidth="1"/>
    <col min="1276" max="1276" width="5.54296875" style="21" customWidth="1"/>
    <col min="1277" max="1277" width="9" style="21" customWidth="1"/>
    <col min="1278" max="1279" width="9.81640625" style="21" customWidth="1"/>
    <col min="1280" max="1280" width="11.1796875" style="21" customWidth="1"/>
    <col min="1281" max="1281" width="2.81640625" style="21" customWidth="1"/>
    <col min="1282" max="1282" width="3.54296875" style="21" customWidth="1"/>
    <col min="1283" max="1527" width="9.1796875" style="21"/>
    <col min="1528" max="1528" width="8.7265625" style="21" customWidth="1"/>
    <col min="1529" max="1529" width="9.81640625" style="21" customWidth="1"/>
    <col min="1530" max="1530" width="14.453125" style="21" customWidth="1"/>
    <col min="1531" max="1531" width="7.26953125" style="21" customWidth="1"/>
    <col min="1532" max="1532" width="5.54296875" style="21" customWidth="1"/>
    <col min="1533" max="1533" width="9" style="21" customWidth="1"/>
    <col min="1534" max="1535" width="9.81640625" style="21" customWidth="1"/>
    <col min="1536" max="1536" width="11.1796875" style="21" customWidth="1"/>
    <col min="1537" max="1537" width="2.81640625" style="21" customWidth="1"/>
    <col min="1538" max="1538" width="3.54296875" style="21" customWidth="1"/>
    <col min="1539" max="1783" width="9.1796875" style="21"/>
    <col min="1784" max="1784" width="8.7265625" style="21" customWidth="1"/>
    <col min="1785" max="1785" width="9.81640625" style="21" customWidth="1"/>
    <col min="1786" max="1786" width="14.453125" style="21" customWidth="1"/>
    <col min="1787" max="1787" width="7.26953125" style="21" customWidth="1"/>
    <col min="1788" max="1788" width="5.54296875" style="21" customWidth="1"/>
    <col min="1789" max="1789" width="9" style="21" customWidth="1"/>
    <col min="1790" max="1791" width="9.81640625" style="21" customWidth="1"/>
    <col min="1792" max="1792" width="11.1796875" style="21" customWidth="1"/>
    <col min="1793" max="1793" width="2.81640625" style="21" customWidth="1"/>
    <col min="1794" max="1794" width="3.54296875" style="21" customWidth="1"/>
    <col min="1795" max="2039" width="9.1796875" style="21"/>
    <col min="2040" max="2040" width="8.7265625" style="21" customWidth="1"/>
    <col min="2041" max="2041" width="9.81640625" style="21" customWidth="1"/>
    <col min="2042" max="2042" width="14.453125" style="21" customWidth="1"/>
    <col min="2043" max="2043" width="7.26953125" style="21" customWidth="1"/>
    <col min="2044" max="2044" width="5.54296875" style="21" customWidth="1"/>
    <col min="2045" max="2045" width="9" style="21" customWidth="1"/>
    <col min="2046" max="2047" width="9.81640625" style="21" customWidth="1"/>
    <col min="2048" max="2048" width="11.1796875" style="21" customWidth="1"/>
    <col min="2049" max="2049" width="2.81640625" style="21" customWidth="1"/>
    <col min="2050" max="2050" width="3.54296875" style="21" customWidth="1"/>
    <col min="2051" max="2295" width="9.1796875" style="21"/>
    <col min="2296" max="2296" width="8.7265625" style="21" customWidth="1"/>
    <col min="2297" max="2297" width="9.81640625" style="21" customWidth="1"/>
    <col min="2298" max="2298" width="14.453125" style="21" customWidth="1"/>
    <col min="2299" max="2299" width="7.26953125" style="21" customWidth="1"/>
    <col min="2300" max="2300" width="5.54296875" style="21" customWidth="1"/>
    <col min="2301" max="2301" width="9" style="21" customWidth="1"/>
    <col min="2302" max="2303" width="9.81640625" style="21" customWidth="1"/>
    <col min="2304" max="2304" width="11.1796875" style="21" customWidth="1"/>
    <col min="2305" max="2305" width="2.81640625" style="21" customWidth="1"/>
    <col min="2306" max="2306" width="3.54296875" style="21" customWidth="1"/>
    <col min="2307" max="2551" width="9.1796875" style="21"/>
    <col min="2552" max="2552" width="8.7265625" style="21" customWidth="1"/>
    <col min="2553" max="2553" width="9.81640625" style="21" customWidth="1"/>
    <col min="2554" max="2554" width="14.453125" style="21" customWidth="1"/>
    <col min="2555" max="2555" width="7.26953125" style="21" customWidth="1"/>
    <col min="2556" max="2556" width="5.54296875" style="21" customWidth="1"/>
    <col min="2557" max="2557" width="9" style="21" customWidth="1"/>
    <col min="2558" max="2559" width="9.81640625" style="21" customWidth="1"/>
    <col min="2560" max="2560" width="11.1796875" style="21" customWidth="1"/>
    <col min="2561" max="2561" width="2.81640625" style="21" customWidth="1"/>
    <col min="2562" max="2562" width="3.54296875" style="21" customWidth="1"/>
    <col min="2563" max="2807" width="9.1796875" style="21"/>
    <col min="2808" max="2808" width="8.7265625" style="21" customWidth="1"/>
    <col min="2809" max="2809" width="9.81640625" style="21" customWidth="1"/>
    <col min="2810" max="2810" width="14.453125" style="21" customWidth="1"/>
    <col min="2811" max="2811" width="7.26953125" style="21" customWidth="1"/>
    <col min="2812" max="2812" width="5.54296875" style="21" customWidth="1"/>
    <col min="2813" max="2813" width="9" style="21" customWidth="1"/>
    <col min="2814" max="2815" width="9.81640625" style="21" customWidth="1"/>
    <col min="2816" max="2816" width="11.1796875" style="21" customWidth="1"/>
    <col min="2817" max="2817" width="2.81640625" style="21" customWidth="1"/>
    <col min="2818" max="2818" width="3.54296875" style="21" customWidth="1"/>
    <col min="2819" max="3063" width="9.1796875" style="21"/>
    <col min="3064" max="3064" width="8.7265625" style="21" customWidth="1"/>
    <col min="3065" max="3065" width="9.81640625" style="21" customWidth="1"/>
    <col min="3066" max="3066" width="14.453125" style="21" customWidth="1"/>
    <col min="3067" max="3067" width="7.26953125" style="21" customWidth="1"/>
    <col min="3068" max="3068" width="5.54296875" style="21" customWidth="1"/>
    <col min="3069" max="3069" width="9" style="21" customWidth="1"/>
    <col min="3070" max="3071" width="9.81640625" style="21" customWidth="1"/>
    <col min="3072" max="3072" width="11.1796875" style="21" customWidth="1"/>
    <col min="3073" max="3073" width="2.81640625" style="21" customWidth="1"/>
    <col min="3074" max="3074" width="3.54296875" style="21" customWidth="1"/>
    <col min="3075" max="3319" width="9.1796875" style="21"/>
    <col min="3320" max="3320" width="8.7265625" style="21" customWidth="1"/>
    <col min="3321" max="3321" width="9.81640625" style="21" customWidth="1"/>
    <col min="3322" max="3322" width="14.453125" style="21" customWidth="1"/>
    <col min="3323" max="3323" width="7.26953125" style="21" customWidth="1"/>
    <col min="3324" max="3324" width="5.54296875" style="21" customWidth="1"/>
    <col min="3325" max="3325" width="9" style="21" customWidth="1"/>
    <col min="3326" max="3327" width="9.81640625" style="21" customWidth="1"/>
    <col min="3328" max="3328" width="11.1796875" style="21" customWidth="1"/>
    <col min="3329" max="3329" width="2.81640625" style="21" customWidth="1"/>
    <col min="3330" max="3330" width="3.54296875" style="21" customWidth="1"/>
    <col min="3331" max="3575" width="9.1796875" style="21"/>
    <col min="3576" max="3576" width="8.7265625" style="21" customWidth="1"/>
    <col min="3577" max="3577" width="9.81640625" style="21" customWidth="1"/>
    <col min="3578" max="3578" width="14.453125" style="21" customWidth="1"/>
    <col min="3579" max="3579" width="7.26953125" style="21" customWidth="1"/>
    <col min="3580" max="3580" width="5.54296875" style="21" customWidth="1"/>
    <col min="3581" max="3581" width="9" style="21" customWidth="1"/>
    <col min="3582" max="3583" width="9.81640625" style="21" customWidth="1"/>
    <col min="3584" max="3584" width="11.1796875" style="21" customWidth="1"/>
    <col min="3585" max="3585" width="2.81640625" style="21" customWidth="1"/>
    <col min="3586" max="3586" width="3.54296875" style="21" customWidth="1"/>
    <col min="3587" max="3831" width="9.1796875" style="21"/>
    <col min="3832" max="3832" width="8.7265625" style="21" customWidth="1"/>
    <col min="3833" max="3833" width="9.81640625" style="21" customWidth="1"/>
    <col min="3834" max="3834" width="14.453125" style="21" customWidth="1"/>
    <col min="3835" max="3835" width="7.26953125" style="21" customWidth="1"/>
    <col min="3836" max="3836" width="5.54296875" style="21" customWidth="1"/>
    <col min="3837" max="3837" width="9" style="21" customWidth="1"/>
    <col min="3838" max="3839" width="9.81640625" style="21" customWidth="1"/>
    <col min="3840" max="3840" width="11.1796875" style="21" customWidth="1"/>
    <col min="3841" max="3841" width="2.81640625" style="21" customWidth="1"/>
    <col min="3842" max="3842" width="3.54296875" style="21" customWidth="1"/>
    <col min="3843" max="4087" width="9.1796875" style="21"/>
    <col min="4088" max="4088" width="8.7265625" style="21" customWidth="1"/>
    <col min="4089" max="4089" width="9.81640625" style="21" customWidth="1"/>
    <col min="4090" max="4090" width="14.453125" style="21" customWidth="1"/>
    <col min="4091" max="4091" width="7.26953125" style="21" customWidth="1"/>
    <col min="4092" max="4092" width="5.54296875" style="21" customWidth="1"/>
    <col min="4093" max="4093" width="9" style="21" customWidth="1"/>
    <col min="4094" max="4095" width="9.81640625" style="21" customWidth="1"/>
    <col min="4096" max="4096" width="11.1796875" style="21" customWidth="1"/>
    <col min="4097" max="4097" width="2.81640625" style="21" customWidth="1"/>
    <col min="4098" max="4098" width="3.54296875" style="21" customWidth="1"/>
    <col min="4099" max="4343" width="9.1796875" style="21"/>
    <col min="4344" max="4344" width="8.7265625" style="21" customWidth="1"/>
    <col min="4345" max="4345" width="9.81640625" style="21" customWidth="1"/>
    <col min="4346" max="4346" width="14.453125" style="21" customWidth="1"/>
    <col min="4347" max="4347" width="7.26953125" style="21" customWidth="1"/>
    <col min="4348" max="4348" width="5.54296875" style="21" customWidth="1"/>
    <col min="4349" max="4349" width="9" style="21" customWidth="1"/>
    <col min="4350" max="4351" width="9.81640625" style="21" customWidth="1"/>
    <col min="4352" max="4352" width="11.1796875" style="21" customWidth="1"/>
    <col min="4353" max="4353" width="2.81640625" style="21" customWidth="1"/>
    <col min="4354" max="4354" width="3.54296875" style="21" customWidth="1"/>
    <col min="4355" max="4599" width="9.1796875" style="21"/>
    <col min="4600" max="4600" width="8.7265625" style="21" customWidth="1"/>
    <col min="4601" max="4601" width="9.81640625" style="21" customWidth="1"/>
    <col min="4602" max="4602" width="14.453125" style="21" customWidth="1"/>
    <col min="4603" max="4603" width="7.26953125" style="21" customWidth="1"/>
    <col min="4604" max="4604" width="5.54296875" style="21" customWidth="1"/>
    <col min="4605" max="4605" width="9" style="21" customWidth="1"/>
    <col min="4606" max="4607" width="9.81640625" style="21" customWidth="1"/>
    <col min="4608" max="4608" width="11.1796875" style="21" customWidth="1"/>
    <col min="4609" max="4609" width="2.81640625" style="21" customWidth="1"/>
    <col min="4610" max="4610" width="3.54296875" style="21" customWidth="1"/>
    <col min="4611" max="4855" width="9.1796875" style="21"/>
    <col min="4856" max="4856" width="8.7265625" style="21" customWidth="1"/>
    <col min="4857" max="4857" width="9.81640625" style="21" customWidth="1"/>
    <col min="4858" max="4858" width="14.453125" style="21" customWidth="1"/>
    <col min="4859" max="4859" width="7.26953125" style="21" customWidth="1"/>
    <col min="4860" max="4860" width="5.54296875" style="21" customWidth="1"/>
    <col min="4861" max="4861" width="9" style="21" customWidth="1"/>
    <col min="4862" max="4863" width="9.81640625" style="21" customWidth="1"/>
    <col min="4864" max="4864" width="11.1796875" style="21" customWidth="1"/>
    <col min="4865" max="4865" width="2.81640625" style="21" customWidth="1"/>
    <col min="4866" max="4866" width="3.54296875" style="21" customWidth="1"/>
    <col min="4867" max="5111" width="9.1796875" style="21"/>
    <col min="5112" max="5112" width="8.7265625" style="21" customWidth="1"/>
    <col min="5113" max="5113" width="9.81640625" style="21" customWidth="1"/>
    <col min="5114" max="5114" width="14.453125" style="21" customWidth="1"/>
    <col min="5115" max="5115" width="7.26953125" style="21" customWidth="1"/>
    <col min="5116" max="5116" width="5.54296875" style="21" customWidth="1"/>
    <col min="5117" max="5117" width="9" style="21" customWidth="1"/>
    <col min="5118" max="5119" width="9.81640625" style="21" customWidth="1"/>
    <col min="5120" max="5120" width="11.1796875" style="21" customWidth="1"/>
    <col min="5121" max="5121" width="2.81640625" style="21" customWidth="1"/>
    <col min="5122" max="5122" width="3.54296875" style="21" customWidth="1"/>
    <col min="5123" max="5367" width="9.1796875" style="21"/>
    <col min="5368" max="5368" width="8.7265625" style="21" customWidth="1"/>
    <col min="5369" max="5369" width="9.81640625" style="21" customWidth="1"/>
    <col min="5370" max="5370" width="14.453125" style="21" customWidth="1"/>
    <col min="5371" max="5371" width="7.26953125" style="21" customWidth="1"/>
    <col min="5372" max="5372" width="5.54296875" style="21" customWidth="1"/>
    <col min="5373" max="5373" width="9" style="21" customWidth="1"/>
    <col min="5374" max="5375" width="9.81640625" style="21" customWidth="1"/>
    <col min="5376" max="5376" width="11.1796875" style="21" customWidth="1"/>
    <col min="5377" max="5377" width="2.81640625" style="21" customWidth="1"/>
    <col min="5378" max="5378" width="3.54296875" style="21" customWidth="1"/>
    <col min="5379" max="5623" width="9.1796875" style="21"/>
    <col min="5624" max="5624" width="8.7265625" style="21" customWidth="1"/>
    <col min="5625" max="5625" width="9.81640625" style="21" customWidth="1"/>
    <col min="5626" max="5626" width="14.453125" style="21" customWidth="1"/>
    <col min="5627" max="5627" width="7.26953125" style="21" customWidth="1"/>
    <col min="5628" max="5628" width="5.54296875" style="21" customWidth="1"/>
    <col min="5629" max="5629" width="9" style="21" customWidth="1"/>
    <col min="5630" max="5631" width="9.81640625" style="21" customWidth="1"/>
    <col min="5632" max="5632" width="11.1796875" style="21" customWidth="1"/>
    <col min="5633" max="5633" width="2.81640625" style="21" customWidth="1"/>
    <col min="5634" max="5634" width="3.54296875" style="21" customWidth="1"/>
    <col min="5635" max="5879" width="9.1796875" style="21"/>
    <col min="5880" max="5880" width="8.7265625" style="21" customWidth="1"/>
    <col min="5881" max="5881" width="9.81640625" style="21" customWidth="1"/>
    <col min="5882" max="5882" width="14.453125" style="21" customWidth="1"/>
    <col min="5883" max="5883" width="7.26953125" style="21" customWidth="1"/>
    <col min="5884" max="5884" width="5.54296875" style="21" customWidth="1"/>
    <col min="5885" max="5885" width="9" style="21" customWidth="1"/>
    <col min="5886" max="5887" width="9.81640625" style="21" customWidth="1"/>
    <col min="5888" max="5888" width="11.1796875" style="21" customWidth="1"/>
    <col min="5889" max="5889" width="2.81640625" style="21" customWidth="1"/>
    <col min="5890" max="5890" width="3.54296875" style="21" customWidth="1"/>
    <col min="5891" max="6135" width="9.1796875" style="21"/>
    <col min="6136" max="6136" width="8.7265625" style="21" customWidth="1"/>
    <col min="6137" max="6137" width="9.81640625" style="21" customWidth="1"/>
    <col min="6138" max="6138" width="14.453125" style="21" customWidth="1"/>
    <col min="6139" max="6139" width="7.26953125" style="21" customWidth="1"/>
    <col min="6140" max="6140" width="5.54296875" style="21" customWidth="1"/>
    <col min="6141" max="6141" width="9" style="21" customWidth="1"/>
    <col min="6142" max="6143" width="9.81640625" style="21" customWidth="1"/>
    <col min="6144" max="6144" width="11.1796875" style="21" customWidth="1"/>
    <col min="6145" max="6145" width="2.81640625" style="21" customWidth="1"/>
    <col min="6146" max="6146" width="3.54296875" style="21" customWidth="1"/>
    <col min="6147" max="6391" width="9.1796875" style="21"/>
    <col min="6392" max="6392" width="8.7265625" style="21" customWidth="1"/>
    <col min="6393" max="6393" width="9.81640625" style="21" customWidth="1"/>
    <col min="6394" max="6394" width="14.453125" style="21" customWidth="1"/>
    <col min="6395" max="6395" width="7.26953125" style="21" customWidth="1"/>
    <col min="6396" max="6396" width="5.54296875" style="21" customWidth="1"/>
    <col min="6397" max="6397" width="9" style="21" customWidth="1"/>
    <col min="6398" max="6399" width="9.81640625" style="21" customWidth="1"/>
    <col min="6400" max="6400" width="11.1796875" style="21" customWidth="1"/>
    <col min="6401" max="6401" width="2.81640625" style="21" customWidth="1"/>
    <col min="6402" max="6402" width="3.54296875" style="21" customWidth="1"/>
    <col min="6403" max="6647" width="9.1796875" style="21"/>
    <col min="6648" max="6648" width="8.7265625" style="21" customWidth="1"/>
    <col min="6649" max="6649" width="9.81640625" style="21" customWidth="1"/>
    <col min="6650" max="6650" width="14.453125" style="21" customWidth="1"/>
    <col min="6651" max="6651" width="7.26953125" style="21" customWidth="1"/>
    <col min="6652" max="6652" width="5.54296875" style="21" customWidth="1"/>
    <col min="6653" max="6653" width="9" style="21" customWidth="1"/>
    <col min="6654" max="6655" width="9.81640625" style="21" customWidth="1"/>
    <col min="6656" max="6656" width="11.1796875" style="21" customWidth="1"/>
    <col min="6657" max="6657" width="2.81640625" style="21" customWidth="1"/>
    <col min="6658" max="6658" width="3.54296875" style="21" customWidth="1"/>
    <col min="6659" max="6903" width="9.1796875" style="21"/>
    <col min="6904" max="6904" width="8.7265625" style="21" customWidth="1"/>
    <col min="6905" max="6905" width="9.81640625" style="21" customWidth="1"/>
    <col min="6906" max="6906" width="14.453125" style="21" customWidth="1"/>
    <col min="6907" max="6907" width="7.26953125" style="21" customWidth="1"/>
    <col min="6908" max="6908" width="5.54296875" style="21" customWidth="1"/>
    <col min="6909" max="6909" width="9" style="21" customWidth="1"/>
    <col min="6910" max="6911" width="9.81640625" style="21" customWidth="1"/>
    <col min="6912" max="6912" width="11.1796875" style="21" customWidth="1"/>
    <col min="6913" max="6913" width="2.81640625" style="21" customWidth="1"/>
    <col min="6914" max="6914" width="3.54296875" style="21" customWidth="1"/>
    <col min="6915" max="7159" width="9.1796875" style="21"/>
    <col min="7160" max="7160" width="8.7265625" style="21" customWidth="1"/>
    <col min="7161" max="7161" width="9.81640625" style="21" customWidth="1"/>
    <col min="7162" max="7162" width="14.453125" style="21" customWidth="1"/>
    <col min="7163" max="7163" width="7.26953125" style="21" customWidth="1"/>
    <col min="7164" max="7164" width="5.54296875" style="21" customWidth="1"/>
    <col min="7165" max="7165" width="9" style="21" customWidth="1"/>
    <col min="7166" max="7167" width="9.81640625" style="21" customWidth="1"/>
    <col min="7168" max="7168" width="11.1796875" style="21" customWidth="1"/>
    <col min="7169" max="7169" width="2.81640625" style="21" customWidth="1"/>
    <col min="7170" max="7170" width="3.54296875" style="21" customWidth="1"/>
    <col min="7171" max="7415" width="9.1796875" style="21"/>
    <col min="7416" max="7416" width="8.7265625" style="21" customWidth="1"/>
    <col min="7417" max="7417" width="9.81640625" style="21" customWidth="1"/>
    <col min="7418" max="7418" width="14.453125" style="21" customWidth="1"/>
    <col min="7419" max="7419" width="7.26953125" style="21" customWidth="1"/>
    <col min="7420" max="7420" width="5.54296875" style="21" customWidth="1"/>
    <col min="7421" max="7421" width="9" style="21" customWidth="1"/>
    <col min="7422" max="7423" width="9.81640625" style="21" customWidth="1"/>
    <col min="7424" max="7424" width="11.1796875" style="21" customWidth="1"/>
    <col min="7425" max="7425" width="2.81640625" style="21" customWidth="1"/>
    <col min="7426" max="7426" width="3.54296875" style="21" customWidth="1"/>
    <col min="7427" max="7671" width="9.1796875" style="21"/>
    <col min="7672" max="7672" width="8.7265625" style="21" customWidth="1"/>
    <col min="7673" max="7673" width="9.81640625" style="21" customWidth="1"/>
    <col min="7674" max="7674" width="14.453125" style="21" customWidth="1"/>
    <col min="7675" max="7675" width="7.26953125" style="21" customWidth="1"/>
    <col min="7676" max="7676" width="5.54296875" style="21" customWidth="1"/>
    <col min="7677" max="7677" width="9" style="21" customWidth="1"/>
    <col min="7678" max="7679" width="9.81640625" style="21" customWidth="1"/>
    <col min="7680" max="7680" width="11.1796875" style="21" customWidth="1"/>
    <col min="7681" max="7681" width="2.81640625" style="21" customWidth="1"/>
    <col min="7682" max="7682" width="3.54296875" style="21" customWidth="1"/>
    <col min="7683" max="7927" width="9.1796875" style="21"/>
    <col min="7928" max="7928" width="8.7265625" style="21" customWidth="1"/>
    <col min="7929" max="7929" width="9.81640625" style="21" customWidth="1"/>
    <col min="7930" max="7930" width="14.453125" style="21" customWidth="1"/>
    <col min="7931" max="7931" width="7.26953125" style="21" customWidth="1"/>
    <col min="7932" max="7932" width="5.54296875" style="21" customWidth="1"/>
    <col min="7933" max="7933" width="9" style="21" customWidth="1"/>
    <col min="7934" max="7935" width="9.81640625" style="21" customWidth="1"/>
    <col min="7936" max="7936" width="11.1796875" style="21" customWidth="1"/>
    <col min="7937" max="7937" width="2.81640625" style="21" customWidth="1"/>
    <col min="7938" max="7938" width="3.54296875" style="21" customWidth="1"/>
    <col min="7939" max="8183" width="9.1796875" style="21"/>
    <col min="8184" max="8184" width="8.7265625" style="21" customWidth="1"/>
    <col min="8185" max="8185" width="9.81640625" style="21" customWidth="1"/>
    <col min="8186" max="8186" width="14.453125" style="21" customWidth="1"/>
    <col min="8187" max="8187" width="7.26953125" style="21" customWidth="1"/>
    <col min="8188" max="8188" width="5.54296875" style="21" customWidth="1"/>
    <col min="8189" max="8189" width="9" style="21" customWidth="1"/>
    <col min="8190" max="8191" width="9.81640625" style="21" customWidth="1"/>
    <col min="8192" max="8192" width="11.1796875" style="21" customWidth="1"/>
    <col min="8193" max="8193" width="2.81640625" style="21" customWidth="1"/>
    <col min="8194" max="8194" width="3.54296875" style="21" customWidth="1"/>
    <col min="8195" max="8439" width="9.1796875" style="21"/>
    <col min="8440" max="8440" width="8.7265625" style="21" customWidth="1"/>
    <col min="8441" max="8441" width="9.81640625" style="21" customWidth="1"/>
    <col min="8442" max="8442" width="14.453125" style="21" customWidth="1"/>
    <col min="8443" max="8443" width="7.26953125" style="21" customWidth="1"/>
    <col min="8444" max="8444" width="5.54296875" style="21" customWidth="1"/>
    <col min="8445" max="8445" width="9" style="21" customWidth="1"/>
    <col min="8446" max="8447" width="9.81640625" style="21" customWidth="1"/>
    <col min="8448" max="8448" width="11.1796875" style="21" customWidth="1"/>
    <col min="8449" max="8449" width="2.81640625" style="21" customWidth="1"/>
    <col min="8450" max="8450" width="3.54296875" style="21" customWidth="1"/>
    <col min="8451" max="8695" width="9.1796875" style="21"/>
    <col min="8696" max="8696" width="8.7265625" style="21" customWidth="1"/>
    <col min="8697" max="8697" width="9.81640625" style="21" customWidth="1"/>
    <col min="8698" max="8698" width="14.453125" style="21" customWidth="1"/>
    <col min="8699" max="8699" width="7.26953125" style="21" customWidth="1"/>
    <col min="8700" max="8700" width="5.54296875" style="21" customWidth="1"/>
    <col min="8701" max="8701" width="9" style="21" customWidth="1"/>
    <col min="8702" max="8703" width="9.81640625" style="21" customWidth="1"/>
    <col min="8704" max="8704" width="11.1796875" style="21" customWidth="1"/>
    <col min="8705" max="8705" width="2.81640625" style="21" customWidth="1"/>
    <col min="8706" max="8706" width="3.54296875" style="21" customWidth="1"/>
    <col min="8707" max="8951" width="9.1796875" style="21"/>
    <col min="8952" max="8952" width="8.7265625" style="21" customWidth="1"/>
    <col min="8953" max="8953" width="9.81640625" style="21" customWidth="1"/>
    <col min="8954" max="8954" width="14.453125" style="21" customWidth="1"/>
    <col min="8955" max="8955" width="7.26953125" style="21" customWidth="1"/>
    <col min="8956" max="8956" width="5.54296875" style="21" customWidth="1"/>
    <col min="8957" max="8957" width="9" style="21" customWidth="1"/>
    <col min="8958" max="8959" width="9.81640625" style="21" customWidth="1"/>
    <col min="8960" max="8960" width="11.1796875" style="21" customWidth="1"/>
    <col min="8961" max="8961" width="2.81640625" style="21" customWidth="1"/>
    <col min="8962" max="8962" width="3.54296875" style="21" customWidth="1"/>
    <col min="8963" max="9207" width="9.1796875" style="21"/>
    <col min="9208" max="9208" width="8.7265625" style="21" customWidth="1"/>
    <col min="9209" max="9209" width="9.81640625" style="21" customWidth="1"/>
    <col min="9210" max="9210" width="14.453125" style="21" customWidth="1"/>
    <col min="9211" max="9211" width="7.26953125" style="21" customWidth="1"/>
    <col min="9212" max="9212" width="5.54296875" style="21" customWidth="1"/>
    <col min="9213" max="9213" width="9" style="21" customWidth="1"/>
    <col min="9214" max="9215" width="9.81640625" style="21" customWidth="1"/>
    <col min="9216" max="9216" width="11.1796875" style="21" customWidth="1"/>
    <col min="9217" max="9217" width="2.81640625" style="21" customWidth="1"/>
    <col min="9218" max="9218" width="3.54296875" style="21" customWidth="1"/>
    <col min="9219" max="9463" width="9.1796875" style="21"/>
    <col min="9464" max="9464" width="8.7265625" style="21" customWidth="1"/>
    <col min="9465" max="9465" width="9.81640625" style="21" customWidth="1"/>
    <col min="9466" max="9466" width="14.453125" style="21" customWidth="1"/>
    <col min="9467" max="9467" width="7.26953125" style="21" customWidth="1"/>
    <col min="9468" max="9468" width="5.54296875" style="21" customWidth="1"/>
    <col min="9469" max="9469" width="9" style="21" customWidth="1"/>
    <col min="9470" max="9471" width="9.81640625" style="21" customWidth="1"/>
    <col min="9472" max="9472" width="11.1796875" style="21" customWidth="1"/>
    <col min="9473" max="9473" width="2.81640625" style="21" customWidth="1"/>
    <col min="9474" max="9474" width="3.54296875" style="21" customWidth="1"/>
    <col min="9475" max="9719" width="9.1796875" style="21"/>
    <col min="9720" max="9720" width="8.7265625" style="21" customWidth="1"/>
    <col min="9721" max="9721" width="9.81640625" style="21" customWidth="1"/>
    <col min="9722" max="9722" width="14.453125" style="21" customWidth="1"/>
    <col min="9723" max="9723" width="7.26953125" style="21" customWidth="1"/>
    <col min="9724" max="9724" width="5.54296875" style="21" customWidth="1"/>
    <col min="9725" max="9725" width="9" style="21" customWidth="1"/>
    <col min="9726" max="9727" width="9.81640625" style="21" customWidth="1"/>
    <col min="9728" max="9728" width="11.1796875" style="21" customWidth="1"/>
    <col min="9729" max="9729" width="2.81640625" style="21" customWidth="1"/>
    <col min="9730" max="9730" width="3.54296875" style="21" customWidth="1"/>
    <col min="9731" max="9975" width="9.1796875" style="21"/>
    <col min="9976" max="9976" width="8.7265625" style="21" customWidth="1"/>
    <col min="9977" max="9977" width="9.81640625" style="21" customWidth="1"/>
    <col min="9978" max="9978" width="14.453125" style="21" customWidth="1"/>
    <col min="9979" max="9979" width="7.26953125" style="21" customWidth="1"/>
    <col min="9980" max="9980" width="5.54296875" style="21" customWidth="1"/>
    <col min="9981" max="9981" width="9" style="21" customWidth="1"/>
    <col min="9982" max="9983" width="9.81640625" style="21" customWidth="1"/>
    <col min="9984" max="9984" width="11.1796875" style="21" customWidth="1"/>
    <col min="9985" max="9985" width="2.81640625" style="21" customWidth="1"/>
    <col min="9986" max="9986" width="3.54296875" style="21" customWidth="1"/>
    <col min="9987" max="10231" width="9.1796875" style="21"/>
    <col min="10232" max="10232" width="8.7265625" style="21" customWidth="1"/>
    <col min="10233" max="10233" width="9.81640625" style="21" customWidth="1"/>
    <col min="10234" max="10234" width="14.453125" style="21" customWidth="1"/>
    <col min="10235" max="10235" width="7.26953125" style="21" customWidth="1"/>
    <col min="10236" max="10236" width="5.54296875" style="21" customWidth="1"/>
    <col min="10237" max="10237" width="9" style="21" customWidth="1"/>
    <col min="10238" max="10239" width="9.81640625" style="21" customWidth="1"/>
    <col min="10240" max="10240" width="11.1796875" style="21" customWidth="1"/>
    <col min="10241" max="10241" width="2.81640625" style="21" customWidth="1"/>
    <col min="10242" max="10242" width="3.54296875" style="21" customWidth="1"/>
    <col min="10243" max="10487" width="9.1796875" style="21"/>
    <col min="10488" max="10488" width="8.7265625" style="21" customWidth="1"/>
    <col min="10489" max="10489" width="9.81640625" style="21" customWidth="1"/>
    <col min="10490" max="10490" width="14.453125" style="21" customWidth="1"/>
    <col min="10491" max="10491" width="7.26953125" style="21" customWidth="1"/>
    <col min="10492" max="10492" width="5.54296875" style="21" customWidth="1"/>
    <col min="10493" max="10493" width="9" style="21" customWidth="1"/>
    <col min="10494" max="10495" width="9.81640625" style="21" customWidth="1"/>
    <col min="10496" max="10496" width="11.1796875" style="21" customWidth="1"/>
    <col min="10497" max="10497" width="2.81640625" style="21" customWidth="1"/>
    <col min="10498" max="10498" width="3.54296875" style="21" customWidth="1"/>
    <col min="10499" max="10743" width="9.1796875" style="21"/>
    <col min="10744" max="10744" width="8.7265625" style="21" customWidth="1"/>
    <col min="10745" max="10745" width="9.81640625" style="21" customWidth="1"/>
    <col min="10746" max="10746" width="14.453125" style="21" customWidth="1"/>
    <col min="10747" max="10747" width="7.26953125" style="21" customWidth="1"/>
    <col min="10748" max="10748" width="5.54296875" style="21" customWidth="1"/>
    <col min="10749" max="10749" width="9" style="21" customWidth="1"/>
    <col min="10750" max="10751" width="9.81640625" style="21" customWidth="1"/>
    <col min="10752" max="10752" width="11.1796875" style="21" customWidth="1"/>
    <col min="10753" max="10753" width="2.81640625" style="21" customWidth="1"/>
    <col min="10754" max="10754" width="3.54296875" style="21" customWidth="1"/>
    <col min="10755" max="10999" width="9.1796875" style="21"/>
    <col min="11000" max="11000" width="8.7265625" style="21" customWidth="1"/>
    <col min="11001" max="11001" width="9.81640625" style="21" customWidth="1"/>
    <col min="11002" max="11002" width="14.453125" style="21" customWidth="1"/>
    <col min="11003" max="11003" width="7.26953125" style="21" customWidth="1"/>
    <col min="11004" max="11004" width="5.54296875" style="21" customWidth="1"/>
    <col min="11005" max="11005" width="9" style="21" customWidth="1"/>
    <col min="11006" max="11007" width="9.81640625" style="21" customWidth="1"/>
    <col min="11008" max="11008" width="11.1796875" style="21" customWidth="1"/>
    <col min="11009" max="11009" width="2.81640625" style="21" customWidth="1"/>
    <col min="11010" max="11010" width="3.54296875" style="21" customWidth="1"/>
    <col min="11011" max="11255" width="9.1796875" style="21"/>
    <col min="11256" max="11256" width="8.7265625" style="21" customWidth="1"/>
    <col min="11257" max="11257" width="9.81640625" style="21" customWidth="1"/>
    <col min="11258" max="11258" width="14.453125" style="21" customWidth="1"/>
    <col min="11259" max="11259" width="7.26953125" style="21" customWidth="1"/>
    <col min="11260" max="11260" width="5.54296875" style="21" customWidth="1"/>
    <col min="11261" max="11261" width="9" style="21" customWidth="1"/>
    <col min="11262" max="11263" width="9.81640625" style="21" customWidth="1"/>
    <col min="11264" max="11264" width="11.1796875" style="21" customWidth="1"/>
    <col min="11265" max="11265" width="2.81640625" style="21" customWidth="1"/>
    <col min="11266" max="11266" width="3.54296875" style="21" customWidth="1"/>
    <col min="11267" max="11511" width="9.1796875" style="21"/>
    <col min="11512" max="11512" width="8.7265625" style="21" customWidth="1"/>
    <col min="11513" max="11513" width="9.81640625" style="21" customWidth="1"/>
    <col min="11514" max="11514" width="14.453125" style="21" customWidth="1"/>
    <col min="11515" max="11515" width="7.26953125" style="21" customWidth="1"/>
    <col min="11516" max="11516" width="5.54296875" style="21" customWidth="1"/>
    <col min="11517" max="11517" width="9" style="21" customWidth="1"/>
    <col min="11518" max="11519" width="9.81640625" style="21" customWidth="1"/>
    <col min="11520" max="11520" width="11.1796875" style="21" customWidth="1"/>
    <col min="11521" max="11521" width="2.81640625" style="21" customWidth="1"/>
    <col min="11522" max="11522" width="3.54296875" style="21" customWidth="1"/>
    <col min="11523" max="11767" width="9.1796875" style="21"/>
    <col min="11768" max="11768" width="8.7265625" style="21" customWidth="1"/>
    <col min="11769" max="11769" width="9.81640625" style="21" customWidth="1"/>
    <col min="11770" max="11770" width="14.453125" style="21" customWidth="1"/>
    <col min="11771" max="11771" width="7.26953125" style="21" customWidth="1"/>
    <col min="11772" max="11772" width="5.54296875" style="21" customWidth="1"/>
    <col min="11773" max="11773" width="9" style="21" customWidth="1"/>
    <col min="11774" max="11775" width="9.81640625" style="21" customWidth="1"/>
    <col min="11776" max="11776" width="11.1796875" style="21" customWidth="1"/>
    <col min="11777" max="11777" width="2.81640625" style="21" customWidth="1"/>
    <col min="11778" max="11778" width="3.54296875" style="21" customWidth="1"/>
    <col min="11779" max="12023" width="9.1796875" style="21"/>
    <col min="12024" max="12024" width="8.7265625" style="21" customWidth="1"/>
    <col min="12025" max="12025" width="9.81640625" style="21" customWidth="1"/>
    <col min="12026" max="12026" width="14.453125" style="21" customWidth="1"/>
    <col min="12027" max="12027" width="7.26953125" style="21" customWidth="1"/>
    <col min="12028" max="12028" width="5.54296875" style="21" customWidth="1"/>
    <col min="12029" max="12029" width="9" style="21" customWidth="1"/>
    <col min="12030" max="12031" width="9.81640625" style="21" customWidth="1"/>
    <col min="12032" max="12032" width="11.1796875" style="21" customWidth="1"/>
    <col min="12033" max="12033" width="2.81640625" style="21" customWidth="1"/>
    <col min="12034" max="12034" width="3.54296875" style="21" customWidth="1"/>
    <col min="12035" max="12279" width="9.1796875" style="21"/>
    <col min="12280" max="12280" width="8.7265625" style="21" customWidth="1"/>
    <col min="12281" max="12281" width="9.81640625" style="21" customWidth="1"/>
    <col min="12282" max="12282" width="14.453125" style="21" customWidth="1"/>
    <col min="12283" max="12283" width="7.26953125" style="21" customWidth="1"/>
    <col min="12284" max="12284" width="5.54296875" style="21" customWidth="1"/>
    <col min="12285" max="12285" width="9" style="21" customWidth="1"/>
    <col min="12286" max="12287" width="9.81640625" style="21" customWidth="1"/>
    <col min="12288" max="12288" width="11.1796875" style="21" customWidth="1"/>
    <col min="12289" max="12289" width="2.81640625" style="21" customWidth="1"/>
    <col min="12290" max="12290" width="3.54296875" style="21" customWidth="1"/>
    <col min="12291" max="12535" width="9.1796875" style="21"/>
    <col min="12536" max="12536" width="8.7265625" style="21" customWidth="1"/>
    <col min="12537" max="12537" width="9.81640625" style="21" customWidth="1"/>
    <col min="12538" max="12538" width="14.453125" style="21" customWidth="1"/>
    <col min="12539" max="12539" width="7.26953125" style="21" customWidth="1"/>
    <col min="12540" max="12540" width="5.54296875" style="21" customWidth="1"/>
    <col min="12541" max="12541" width="9" style="21" customWidth="1"/>
    <col min="12542" max="12543" width="9.81640625" style="21" customWidth="1"/>
    <col min="12544" max="12544" width="11.1796875" style="21" customWidth="1"/>
    <col min="12545" max="12545" width="2.81640625" style="21" customWidth="1"/>
    <col min="12546" max="12546" width="3.54296875" style="21" customWidth="1"/>
    <col min="12547" max="12791" width="9.1796875" style="21"/>
    <col min="12792" max="12792" width="8.7265625" style="21" customWidth="1"/>
    <col min="12793" max="12793" width="9.81640625" style="21" customWidth="1"/>
    <col min="12794" max="12794" width="14.453125" style="21" customWidth="1"/>
    <col min="12795" max="12795" width="7.26953125" style="21" customWidth="1"/>
    <col min="12796" max="12796" width="5.54296875" style="21" customWidth="1"/>
    <col min="12797" max="12797" width="9" style="21" customWidth="1"/>
    <col min="12798" max="12799" width="9.81640625" style="21" customWidth="1"/>
    <col min="12800" max="12800" width="11.1796875" style="21" customWidth="1"/>
    <col min="12801" max="12801" width="2.81640625" style="21" customWidth="1"/>
    <col min="12802" max="12802" width="3.54296875" style="21" customWidth="1"/>
    <col min="12803" max="13047" width="9.1796875" style="21"/>
    <col min="13048" max="13048" width="8.7265625" style="21" customWidth="1"/>
    <col min="13049" max="13049" width="9.81640625" style="21" customWidth="1"/>
    <col min="13050" max="13050" width="14.453125" style="21" customWidth="1"/>
    <col min="13051" max="13051" width="7.26953125" style="21" customWidth="1"/>
    <col min="13052" max="13052" width="5.54296875" style="21" customWidth="1"/>
    <col min="13053" max="13053" width="9" style="21" customWidth="1"/>
    <col min="13054" max="13055" width="9.81640625" style="21" customWidth="1"/>
    <col min="13056" max="13056" width="11.1796875" style="21" customWidth="1"/>
    <col min="13057" max="13057" width="2.81640625" style="21" customWidth="1"/>
    <col min="13058" max="13058" width="3.54296875" style="21" customWidth="1"/>
    <col min="13059" max="13303" width="9.1796875" style="21"/>
    <col min="13304" max="13304" width="8.7265625" style="21" customWidth="1"/>
    <col min="13305" max="13305" width="9.81640625" style="21" customWidth="1"/>
    <col min="13306" max="13306" width="14.453125" style="21" customWidth="1"/>
    <col min="13307" max="13307" width="7.26953125" style="21" customWidth="1"/>
    <col min="13308" max="13308" width="5.54296875" style="21" customWidth="1"/>
    <col min="13309" max="13309" width="9" style="21" customWidth="1"/>
    <col min="13310" max="13311" width="9.81640625" style="21" customWidth="1"/>
    <col min="13312" max="13312" width="11.1796875" style="21" customWidth="1"/>
    <col min="13313" max="13313" width="2.81640625" style="21" customWidth="1"/>
    <col min="13314" max="13314" width="3.54296875" style="21" customWidth="1"/>
    <col min="13315" max="13559" width="9.1796875" style="21"/>
    <col min="13560" max="13560" width="8.7265625" style="21" customWidth="1"/>
    <col min="13561" max="13561" width="9.81640625" style="21" customWidth="1"/>
    <col min="13562" max="13562" width="14.453125" style="21" customWidth="1"/>
    <col min="13563" max="13563" width="7.26953125" style="21" customWidth="1"/>
    <col min="13564" max="13564" width="5.54296875" style="21" customWidth="1"/>
    <col min="13565" max="13565" width="9" style="21" customWidth="1"/>
    <col min="13566" max="13567" width="9.81640625" style="21" customWidth="1"/>
    <col min="13568" max="13568" width="11.1796875" style="21" customWidth="1"/>
    <col min="13569" max="13569" width="2.81640625" style="21" customWidth="1"/>
    <col min="13570" max="13570" width="3.54296875" style="21" customWidth="1"/>
    <col min="13571" max="13815" width="9.1796875" style="21"/>
    <col min="13816" max="13816" width="8.7265625" style="21" customWidth="1"/>
    <col min="13817" max="13817" width="9.81640625" style="21" customWidth="1"/>
    <col min="13818" max="13818" width="14.453125" style="21" customWidth="1"/>
    <col min="13819" max="13819" width="7.26953125" style="21" customWidth="1"/>
    <col min="13820" max="13820" width="5.54296875" style="21" customWidth="1"/>
    <col min="13821" max="13821" width="9" style="21" customWidth="1"/>
    <col min="13822" max="13823" width="9.81640625" style="21" customWidth="1"/>
    <col min="13824" max="13824" width="11.1796875" style="21" customWidth="1"/>
    <col min="13825" max="13825" width="2.81640625" style="21" customWidth="1"/>
    <col min="13826" max="13826" width="3.54296875" style="21" customWidth="1"/>
    <col min="13827" max="14071" width="9.1796875" style="21"/>
    <col min="14072" max="14072" width="8.7265625" style="21" customWidth="1"/>
    <col min="14073" max="14073" width="9.81640625" style="21" customWidth="1"/>
    <col min="14074" max="14074" width="14.453125" style="21" customWidth="1"/>
    <col min="14075" max="14075" width="7.26953125" style="21" customWidth="1"/>
    <col min="14076" max="14076" width="5.54296875" style="21" customWidth="1"/>
    <col min="14077" max="14077" width="9" style="21" customWidth="1"/>
    <col min="14078" max="14079" width="9.81640625" style="21" customWidth="1"/>
    <col min="14080" max="14080" width="11.1796875" style="21" customWidth="1"/>
    <col min="14081" max="14081" width="2.81640625" style="21" customWidth="1"/>
    <col min="14082" max="14082" width="3.54296875" style="21" customWidth="1"/>
    <col min="14083" max="14327" width="9.1796875" style="21"/>
    <col min="14328" max="14328" width="8.7265625" style="21" customWidth="1"/>
    <col min="14329" max="14329" width="9.81640625" style="21" customWidth="1"/>
    <col min="14330" max="14330" width="14.453125" style="21" customWidth="1"/>
    <col min="14331" max="14331" width="7.26953125" style="21" customWidth="1"/>
    <col min="14332" max="14332" width="5.54296875" style="21" customWidth="1"/>
    <col min="14333" max="14333" width="9" style="21" customWidth="1"/>
    <col min="14334" max="14335" width="9.81640625" style="21" customWidth="1"/>
    <col min="14336" max="14336" width="11.1796875" style="21" customWidth="1"/>
    <col min="14337" max="14337" width="2.81640625" style="21" customWidth="1"/>
    <col min="14338" max="14338" width="3.54296875" style="21" customWidth="1"/>
    <col min="14339" max="14583" width="9.1796875" style="21"/>
    <col min="14584" max="14584" width="8.7265625" style="21" customWidth="1"/>
    <col min="14585" max="14585" width="9.81640625" style="21" customWidth="1"/>
    <col min="14586" max="14586" width="14.453125" style="21" customWidth="1"/>
    <col min="14587" max="14587" width="7.26953125" style="21" customWidth="1"/>
    <col min="14588" max="14588" width="5.54296875" style="21" customWidth="1"/>
    <col min="14589" max="14589" width="9" style="21" customWidth="1"/>
    <col min="14590" max="14591" width="9.81640625" style="21" customWidth="1"/>
    <col min="14592" max="14592" width="11.1796875" style="21" customWidth="1"/>
    <col min="14593" max="14593" width="2.81640625" style="21" customWidth="1"/>
    <col min="14594" max="14594" width="3.54296875" style="21" customWidth="1"/>
    <col min="14595" max="14839" width="9.1796875" style="21"/>
    <col min="14840" max="14840" width="8.7265625" style="21" customWidth="1"/>
    <col min="14841" max="14841" width="9.81640625" style="21" customWidth="1"/>
    <col min="14842" max="14842" width="14.453125" style="21" customWidth="1"/>
    <col min="14843" max="14843" width="7.26953125" style="21" customWidth="1"/>
    <col min="14844" max="14844" width="5.54296875" style="21" customWidth="1"/>
    <col min="14845" max="14845" width="9" style="21" customWidth="1"/>
    <col min="14846" max="14847" width="9.81640625" style="21" customWidth="1"/>
    <col min="14848" max="14848" width="11.1796875" style="21" customWidth="1"/>
    <col min="14849" max="14849" width="2.81640625" style="21" customWidth="1"/>
    <col min="14850" max="14850" width="3.54296875" style="21" customWidth="1"/>
    <col min="14851" max="15095" width="9.1796875" style="21"/>
    <col min="15096" max="15096" width="8.7265625" style="21" customWidth="1"/>
    <col min="15097" max="15097" width="9.81640625" style="21" customWidth="1"/>
    <col min="15098" max="15098" width="14.453125" style="21" customWidth="1"/>
    <col min="15099" max="15099" width="7.26953125" style="21" customWidth="1"/>
    <col min="15100" max="15100" width="5.54296875" style="21" customWidth="1"/>
    <col min="15101" max="15101" width="9" style="21" customWidth="1"/>
    <col min="15102" max="15103" width="9.81640625" style="21" customWidth="1"/>
    <col min="15104" max="15104" width="11.1796875" style="21" customWidth="1"/>
    <col min="15105" max="15105" width="2.81640625" style="21" customWidth="1"/>
    <col min="15106" max="15106" width="3.54296875" style="21" customWidth="1"/>
    <col min="15107" max="15351" width="9.1796875" style="21"/>
    <col min="15352" max="15352" width="8.7265625" style="21" customWidth="1"/>
    <col min="15353" max="15353" width="9.81640625" style="21" customWidth="1"/>
    <col min="15354" max="15354" width="14.453125" style="21" customWidth="1"/>
    <col min="15355" max="15355" width="7.26953125" style="21" customWidth="1"/>
    <col min="15356" max="15356" width="5.54296875" style="21" customWidth="1"/>
    <col min="15357" max="15357" width="9" style="21" customWidth="1"/>
    <col min="15358" max="15359" width="9.81640625" style="21" customWidth="1"/>
    <col min="15360" max="15360" width="11.1796875" style="21" customWidth="1"/>
    <col min="15361" max="15361" width="2.81640625" style="21" customWidth="1"/>
    <col min="15362" max="15362" width="3.54296875" style="21" customWidth="1"/>
    <col min="15363" max="15607" width="9.1796875" style="21"/>
    <col min="15608" max="15608" width="8.7265625" style="21" customWidth="1"/>
    <col min="15609" max="15609" width="9.81640625" style="21" customWidth="1"/>
    <col min="15610" max="15610" width="14.453125" style="21" customWidth="1"/>
    <col min="15611" max="15611" width="7.26953125" style="21" customWidth="1"/>
    <col min="15612" max="15612" width="5.54296875" style="21" customWidth="1"/>
    <col min="15613" max="15613" width="9" style="21" customWidth="1"/>
    <col min="15614" max="15615" width="9.81640625" style="21" customWidth="1"/>
    <col min="15616" max="15616" width="11.1796875" style="21" customWidth="1"/>
    <col min="15617" max="15617" width="2.81640625" style="21" customWidth="1"/>
    <col min="15618" max="15618" width="3.54296875" style="21" customWidth="1"/>
    <col min="15619" max="15863" width="9.1796875" style="21"/>
    <col min="15864" max="15864" width="8.7265625" style="21" customWidth="1"/>
    <col min="15865" max="15865" width="9.81640625" style="21" customWidth="1"/>
    <col min="15866" max="15866" width="14.453125" style="21" customWidth="1"/>
    <col min="15867" max="15867" width="7.26953125" style="21" customWidth="1"/>
    <col min="15868" max="15868" width="5.54296875" style="21" customWidth="1"/>
    <col min="15869" max="15869" width="9" style="21" customWidth="1"/>
    <col min="15870" max="15871" width="9.81640625" style="21" customWidth="1"/>
    <col min="15872" max="15872" width="11.1796875" style="21" customWidth="1"/>
    <col min="15873" max="15873" width="2.81640625" style="21" customWidth="1"/>
    <col min="15874" max="15874" width="3.54296875" style="21" customWidth="1"/>
    <col min="15875" max="16119" width="9.1796875" style="21"/>
    <col min="16120" max="16120" width="8.7265625" style="21" customWidth="1"/>
    <col min="16121" max="16121" width="9.81640625" style="21" customWidth="1"/>
    <col min="16122" max="16122" width="14.453125" style="21" customWidth="1"/>
    <col min="16123" max="16123" width="7.26953125" style="21" customWidth="1"/>
    <col min="16124" max="16124" width="5.54296875" style="21" customWidth="1"/>
    <col min="16125" max="16125" width="9" style="21" customWidth="1"/>
    <col min="16126" max="16127" width="9.81640625" style="21" customWidth="1"/>
    <col min="16128" max="16128" width="11.1796875" style="21" customWidth="1"/>
    <col min="16129" max="16129" width="2.81640625" style="21" customWidth="1"/>
    <col min="16130" max="16130" width="3.54296875" style="21" customWidth="1"/>
    <col min="16131" max="16384" width="9.1796875" style="21"/>
  </cols>
  <sheetData>
    <row r="1" spans="1:26" ht="46.5" customHeight="1" x14ac:dyDescent="0.4">
      <c r="A1" s="197" t="s">
        <v>154</v>
      </c>
      <c r="B1" s="197"/>
      <c r="C1" s="197"/>
      <c r="D1" s="197"/>
      <c r="E1" s="197"/>
      <c r="F1" s="197"/>
      <c r="G1" s="197"/>
      <c r="H1" s="197"/>
      <c r="I1" s="108" t="s">
        <v>410</v>
      </c>
    </row>
    <row r="2" spans="1:26" ht="16.5" customHeight="1" x14ac:dyDescent="0.35">
      <c r="A2" s="198" t="s">
        <v>0</v>
      </c>
      <c r="B2" s="198"/>
      <c r="C2" s="198"/>
      <c r="D2" s="198"/>
      <c r="E2" s="198"/>
      <c r="F2" s="198"/>
      <c r="G2" s="198"/>
      <c r="H2" s="198"/>
    </row>
    <row r="3" spans="1:26" x14ac:dyDescent="0.35">
      <c r="A3" s="172" t="s">
        <v>1</v>
      </c>
      <c r="B3" s="172"/>
      <c r="C3" s="172"/>
      <c r="D3" s="172"/>
      <c r="E3" s="172" t="str">
        <f ca="1">TEXT(TODAY(),"DD/MM/YYYY")</f>
        <v>30/08/2025</v>
      </c>
      <c r="F3" s="172"/>
      <c r="G3" s="172"/>
      <c r="H3" s="172"/>
      <c r="K3" s="56" t="s">
        <v>224</v>
      </c>
      <c r="L3" s="54" t="s">
        <v>222</v>
      </c>
      <c r="M3" s="54" t="s">
        <v>227</v>
      </c>
      <c r="N3" s="54" t="s">
        <v>225</v>
      </c>
      <c r="O3" s="54" t="s">
        <v>226</v>
      </c>
      <c r="P3" s="54" t="s">
        <v>228</v>
      </c>
    </row>
    <row r="4" spans="1:26" ht="15" customHeight="1" x14ac:dyDescent="0.35">
      <c r="A4" s="172" t="s">
        <v>221</v>
      </c>
      <c r="B4" s="172"/>
      <c r="C4" s="172"/>
      <c r="D4" s="172"/>
      <c r="E4" s="196" t="s">
        <v>222</v>
      </c>
      <c r="F4" s="196"/>
      <c r="G4" s="196"/>
      <c r="H4" s="196"/>
      <c r="K4" s="53" t="s">
        <v>223</v>
      </c>
      <c r="L4" s="54" t="s">
        <v>161</v>
      </c>
      <c r="M4" s="54" t="s">
        <v>232</v>
      </c>
      <c r="N4" s="54" t="s">
        <v>234</v>
      </c>
      <c r="O4" s="54" t="s">
        <v>236</v>
      </c>
      <c r="P4" s="54"/>
    </row>
    <row r="5" spans="1:26" ht="15" customHeight="1" x14ac:dyDescent="0.35">
      <c r="A5" s="172" t="s">
        <v>2</v>
      </c>
      <c r="B5" s="172"/>
      <c r="C5" s="172"/>
      <c r="D5" s="172"/>
      <c r="E5" s="196" t="s">
        <v>230</v>
      </c>
      <c r="F5" s="196"/>
      <c r="G5" s="196"/>
      <c r="H5" s="196"/>
      <c r="K5" s="53"/>
      <c r="L5" s="54" t="s">
        <v>229</v>
      </c>
      <c r="M5" s="54" t="s">
        <v>233</v>
      </c>
      <c r="N5" s="54" t="s">
        <v>235</v>
      </c>
      <c r="O5" s="54" t="s">
        <v>237</v>
      </c>
      <c r="P5" s="54"/>
    </row>
    <row r="6" spans="1:26" x14ac:dyDescent="0.35">
      <c r="A6" s="172" t="s">
        <v>3</v>
      </c>
      <c r="B6" s="172"/>
      <c r="C6" s="172"/>
      <c r="D6" s="172"/>
      <c r="E6" s="199">
        <v>45849</v>
      </c>
      <c r="F6" s="172"/>
      <c r="G6" s="172"/>
      <c r="H6" s="172"/>
      <c r="K6" s="53"/>
      <c r="L6" s="54" t="s">
        <v>230</v>
      </c>
      <c r="M6" s="54"/>
      <c r="N6" s="54"/>
      <c r="O6" s="54" t="s">
        <v>238</v>
      </c>
      <c r="P6" s="54"/>
    </row>
    <row r="7" spans="1:26" ht="30" customHeight="1" x14ac:dyDescent="0.35">
      <c r="A7" s="172" t="s">
        <v>4</v>
      </c>
      <c r="B7" s="172"/>
      <c r="C7" s="172"/>
      <c r="D7" s="172"/>
      <c r="E7" s="143" t="s">
        <v>314</v>
      </c>
      <c r="F7" s="172"/>
      <c r="G7" s="172"/>
      <c r="H7" s="172"/>
      <c r="K7" s="53"/>
      <c r="L7" s="54" t="s">
        <v>231</v>
      </c>
      <c r="M7" s="54"/>
      <c r="N7" s="54"/>
      <c r="O7" s="54" t="s">
        <v>238</v>
      </c>
      <c r="P7" s="54"/>
    </row>
    <row r="8" spans="1:26" ht="30" customHeight="1" x14ac:dyDescent="0.35">
      <c r="A8" s="172" t="s">
        <v>5</v>
      </c>
      <c r="B8" s="172"/>
      <c r="C8" s="172"/>
      <c r="D8" s="172"/>
      <c r="E8" s="143" t="s">
        <v>314</v>
      </c>
      <c r="F8" s="172"/>
      <c r="G8" s="172"/>
      <c r="H8" s="172"/>
      <c r="K8" s="53"/>
      <c r="L8" s="54"/>
      <c r="M8" s="54"/>
      <c r="N8" s="54"/>
      <c r="O8" s="54" t="s">
        <v>239</v>
      </c>
      <c r="P8" s="54"/>
    </row>
    <row r="9" spans="1:26" x14ac:dyDescent="0.35">
      <c r="A9" s="172" t="s">
        <v>6</v>
      </c>
      <c r="B9" s="172"/>
      <c r="C9" s="172"/>
      <c r="D9" s="172"/>
      <c r="E9" s="188" t="s">
        <v>313</v>
      </c>
      <c r="F9" s="188"/>
      <c r="G9" s="188"/>
      <c r="H9" s="188"/>
      <c r="K9" s="53"/>
      <c r="L9" s="54"/>
      <c r="M9" s="54"/>
      <c r="N9" s="54"/>
      <c r="O9" s="54" t="s">
        <v>240</v>
      </c>
      <c r="P9" s="54"/>
    </row>
    <row r="10" spans="1:26" x14ac:dyDescent="0.35">
      <c r="A10" s="172" t="s">
        <v>157</v>
      </c>
      <c r="B10" s="172"/>
      <c r="C10" s="172"/>
      <c r="D10" s="172"/>
      <c r="E10" s="172" t="s">
        <v>315</v>
      </c>
      <c r="F10" s="172"/>
      <c r="G10" s="172"/>
      <c r="H10" s="172"/>
      <c r="I10" s="21">
        <f>24-17</f>
        <v>7</v>
      </c>
      <c r="J10" s="21">
        <f>23-16</f>
        <v>7</v>
      </c>
      <c r="K10" s="53">
        <f>19-13</f>
        <v>6</v>
      </c>
      <c r="L10" s="54"/>
      <c r="M10" s="54"/>
      <c r="N10" s="54"/>
      <c r="O10" s="54"/>
      <c r="P10" s="54"/>
    </row>
    <row r="11" spans="1:26" x14ac:dyDescent="0.35">
      <c r="A11" s="172" t="s">
        <v>158</v>
      </c>
      <c r="B11" s="172"/>
      <c r="C11" s="172"/>
      <c r="D11" s="172"/>
      <c r="E11" s="172" t="s">
        <v>435</v>
      </c>
      <c r="F11" s="172"/>
      <c r="G11" s="172"/>
      <c r="H11" s="172"/>
    </row>
    <row r="12" spans="1:26" ht="114.75" customHeight="1" x14ac:dyDescent="0.35">
      <c r="A12" s="172" t="s">
        <v>428</v>
      </c>
      <c r="B12" s="172"/>
      <c r="C12" s="172"/>
      <c r="D12" s="172"/>
      <c r="E12" s="143" t="s">
        <v>424</v>
      </c>
      <c r="F12" s="172"/>
      <c r="G12" s="172"/>
      <c r="H12" s="172"/>
      <c r="I12" s="107" t="s">
        <v>409</v>
      </c>
      <c r="J12" s="21">
        <f>51-43</f>
        <v>8</v>
      </c>
      <c r="K12" s="21">
        <f>22-17</f>
        <v>5</v>
      </c>
      <c r="L12" s="21">
        <f>37-27</f>
        <v>10</v>
      </c>
      <c r="M12" s="21">
        <f>28-23</f>
        <v>5</v>
      </c>
    </row>
    <row r="13" spans="1:26" x14ac:dyDescent="0.35">
      <c r="A13" s="172" t="s">
        <v>162</v>
      </c>
      <c r="B13" s="172"/>
      <c r="C13" s="172"/>
      <c r="D13" s="172"/>
      <c r="E13" s="172" t="s">
        <v>27</v>
      </c>
      <c r="F13" s="172"/>
      <c r="G13" s="172"/>
      <c r="H13" s="172"/>
      <c r="S13" s="54" t="s">
        <v>167</v>
      </c>
      <c r="T13" s="54" t="s">
        <v>177</v>
      </c>
      <c r="U13" s="54" t="s">
        <v>163</v>
      </c>
      <c r="V13" s="54" t="s">
        <v>182</v>
      </c>
      <c r="W13" s="54" t="s">
        <v>200</v>
      </c>
      <c r="X13"/>
      <c r="Y13" t="s">
        <v>182</v>
      </c>
      <c r="Z13" t="e">
        <f ca="1">OFFSET($S$13,1,MATCH($G20,$S$13:$W$13,0)-1,15,1)</f>
        <v>#VALUE!</v>
      </c>
    </row>
    <row r="14" spans="1:26" x14ac:dyDescent="0.35">
      <c r="A14" s="133" t="s">
        <v>267</v>
      </c>
      <c r="B14" s="133"/>
      <c r="C14" s="133"/>
      <c r="D14" s="133"/>
      <c r="E14" s="195" t="s">
        <v>393</v>
      </c>
      <c r="F14" s="195"/>
      <c r="G14" s="195"/>
      <c r="H14" s="195"/>
      <c r="S14" s="54" t="s">
        <v>168</v>
      </c>
      <c r="T14" s="54" t="s">
        <v>175</v>
      </c>
      <c r="U14" s="54" t="s">
        <v>197</v>
      </c>
      <c r="V14" s="54" t="s">
        <v>183</v>
      </c>
      <c r="W14" s="54" t="s">
        <v>201</v>
      </c>
      <c r="X14"/>
      <c r="Y14"/>
      <c r="Z14"/>
    </row>
    <row r="15" spans="1:26" x14ac:dyDescent="0.35">
      <c r="A15" s="133" t="s">
        <v>7</v>
      </c>
      <c r="B15" s="133"/>
      <c r="C15" s="133"/>
      <c r="D15" s="133"/>
      <c r="E15" s="195" t="s">
        <v>312</v>
      </c>
      <c r="F15" s="196"/>
      <c r="G15" s="196"/>
      <c r="H15" s="196"/>
      <c r="I15" s="258" t="e">
        <f ca="1">OFFSET($D$5,1,MATCH($J13,$D$5:$H$5,0)-1,15,1)</f>
        <v>#N/A</v>
      </c>
      <c r="J15" s="259"/>
      <c r="K15" s="259"/>
      <c r="L15" s="259"/>
      <c r="M15" s="259"/>
      <c r="N15" s="259"/>
      <c r="O15" s="259"/>
      <c r="P15" s="259"/>
      <c r="S15" s="54" t="s">
        <v>169</v>
      </c>
      <c r="T15" s="54" t="s">
        <v>176</v>
      </c>
      <c r="U15" s="54" t="s">
        <v>198</v>
      </c>
      <c r="V15" s="54" t="s">
        <v>184</v>
      </c>
      <c r="W15" s="54" t="s">
        <v>214</v>
      </c>
      <c r="X15"/>
      <c r="Y15"/>
      <c r="Z15"/>
    </row>
    <row r="16" spans="1:26" ht="48.75" customHeight="1" x14ac:dyDescent="0.35">
      <c r="A16" s="193" t="s">
        <v>8</v>
      </c>
      <c r="B16" s="193"/>
      <c r="C16" s="193" t="str">
        <f>CONCATENATE((IF(OR(E9="",E9="NA"),"",E9)),", ",(IF(OR(A17="",A17="NA"),"",A17)),".",(IF(OR(C17="",C17="NA"),"",C17)),", near ",(IF(OR(C22="",C22="NA"),"",C22)),", ",(IF(OR(C19="",C19="NA"),"",C19)),", ",(IF(OR(C18="",C18="NA"),"",C18)),", ",(IF(OR(G19="",G19="NA"),"",G19)),", ",(IF(OR(C20="",C20="NA"),"",C20)),", ",(IF(OR(C21="",C21="NA"),"",C21)),", ",(IF(OR(G20="",G20="NA"),"",G20))," - ",(IF(OR(G21="",G21="NA"),"",G21)),".")</f>
        <v>Magnolia Cluster 4, Survey No.43/0, 44/1, 50/1(Part), 51/1, 51/2, 51/4, 51/5, 52/0, 53/0, 61/2 and 61/3, near The Reserves - Wadhwa Wise City, Vardoli Road, Vardoli, Vardoli, Panvel, Panvel, Raigad - 410206.</v>
      </c>
      <c r="D16" s="193"/>
      <c r="E16" s="193"/>
      <c r="F16" s="193"/>
      <c r="G16" s="193"/>
      <c r="H16" s="193"/>
      <c r="S16" s="54" t="s">
        <v>170</v>
      </c>
      <c r="T16" s="54" t="s">
        <v>178</v>
      </c>
      <c r="U16" s="54" t="s">
        <v>199</v>
      </c>
      <c r="V16" s="54" t="s">
        <v>185</v>
      </c>
      <c r="W16" s="54" t="s">
        <v>202</v>
      </c>
      <c r="X16"/>
      <c r="Y16"/>
      <c r="Z16"/>
    </row>
    <row r="17" spans="1:26" x14ac:dyDescent="0.35">
      <c r="A17" s="195" t="s">
        <v>316</v>
      </c>
      <c r="B17" s="195"/>
      <c r="C17" s="143" t="s">
        <v>411</v>
      </c>
      <c r="D17" s="143"/>
      <c r="E17" s="143"/>
      <c r="F17" s="143"/>
      <c r="G17" s="143"/>
      <c r="H17" s="143"/>
      <c r="I17" s="107" t="s">
        <v>408</v>
      </c>
      <c r="S17" s="54" t="s">
        <v>171</v>
      </c>
      <c r="T17" s="54" t="s">
        <v>179</v>
      </c>
      <c r="U17" s="54" t="s">
        <v>163</v>
      </c>
      <c r="V17" s="54" t="s">
        <v>186</v>
      </c>
      <c r="W17" s="54" t="s">
        <v>203</v>
      </c>
      <c r="X17"/>
      <c r="Y17"/>
      <c r="Z17"/>
    </row>
    <row r="18" spans="1:26" ht="15.75" customHeight="1" x14ac:dyDescent="0.35">
      <c r="A18" s="143" t="s">
        <v>152</v>
      </c>
      <c r="B18" s="143"/>
      <c r="C18" s="143" t="s">
        <v>317</v>
      </c>
      <c r="D18" s="143"/>
      <c r="E18" s="143"/>
      <c r="F18" s="143"/>
      <c r="G18" s="143"/>
      <c r="H18" s="143"/>
      <c r="S18" s="54" t="s">
        <v>172</v>
      </c>
      <c r="T18" s="54" t="s">
        <v>177</v>
      </c>
      <c r="U18" s="54"/>
      <c r="V18" s="54" t="s">
        <v>187</v>
      </c>
      <c r="W18" s="54" t="s">
        <v>204</v>
      </c>
      <c r="X18"/>
      <c r="Y18"/>
      <c r="Z18"/>
    </row>
    <row r="19" spans="1:26" ht="15.75" customHeight="1" x14ac:dyDescent="0.35">
      <c r="A19" s="193" t="s">
        <v>9</v>
      </c>
      <c r="B19" s="193"/>
      <c r="C19" s="172" t="s">
        <v>318</v>
      </c>
      <c r="D19" s="172"/>
      <c r="E19" s="193" t="s">
        <v>64</v>
      </c>
      <c r="F19" s="193"/>
      <c r="G19" s="143" t="s">
        <v>317</v>
      </c>
      <c r="H19" s="143"/>
      <c r="S19" s="54" t="s">
        <v>173</v>
      </c>
      <c r="T19" s="54" t="s">
        <v>180</v>
      </c>
      <c r="U19" s="54"/>
      <c r="V19" s="54" t="s">
        <v>188</v>
      </c>
      <c r="W19" s="54" t="s">
        <v>205</v>
      </c>
      <c r="X19"/>
      <c r="Y19"/>
      <c r="Z19"/>
    </row>
    <row r="20" spans="1:26" x14ac:dyDescent="0.35">
      <c r="A20" s="133" t="s">
        <v>11</v>
      </c>
      <c r="B20" s="133"/>
      <c r="C20" s="143" t="s">
        <v>184</v>
      </c>
      <c r="D20" s="143"/>
      <c r="E20" s="193" t="s">
        <v>10</v>
      </c>
      <c r="F20" s="193"/>
      <c r="G20" s="194" t="s">
        <v>182</v>
      </c>
      <c r="H20" s="194"/>
      <c r="S20" s="54" t="s">
        <v>174</v>
      </c>
      <c r="T20" s="54" t="s">
        <v>181</v>
      </c>
      <c r="U20" s="54"/>
      <c r="V20" s="54" t="s">
        <v>189</v>
      </c>
      <c r="W20" s="54" t="s">
        <v>206</v>
      </c>
      <c r="X20"/>
      <c r="Y20"/>
      <c r="Z20"/>
    </row>
    <row r="21" spans="1:26" x14ac:dyDescent="0.35">
      <c r="A21" s="133" t="s">
        <v>65</v>
      </c>
      <c r="B21" s="133"/>
      <c r="C21" s="195" t="s">
        <v>184</v>
      </c>
      <c r="D21" s="195"/>
      <c r="E21" s="193" t="s">
        <v>12</v>
      </c>
      <c r="F21" s="193"/>
      <c r="G21" s="143">
        <v>410206</v>
      </c>
      <c r="H21" s="143"/>
      <c r="S21" s="54"/>
      <c r="T21" s="54"/>
      <c r="U21" s="54"/>
      <c r="V21" s="54" t="s">
        <v>190</v>
      </c>
      <c r="W21" s="54" t="s">
        <v>207</v>
      </c>
      <c r="X21"/>
      <c r="Y21"/>
      <c r="Z21"/>
    </row>
    <row r="22" spans="1:26" ht="32.25" customHeight="1" x14ac:dyDescent="0.35">
      <c r="A22" s="133" t="s">
        <v>112</v>
      </c>
      <c r="B22" s="133"/>
      <c r="C22" s="143" t="s">
        <v>394</v>
      </c>
      <c r="D22" s="143"/>
      <c r="E22" s="193" t="s">
        <v>13</v>
      </c>
      <c r="F22" s="193"/>
      <c r="G22" s="195" t="s">
        <v>421</v>
      </c>
      <c r="H22" s="195"/>
      <c r="S22" s="54"/>
      <c r="T22" s="54"/>
      <c r="U22" s="54"/>
      <c r="V22" s="54" t="s">
        <v>191</v>
      </c>
      <c r="W22" s="54" t="s">
        <v>208</v>
      </c>
      <c r="X22"/>
      <c r="Y22"/>
      <c r="Z22"/>
    </row>
    <row r="23" spans="1:26" ht="15" customHeight="1" x14ac:dyDescent="0.35">
      <c r="A23" s="193" t="s">
        <v>66</v>
      </c>
      <c r="B23" s="193"/>
      <c r="C23" s="193"/>
      <c r="D23" s="193"/>
      <c r="E23" s="172" t="s">
        <v>14</v>
      </c>
      <c r="F23" s="172"/>
      <c r="G23" s="172"/>
      <c r="H23" s="172"/>
      <c r="S23" s="54"/>
      <c r="T23" s="54"/>
      <c r="U23" s="54"/>
      <c r="V23" s="54" t="s">
        <v>192</v>
      </c>
      <c r="W23" s="54" t="s">
        <v>209</v>
      </c>
      <c r="X23"/>
      <c r="Y23"/>
      <c r="Z23"/>
    </row>
    <row r="24" spans="1:26" ht="18.75" customHeight="1" x14ac:dyDescent="0.35">
      <c r="A24" s="193"/>
      <c r="B24" s="193"/>
      <c r="C24" s="193"/>
      <c r="D24" s="193"/>
      <c r="E24" s="172"/>
      <c r="F24" s="172"/>
      <c r="G24" s="172"/>
      <c r="H24" s="172"/>
      <c r="S24" s="54"/>
      <c r="T24" s="54"/>
      <c r="U24" s="54"/>
      <c r="V24" s="54" t="s">
        <v>193</v>
      </c>
      <c r="W24" s="54" t="s">
        <v>210</v>
      </c>
      <c r="X24"/>
      <c r="Y24"/>
      <c r="Z24"/>
    </row>
    <row r="25" spans="1:26" ht="15" customHeight="1" x14ac:dyDescent="0.35">
      <c r="A25" s="193" t="s">
        <v>15</v>
      </c>
      <c r="B25" s="193"/>
      <c r="C25" s="193"/>
      <c r="D25" s="193"/>
      <c r="E25" s="143" t="s">
        <v>16</v>
      </c>
      <c r="F25" s="143"/>
      <c r="G25" s="143"/>
      <c r="H25" s="143"/>
      <c r="S25" s="54"/>
      <c r="T25" s="54"/>
      <c r="U25" s="54"/>
      <c r="V25" s="54" t="s">
        <v>194</v>
      </c>
      <c r="W25" s="54" t="s">
        <v>211</v>
      </c>
      <c r="X25"/>
      <c r="Y25"/>
      <c r="Z25"/>
    </row>
    <row r="26" spans="1:26" ht="15" customHeight="1" x14ac:dyDescent="0.35">
      <c r="A26" s="133" t="s">
        <v>17</v>
      </c>
      <c r="B26" s="133"/>
      <c r="C26" s="133"/>
      <c r="D26" s="133"/>
      <c r="E26" s="143" t="str">
        <f>IF(AND(G20="Mumbai"),"Upper Class","Middle Class")</f>
        <v>Middle Class</v>
      </c>
      <c r="F26" s="143"/>
      <c r="G26" s="143"/>
      <c r="H26" s="143"/>
      <c r="S26" s="54"/>
      <c r="T26" s="54"/>
      <c r="U26" s="54"/>
      <c r="V26" s="54" t="s">
        <v>195</v>
      </c>
      <c r="W26" s="54" t="s">
        <v>212</v>
      </c>
      <c r="X26"/>
      <c r="Y26"/>
      <c r="Z26"/>
    </row>
    <row r="27" spans="1:26" x14ac:dyDescent="0.35">
      <c r="A27" s="133" t="s">
        <v>18</v>
      </c>
      <c r="B27" s="133"/>
      <c r="C27" s="133"/>
      <c r="D27" s="133"/>
      <c r="E27" s="143" t="s">
        <v>19</v>
      </c>
      <c r="F27" s="143"/>
      <c r="G27" s="143"/>
      <c r="H27" s="143"/>
      <c r="S27" s="54"/>
      <c r="T27" s="54"/>
      <c r="U27" s="54"/>
      <c r="V27" s="54" t="s">
        <v>196</v>
      </c>
      <c r="W27" s="54" t="s">
        <v>213</v>
      </c>
      <c r="X27"/>
      <c r="Y27"/>
      <c r="Z27"/>
    </row>
    <row r="28" spans="1:26" ht="15.75" customHeight="1" x14ac:dyDescent="0.35">
      <c r="A28" s="133" t="s">
        <v>20</v>
      </c>
      <c r="B28" s="133"/>
      <c r="C28" s="133"/>
      <c r="D28" s="133"/>
      <c r="E28" s="143" t="str">
        <f>IF(AND(G20="Mumbai"),"Developed","Developing")</f>
        <v>Developing</v>
      </c>
      <c r="F28" s="143"/>
      <c r="G28" s="143"/>
      <c r="H28" s="143"/>
    </row>
    <row r="29" spans="1:26" x14ac:dyDescent="0.35">
      <c r="A29" s="133" t="s">
        <v>21</v>
      </c>
      <c r="B29" s="133"/>
      <c r="C29" s="133"/>
      <c r="D29" s="133"/>
      <c r="E29" s="143" t="s">
        <v>22</v>
      </c>
      <c r="F29" s="143"/>
      <c r="G29" s="143"/>
      <c r="H29" s="143"/>
    </row>
    <row r="30" spans="1:26" ht="15.75" customHeight="1" x14ac:dyDescent="0.35">
      <c r="A30" s="133" t="s">
        <v>71</v>
      </c>
      <c r="B30" s="133"/>
      <c r="C30" s="133"/>
      <c r="D30" s="133"/>
      <c r="E30" s="143" t="s">
        <v>72</v>
      </c>
      <c r="F30" s="143"/>
      <c r="G30" s="143"/>
      <c r="H30" s="143"/>
    </row>
    <row r="31" spans="1:26" ht="15" customHeight="1" x14ac:dyDescent="0.35">
      <c r="A31" s="133" t="s">
        <v>29</v>
      </c>
      <c r="B31" s="133"/>
      <c r="C31" s="133"/>
      <c r="D31" s="133"/>
      <c r="E31" s="143" t="s">
        <v>291</v>
      </c>
      <c r="F31" s="143"/>
      <c r="G31" s="143"/>
      <c r="H31" s="143"/>
      <c r="I31" s="21" t="b">
        <f>IF(AND(ISNUMBER(SEARCH("Flat",D65)),ISNUMBER(SEARCH("Shop",D65)),ISNUMBER(SEARCH("Office",D65))),"Residential + Commercial",IF(AND(ISNUMBER(SEARCH("Flat",D65)),ISNUMBER(SEARCH("Shop",D65))),"Residential + Commercial",IF(AND(ISNUMBER(SEARCH("Flat",D65)),ISNUMBER(SEARCH("Office",D65))),"Residential + Commercial",IF(AND(ISNUMBER(SEARCH("Shop",D65)),ISNUMBER(SEARCH("Office",D65))),"Commercial",IF(ISNUMBER(SEARCH("Shop",D65)),"Commercial",IF(ISNUMBER(SEARCH("Office",D65)),"Commercial",IF(ISNUMBER(SEARCH("Flat",D65)),"Residential")))))))</f>
        <v>0</v>
      </c>
    </row>
    <row r="32" spans="1:26" ht="15.75" customHeight="1" x14ac:dyDescent="0.35">
      <c r="A32" s="133" t="s">
        <v>83</v>
      </c>
      <c r="B32" s="133"/>
      <c r="C32" s="133"/>
      <c r="D32" s="133"/>
      <c r="E32" s="143" t="s">
        <v>30</v>
      </c>
      <c r="F32" s="143"/>
      <c r="G32" s="143"/>
      <c r="H32" s="143"/>
    </row>
    <row r="33" spans="1:19" s="22" customFormat="1" x14ac:dyDescent="0.35">
      <c r="A33" s="192" t="s">
        <v>84</v>
      </c>
      <c r="B33" s="192"/>
      <c r="C33" s="189" t="s">
        <v>164</v>
      </c>
      <c r="D33" s="190"/>
      <c r="E33" s="191"/>
      <c r="F33" s="189" t="s">
        <v>28</v>
      </c>
      <c r="G33" s="190"/>
      <c r="H33" s="191"/>
      <c r="S33" s="22" t="e">
        <f ca="1">OFFSET($S$13,1,MATCH($G20,$S$13:$W$13,0)-1,15,1)</f>
        <v>#VALUE!</v>
      </c>
    </row>
    <row r="34" spans="1:19" s="22" customFormat="1" x14ac:dyDescent="0.35">
      <c r="A34" s="178" t="s">
        <v>23</v>
      </c>
      <c r="B34" s="178" t="s">
        <v>27</v>
      </c>
      <c r="C34" s="179" t="s">
        <v>397</v>
      </c>
      <c r="D34" s="180"/>
      <c r="E34" s="181"/>
      <c r="F34" s="179" t="s">
        <v>400</v>
      </c>
      <c r="G34" s="180"/>
      <c r="H34" s="181"/>
    </row>
    <row r="35" spans="1:19" x14ac:dyDescent="0.35">
      <c r="A35" s="178" t="s">
        <v>24</v>
      </c>
      <c r="B35" s="178" t="s">
        <v>27</v>
      </c>
      <c r="C35" s="179" t="s">
        <v>398</v>
      </c>
      <c r="D35" s="180"/>
      <c r="E35" s="181"/>
      <c r="F35" s="179" t="s">
        <v>400</v>
      </c>
      <c r="G35" s="180"/>
      <c r="H35" s="181"/>
    </row>
    <row r="36" spans="1:19" s="22" customFormat="1" x14ac:dyDescent="0.35">
      <c r="A36" s="178" t="s">
        <v>26</v>
      </c>
      <c r="B36" s="178" t="s">
        <v>27</v>
      </c>
      <c r="C36" s="179" t="s">
        <v>399</v>
      </c>
      <c r="D36" s="180"/>
      <c r="E36" s="181"/>
      <c r="F36" s="179" t="s">
        <v>401</v>
      </c>
      <c r="G36" s="180"/>
      <c r="H36" s="181"/>
    </row>
    <row r="37" spans="1:19" x14ac:dyDescent="0.35">
      <c r="A37" s="178" t="s">
        <v>25</v>
      </c>
      <c r="B37" s="178" t="s">
        <v>27</v>
      </c>
      <c r="C37" s="179" t="s">
        <v>398</v>
      </c>
      <c r="D37" s="180"/>
      <c r="E37" s="181"/>
      <c r="F37" s="179" t="s">
        <v>402</v>
      </c>
      <c r="G37" s="180"/>
      <c r="H37" s="181"/>
    </row>
    <row r="38" spans="1:19" x14ac:dyDescent="0.35">
      <c r="A38" s="133" t="s">
        <v>268</v>
      </c>
      <c r="B38" s="133"/>
      <c r="C38" s="133"/>
      <c r="D38" s="133"/>
      <c r="E38" s="133"/>
      <c r="F38" s="133"/>
      <c r="G38" s="133"/>
      <c r="H38" s="133"/>
    </row>
    <row r="39" spans="1:19" ht="15.75" customHeight="1" x14ac:dyDescent="0.35">
      <c r="A39" s="133" t="s">
        <v>155</v>
      </c>
      <c r="B39" s="133"/>
      <c r="C39" s="159" t="s">
        <v>395</v>
      </c>
      <c r="D39" s="159"/>
      <c r="E39" s="159"/>
      <c r="F39" s="159"/>
      <c r="G39" s="159"/>
      <c r="H39" s="159"/>
    </row>
    <row r="40" spans="1:19" x14ac:dyDescent="0.35">
      <c r="A40" s="133" t="s">
        <v>151</v>
      </c>
      <c r="B40" s="133"/>
      <c r="C40" s="142" t="s">
        <v>396</v>
      </c>
      <c r="D40" s="143"/>
      <c r="E40" s="143"/>
      <c r="F40" s="143"/>
      <c r="G40" s="143"/>
      <c r="H40" s="143"/>
    </row>
    <row r="41" spans="1:19" x14ac:dyDescent="0.35">
      <c r="A41" s="159" t="s">
        <v>31</v>
      </c>
      <c r="B41" s="159"/>
      <c r="C41" s="159"/>
      <c r="D41" s="159"/>
      <c r="E41" s="159"/>
      <c r="F41" s="159"/>
      <c r="G41" s="159"/>
      <c r="H41" s="159"/>
    </row>
    <row r="42" spans="1:19" x14ac:dyDescent="0.35">
      <c r="A42" s="133" t="s">
        <v>32</v>
      </c>
      <c r="B42" s="133"/>
      <c r="C42" s="133"/>
      <c r="D42" s="133"/>
      <c r="E42" s="182">
        <v>66161.210000000006</v>
      </c>
      <c r="F42" s="182"/>
      <c r="G42" s="182"/>
      <c r="H42" s="182"/>
    </row>
    <row r="43" spans="1:19" hidden="1" x14ac:dyDescent="0.35">
      <c r="A43" s="133" t="s">
        <v>33</v>
      </c>
      <c r="B43" s="133"/>
      <c r="C43" s="133"/>
      <c r="D43" s="133"/>
      <c r="E43" s="185">
        <f>12606.3/E42</f>
        <v>0.19053913917233373</v>
      </c>
      <c r="F43" s="185"/>
      <c r="G43" s="185"/>
      <c r="H43" s="185"/>
    </row>
    <row r="44" spans="1:19" hidden="1" x14ac:dyDescent="0.35">
      <c r="A44" s="133" t="s">
        <v>34</v>
      </c>
      <c r="B44" s="133"/>
      <c r="C44" s="133"/>
      <c r="D44" s="133"/>
      <c r="E44" s="185">
        <f>E46/E42-E43</f>
        <v>0.55196541901213703</v>
      </c>
      <c r="F44" s="185"/>
      <c r="G44" s="185"/>
      <c r="H44" s="185"/>
    </row>
    <row r="45" spans="1:19" hidden="1" x14ac:dyDescent="0.35">
      <c r="A45" s="133" t="s">
        <v>35</v>
      </c>
      <c r="B45" s="133"/>
      <c r="C45" s="133"/>
      <c r="D45" s="133"/>
      <c r="E45" s="185">
        <f>E43+E44</f>
        <v>0.7425045581844707</v>
      </c>
      <c r="F45" s="185"/>
      <c r="G45" s="185"/>
      <c r="H45" s="185"/>
      <c r="I45" s="66">
        <f>E46/E42</f>
        <v>0.74250455818447081</v>
      </c>
    </row>
    <row r="46" spans="1:19" x14ac:dyDescent="0.35">
      <c r="A46" s="133" t="s">
        <v>82</v>
      </c>
      <c r="B46" s="133"/>
      <c r="C46" s="133"/>
      <c r="D46" s="133"/>
      <c r="E46" s="186">
        <v>49125</v>
      </c>
      <c r="F46" s="186"/>
      <c r="G46" s="186"/>
      <c r="H46" s="186"/>
    </row>
    <row r="47" spans="1:19" x14ac:dyDescent="0.35">
      <c r="A47" s="172" t="s">
        <v>36</v>
      </c>
      <c r="B47" s="172"/>
      <c r="C47" s="172"/>
      <c r="D47" s="172"/>
      <c r="E47" s="172" t="s">
        <v>319</v>
      </c>
      <c r="F47" s="172"/>
      <c r="G47" s="172"/>
      <c r="H47" s="172"/>
      <c r="I47" s="107" t="s">
        <v>409</v>
      </c>
    </row>
    <row r="48" spans="1:19" x14ac:dyDescent="0.35">
      <c r="A48" s="159" t="s">
        <v>37</v>
      </c>
      <c r="B48" s="159"/>
      <c r="C48" s="159"/>
      <c r="D48" s="159"/>
      <c r="E48" s="159"/>
      <c r="F48" s="159"/>
      <c r="G48" s="159"/>
      <c r="H48" s="159"/>
    </row>
    <row r="49" spans="1:24" ht="33.75" customHeight="1" x14ac:dyDescent="0.35">
      <c r="A49" s="124" t="s">
        <v>141</v>
      </c>
      <c r="B49" s="125"/>
      <c r="C49" s="151" t="s">
        <v>259</v>
      </c>
      <c r="D49" s="152"/>
      <c r="E49" s="152"/>
      <c r="F49" s="152"/>
      <c r="G49" s="152"/>
      <c r="H49" s="153"/>
      <c r="R49" t="s">
        <v>241</v>
      </c>
      <c r="S49" t="s">
        <v>163</v>
      </c>
      <c r="T49" t="s">
        <v>167</v>
      </c>
      <c r="U49" t="s">
        <v>182</v>
      </c>
      <c r="V49" t="s">
        <v>177</v>
      </c>
    </row>
    <row r="50" spans="1:24" ht="33" customHeight="1" x14ac:dyDescent="0.35">
      <c r="A50" s="124" t="s">
        <v>38</v>
      </c>
      <c r="B50" s="125"/>
      <c r="C50" s="124" t="s">
        <v>412</v>
      </c>
      <c r="D50" s="126"/>
      <c r="E50" s="125"/>
      <c r="F50" s="18" t="s">
        <v>39</v>
      </c>
      <c r="G50" s="127">
        <v>44939</v>
      </c>
      <c r="H50" s="125"/>
      <c r="R50"/>
      <c r="S50" t="s">
        <v>242</v>
      </c>
      <c r="T50" t="s">
        <v>247</v>
      </c>
      <c r="U50" t="s">
        <v>258</v>
      </c>
      <c r="V50" t="s">
        <v>263</v>
      </c>
    </row>
    <row r="51" spans="1:24" ht="36.75" hidden="1" customHeight="1" x14ac:dyDescent="0.35">
      <c r="A51" s="124" t="s">
        <v>392</v>
      </c>
      <c r="B51" s="125"/>
      <c r="C51" s="124" t="s">
        <v>391</v>
      </c>
      <c r="D51" s="126"/>
      <c r="E51" s="125"/>
      <c r="F51" s="18" t="s">
        <v>39</v>
      </c>
      <c r="G51" s="127">
        <v>44841</v>
      </c>
      <c r="H51" s="125"/>
      <c r="R51"/>
      <c r="S51" t="s">
        <v>243</v>
      </c>
      <c r="T51" t="s">
        <v>248</v>
      </c>
      <c r="U51" t="s">
        <v>256</v>
      </c>
      <c r="V51" t="s">
        <v>264</v>
      </c>
    </row>
    <row r="52" spans="1:24" ht="36.75" hidden="1" customHeight="1" x14ac:dyDescent="0.35">
      <c r="A52" s="124" t="s">
        <v>390</v>
      </c>
      <c r="B52" s="125"/>
      <c r="C52" s="124" t="s">
        <v>320</v>
      </c>
      <c r="D52" s="126"/>
      <c r="E52" s="125"/>
      <c r="F52" s="18" t="s">
        <v>39</v>
      </c>
      <c r="G52" s="127">
        <f>G51</f>
        <v>44841</v>
      </c>
      <c r="H52" s="125"/>
      <c r="R52"/>
      <c r="S52" t="s">
        <v>243</v>
      </c>
      <c r="T52" t="s">
        <v>248</v>
      </c>
      <c r="U52" t="s">
        <v>256</v>
      </c>
      <c r="V52" t="s">
        <v>264</v>
      </c>
    </row>
    <row r="53" spans="1:24" ht="32.25" customHeight="1" x14ac:dyDescent="0.35">
      <c r="A53" s="124" t="s">
        <v>40</v>
      </c>
      <c r="B53" s="125"/>
      <c r="C53" s="124" t="str">
        <f>C50</f>
        <v>CIDCO/NAINA/Panvel/Wardoli/LT-00593/CC/2023/0311</v>
      </c>
      <c r="D53" s="126"/>
      <c r="E53" s="125"/>
      <c r="F53" s="18" t="s">
        <v>39</v>
      </c>
      <c r="G53" s="127">
        <v>44939</v>
      </c>
      <c r="H53" s="125"/>
      <c r="R53"/>
      <c r="S53" t="s">
        <v>243</v>
      </c>
      <c r="T53" t="s">
        <v>248</v>
      </c>
      <c r="U53" t="s">
        <v>256</v>
      </c>
      <c r="V53" t="s">
        <v>264</v>
      </c>
    </row>
    <row r="54" spans="1:24" s="23" customFormat="1" ht="33.75" customHeight="1" x14ac:dyDescent="0.35">
      <c r="A54" s="175" t="s">
        <v>145</v>
      </c>
      <c r="B54" s="177"/>
      <c r="C54" s="128" t="str">
        <f>C53</f>
        <v>CIDCO/NAINA/Panvel/Wardoli/LT-00593/CC/2023/0311</v>
      </c>
      <c r="D54" s="129"/>
      <c r="E54" s="130"/>
      <c r="F54" s="113" t="s">
        <v>39</v>
      </c>
      <c r="G54" s="250">
        <f>G53</f>
        <v>44939</v>
      </c>
      <c r="H54" s="251"/>
      <c r="R54"/>
      <c r="S54" t="s">
        <v>244</v>
      </c>
      <c r="T54" t="s">
        <v>249</v>
      </c>
      <c r="U54" t="s">
        <v>246</v>
      </c>
      <c r="V54" t="s">
        <v>265</v>
      </c>
    </row>
    <row r="55" spans="1:24" s="23" customFormat="1" x14ac:dyDescent="0.35">
      <c r="A55" s="233"/>
      <c r="B55" s="234"/>
      <c r="C55" s="128" t="s">
        <v>430</v>
      </c>
      <c r="D55" s="129"/>
      <c r="E55" s="129"/>
      <c r="F55" s="129"/>
      <c r="G55" s="129"/>
      <c r="H55" s="130"/>
      <c r="R55"/>
      <c r="S55" t="s">
        <v>245</v>
      </c>
      <c r="T55" t="s">
        <v>252</v>
      </c>
      <c r="U55" t="s">
        <v>259</v>
      </c>
    </row>
    <row r="56" spans="1:24" s="23" customFormat="1" hidden="1" x14ac:dyDescent="0.35">
      <c r="A56" s="254" t="s">
        <v>269</v>
      </c>
      <c r="B56" s="255"/>
      <c r="C56" s="124"/>
      <c r="D56" s="126"/>
      <c r="E56" s="125"/>
      <c r="F56" s="18" t="s">
        <v>39</v>
      </c>
      <c r="G56" s="124"/>
      <c r="H56" s="125"/>
      <c r="R56"/>
      <c r="S56" t="s">
        <v>244</v>
      </c>
      <c r="T56" t="s">
        <v>249</v>
      </c>
      <c r="U56" t="s">
        <v>246</v>
      </c>
      <c r="V56" t="s">
        <v>265</v>
      </c>
    </row>
    <row r="57" spans="1:24" s="23" customFormat="1" ht="32.25" hidden="1" customHeight="1" x14ac:dyDescent="0.35">
      <c r="A57" s="256"/>
      <c r="B57" s="257"/>
      <c r="C57" s="148"/>
      <c r="D57" s="149"/>
      <c r="E57" s="149"/>
      <c r="F57" s="149"/>
      <c r="G57" s="149"/>
      <c r="H57" s="150"/>
      <c r="R57"/>
      <c r="S57" t="s">
        <v>246</v>
      </c>
      <c r="T57" t="s">
        <v>250</v>
      </c>
      <c r="U57" t="s">
        <v>260</v>
      </c>
      <c r="V57" s="21"/>
      <c r="W57" s="21"/>
      <c r="X57" s="21"/>
    </row>
    <row r="58" spans="1:24" s="23" customFormat="1" ht="34.5" hidden="1" customHeight="1" x14ac:dyDescent="0.35">
      <c r="A58" s="254" t="s">
        <v>270</v>
      </c>
      <c r="B58" s="255"/>
      <c r="C58" s="124">
        <f>C57</f>
        <v>0</v>
      </c>
      <c r="D58" s="126"/>
      <c r="E58" s="125"/>
      <c r="F58" s="18" t="s">
        <v>39</v>
      </c>
      <c r="G58" s="124">
        <f>G57</f>
        <v>0</v>
      </c>
      <c r="H58" s="125"/>
      <c r="R58"/>
      <c r="S58" s="21"/>
      <c r="T58" t="s">
        <v>251</v>
      </c>
      <c r="U58" t="s">
        <v>261</v>
      </c>
      <c r="V58" s="21"/>
      <c r="W58" s="21"/>
      <c r="X58" s="21"/>
    </row>
    <row r="59" spans="1:24" s="23" customFormat="1" ht="41.25" hidden="1" customHeight="1" x14ac:dyDescent="0.35">
      <c r="A59" s="256"/>
      <c r="B59" s="257"/>
      <c r="C59" s="124"/>
      <c r="D59" s="126"/>
      <c r="E59" s="126"/>
      <c r="F59" s="126"/>
      <c r="G59" s="126"/>
      <c r="H59" s="125"/>
      <c r="R59"/>
      <c r="S59" s="21"/>
      <c r="T59" t="s">
        <v>253</v>
      </c>
      <c r="U59" t="s">
        <v>262</v>
      </c>
      <c r="V59" s="21"/>
      <c r="W59" s="21"/>
      <c r="X59" s="21"/>
    </row>
    <row r="60" spans="1:24" s="23" customFormat="1" ht="15.75" hidden="1" customHeight="1" x14ac:dyDescent="0.35">
      <c r="A60" s="254" t="s">
        <v>271</v>
      </c>
      <c r="B60" s="255"/>
      <c r="C60" s="124">
        <f>C59</f>
        <v>0</v>
      </c>
      <c r="D60" s="126"/>
      <c r="E60" s="125"/>
      <c r="F60" s="18" t="s">
        <v>39</v>
      </c>
      <c r="G60" s="124">
        <f>G59</f>
        <v>0</v>
      </c>
      <c r="H60" s="125"/>
      <c r="R60"/>
      <c r="S60" s="21"/>
      <c r="T60" t="s">
        <v>254</v>
      </c>
      <c r="U60" s="21" t="s">
        <v>285</v>
      </c>
      <c r="V60" s="21"/>
      <c r="W60" s="21"/>
      <c r="X60" s="21"/>
    </row>
    <row r="61" spans="1:24" s="23" customFormat="1" ht="15.75" hidden="1" customHeight="1" x14ac:dyDescent="0.35">
      <c r="A61" s="256"/>
      <c r="B61" s="257"/>
      <c r="C61" s="124"/>
      <c r="D61" s="126"/>
      <c r="E61" s="126"/>
      <c r="F61" s="126"/>
      <c r="G61" s="126"/>
      <c r="H61" s="125"/>
      <c r="R61"/>
      <c r="S61" s="21"/>
      <c r="T61" t="s">
        <v>255</v>
      </c>
      <c r="U61" s="21"/>
      <c r="V61" s="21"/>
      <c r="W61" s="21"/>
      <c r="X61" s="21"/>
    </row>
    <row r="62" spans="1:24" x14ac:dyDescent="0.35">
      <c r="A62" s="261" t="s">
        <v>41</v>
      </c>
      <c r="B62" s="262"/>
      <c r="C62" s="261" t="s">
        <v>96</v>
      </c>
      <c r="D62" s="263"/>
      <c r="E62" s="262"/>
      <c r="F62" s="45" t="s">
        <v>39</v>
      </c>
      <c r="G62" s="252" t="s">
        <v>27</v>
      </c>
      <c r="H62" s="253"/>
      <c r="R62"/>
      <c r="T62" t="s">
        <v>257</v>
      </c>
    </row>
    <row r="63" spans="1:24" x14ac:dyDescent="0.35">
      <c r="A63" s="222" t="s">
        <v>43</v>
      </c>
      <c r="B63" s="222"/>
      <c r="C63" s="222"/>
      <c r="D63" s="222"/>
      <c r="E63" s="222"/>
      <c r="F63" s="222"/>
      <c r="G63" s="222"/>
      <c r="H63" s="222"/>
      <c r="T63" t="s">
        <v>266</v>
      </c>
    </row>
    <row r="64" spans="1:24" x14ac:dyDescent="0.35">
      <c r="A64" s="193" t="s">
        <v>81</v>
      </c>
      <c r="B64" s="193"/>
      <c r="C64" s="193"/>
      <c r="D64" s="133">
        <f>E46</f>
        <v>49125</v>
      </c>
      <c r="E64" s="133"/>
      <c r="F64" s="133"/>
      <c r="G64" s="133"/>
      <c r="H64" s="133"/>
      <c r="R64"/>
    </row>
    <row r="65" spans="1:19" x14ac:dyDescent="0.35">
      <c r="A65" s="143" t="s">
        <v>44</v>
      </c>
      <c r="B65" s="172"/>
      <c r="C65" s="172"/>
      <c r="D65" s="172" t="s">
        <v>426</v>
      </c>
      <c r="E65" s="172"/>
      <c r="F65" s="172"/>
      <c r="G65" s="172"/>
      <c r="H65" s="172"/>
      <c r="I65" s="24"/>
      <c r="R65"/>
    </row>
    <row r="66" spans="1:19" hidden="1" x14ac:dyDescent="0.35">
      <c r="A66" s="175" t="s">
        <v>45</v>
      </c>
      <c r="B66" s="176"/>
      <c r="C66" s="177"/>
      <c r="D66" s="173" t="s">
        <v>321</v>
      </c>
      <c r="E66" s="174"/>
      <c r="F66" s="174"/>
      <c r="G66" s="174"/>
      <c r="H66" s="174"/>
      <c r="R66"/>
    </row>
    <row r="67" spans="1:19" ht="15.75" hidden="1" customHeight="1" x14ac:dyDescent="0.35">
      <c r="A67" s="175" t="s">
        <v>79</v>
      </c>
      <c r="B67" s="176"/>
      <c r="C67" s="176"/>
      <c r="D67" s="241" t="s">
        <v>322</v>
      </c>
      <c r="E67" s="242"/>
      <c r="F67" s="242"/>
      <c r="G67" s="242"/>
      <c r="H67" s="242"/>
      <c r="R67"/>
    </row>
    <row r="68" spans="1:19" ht="15.75" hidden="1" customHeight="1" x14ac:dyDescent="0.35">
      <c r="A68" s="238"/>
      <c r="B68" s="239"/>
      <c r="C68" s="239"/>
      <c r="D68" s="243" t="s">
        <v>286</v>
      </c>
      <c r="E68" s="244"/>
      <c r="F68" s="244"/>
      <c r="G68" s="244"/>
      <c r="H68" s="245"/>
      <c r="R68"/>
    </row>
    <row r="69" spans="1:19" ht="15.75" hidden="1" customHeight="1" x14ac:dyDescent="0.35">
      <c r="A69" s="233"/>
      <c r="B69" s="240"/>
      <c r="C69" s="240"/>
      <c r="D69" s="235" t="s">
        <v>159</v>
      </c>
      <c r="E69" s="236"/>
      <c r="F69" s="236"/>
      <c r="G69" s="236"/>
      <c r="H69" s="237"/>
      <c r="S69"/>
    </row>
    <row r="70" spans="1:19" ht="15.75" customHeight="1" x14ac:dyDescent="0.35">
      <c r="A70" s="133" t="s">
        <v>42</v>
      </c>
      <c r="B70" s="133"/>
      <c r="C70" s="133"/>
      <c r="D70" s="183" t="s">
        <v>323</v>
      </c>
      <c r="E70" s="183"/>
      <c r="F70" s="183"/>
      <c r="G70" s="183"/>
      <c r="H70" s="183"/>
      <c r="J70" s="25"/>
      <c r="K70" s="24"/>
      <c r="N70" s="24"/>
      <c r="S70"/>
    </row>
    <row r="71" spans="1:19" ht="15.75" customHeight="1" x14ac:dyDescent="0.35">
      <c r="A71" s="133" t="s">
        <v>77</v>
      </c>
      <c r="B71" s="133"/>
      <c r="C71" s="133"/>
      <c r="D71" s="184" t="str">
        <f>(IF(G62="NA","60 Years After Completion",IF(G62&lt;&gt;"NA",""&amp;60-ROUNDDOWN((E3-G62)/360,0)&amp;" Years"," ")))</f>
        <v>60 Years After Completion</v>
      </c>
      <c r="E71" s="184"/>
      <c r="F71" s="184"/>
      <c r="G71" s="184"/>
      <c r="H71" s="184"/>
      <c r="N71" s="24"/>
      <c r="S71"/>
    </row>
    <row r="72" spans="1:19" ht="15.75" customHeight="1" x14ac:dyDescent="0.35">
      <c r="A72" s="133" t="s">
        <v>78</v>
      </c>
      <c r="B72" s="133"/>
      <c r="C72" s="133"/>
      <c r="D72" s="193" t="s">
        <v>22</v>
      </c>
      <c r="E72" s="193"/>
      <c r="F72" s="193"/>
      <c r="G72" s="193"/>
      <c r="H72" s="193"/>
      <c r="J72" s="26"/>
      <c r="K72" s="26"/>
      <c r="S72"/>
    </row>
    <row r="73" spans="1:19" ht="33" customHeight="1" x14ac:dyDescent="0.35">
      <c r="A73" s="196" t="s">
        <v>325</v>
      </c>
      <c r="B73" s="196"/>
      <c r="C73" s="196"/>
      <c r="D73" s="143" t="s">
        <v>324</v>
      </c>
      <c r="E73" s="193"/>
      <c r="F73" s="193"/>
      <c r="G73" s="193"/>
      <c r="H73" s="193"/>
      <c r="S73"/>
    </row>
    <row r="74" spans="1:19" x14ac:dyDescent="0.35">
      <c r="A74" s="193" t="s">
        <v>138</v>
      </c>
      <c r="B74" s="193"/>
      <c r="C74" s="193"/>
      <c r="D74" s="193" t="s">
        <v>27</v>
      </c>
      <c r="E74" s="193"/>
      <c r="F74" s="193"/>
      <c r="G74" s="193"/>
      <c r="H74" s="193"/>
      <c r="I74" s="27"/>
      <c r="J74" s="27"/>
      <c r="K74" s="27"/>
      <c r="L74" s="27"/>
      <c r="M74" s="27"/>
      <c r="N74" s="27"/>
    </row>
    <row r="75" spans="1:19" ht="15.75" customHeight="1" x14ac:dyDescent="0.35">
      <c r="A75" s="265" t="s">
        <v>76</v>
      </c>
      <c r="B75" s="265"/>
      <c r="C75" s="265"/>
      <c r="D75" s="204" t="str">
        <f ca="1">(IF(G96&gt;95%,"Nothing",IF(G96&gt;0%,"Cement, Aggregate, Steel, etc",IF(G96=0%,"Work not yet Started"))))</f>
        <v>Cement, Aggregate, Steel, etc</v>
      </c>
      <c r="E75" s="204"/>
      <c r="F75" s="204"/>
      <c r="G75" s="204"/>
      <c r="H75" s="204"/>
      <c r="J75" s="26"/>
      <c r="S75"/>
    </row>
    <row r="76" spans="1:19" ht="33.75" customHeight="1" thickBot="1" x14ac:dyDescent="0.4">
      <c r="A76" s="202" t="s">
        <v>109</v>
      </c>
      <c r="B76" s="202"/>
      <c r="C76" s="202"/>
      <c r="D76" s="203" t="str">
        <f ca="1">(IF(D75="Nothing","Yes",IF(D75="Cement, Aggregate, Steel, etc","Under Construction",IF(D75="Work not yet Started","Work not yet Started"))))</f>
        <v>Under Construction</v>
      </c>
      <c r="E76" s="203"/>
      <c r="F76" s="203" t="str">
        <f ca="1">(IF(D75="Nothing","Yes",IF(D75="Cement, Aggregate, Steel, etc","Under Construction",IF(D75="Work not yet Started","Work not yet Started"))))</f>
        <v>Under Construction</v>
      </c>
      <c r="G76" s="203"/>
      <c r="H76" s="203"/>
      <c r="S76"/>
    </row>
    <row r="77" spans="1:19" x14ac:dyDescent="0.35">
      <c r="A77" s="266" t="s">
        <v>130</v>
      </c>
      <c r="B77" s="266"/>
      <c r="C77" s="266"/>
      <c r="D77" s="266"/>
      <c r="E77" s="266"/>
      <c r="F77" s="266"/>
      <c r="G77" s="266"/>
      <c r="H77" s="266"/>
    </row>
    <row r="78" spans="1:19" ht="28.5" customHeight="1" x14ac:dyDescent="0.35">
      <c r="A78" s="98" t="s">
        <v>310</v>
      </c>
      <c r="B78" s="99" t="s">
        <v>75</v>
      </c>
      <c r="C78" s="99" t="s">
        <v>311</v>
      </c>
      <c r="D78" s="267" t="s">
        <v>80</v>
      </c>
      <c r="E78" s="267"/>
      <c r="F78" s="267"/>
      <c r="G78" s="267"/>
      <c r="H78" s="267"/>
      <c r="I78" s="21">
        <f>51-43</f>
        <v>8</v>
      </c>
      <c r="J78" s="21">
        <v>1</v>
      </c>
      <c r="K78" s="21">
        <f>J78+I78</f>
        <v>9</v>
      </c>
    </row>
    <row r="79" spans="1:19" ht="17.25" customHeight="1" x14ac:dyDescent="0.35">
      <c r="A79" s="100" t="str">
        <f>'Construction %'!A19</f>
        <v>A43 to A51</v>
      </c>
      <c r="B79" s="101">
        <f>'Construction %'!N19</f>
        <v>0</v>
      </c>
      <c r="C79" s="101">
        <f>'Construction %'!O19</f>
        <v>0</v>
      </c>
      <c r="D79" s="205" t="str">
        <f>'Construction %'!P19</f>
        <v xml:space="preserve">Work not yet Started. </v>
      </c>
      <c r="E79" s="206"/>
      <c r="F79" s="206"/>
      <c r="G79" s="206"/>
      <c r="H79" s="207"/>
      <c r="I79" s="21">
        <f>24-17</f>
        <v>7</v>
      </c>
      <c r="J79" s="21">
        <v>1</v>
      </c>
      <c r="K79" s="21">
        <f t="shared" ref="K79:K84" si="0">J79+I79</f>
        <v>8</v>
      </c>
    </row>
    <row r="80" spans="1:19" ht="15.75" customHeight="1" x14ac:dyDescent="0.35">
      <c r="A80" s="100" t="str">
        <f>'Construction %'!A20</f>
        <v>B17 to B24</v>
      </c>
      <c r="B80" s="101">
        <f ca="1">'Construction %'!N20</f>
        <v>0</v>
      </c>
      <c r="C80" s="101">
        <f ca="1">'Construction %'!O20</f>
        <v>0</v>
      </c>
      <c r="D80" s="205" t="str">
        <f ca="1">'Construction %'!P20</f>
        <v xml:space="preserve">Work not yet Started. </v>
      </c>
      <c r="E80" s="206"/>
      <c r="F80" s="206"/>
      <c r="G80" s="206"/>
      <c r="H80" s="207"/>
      <c r="I80" s="21">
        <f>23-16</f>
        <v>7</v>
      </c>
      <c r="J80" s="21">
        <v>1</v>
      </c>
      <c r="K80" s="21">
        <f t="shared" si="0"/>
        <v>8</v>
      </c>
    </row>
    <row r="81" spans="1:19" ht="15.75" customHeight="1" x14ac:dyDescent="0.35">
      <c r="A81" s="110" t="str">
        <f>'Construction %'!A21</f>
        <v>C16 to C23</v>
      </c>
      <c r="B81" s="101">
        <f ca="1">'Construction %'!N21</f>
        <v>0</v>
      </c>
      <c r="C81" s="101">
        <f ca="1">'Construction %'!O21</f>
        <v>0</v>
      </c>
      <c r="D81" s="205" t="str">
        <f ca="1">'Construction %'!P21</f>
        <v xml:space="preserve">Work not yet Started. </v>
      </c>
      <c r="E81" s="206"/>
      <c r="F81" s="206"/>
      <c r="G81" s="206"/>
      <c r="H81" s="207"/>
      <c r="I81" s="21">
        <f>22-17</f>
        <v>5</v>
      </c>
      <c r="J81" s="21">
        <v>1</v>
      </c>
      <c r="K81" s="21">
        <f t="shared" si="0"/>
        <v>6</v>
      </c>
    </row>
    <row r="82" spans="1:19" ht="15.75" customHeight="1" x14ac:dyDescent="0.35">
      <c r="A82" s="110" t="str">
        <f>'Construction %'!A22</f>
        <v>D13 to D19</v>
      </c>
      <c r="B82" s="101">
        <f ca="1">'Construction %'!N22</f>
        <v>0</v>
      </c>
      <c r="C82" s="101">
        <f ca="1">'Construction %'!O22</f>
        <v>0</v>
      </c>
      <c r="D82" s="205" t="str">
        <f ca="1">'Construction %'!P22</f>
        <v xml:space="preserve">Work not yet Started. </v>
      </c>
      <c r="E82" s="206"/>
      <c r="F82" s="206"/>
      <c r="G82" s="206"/>
      <c r="H82" s="207"/>
      <c r="I82" s="21">
        <f>37-22</f>
        <v>15</v>
      </c>
      <c r="J82" s="21">
        <v>1</v>
      </c>
      <c r="K82" s="21">
        <f t="shared" si="0"/>
        <v>16</v>
      </c>
    </row>
    <row r="83" spans="1:19" x14ac:dyDescent="0.35">
      <c r="A83" s="100" t="str">
        <f>'Construction %'!A23</f>
        <v>E17 to E22</v>
      </c>
      <c r="B83" s="101">
        <f ca="1">'Construction %'!N23</f>
        <v>0</v>
      </c>
      <c r="C83" s="101">
        <f ca="1">'Construction %'!O23</f>
        <v>0</v>
      </c>
      <c r="D83" s="205" t="str">
        <f ca="1">'Construction %'!P23</f>
        <v xml:space="preserve">Work not yet Started. </v>
      </c>
      <c r="E83" s="206"/>
      <c r="F83" s="206"/>
      <c r="G83" s="206"/>
      <c r="H83" s="207"/>
      <c r="I83" s="21">
        <f>28-23</f>
        <v>5</v>
      </c>
      <c r="J83" s="21">
        <v>1</v>
      </c>
      <c r="K83" s="21">
        <f t="shared" si="0"/>
        <v>6</v>
      </c>
    </row>
    <row r="84" spans="1:19" ht="15.75" customHeight="1" x14ac:dyDescent="0.35">
      <c r="A84" s="100" t="str">
        <f>'Construction %'!A24</f>
        <v>F22 to F37</v>
      </c>
      <c r="B84" s="101">
        <f>'Construction %'!N24</f>
        <v>0</v>
      </c>
      <c r="C84" s="101">
        <f>'Construction %'!O24</f>
        <v>0</v>
      </c>
      <c r="D84" s="205" t="str">
        <f>'Construction %'!P24</f>
        <v xml:space="preserve">Work not yet Started. </v>
      </c>
      <c r="E84" s="206"/>
      <c r="F84" s="206"/>
      <c r="G84" s="206"/>
      <c r="H84" s="207"/>
      <c r="I84" s="21">
        <f>19-13</f>
        <v>6</v>
      </c>
      <c r="J84" s="21">
        <v>1</v>
      </c>
      <c r="K84" s="21">
        <f t="shared" si="0"/>
        <v>7</v>
      </c>
    </row>
    <row r="85" spans="1:19" ht="15.75" customHeight="1" x14ac:dyDescent="0.35">
      <c r="A85" s="110" t="str">
        <f>'Construction %'!A25</f>
        <v>G23 to G28</v>
      </c>
      <c r="B85" s="101">
        <f ca="1">'Construction %'!N25</f>
        <v>0</v>
      </c>
      <c r="C85" s="101">
        <f ca="1">'Construction %'!O25</f>
        <v>0</v>
      </c>
      <c r="D85" s="205" t="str">
        <f ca="1">'Construction %'!P25</f>
        <v xml:space="preserve">Work not yet Started. </v>
      </c>
      <c r="E85" s="206"/>
      <c r="F85" s="206"/>
      <c r="G85" s="206"/>
      <c r="H85" s="207"/>
      <c r="K85" s="22">
        <f>SUM(K78:K84)</f>
        <v>60</v>
      </c>
    </row>
    <row r="86" spans="1:19" ht="15.75" hidden="1" customHeight="1" x14ac:dyDescent="0.35">
      <c r="A86" s="100">
        <f>'Construction %'!A26</f>
        <v>8</v>
      </c>
      <c r="B86" s="101">
        <f ca="1">'Construction %'!N26</f>
        <v>0</v>
      </c>
      <c r="C86" s="101">
        <f ca="1">'Construction %'!O26</f>
        <v>0</v>
      </c>
      <c r="D86" s="205" t="str">
        <f ca="1">'Construction %'!P26</f>
        <v xml:space="preserve">Work not yet Started. </v>
      </c>
      <c r="E86" s="206"/>
      <c r="F86" s="206"/>
      <c r="G86" s="206"/>
      <c r="H86" s="207"/>
    </row>
    <row r="87" spans="1:19" ht="15.75" hidden="1" customHeight="1" x14ac:dyDescent="0.35">
      <c r="A87" s="100">
        <f>'Construction %'!A27</f>
        <v>9</v>
      </c>
      <c r="B87" s="101">
        <f ca="1">'Construction %'!N27</f>
        <v>0</v>
      </c>
      <c r="C87" s="101">
        <f ca="1">'Construction %'!O27</f>
        <v>0</v>
      </c>
      <c r="D87" s="205" t="str">
        <f ca="1">'Construction %'!P27</f>
        <v xml:space="preserve">Work not yet Started. </v>
      </c>
      <c r="E87" s="206"/>
      <c r="F87" s="206"/>
      <c r="G87" s="206"/>
      <c r="H87" s="207"/>
    </row>
    <row r="88" spans="1:19" ht="15.75" hidden="1" customHeight="1" x14ac:dyDescent="0.35">
      <c r="A88" s="100">
        <f>'Construction %'!A28</f>
        <v>10</v>
      </c>
      <c r="B88" s="101">
        <f ca="1">'Construction %'!N28</f>
        <v>0</v>
      </c>
      <c r="C88" s="101">
        <f ca="1">'Construction %'!O28</f>
        <v>0</v>
      </c>
      <c r="D88" s="205" t="str">
        <f ca="1">'Construction %'!P28</f>
        <v xml:space="preserve">Work not yet Started. </v>
      </c>
      <c r="E88" s="206"/>
      <c r="F88" s="206"/>
      <c r="G88" s="206"/>
      <c r="H88" s="207"/>
    </row>
    <row r="89" spans="1:19" ht="15.75" hidden="1" customHeight="1" x14ac:dyDescent="0.35">
      <c r="A89" s="100">
        <f>'Construction %'!A29</f>
        <v>11</v>
      </c>
      <c r="B89" s="101">
        <f ca="1">'Construction %'!N29</f>
        <v>0</v>
      </c>
      <c r="C89" s="101">
        <f ca="1">'Construction %'!O29</f>
        <v>0</v>
      </c>
      <c r="D89" s="205" t="str">
        <f ca="1">'Construction %'!P29</f>
        <v xml:space="preserve">Work not yet Started. </v>
      </c>
      <c r="E89" s="206"/>
      <c r="F89" s="206"/>
      <c r="G89" s="206"/>
      <c r="H89" s="207"/>
    </row>
    <row r="90" spans="1:19" ht="15.75" hidden="1" customHeight="1" x14ac:dyDescent="0.35">
      <c r="A90" s="100">
        <f>'Construction %'!A30</f>
        <v>12</v>
      </c>
      <c r="B90" s="101">
        <f ca="1">'Construction %'!N30</f>
        <v>0</v>
      </c>
      <c r="C90" s="101">
        <f ca="1">'Construction %'!O30</f>
        <v>0</v>
      </c>
      <c r="D90" s="205" t="str">
        <f ca="1">'Construction %'!P30</f>
        <v xml:space="preserve">Work not yet Started. </v>
      </c>
      <c r="E90" s="206"/>
      <c r="F90" s="206"/>
      <c r="G90" s="206"/>
      <c r="H90" s="207"/>
    </row>
    <row r="91" spans="1:19" ht="15.75" hidden="1" customHeight="1" x14ac:dyDescent="0.35">
      <c r="A91" s="100">
        <f>'Construction %'!A31</f>
        <v>13</v>
      </c>
      <c r="B91" s="101">
        <f ca="1">'Construction %'!N31</f>
        <v>0</v>
      </c>
      <c r="C91" s="101">
        <f ca="1">'Construction %'!O31</f>
        <v>0</v>
      </c>
      <c r="D91" s="205" t="str">
        <f ca="1">'Construction %'!P31</f>
        <v xml:space="preserve">Work not yet Started. </v>
      </c>
      <c r="E91" s="206"/>
      <c r="F91" s="206"/>
      <c r="G91" s="206"/>
      <c r="H91" s="207"/>
    </row>
    <row r="92" spans="1:19" ht="15.75" hidden="1" customHeight="1" x14ac:dyDescent="0.35">
      <c r="A92" s="162" t="s">
        <v>130</v>
      </c>
      <c r="B92" s="163"/>
      <c r="C92" s="164" t="str">
        <f>D67</f>
        <v>Row House = G + 3</v>
      </c>
      <c r="D92" s="165"/>
      <c r="E92" s="165"/>
      <c r="F92" s="165"/>
      <c r="G92" s="165"/>
      <c r="H92" s="166"/>
      <c r="I92" s="49" t="str">
        <f ca="1">IF(D105=100%,"All work Completed. Possession granted to the Building.",IF(D104=100%,"All work Completed, Waiting for OC",I93&amp;""&amp;I94&amp;""&amp;J93&amp;""&amp;J92&amp;" "&amp;J94))</f>
        <v xml:space="preserve">Excavation, Plinth Completed </v>
      </c>
      <c r="J92" s="50" t="str">
        <f ca="1">(IF(C98=(D93+F93+H93),"",IF(C98&gt;0,", RCC upto "&amp;C98&amp;" Slab","")))&amp;(IF(C99=H93,"",IF(C99&gt;0,", Brickwork upto "&amp;C99&amp;" Floor","")))&amp;(IF(C100=H93,"",IF(C100&gt;0,", Internal Plaster upto "&amp;C100&amp;" Floor","")))&amp;(IF(C101=H93,"",IF(C101&gt;0,", External Plaster upto "&amp;C101&amp;" Floor","")))&amp;(IF(C102=H93,"",IF(C102&gt;0,", Flooring upto "&amp;C102&amp;" Floor","")))&amp;(IF(C103=H93,"",IF(C103&gt;0,", Painting upto "&amp;C103&amp;" Floor","")))&amp;(IF(C104=H93,"",IF(C104&gt;0,", Finishing upto "&amp;C104&amp;" Floor","")))&amp;(IF(C105=H93,"",IF(C105&gt;0,", Possession upto "&amp;C105&amp;" Floor","")))</f>
        <v/>
      </c>
      <c r="S92"/>
    </row>
    <row r="93" spans="1:19" hidden="1" x14ac:dyDescent="0.35">
      <c r="A93" s="16" t="s">
        <v>132</v>
      </c>
      <c r="B93" s="47">
        <f>IF(AND(ISNUMBER(SEARCH("1B",C92))),1,IF(AND(ISNUMBER(SEARCH("2B",C92))),2,IF(AND(ISNUMBER(SEARCH("3B",C92))),3,IF(AND(ISNUMBER(SEARCH("4B",C92))),4,IF(ISNUMBER(SEARCH("5B",C92)),5,0)))))</f>
        <v>0</v>
      </c>
      <c r="C93" s="47" t="s">
        <v>63</v>
      </c>
      <c r="D93" s="47">
        <v>1</v>
      </c>
      <c r="E93" s="47" t="s">
        <v>62</v>
      </c>
      <c r="F93" s="14">
        <v>0</v>
      </c>
      <c r="G93" s="48" t="s">
        <v>70</v>
      </c>
      <c r="H93" s="17">
        <f ca="1">--TRIM(RIGHT(SUBSTITUTE(LEFT(C92,_xlfn.AGGREGATE(16,6,FIND({0,1,2,3,4,5,6,7,8,9},C92,ROW(INDIRECT("1:"&amp;LEN(C92)))),1))," ",REPT(" ",LEN(C92))),LEN(C92)))</f>
        <v>3</v>
      </c>
      <c r="I93" s="51" t="str">
        <f ca="1">IF(D96=100%,"Excavation","")&amp;IF(D97=100%,", Plinth","")&amp;IF(D98=100%,", RCC Slab","")&amp;IF(D99=100%,", Brickwork","")&amp;IF(D100=100%,", Internal Plaster","")&amp;IF(D101=100%,", External Plaster","")&amp;IF(D102=100%,", Flooring","")&amp;IF(D103=100%,", Painting","")&amp;IF(D104=100%,", Building common Amenities","")</f>
        <v>Excavation, Plinth</v>
      </c>
      <c r="J93" s="52" t="str">
        <f ca="1">(IF(C96=0,"Work not yet Started.",IF(D96=25%,"Piling work in process",IF(D96=50%,"Excavation work in process",IF(D96=100%,"","0")))))&amp;(IF(C97=0%,"",IF(C97=J98,", Footing work is process",IF(C97=J99,", Footing work Completed",IF(C97=J100,", 1st Basement Completed",IF(C97=J101,", 1st &amp; 2nd Basement Completed",IF(C97=J102,", 1st to 3rd Basement Completed",IF(C97=J103,", 1st to 4th Basement Completed",IF(C97=J104,", Plinth work is process",IF(C97=J105,"","0"))))))))))</f>
        <v/>
      </c>
      <c r="S93"/>
    </row>
    <row r="94" spans="1:19" ht="36.75" hidden="1" customHeight="1" x14ac:dyDescent="0.35">
      <c r="A94" s="187" t="s">
        <v>80</v>
      </c>
      <c r="B94" s="188"/>
      <c r="C94" s="200" t="str">
        <f ca="1">I92</f>
        <v xml:space="preserve">Excavation, Plinth Completed </v>
      </c>
      <c r="D94" s="200"/>
      <c r="E94" s="200"/>
      <c r="F94" s="200"/>
      <c r="G94" s="200"/>
      <c r="H94" s="201"/>
      <c r="I94" s="51" t="str">
        <f ca="1">IF(I93&lt;&gt;""," Completed","")</f>
        <v xml:space="preserve"> Completed</v>
      </c>
      <c r="J94" s="52" t="str">
        <f ca="1">IF(J92&lt;&gt;"","Completed","")</f>
        <v/>
      </c>
      <c r="S94"/>
    </row>
    <row r="95" spans="1:19" ht="15.75" hidden="1" customHeight="1" x14ac:dyDescent="0.35">
      <c r="A95" s="135" t="s">
        <v>46</v>
      </c>
      <c r="B95" s="131"/>
      <c r="C95" s="43" t="s">
        <v>129</v>
      </c>
      <c r="D95" s="43" t="s">
        <v>73</v>
      </c>
      <c r="E95" s="131" t="s">
        <v>75</v>
      </c>
      <c r="F95" s="131"/>
      <c r="G95" s="131" t="s">
        <v>74</v>
      </c>
      <c r="H95" s="132"/>
      <c r="I95" s="13" t="s">
        <v>131</v>
      </c>
      <c r="J95" s="28">
        <f ca="1">H93*25%</f>
        <v>0.75</v>
      </c>
      <c r="S95"/>
    </row>
    <row r="96" spans="1:19" hidden="1" x14ac:dyDescent="0.35">
      <c r="A96" s="135" t="s">
        <v>118</v>
      </c>
      <c r="B96" s="131"/>
      <c r="C96" s="60">
        <f ca="1">J97</f>
        <v>3</v>
      </c>
      <c r="D96" s="19">
        <f ca="1">((100/H93)*C96)/100</f>
        <v>1</v>
      </c>
      <c r="E96" s="136">
        <f ca="1">(((C97/H93*10)+(40/(D93+F93+H93)*C98)+(7.5/(H93)*C99)+(7.5/(H93)*C100)+(10/H93*C101)+(10/H93*C102)+(5/H93*C103)+(5/H93*C104)+(5/H93*C105))/100)</f>
        <v>0.1</v>
      </c>
      <c r="F96" s="137"/>
      <c r="G96" s="136">
        <f ca="1">((((C96/H93)*20)+((C97/H93)*25)+(30/(H93+F93+D93)*C98)+(5/H93*C99)+(5/H93*C100)+(5/H93*C101)+(5/H93*C102)+(0/H93*C103)+(0/H93*C104)+(5/H93*C105))/100)</f>
        <v>0.45</v>
      </c>
      <c r="H96" s="154"/>
      <c r="I96" s="13" t="s">
        <v>91</v>
      </c>
      <c r="J96" s="29">
        <f ca="1">H93*50%</f>
        <v>1.5</v>
      </c>
    </row>
    <row r="97" spans="1:19" hidden="1" x14ac:dyDescent="0.35">
      <c r="A97" s="135" t="s">
        <v>47</v>
      </c>
      <c r="B97" s="131"/>
      <c r="C97" s="43">
        <f ca="1">J105</f>
        <v>3</v>
      </c>
      <c r="D97" s="19">
        <f ca="1">((100/H93)*C97)/100</f>
        <v>1</v>
      </c>
      <c r="E97" s="138"/>
      <c r="F97" s="139"/>
      <c r="G97" s="138"/>
      <c r="H97" s="155"/>
      <c r="I97" s="13" t="s">
        <v>92</v>
      </c>
      <c r="J97" s="29">
        <f ca="1">H93</f>
        <v>3</v>
      </c>
      <c r="S97"/>
    </row>
    <row r="98" spans="1:19" ht="15.75" hidden="1" customHeight="1" x14ac:dyDescent="0.35">
      <c r="A98" s="135" t="s">
        <v>119</v>
      </c>
      <c r="B98" s="131"/>
      <c r="C98" s="43">
        <v>0</v>
      </c>
      <c r="D98" s="19">
        <f ca="1">((100/(D93+F93+H93))*C98)/100</f>
        <v>0</v>
      </c>
      <c r="E98" s="138"/>
      <c r="F98" s="139"/>
      <c r="G98" s="138"/>
      <c r="H98" s="155"/>
      <c r="I98" s="13" t="s">
        <v>93</v>
      </c>
      <c r="J98" s="30">
        <f ca="1">(IF(B93&gt;1,(H93/(B93+2)),H93/4))</f>
        <v>0.75</v>
      </c>
      <c r="S98"/>
    </row>
    <row r="99" spans="1:19" ht="15.75" hidden="1" customHeight="1" x14ac:dyDescent="0.35">
      <c r="A99" s="135" t="s">
        <v>126</v>
      </c>
      <c r="B99" s="131" t="s">
        <v>120</v>
      </c>
      <c r="C99" s="43">
        <v>0</v>
      </c>
      <c r="D99" s="19">
        <f ca="1">((100/H93)*C99)/100</f>
        <v>0</v>
      </c>
      <c r="E99" s="138"/>
      <c r="F99" s="139"/>
      <c r="G99" s="138"/>
      <c r="H99" s="155"/>
      <c r="I99" s="13" t="s">
        <v>94</v>
      </c>
      <c r="J99" s="30">
        <f ca="1">(IF(B93&gt;1,(H93/(B93+2)+J98),H93/4+J98))</f>
        <v>1.5</v>
      </c>
    </row>
    <row r="100" spans="1:19" ht="15.75" hidden="1" customHeight="1" x14ac:dyDescent="0.35">
      <c r="A100" s="135" t="s">
        <v>127</v>
      </c>
      <c r="B100" s="131" t="s">
        <v>120</v>
      </c>
      <c r="C100" s="43">
        <v>0</v>
      </c>
      <c r="D100" s="19">
        <f ca="1">((100/H93)*C100)/100</f>
        <v>0</v>
      </c>
      <c r="E100" s="138"/>
      <c r="F100" s="139"/>
      <c r="G100" s="138"/>
      <c r="H100" s="155"/>
      <c r="I100" s="13" t="s">
        <v>136</v>
      </c>
      <c r="J100" s="30">
        <f>(IF(B93&gt;1,(H93/(B93+2)+J99),0))</f>
        <v>0</v>
      </c>
    </row>
    <row r="101" spans="1:19" ht="15" hidden="1" customHeight="1" x14ac:dyDescent="0.35">
      <c r="A101" s="135" t="s">
        <v>125</v>
      </c>
      <c r="B101" s="131" t="s">
        <v>122</v>
      </c>
      <c r="C101" s="43">
        <v>0</v>
      </c>
      <c r="D101" s="19">
        <f ca="1">((100/(H93))*C101)/100</f>
        <v>0</v>
      </c>
      <c r="E101" s="138"/>
      <c r="F101" s="139"/>
      <c r="G101" s="138"/>
      <c r="H101" s="155"/>
      <c r="I101" s="13" t="s">
        <v>133</v>
      </c>
      <c r="J101" s="30">
        <f>(IF(B93&gt;2,(H93/(B93+2)+J100),0))</f>
        <v>0</v>
      </c>
    </row>
    <row r="102" spans="1:19" ht="15.75" hidden="1" customHeight="1" x14ac:dyDescent="0.35">
      <c r="A102" s="135" t="s">
        <v>121</v>
      </c>
      <c r="B102" s="131" t="s">
        <v>121</v>
      </c>
      <c r="C102" s="43">
        <v>0</v>
      </c>
      <c r="D102" s="19">
        <f ca="1">((100/H93)*C102)/100</f>
        <v>0</v>
      </c>
      <c r="E102" s="138"/>
      <c r="F102" s="139"/>
      <c r="G102" s="138"/>
      <c r="H102" s="155"/>
      <c r="I102" s="13" t="s">
        <v>134</v>
      </c>
      <c r="J102" s="31">
        <f>(IF(B93&gt;3,(H93/(B93+2)+J101),0))</f>
        <v>0</v>
      </c>
    </row>
    <row r="103" spans="1:19" ht="15.75" hidden="1" customHeight="1" x14ac:dyDescent="0.35">
      <c r="A103" s="135" t="s">
        <v>128</v>
      </c>
      <c r="B103" s="131"/>
      <c r="C103" s="43">
        <v>0</v>
      </c>
      <c r="D103" s="19">
        <f ca="1">((100/H93)*C103)/100</f>
        <v>0</v>
      </c>
      <c r="E103" s="138"/>
      <c r="F103" s="139"/>
      <c r="G103" s="138"/>
      <c r="H103" s="155"/>
      <c r="I103" s="13" t="s">
        <v>135</v>
      </c>
      <c r="J103" s="30">
        <f>(IF(B93&gt;4,(H93/(B93+2)+J102),0))</f>
        <v>0</v>
      </c>
    </row>
    <row r="104" spans="1:19" ht="15.75" hidden="1" customHeight="1" x14ac:dyDescent="0.35">
      <c r="A104" s="135" t="s">
        <v>123</v>
      </c>
      <c r="B104" s="131" t="s">
        <v>123</v>
      </c>
      <c r="C104" s="43">
        <v>0</v>
      </c>
      <c r="D104" s="19">
        <f ca="1">((100/(H93))*C104)/100</f>
        <v>0</v>
      </c>
      <c r="E104" s="138"/>
      <c r="F104" s="139"/>
      <c r="G104" s="138"/>
      <c r="H104" s="155"/>
      <c r="I104" s="13" t="s">
        <v>137</v>
      </c>
      <c r="J104" s="30">
        <f ca="1">(IF(B93=1,(H93/(B93+3)+J99),IF(B93=0,(H93/4+J99),IF(B93&gt;1,0))))</f>
        <v>2.25</v>
      </c>
    </row>
    <row r="105" spans="1:19" ht="16" hidden="1" thickBot="1" x14ac:dyDescent="0.4">
      <c r="A105" s="157" t="s">
        <v>124</v>
      </c>
      <c r="B105" s="158"/>
      <c r="C105" s="44">
        <v>0</v>
      </c>
      <c r="D105" s="20">
        <f ca="1">((100/(H93))*C105)/100</f>
        <v>0</v>
      </c>
      <c r="E105" s="140"/>
      <c r="F105" s="141"/>
      <c r="G105" s="140"/>
      <c r="H105" s="156"/>
      <c r="I105" s="15" t="s">
        <v>95</v>
      </c>
      <c r="J105" s="32">
        <f ca="1">(IF(B93&gt;1.5,(H93/(B93+2)+J99+MAX(0,J100-J99)+MAX(0,J101-J100)+MAX(0,J102-J101)+MAX(0,J103-J102)+MAX(0,J104-J103)),IF(B93=1,(H93/(B93+3)+J104),IF(B93=0,H93/4+J104))))</f>
        <v>3</v>
      </c>
    </row>
    <row r="106" spans="1:19" ht="15.75" hidden="1" customHeight="1" x14ac:dyDescent="0.35">
      <c r="A106" s="162" t="s">
        <v>130</v>
      </c>
      <c r="B106" s="163"/>
      <c r="C106" s="164" t="str">
        <f>D68</f>
        <v>B Wing = 1B + G + 1st to 19th Floor</v>
      </c>
      <c r="D106" s="165"/>
      <c r="E106" s="165"/>
      <c r="F106" s="165"/>
      <c r="G106" s="165"/>
      <c r="H106" s="166"/>
      <c r="I106" s="49" t="str">
        <f ca="1">IF(D119=100%,"All work Completed. Possession granted to the Building.",IF(D118=100%,"All work Completed, Waiting for OC",I107&amp;""&amp;I108&amp;""&amp;J107&amp;""&amp;J106&amp;" "&amp;J108))</f>
        <v xml:space="preserve">Excavation, Plinth Completed </v>
      </c>
      <c r="J106" s="50" t="str">
        <f ca="1">(IF(C112=(D107+F107+H107),"",IF(C112&gt;0,", RCC upto "&amp;C112&amp;" Slab","")))&amp;(IF(C113=H107,"",IF(C113&gt;0,", Brickwork upto "&amp;C113&amp;" Floor","")))&amp;(IF(C114=H107,"",IF(C114&gt;0,", Internal Plaster upto "&amp;C114&amp;" Floor","")))&amp;(IF(C115=H107,"",IF(C115&gt;0,", External Plaster upto "&amp;C115&amp;" Floor","")))&amp;(IF(C116=H107,"",IF(C116&gt;0,", Flooring upto "&amp;C116&amp;" Floor","")))&amp;(IF(C117=H107,"",IF(C117&gt;0,", Painting upto "&amp;C117&amp;" Floor","")))&amp;(IF(C118=H107,"",IF(C118&gt;0,", Finishing upto "&amp;C118&amp;" Floor","")))&amp;(IF(C119=H107,"",IF(C119&gt;0,", Possession upto "&amp;C119&amp;" Floor","")))</f>
        <v/>
      </c>
    </row>
    <row r="107" spans="1:19" hidden="1" x14ac:dyDescent="0.35">
      <c r="A107" s="16" t="s">
        <v>132</v>
      </c>
      <c r="B107" s="47">
        <f>IF(AND(ISNUMBER(SEARCH("1B",C106))),1,IF(AND(ISNUMBER(SEARCH("2B",C106))),2,IF(AND(ISNUMBER(SEARCH("3B",C106))),3,IF(AND(ISNUMBER(SEARCH("4B",C106))),4,IF(ISNUMBER(SEARCH("5B",C106)),5,0)))))</f>
        <v>1</v>
      </c>
      <c r="C107" s="47" t="s">
        <v>63</v>
      </c>
      <c r="D107" s="47">
        <v>1</v>
      </c>
      <c r="E107" s="47" t="s">
        <v>62</v>
      </c>
      <c r="F107" s="14">
        <v>0</v>
      </c>
      <c r="G107" s="48" t="s">
        <v>70</v>
      </c>
      <c r="H107" s="17">
        <f ca="1">--TRIM(RIGHT(SUBSTITUTE(LEFT(C106,_xlfn.AGGREGATE(16,6,FIND({0,1,2,3,4,5,6,7,8,9},C106,ROW(INDIRECT("1:"&amp;LEN(C106)))),1))," ",REPT(" ",LEN(C106))),LEN(C106)))</f>
        <v>19</v>
      </c>
      <c r="I107" s="51" t="str">
        <f ca="1">IF(D110=100%,"Excavation","")&amp;IF(D111=100%,", Plinth","")&amp;IF(D112=100%,", RCC Slab","")&amp;IF(D113=100%,", Brickwork","")&amp;IF(D114=100%,", Internal Plaster","")&amp;IF(D115=100%,", External Plaster","")&amp;IF(D116=100%,", Flooring","")&amp;IF(D117=100%,", Painting","")&amp;IF(D118=100%,", Building common Amenities","")</f>
        <v>Excavation, Plinth</v>
      </c>
      <c r="J107" s="52" t="str">
        <f ca="1">(IF(C110=0,"Work not yet Started.",IF(D110=25%,"Piling work in process",IF(D110=50%,"Excavation work in process",IF(D110=100%,"","0")))))&amp;(IF(C111=0%,"",IF(C111=J112,", Footing work is process",IF(C111=J113,", Footing work Completed",IF(C111=J114,", 1st Basement Completed",IF(C111=J115,", 1st &amp; 2nd Basement Completed",IF(C111=J116,", 1st to 3rd Basement Completed",IF(C111=J117,", 1st to 4th Basement Completed",IF(C111=J118,", Plinth work is process",IF(C111=J119,"","0"))))))))))</f>
        <v/>
      </c>
    </row>
    <row r="108" spans="1:19" hidden="1" x14ac:dyDescent="0.35">
      <c r="A108" s="187" t="s">
        <v>80</v>
      </c>
      <c r="B108" s="188"/>
      <c r="C108" s="200" t="str">
        <f ca="1">(IF($G$62="NA",I106,"All work Completed. OC Received."))</f>
        <v xml:space="preserve">Excavation, Plinth Completed </v>
      </c>
      <c r="D108" s="200"/>
      <c r="E108" s="200"/>
      <c r="F108" s="200"/>
      <c r="G108" s="200"/>
      <c r="H108" s="201"/>
      <c r="I108" s="51" t="str">
        <f ca="1">IF(I107&lt;&gt;""," Completed","")</f>
        <v xml:space="preserve"> Completed</v>
      </c>
      <c r="J108" s="52" t="str">
        <f ca="1">IF(J106&lt;&gt;"","Completed","")</f>
        <v/>
      </c>
    </row>
    <row r="109" spans="1:19" ht="15.75" hidden="1" customHeight="1" x14ac:dyDescent="0.35">
      <c r="A109" s="135" t="s">
        <v>46</v>
      </c>
      <c r="B109" s="131"/>
      <c r="C109" s="43" t="s">
        <v>129</v>
      </c>
      <c r="D109" s="43" t="s">
        <v>73</v>
      </c>
      <c r="E109" s="131" t="s">
        <v>75</v>
      </c>
      <c r="F109" s="131"/>
      <c r="G109" s="131" t="s">
        <v>74</v>
      </c>
      <c r="H109" s="132"/>
      <c r="I109" s="13" t="s">
        <v>131</v>
      </c>
      <c r="J109" s="28">
        <f ca="1">H107*25%</f>
        <v>4.75</v>
      </c>
    </row>
    <row r="110" spans="1:19" hidden="1" x14ac:dyDescent="0.35">
      <c r="A110" s="135" t="s">
        <v>118</v>
      </c>
      <c r="B110" s="131"/>
      <c r="C110" s="60">
        <f ca="1">J111</f>
        <v>19</v>
      </c>
      <c r="D110" s="19">
        <f ca="1">((100/H107)*C110)/100</f>
        <v>1</v>
      </c>
      <c r="E110" s="136">
        <f ca="1">(((C111/H107*10)+(40/(D107+F107+H107)*C112)+(7.5/(H107)*C113)+(7.5/(H107)*C114)+(10/H107*C115)+(10/H107*C116)+(5/H107*C117)+(5/H107*C118)+(5/H107*C119))/100)</f>
        <v>0.1</v>
      </c>
      <c r="F110" s="137"/>
      <c r="G110" s="136">
        <f ca="1">((((C110/H107)*20)+((C111/H107)*25)+(30/(H107+F107+D107)*C112)+(5/H107*C113)+(5/H107*C114)+(5/H107*C115)+(5/H107*C116)+(0/H107*C117)+(0/H107*C118)+(5/H107*C119))/100)</f>
        <v>0.45</v>
      </c>
      <c r="H110" s="154"/>
      <c r="I110" s="13" t="s">
        <v>91</v>
      </c>
      <c r="J110" s="29">
        <f ca="1">H107*50%</f>
        <v>9.5</v>
      </c>
    </row>
    <row r="111" spans="1:19" hidden="1" x14ac:dyDescent="0.35">
      <c r="A111" s="135" t="s">
        <v>47</v>
      </c>
      <c r="B111" s="131"/>
      <c r="C111" s="61">
        <v>19</v>
      </c>
      <c r="D111" s="19">
        <f ca="1">((100/H107)*C111)/100</f>
        <v>1</v>
      </c>
      <c r="E111" s="138"/>
      <c r="F111" s="139"/>
      <c r="G111" s="138"/>
      <c r="H111" s="155"/>
      <c r="I111" s="13" t="s">
        <v>92</v>
      </c>
      <c r="J111" s="29">
        <f ca="1">H107</f>
        <v>19</v>
      </c>
    </row>
    <row r="112" spans="1:19" ht="15.75" hidden="1" customHeight="1" x14ac:dyDescent="0.35">
      <c r="A112" s="135" t="s">
        <v>119</v>
      </c>
      <c r="B112" s="131"/>
      <c r="C112" s="43">
        <v>0</v>
      </c>
      <c r="D112" s="19">
        <f ca="1">((100/(D107+F107+H107))*C112)/100</f>
        <v>0</v>
      </c>
      <c r="E112" s="138"/>
      <c r="F112" s="139"/>
      <c r="G112" s="138"/>
      <c r="H112" s="155"/>
      <c r="I112" s="13" t="s">
        <v>93</v>
      </c>
      <c r="J112" s="30">
        <f ca="1">(IF(B107&gt;1,(H107/(B107+2)),H107/4))</f>
        <v>4.75</v>
      </c>
    </row>
    <row r="113" spans="1:10" ht="15.75" hidden="1" customHeight="1" x14ac:dyDescent="0.35">
      <c r="A113" s="135" t="s">
        <v>126</v>
      </c>
      <c r="B113" s="131" t="s">
        <v>120</v>
      </c>
      <c r="C113" s="43">
        <v>0</v>
      </c>
      <c r="D113" s="19">
        <f ca="1">((100/H107)*C113)/100</f>
        <v>0</v>
      </c>
      <c r="E113" s="138"/>
      <c r="F113" s="139"/>
      <c r="G113" s="138"/>
      <c r="H113" s="155"/>
      <c r="I113" s="13" t="s">
        <v>94</v>
      </c>
      <c r="J113" s="30">
        <f ca="1">(IF(B107&gt;1,(H107/(B107+2)+J112),H107/4+J112))</f>
        <v>9.5</v>
      </c>
    </row>
    <row r="114" spans="1:10" ht="15.75" hidden="1" customHeight="1" x14ac:dyDescent="0.35">
      <c r="A114" s="135" t="s">
        <v>127</v>
      </c>
      <c r="B114" s="131" t="s">
        <v>120</v>
      </c>
      <c r="C114" s="43">
        <v>0</v>
      </c>
      <c r="D114" s="19">
        <f ca="1">((100/H107)*C114)/100</f>
        <v>0</v>
      </c>
      <c r="E114" s="138"/>
      <c r="F114" s="139"/>
      <c r="G114" s="138"/>
      <c r="H114" s="155"/>
      <c r="I114" s="13" t="s">
        <v>136</v>
      </c>
      <c r="J114" s="30">
        <f>(IF(B107&gt;1,(H107/(B107+2)+J113),0))</f>
        <v>0</v>
      </c>
    </row>
    <row r="115" spans="1:10" ht="15" hidden="1" customHeight="1" x14ac:dyDescent="0.35">
      <c r="A115" s="135" t="s">
        <v>125</v>
      </c>
      <c r="B115" s="131" t="s">
        <v>122</v>
      </c>
      <c r="C115" s="43">
        <v>0</v>
      </c>
      <c r="D115" s="19">
        <f ca="1">((100/(H107))*C115)/100</f>
        <v>0</v>
      </c>
      <c r="E115" s="138"/>
      <c r="F115" s="139"/>
      <c r="G115" s="138"/>
      <c r="H115" s="155"/>
      <c r="I115" s="13" t="s">
        <v>133</v>
      </c>
      <c r="J115" s="30">
        <f>(IF(B107&gt;2,(H107/(B107+2)+J114),0))</f>
        <v>0</v>
      </c>
    </row>
    <row r="116" spans="1:10" ht="15.75" hidden="1" customHeight="1" x14ac:dyDescent="0.35">
      <c r="A116" s="135" t="s">
        <v>121</v>
      </c>
      <c r="B116" s="131" t="s">
        <v>121</v>
      </c>
      <c r="C116" s="43">
        <v>0</v>
      </c>
      <c r="D116" s="19">
        <f ca="1">((100/H107)*C116)/100</f>
        <v>0</v>
      </c>
      <c r="E116" s="138"/>
      <c r="F116" s="139"/>
      <c r="G116" s="138"/>
      <c r="H116" s="155"/>
      <c r="I116" s="13" t="s">
        <v>134</v>
      </c>
      <c r="J116" s="31">
        <f>(IF(B107&gt;3,(H107/(B107+2)+J115),0))</f>
        <v>0</v>
      </c>
    </row>
    <row r="117" spans="1:10" ht="15.75" hidden="1" customHeight="1" x14ac:dyDescent="0.35">
      <c r="A117" s="135" t="s">
        <v>128</v>
      </c>
      <c r="B117" s="131"/>
      <c r="C117" s="43">
        <v>0</v>
      </c>
      <c r="D117" s="19">
        <f ca="1">((100/H107)*C117)/100</f>
        <v>0</v>
      </c>
      <c r="E117" s="138"/>
      <c r="F117" s="139"/>
      <c r="G117" s="138"/>
      <c r="H117" s="155"/>
      <c r="I117" s="13" t="s">
        <v>135</v>
      </c>
      <c r="J117" s="30">
        <f>(IF(B107&gt;4,(H107/(B107+2)+J116),0))</f>
        <v>0</v>
      </c>
    </row>
    <row r="118" spans="1:10" ht="15.75" hidden="1" customHeight="1" x14ac:dyDescent="0.35">
      <c r="A118" s="135" t="s">
        <v>123</v>
      </c>
      <c r="B118" s="131" t="s">
        <v>123</v>
      </c>
      <c r="C118" s="43">
        <v>0</v>
      </c>
      <c r="D118" s="19">
        <f ca="1">((100/(H107))*C118)/100</f>
        <v>0</v>
      </c>
      <c r="E118" s="138"/>
      <c r="F118" s="139"/>
      <c r="G118" s="138"/>
      <c r="H118" s="155"/>
      <c r="I118" s="13" t="s">
        <v>137</v>
      </c>
      <c r="J118" s="30">
        <f ca="1">(IF(B107=1,(H107/(B107+3)+J113),IF(B107=0,(H107/4+J113),IF(B107&gt;1,0))))</f>
        <v>14.25</v>
      </c>
    </row>
    <row r="119" spans="1:10" ht="16" hidden="1" thickBot="1" x14ac:dyDescent="0.4">
      <c r="A119" s="157" t="s">
        <v>124</v>
      </c>
      <c r="B119" s="158"/>
      <c r="C119" s="44">
        <v>0</v>
      </c>
      <c r="D119" s="20">
        <f ca="1">((100/(H107))*C119)/100</f>
        <v>0</v>
      </c>
      <c r="E119" s="140"/>
      <c r="F119" s="141"/>
      <c r="G119" s="140"/>
      <c r="H119" s="156"/>
      <c r="I119" s="15" t="s">
        <v>95</v>
      </c>
      <c r="J119" s="32">
        <f ca="1">(IF(B107&gt;1.5,(H107/(B107+2)+J113+MAX(0,J114-J113)+MAX(0,J115-J114)+MAX(0,J116-J115)+MAX(0,J117-J116)+MAX(0,J118-J117)),IF(B107=1,(H107/(B107+3)+J118),IF(B107=0,H107/4+J118))))</f>
        <v>19</v>
      </c>
    </row>
    <row r="120" spans="1:10" ht="15.75" hidden="1" customHeight="1" x14ac:dyDescent="0.35">
      <c r="A120" s="162" t="s">
        <v>130</v>
      </c>
      <c r="B120" s="163"/>
      <c r="C120" s="164" t="str">
        <f>D69</f>
        <v>C Wing = 1B + G + 1st to 20th Floor</v>
      </c>
      <c r="D120" s="165"/>
      <c r="E120" s="165"/>
      <c r="F120" s="165"/>
      <c r="G120" s="165"/>
      <c r="H120" s="166"/>
      <c r="I120" s="49" t="str">
        <f ca="1">IF(D133=100%,"All work Completed. Possession granted to the Building.",IF(D132=100%,"All work Completed, Waiting for OC",I121&amp;""&amp;I122&amp;""&amp;J121&amp;""&amp;J120&amp;" "&amp;J122))</f>
        <v xml:space="preserve">Excavation, Plinth, RCC Slab Completed </v>
      </c>
      <c r="J120" s="50" t="str">
        <f ca="1">(IF(C126=(D121+F121+H121),"",IF(C126&gt;0,", RCC upto "&amp;C126&amp;" Slab","")))&amp;(IF(C127=H121,"",IF(C127&gt;0,", Brickwork upto "&amp;C127&amp;" Floor","")))&amp;(IF(C128=H121,"",IF(C128&gt;0,", Internal Plaster upto "&amp;C128&amp;" Floor","")))&amp;(IF(C129=H121,"",IF(C129&gt;0,", External Plaster upto "&amp;C129&amp;" Floor","")))&amp;(IF(C130=H121,"",IF(C130&gt;0,", Flooring upto "&amp;C130&amp;" Floor","")))&amp;(IF(C131=H121,"",IF(C131&gt;0,", Painting upto "&amp;C131&amp;" Floor","")))&amp;(IF(C132=H121,"",IF(C132&gt;0,", Finishing upto "&amp;C132&amp;" Floor","")))&amp;(IF(C133=H121,"",IF(C133&gt;0,", Possession upto "&amp;C133&amp;" Floor","")))</f>
        <v/>
      </c>
    </row>
    <row r="121" spans="1:10" hidden="1" x14ac:dyDescent="0.35">
      <c r="A121" s="16" t="s">
        <v>132</v>
      </c>
      <c r="B121" s="47">
        <f>IF(AND(ISNUMBER(SEARCH("1B",C120))),1,IF(AND(ISNUMBER(SEARCH("2B",C120))),2,IF(AND(ISNUMBER(SEARCH("3B",C120))),3,IF(AND(ISNUMBER(SEARCH("4B",C120))),4,IF(ISNUMBER(SEARCH("5B",C120)),5,0)))))</f>
        <v>1</v>
      </c>
      <c r="C121" s="47" t="s">
        <v>63</v>
      </c>
      <c r="D121" s="47">
        <v>1</v>
      </c>
      <c r="E121" s="47" t="s">
        <v>62</v>
      </c>
      <c r="F121" s="14">
        <v>0</v>
      </c>
      <c r="G121" s="48" t="s">
        <v>70</v>
      </c>
      <c r="H121" s="17">
        <f ca="1">--TRIM(RIGHT(SUBSTITUTE(LEFT(C120,_xlfn.AGGREGATE(16,6,FIND({0,1,2,3,4,5,6,7,8,9},C120,ROW(INDIRECT("1:"&amp;LEN(C120)))),1))," ",REPT(" ",LEN(C120))),LEN(C120)))</f>
        <v>20</v>
      </c>
      <c r="I121" s="51" t="str">
        <f ca="1">IF(D124=100%,"Excavation","")&amp;IF(D125=100%,", Plinth","")&amp;IF(D126=100%,", RCC Slab","")&amp;IF(D127=100%,", Brickwork","")&amp;IF(D128=100%,", Internal Plaster","")&amp;IF(D129=100%,", External Plaster","")&amp;IF(D130=100%,", Flooring","")&amp;IF(D131=100%,", Painting","")&amp;IF(D132=100%,", Building common Amenities","")</f>
        <v>Excavation, Plinth, RCC Slab</v>
      </c>
      <c r="J121" s="52" t="str">
        <f ca="1">(IF(C124=0,"Work not yet Started.",IF(D124=25%,"Piling work in process",IF(D124=50%,"Excavation work in process",IF(D124=100%,"","0")))))&amp;(IF(C125=0%,"",IF(C125=J126,", Footing work is process",IF(C125=J127,", Footing work Completed",IF(C125=J128,", 1st Basement Completed",IF(C125=J129,", 1st &amp; 2nd Basement Completed",IF(C125=J130,", 1st to 3rd Basement Completed",IF(C125=J131,", 1st to 4th Basement Completed",IF(C125=J132,", Plinth work is process",IF(C125=J133,"","0"))))))))))</f>
        <v/>
      </c>
    </row>
    <row r="122" spans="1:10" hidden="1" x14ac:dyDescent="0.35">
      <c r="A122" s="187" t="s">
        <v>80</v>
      </c>
      <c r="B122" s="188"/>
      <c r="C122" s="200" t="str">
        <f ca="1">(IF($G$62="NA",I120,"All work Completed. OC Received."))</f>
        <v xml:space="preserve">Excavation, Plinth, RCC Slab Completed </v>
      </c>
      <c r="D122" s="200"/>
      <c r="E122" s="200"/>
      <c r="F122" s="200"/>
      <c r="G122" s="200"/>
      <c r="H122" s="201"/>
      <c r="I122" s="51" t="str">
        <f ca="1">IF(I121&lt;&gt;""," Completed","")</f>
        <v xml:space="preserve"> Completed</v>
      </c>
      <c r="J122" s="52" t="str">
        <f ca="1">IF(J120&lt;&gt;"","Completed","")</f>
        <v/>
      </c>
    </row>
    <row r="123" spans="1:10" ht="15.75" hidden="1" customHeight="1" x14ac:dyDescent="0.35">
      <c r="A123" s="135" t="s">
        <v>46</v>
      </c>
      <c r="B123" s="131"/>
      <c r="C123" s="43" t="s">
        <v>129</v>
      </c>
      <c r="D123" s="43" t="s">
        <v>73</v>
      </c>
      <c r="E123" s="131" t="s">
        <v>75</v>
      </c>
      <c r="F123" s="131"/>
      <c r="G123" s="131" t="s">
        <v>74</v>
      </c>
      <c r="H123" s="132"/>
      <c r="I123" s="13" t="s">
        <v>131</v>
      </c>
      <c r="J123" s="28">
        <f ca="1">H121*25%</f>
        <v>5</v>
      </c>
    </row>
    <row r="124" spans="1:10" hidden="1" x14ac:dyDescent="0.35">
      <c r="A124" s="135" t="s">
        <v>118</v>
      </c>
      <c r="B124" s="131"/>
      <c r="C124" s="43">
        <f ca="1">J125</f>
        <v>20</v>
      </c>
      <c r="D124" s="19">
        <f ca="1">((100/H121)*C124)/100</f>
        <v>1</v>
      </c>
      <c r="E124" s="136">
        <f ca="1">(((C125/H121*10)+(40/(D121+F121+H121)*C126)+(7.5/(H121)*C127)+(7.5/(H121)*C128)+(10/H121*C129)+(10/H121*C130)+(5/H121*C131)+(5/H121*C132)+(5/H121*C133))/100)</f>
        <v>0.5</v>
      </c>
      <c r="F124" s="137"/>
      <c r="G124" s="136">
        <f ca="1">((((C124/H121)*20)+((C125/H121)*25)+(30/(H121+F121+D121)*C126)+(5/H121*C127)+(5/H121*C128)+(5/H121*C129)+(5/H121*C130)+(0/H121*C131)+(0/H121*C132)+(5/H121*C133))/100)</f>
        <v>0.75</v>
      </c>
      <c r="H124" s="154"/>
      <c r="I124" s="13" t="s">
        <v>91</v>
      </c>
      <c r="J124" s="29">
        <f ca="1">H121*50%</f>
        <v>10</v>
      </c>
    </row>
    <row r="125" spans="1:10" hidden="1" x14ac:dyDescent="0.35">
      <c r="A125" s="135" t="s">
        <v>47</v>
      </c>
      <c r="B125" s="131"/>
      <c r="C125" s="43">
        <f ca="1">J133</f>
        <v>20</v>
      </c>
      <c r="D125" s="19">
        <f ca="1">((100/H121)*C125)/100</f>
        <v>1</v>
      </c>
      <c r="E125" s="138"/>
      <c r="F125" s="139"/>
      <c r="G125" s="138"/>
      <c r="H125" s="155"/>
      <c r="I125" s="13" t="s">
        <v>92</v>
      </c>
      <c r="J125" s="29">
        <f ca="1">H121</f>
        <v>20</v>
      </c>
    </row>
    <row r="126" spans="1:10" ht="15.75" hidden="1" customHeight="1" x14ac:dyDescent="0.35">
      <c r="A126" s="135" t="s">
        <v>119</v>
      </c>
      <c r="B126" s="131"/>
      <c r="C126" s="43">
        <f ca="1">D121+H121</f>
        <v>21</v>
      </c>
      <c r="D126" s="19">
        <f ca="1">((100/(D121+F121+H121))*C126)/100</f>
        <v>1</v>
      </c>
      <c r="E126" s="138"/>
      <c r="F126" s="139"/>
      <c r="G126" s="138"/>
      <c r="H126" s="155"/>
      <c r="I126" s="13" t="s">
        <v>93</v>
      </c>
      <c r="J126" s="30">
        <f ca="1">(IF(B121&gt;1,(H121/(B121+2)),H121/4))</f>
        <v>5</v>
      </c>
    </row>
    <row r="127" spans="1:10" ht="15.75" hidden="1" customHeight="1" x14ac:dyDescent="0.35">
      <c r="A127" s="135" t="s">
        <v>126</v>
      </c>
      <c r="B127" s="131" t="s">
        <v>120</v>
      </c>
      <c r="C127" s="43">
        <v>0</v>
      </c>
      <c r="D127" s="19">
        <f ca="1">((100/H121)*C127)/100</f>
        <v>0</v>
      </c>
      <c r="E127" s="138"/>
      <c r="F127" s="139"/>
      <c r="G127" s="138"/>
      <c r="H127" s="155"/>
      <c r="I127" s="13" t="s">
        <v>94</v>
      </c>
      <c r="J127" s="30">
        <f ca="1">(IF(B121&gt;1,(H121/(B121+2)+J126),H121/4+J126))</f>
        <v>10</v>
      </c>
    </row>
    <row r="128" spans="1:10" ht="15.75" hidden="1" customHeight="1" x14ac:dyDescent="0.35">
      <c r="A128" s="135" t="s">
        <v>127</v>
      </c>
      <c r="B128" s="131" t="s">
        <v>120</v>
      </c>
      <c r="C128" s="43">
        <v>0</v>
      </c>
      <c r="D128" s="19">
        <f ca="1">((100/H121)*C128)/100</f>
        <v>0</v>
      </c>
      <c r="E128" s="138"/>
      <c r="F128" s="139"/>
      <c r="G128" s="138"/>
      <c r="H128" s="155"/>
      <c r="I128" s="13" t="s">
        <v>136</v>
      </c>
      <c r="J128" s="30">
        <f>(IF(B121&gt;1,(H121/(B121+2)+J127),0))</f>
        <v>0</v>
      </c>
    </row>
    <row r="129" spans="1:22" ht="15" hidden="1" customHeight="1" x14ac:dyDescent="0.35">
      <c r="A129" s="135" t="s">
        <v>125</v>
      </c>
      <c r="B129" s="131" t="s">
        <v>122</v>
      </c>
      <c r="C129" s="43">
        <v>0</v>
      </c>
      <c r="D129" s="19">
        <f ca="1">((100/(H121))*C129)/100</f>
        <v>0</v>
      </c>
      <c r="E129" s="138"/>
      <c r="F129" s="139"/>
      <c r="G129" s="138"/>
      <c r="H129" s="155"/>
      <c r="I129" s="13" t="s">
        <v>133</v>
      </c>
      <c r="J129" s="30">
        <f>(IF(B121&gt;2,(H121/(B121+2)+J128),0))</f>
        <v>0</v>
      </c>
    </row>
    <row r="130" spans="1:22" ht="15.75" hidden="1" customHeight="1" x14ac:dyDescent="0.35">
      <c r="A130" s="135" t="s">
        <v>121</v>
      </c>
      <c r="B130" s="131" t="s">
        <v>121</v>
      </c>
      <c r="C130" s="43">
        <v>0</v>
      </c>
      <c r="D130" s="19">
        <f ca="1">((100/H121)*C130)/100</f>
        <v>0</v>
      </c>
      <c r="E130" s="138"/>
      <c r="F130" s="139"/>
      <c r="G130" s="138"/>
      <c r="H130" s="155"/>
      <c r="I130" s="13" t="s">
        <v>134</v>
      </c>
      <c r="J130" s="31">
        <f>(IF(B121&gt;3,(H121/(B121+2)+J129),0))</f>
        <v>0</v>
      </c>
    </row>
    <row r="131" spans="1:22" ht="15.75" hidden="1" customHeight="1" x14ac:dyDescent="0.35">
      <c r="A131" s="135" t="s">
        <v>128</v>
      </c>
      <c r="B131" s="131"/>
      <c r="C131" s="43">
        <v>0</v>
      </c>
      <c r="D131" s="19">
        <f ca="1">((100/H121)*C131)/100</f>
        <v>0</v>
      </c>
      <c r="E131" s="138"/>
      <c r="F131" s="139"/>
      <c r="G131" s="138"/>
      <c r="H131" s="155"/>
      <c r="I131" s="13" t="s">
        <v>135</v>
      </c>
      <c r="J131" s="30">
        <f>(IF(B121&gt;4,(H121/(B121+2)+J130),0))</f>
        <v>0</v>
      </c>
    </row>
    <row r="132" spans="1:22" ht="15.75" hidden="1" customHeight="1" x14ac:dyDescent="0.35">
      <c r="A132" s="135" t="s">
        <v>123</v>
      </c>
      <c r="B132" s="131" t="s">
        <v>123</v>
      </c>
      <c r="C132" s="43">
        <v>0</v>
      </c>
      <c r="D132" s="19">
        <f ca="1">((100/(H121))*C132)/100</f>
        <v>0</v>
      </c>
      <c r="E132" s="138"/>
      <c r="F132" s="139"/>
      <c r="G132" s="138"/>
      <c r="H132" s="155"/>
      <c r="I132" s="13" t="s">
        <v>137</v>
      </c>
      <c r="J132" s="30">
        <f ca="1">(IF(B121=1,(H121/(B121+3)+J127),IF(B121=0,(H121/4+J127),IF(B121&gt;1,0))))</f>
        <v>15</v>
      </c>
    </row>
    <row r="133" spans="1:22" ht="16" hidden="1" thickBot="1" x14ac:dyDescent="0.4">
      <c r="A133" s="157" t="s">
        <v>124</v>
      </c>
      <c r="B133" s="158"/>
      <c r="C133" s="44">
        <v>0</v>
      </c>
      <c r="D133" s="20">
        <f ca="1">((100/(H121))*C133)/100</f>
        <v>0</v>
      </c>
      <c r="E133" s="140"/>
      <c r="F133" s="141"/>
      <c r="G133" s="140"/>
      <c r="H133" s="156"/>
      <c r="I133" s="15" t="s">
        <v>95</v>
      </c>
      <c r="J133" s="32">
        <f ca="1">(IF(B121&gt;1.5,(H121/(B121+2)+J127+MAX(0,J128-J127)+MAX(0,J129-J128)+MAX(0,J130-J129)+MAX(0,J131-J130)+MAX(0,J132-J131)),IF(B121=1,(H121/(B121+3)+J132),IF(B121=0,H121/4+J132))))</f>
        <v>20</v>
      </c>
    </row>
    <row r="134" spans="1:22" x14ac:dyDescent="0.35">
      <c r="A134" s="232" t="s">
        <v>147</v>
      </c>
      <c r="B134" s="232"/>
      <c r="C134" s="232"/>
      <c r="D134" s="232"/>
      <c r="E134" s="232"/>
      <c r="F134" s="224" t="s">
        <v>150</v>
      </c>
      <c r="G134" s="224"/>
      <c r="H134" s="224"/>
      <c r="R134" t="s">
        <v>241</v>
      </c>
      <c r="S134" t="s">
        <v>163</v>
      </c>
      <c r="T134" t="s">
        <v>167</v>
      </c>
      <c r="U134" t="s">
        <v>182</v>
      </c>
      <c r="V134" t="s">
        <v>177</v>
      </c>
    </row>
    <row r="135" spans="1:22" x14ac:dyDescent="0.35">
      <c r="A135" s="133" t="s">
        <v>422</v>
      </c>
      <c r="B135" s="133"/>
      <c r="C135" s="133"/>
      <c r="D135" s="133"/>
      <c r="E135" s="133"/>
      <c r="F135" s="134">
        <v>9000</v>
      </c>
      <c r="G135" s="134"/>
      <c r="H135" s="134"/>
      <c r="I135" s="21" t="s">
        <v>433</v>
      </c>
      <c r="R135"/>
      <c r="S135">
        <v>800000</v>
      </c>
      <c r="T135">
        <v>150000</v>
      </c>
      <c r="U135">
        <v>100000</v>
      </c>
      <c r="V135">
        <v>100000</v>
      </c>
    </row>
    <row r="136" spans="1:22" hidden="1" x14ac:dyDescent="0.35">
      <c r="A136" s="133" t="s">
        <v>148</v>
      </c>
      <c r="B136" s="133"/>
      <c r="C136" s="133"/>
      <c r="D136" s="133"/>
      <c r="E136" s="133"/>
      <c r="F136" s="134"/>
      <c r="G136" s="134"/>
      <c r="H136" s="134"/>
      <c r="R136"/>
      <c r="S136">
        <v>900000</v>
      </c>
      <c r="T136">
        <v>200000</v>
      </c>
      <c r="U136">
        <v>150000</v>
      </c>
      <c r="V136">
        <v>150000</v>
      </c>
    </row>
    <row r="137" spans="1:22" hidden="1" x14ac:dyDescent="0.35">
      <c r="A137" s="133" t="s">
        <v>149</v>
      </c>
      <c r="B137" s="133"/>
      <c r="C137" s="133"/>
      <c r="D137" s="133"/>
      <c r="E137" s="133"/>
      <c r="F137" s="134"/>
      <c r="G137" s="134"/>
      <c r="H137" s="134"/>
      <c r="R137"/>
      <c r="S137">
        <v>1000000</v>
      </c>
      <c r="T137">
        <v>250000</v>
      </c>
      <c r="U137">
        <v>200000</v>
      </c>
      <c r="V137">
        <v>200000</v>
      </c>
    </row>
    <row r="138" spans="1:22" s="33" customFormat="1" hidden="1" x14ac:dyDescent="0.35">
      <c r="A138" s="133" t="s">
        <v>165</v>
      </c>
      <c r="B138" s="133"/>
      <c r="C138" s="133"/>
      <c r="D138" s="133"/>
      <c r="E138" s="133"/>
      <c r="F138" s="134"/>
      <c r="G138" s="134"/>
      <c r="H138" s="134"/>
      <c r="R138"/>
      <c r="S138">
        <v>1100000</v>
      </c>
      <c r="T138">
        <v>300000</v>
      </c>
      <c r="U138">
        <v>250000</v>
      </c>
      <c r="V138" s="23">
        <v>250000</v>
      </c>
    </row>
    <row r="139" spans="1:22" s="33" customFormat="1" hidden="1" x14ac:dyDescent="0.35">
      <c r="A139" s="133" t="s">
        <v>85</v>
      </c>
      <c r="B139" s="133"/>
      <c r="C139" s="133"/>
      <c r="D139" s="133"/>
      <c r="E139" s="133"/>
      <c r="F139" s="134"/>
      <c r="G139" s="134"/>
      <c r="H139" s="134"/>
      <c r="R139"/>
      <c r="S139">
        <v>1200000</v>
      </c>
      <c r="T139">
        <v>350000</v>
      </c>
      <c r="U139">
        <v>300000</v>
      </c>
      <c r="V139">
        <v>300000</v>
      </c>
    </row>
    <row r="140" spans="1:22" s="33" customFormat="1" hidden="1" x14ac:dyDescent="0.35">
      <c r="A140" s="133" t="s">
        <v>86</v>
      </c>
      <c r="B140" s="133"/>
      <c r="C140" s="133"/>
      <c r="D140" s="133"/>
      <c r="E140" s="133"/>
      <c r="F140" s="134"/>
      <c r="G140" s="134"/>
      <c r="H140" s="134"/>
      <c r="R140"/>
      <c r="S140">
        <v>1300000</v>
      </c>
      <c r="T140">
        <v>400000</v>
      </c>
      <c r="U140">
        <v>350000</v>
      </c>
      <c r="V140" s="23">
        <v>400000</v>
      </c>
    </row>
    <row r="141" spans="1:22" s="33" customFormat="1" hidden="1" x14ac:dyDescent="0.35">
      <c r="A141" s="133" t="s">
        <v>87</v>
      </c>
      <c r="B141" s="133"/>
      <c r="C141" s="133"/>
      <c r="D141" s="133"/>
      <c r="E141" s="133"/>
      <c r="F141" s="134"/>
      <c r="G141" s="134"/>
      <c r="H141" s="134"/>
      <c r="R141"/>
      <c r="S141">
        <v>1400000</v>
      </c>
      <c r="T141">
        <v>500000</v>
      </c>
      <c r="U141">
        <v>400000</v>
      </c>
      <c r="V141"/>
    </row>
    <row r="142" spans="1:22" s="33" customFormat="1" hidden="1" x14ac:dyDescent="0.35">
      <c r="A142" s="133" t="s">
        <v>88</v>
      </c>
      <c r="B142" s="133"/>
      <c r="C142" s="133"/>
      <c r="D142" s="133"/>
      <c r="E142" s="133"/>
      <c r="F142" s="134"/>
      <c r="G142" s="134"/>
      <c r="H142" s="134"/>
      <c r="R142"/>
      <c r="S142">
        <v>1500000</v>
      </c>
      <c r="T142">
        <v>600000</v>
      </c>
      <c r="U142">
        <v>500000</v>
      </c>
      <c r="V142" s="23"/>
    </row>
    <row r="143" spans="1:22" s="33" customFormat="1" hidden="1" x14ac:dyDescent="0.35">
      <c r="A143" s="133" t="s">
        <v>89</v>
      </c>
      <c r="B143" s="133"/>
      <c r="C143" s="133"/>
      <c r="D143" s="133"/>
      <c r="E143" s="133"/>
      <c r="F143" s="134"/>
      <c r="G143" s="134"/>
      <c r="H143" s="134"/>
      <c r="R143"/>
      <c r="S143">
        <v>1600000</v>
      </c>
      <c r="T143">
        <v>700000</v>
      </c>
      <c r="U143">
        <v>600000</v>
      </c>
      <c r="V143"/>
    </row>
    <row r="144" spans="1:22" s="33" customFormat="1" hidden="1" x14ac:dyDescent="0.35">
      <c r="A144" s="133" t="s">
        <v>90</v>
      </c>
      <c r="B144" s="133"/>
      <c r="C144" s="133"/>
      <c r="D144" s="133"/>
      <c r="E144" s="133"/>
      <c r="F144" s="134"/>
      <c r="G144" s="134"/>
      <c r="H144" s="134"/>
      <c r="R144"/>
      <c r="S144">
        <v>1700000</v>
      </c>
      <c r="T144">
        <v>800000</v>
      </c>
      <c r="U144"/>
      <c r="V144" s="23"/>
    </row>
    <row r="145" spans="1:22" hidden="1" x14ac:dyDescent="0.35">
      <c r="A145" s="133" t="s">
        <v>48</v>
      </c>
      <c r="B145" s="133"/>
      <c r="C145" s="133"/>
      <c r="D145" s="133"/>
      <c r="E145" s="133"/>
      <c r="F145" s="220">
        <v>600000</v>
      </c>
      <c r="G145" s="220"/>
      <c r="H145" s="220"/>
      <c r="R145"/>
      <c r="S145">
        <v>1800000</v>
      </c>
      <c r="T145">
        <v>900000</v>
      </c>
      <c r="U145"/>
    </row>
    <row r="146" spans="1:22" s="34" customFormat="1" x14ac:dyDescent="0.35">
      <c r="A146" s="159" t="s">
        <v>49</v>
      </c>
      <c r="B146" s="159"/>
      <c r="C146" s="159"/>
      <c r="D146" s="159"/>
      <c r="E146" s="159"/>
      <c r="F146" s="134">
        <f>F135*0.8</f>
        <v>7200</v>
      </c>
      <c r="G146" s="134"/>
      <c r="H146" s="134"/>
      <c r="J146" s="34" t="s">
        <v>438</v>
      </c>
      <c r="R146" s="21"/>
      <c r="S146" s="21"/>
      <c r="T146">
        <v>1000000</v>
      </c>
      <c r="U146"/>
      <c r="V146" s="21"/>
    </row>
    <row r="147" spans="1:22" s="35" customFormat="1" x14ac:dyDescent="0.35">
      <c r="A147" s="221" t="s">
        <v>292</v>
      </c>
      <c r="B147" s="221"/>
      <c r="C147" s="221"/>
      <c r="D147" s="221"/>
      <c r="E147" s="221"/>
      <c r="F147" s="221"/>
      <c r="G147" s="221"/>
      <c r="H147" s="221"/>
      <c r="T147"/>
    </row>
    <row r="148" spans="1:22" s="35" customFormat="1" ht="31.5" customHeight="1" x14ac:dyDescent="0.35">
      <c r="A148" s="221" t="s">
        <v>295</v>
      </c>
      <c r="B148" s="221"/>
      <c r="C148" s="264" t="s">
        <v>68</v>
      </c>
      <c r="D148" s="264"/>
      <c r="E148" s="228" t="s">
        <v>425</v>
      </c>
      <c r="F148" s="228"/>
      <c r="G148" s="221" t="s">
        <v>427</v>
      </c>
      <c r="H148" s="221"/>
      <c r="T148"/>
    </row>
    <row r="149" spans="1:22" s="35" customFormat="1" x14ac:dyDescent="0.35">
      <c r="A149" s="214" t="s">
        <v>335</v>
      </c>
      <c r="B149" s="214"/>
      <c r="C149" s="160">
        <f>COUNT(C166,C173,C175,C182:C184,C191:C196,C198:C205,C212, C214:C217,C221:C224)</f>
        <v>29</v>
      </c>
      <c r="D149" s="161"/>
      <c r="E149" s="160">
        <f>SUM(D166,D173,D175,D182:D184,D191:D196,D198:D205,D212, D214:D217,D221:D224)</f>
        <v>57792.185100000002</v>
      </c>
      <c r="F149" s="161"/>
      <c r="G149" s="160">
        <f>SUM(F166,F173,F175,F182:F184,F191:F196,F198:F205,F212, F214:F217,F221:F224)</f>
        <v>65929.499999999985</v>
      </c>
      <c r="H149" s="161"/>
      <c r="T149"/>
    </row>
    <row r="150" spans="1:22" s="35" customFormat="1" x14ac:dyDescent="0.35">
      <c r="A150" s="214" t="s">
        <v>336</v>
      </c>
      <c r="B150" s="214"/>
      <c r="C150" s="160">
        <f>COUNT(C167:C172,C176:C181,C185:C190,C206:C211)</f>
        <v>24</v>
      </c>
      <c r="D150" s="161"/>
      <c r="E150" s="160">
        <f>SUM(D167:D172,D176:D181,D185:D190,D206:D211)</f>
        <v>29825.160299999996</v>
      </c>
      <c r="F150" s="161"/>
      <c r="G150" s="160">
        <f>SUM(F167:F172,F176:F181,F185:F190,F206:F211)</f>
        <v>48115.079999999987</v>
      </c>
      <c r="H150" s="161"/>
      <c r="T150"/>
    </row>
    <row r="151" spans="1:22" s="35" customFormat="1" x14ac:dyDescent="0.35">
      <c r="A151" s="214" t="s">
        <v>337</v>
      </c>
      <c r="B151" s="214"/>
      <c r="C151" s="160">
        <f>COUNT(C197,C174,C213,C218:C220,C225)</f>
        <v>7</v>
      </c>
      <c r="D151" s="161"/>
      <c r="E151" s="160">
        <f>SUM(D197,D174,D213,D218:D220,D225)</f>
        <v>25136.372663999995</v>
      </c>
      <c r="F151" s="161"/>
      <c r="G151" s="160">
        <f>SUM(F197,F174,F213,F218:F220,F225)</f>
        <v>28955.159999999996</v>
      </c>
      <c r="H151" s="161"/>
      <c r="T151"/>
    </row>
    <row r="152" spans="1:22" s="35" customFormat="1" x14ac:dyDescent="0.35">
      <c r="A152" s="211" t="s">
        <v>140</v>
      </c>
      <c r="B152" s="211"/>
      <c r="C152" s="212">
        <f>C149+C150+C151</f>
        <v>60</v>
      </c>
      <c r="D152" s="213"/>
      <c r="E152" s="212">
        <f t="shared" ref="E152" si="1">E149+E150+E151</f>
        <v>112753.71806399999</v>
      </c>
      <c r="F152" s="213"/>
      <c r="G152" s="212">
        <f t="shared" ref="G152" si="2">G149+G150+G151</f>
        <v>142999.73999999996</v>
      </c>
      <c r="H152" s="213"/>
      <c r="T152"/>
    </row>
    <row r="153" spans="1:22" s="35" customFormat="1" hidden="1" x14ac:dyDescent="0.35">
      <c r="A153" s="247" t="s">
        <v>156</v>
      </c>
      <c r="B153" s="248"/>
      <c r="C153" s="249">
        <f>C152</f>
        <v>60</v>
      </c>
      <c r="D153" s="249"/>
      <c r="E153" s="249">
        <f t="shared" ref="E153" si="3">E152</f>
        <v>112753.71806399999</v>
      </c>
      <c r="F153" s="249"/>
      <c r="G153" s="147">
        <f t="shared" ref="G153" si="4">G152</f>
        <v>142999.73999999996</v>
      </c>
      <c r="H153" s="147"/>
      <c r="T153"/>
    </row>
    <row r="154" spans="1:22" s="34" customFormat="1" hidden="1" x14ac:dyDescent="0.35">
      <c r="A154" s="229" t="s">
        <v>415</v>
      </c>
      <c r="B154" s="229"/>
      <c r="C154" s="229"/>
      <c r="D154" s="229"/>
      <c r="E154" s="229"/>
      <c r="F154" s="229"/>
      <c r="G154" s="229"/>
      <c r="H154" s="229"/>
      <c r="T154" s="35"/>
    </row>
    <row r="155" spans="1:22" x14ac:dyDescent="0.35">
      <c r="A155" s="260" t="s">
        <v>293</v>
      </c>
      <c r="B155" s="260"/>
      <c r="C155" s="260"/>
      <c r="D155" s="260"/>
      <c r="E155" s="260"/>
      <c r="F155" s="260"/>
      <c r="G155" s="260"/>
      <c r="H155" s="260"/>
      <c r="T155" s="35"/>
    </row>
    <row r="156" spans="1:22" ht="47.25" hidden="1" customHeight="1" x14ac:dyDescent="0.35">
      <c r="A156" s="144" t="s">
        <v>111</v>
      </c>
      <c r="B156" s="144" t="s">
        <v>166</v>
      </c>
      <c r="C156" s="144" t="s">
        <v>50</v>
      </c>
      <c r="D156" s="215" t="s">
        <v>220</v>
      </c>
      <c r="E156" s="170" t="s">
        <v>146</v>
      </c>
      <c r="F156" s="144" t="s">
        <v>51</v>
      </c>
      <c r="G156" s="170" t="s">
        <v>52</v>
      </c>
      <c r="H156" s="65" t="s">
        <v>139</v>
      </c>
      <c r="T156" s="35"/>
    </row>
    <row r="157" spans="1:22" s="37" customFormat="1" hidden="1" x14ac:dyDescent="0.35">
      <c r="A157" s="145"/>
      <c r="B157" s="145"/>
      <c r="C157" s="145"/>
      <c r="D157" s="216"/>
      <c r="E157" s="171"/>
      <c r="F157" s="145"/>
      <c r="G157" s="171"/>
      <c r="H157" s="55">
        <v>0.45</v>
      </c>
      <c r="T157" s="35"/>
    </row>
    <row r="158" spans="1:22" s="37" customFormat="1" hidden="1" x14ac:dyDescent="0.35">
      <c r="A158" s="167" t="s">
        <v>110</v>
      </c>
      <c r="B158" s="168"/>
      <c r="C158" s="168"/>
      <c r="D158" s="168"/>
      <c r="E158" s="168"/>
      <c r="F158" s="168"/>
      <c r="G158" s="168"/>
      <c r="H158" s="169"/>
      <c r="J158" s="36"/>
      <c r="T158" s="35"/>
    </row>
    <row r="159" spans="1:22" s="37" customFormat="1" ht="15.75" hidden="1" customHeight="1" x14ac:dyDescent="0.35">
      <c r="A159" s="225">
        <v>1</v>
      </c>
      <c r="B159" s="226"/>
      <c r="C159" s="42"/>
      <c r="D159" s="42">
        <v>0</v>
      </c>
      <c r="E159" s="42">
        <v>0</v>
      </c>
      <c r="F159" s="42">
        <f>D159+(IF(E159&lt;201,E159,IF(E159&lt;301,E159/2,E159/3)))</f>
        <v>0</v>
      </c>
      <c r="G159" s="42">
        <v>0</v>
      </c>
      <c r="H159" s="42">
        <f>(F159+(IF(G159&lt;101,G159,IF(G159&lt;201,G159/2,IF(G159&lt;=301,G159/3,G159/4)))))*(($H$157)+1)</f>
        <v>0</v>
      </c>
      <c r="I159" s="36"/>
      <c r="L159" s="123"/>
      <c r="M159" s="123"/>
      <c r="N159" s="36"/>
      <c r="T159" s="35"/>
    </row>
    <row r="160" spans="1:22" s="37" customFormat="1" ht="15.75" hidden="1" customHeight="1" x14ac:dyDescent="0.35">
      <c r="A160" s="225">
        <f>A159+1</f>
        <v>2</v>
      </c>
      <c r="B160" s="226"/>
      <c r="C160" s="42"/>
      <c r="D160" s="42"/>
      <c r="E160" s="42">
        <v>0</v>
      </c>
      <c r="F160" s="42">
        <f t="shared" ref="F160:F162" si="5">D160+(IF(E160&lt;201,E160,IF(E160&lt;301,E160/2,E160/3)))</f>
        <v>0</v>
      </c>
      <c r="G160" s="42">
        <v>0</v>
      </c>
      <c r="H160" s="42">
        <f t="shared" ref="H160:H162" si="6">(F160+(IF(G160&lt;101,G160,IF(G160&lt;201,G160/2,IF(G160&lt;=301,G160/3,G160/4)))))*(($H$157)+1)</f>
        <v>0</v>
      </c>
      <c r="I160" s="36"/>
      <c r="L160" s="123"/>
      <c r="M160" s="123"/>
      <c r="N160" s="36"/>
      <c r="T160" s="34"/>
    </row>
    <row r="161" spans="1:20" s="37" customFormat="1" ht="15.75" hidden="1" customHeight="1" x14ac:dyDescent="0.35">
      <c r="A161" s="225">
        <f>A160+1</f>
        <v>3</v>
      </c>
      <c r="B161" s="226"/>
      <c r="C161" s="42"/>
      <c r="D161" s="42"/>
      <c r="E161" s="42">
        <v>0</v>
      </c>
      <c r="F161" s="42">
        <f t="shared" si="5"/>
        <v>0</v>
      </c>
      <c r="G161" s="42">
        <v>0</v>
      </c>
      <c r="H161" s="42">
        <f t="shared" si="6"/>
        <v>0</v>
      </c>
      <c r="I161" s="36"/>
      <c r="L161" s="123"/>
      <c r="M161" s="123"/>
      <c r="N161" s="36"/>
      <c r="T161" s="21"/>
    </row>
    <row r="162" spans="1:20" s="37" customFormat="1" ht="15.75" hidden="1" customHeight="1" x14ac:dyDescent="0.35">
      <c r="A162" s="225">
        <f>A161+1</f>
        <v>4</v>
      </c>
      <c r="B162" s="226"/>
      <c r="C162" s="42"/>
      <c r="D162" s="42"/>
      <c r="E162" s="42">
        <v>0</v>
      </c>
      <c r="F162" s="42">
        <f t="shared" si="5"/>
        <v>0</v>
      </c>
      <c r="G162" s="42">
        <v>0</v>
      </c>
      <c r="H162" s="42">
        <f t="shared" si="6"/>
        <v>0</v>
      </c>
      <c r="I162" s="36"/>
      <c r="L162" s="123"/>
      <c r="M162" s="123"/>
      <c r="N162" s="36"/>
      <c r="T162" s="21"/>
    </row>
    <row r="163" spans="1:20" s="37" customFormat="1" hidden="1" x14ac:dyDescent="0.35">
      <c r="A163" s="225"/>
      <c r="B163" s="227"/>
      <c r="C163" s="227"/>
      <c r="D163" s="227"/>
      <c r="E163" s="227"/>
      <c r="F163" s="227"/>
      <c r="G163" s="227"/>
      <c r="H163" s="226"/>
      <c r="I163" s="36"/>
      <c r="N163" s="36"/>
    </row>
    <row r="164" spans="1:20" ht="90" customHeight="1" x14ac:dyDescent="0.35">
      <c r="A164" s="68" t="s">
        <v>294</v>
      </c>
      <c r="B164" s="67" t="s">
        <v>295</v>
      </c>
      <c r="C164" s="67" t="s">
        <v>296</v>
      </c>
      <c r="D164" s="72" t="s">
        <v>297</v>
      </c>
      <c r="E164" s="67" t="s">
        <v>299</v>
      </c>
      <c r="F164" s="69" t="s">
        <v>298</v>
      </c>
      <c r="G164" s="230" t="s">
        <v>300</v>
      </c>
      <c r="H164" s="231"/>
      <c r="I164" s="36"/>
      <c r="T164" s="37"/>
    </row>
    <row r="165" spans="1:20" s="37" customFormat="1" x14ac:dyDescent="0.35">
      <c r="A165" s="167" t="s">
        <v>110</v>
      </c>
      <c r="B165" s="168"/>
      <c r="C165" s="168"/>
      <c r="D165" s="168"/>
      <c r="E165" s="168"/>
      <c r="F165" s="168"/>
      <c r="G165" s="168"/>
      <c r="H165" s="169"/>
      <c r="J165" s="36"/>
    </row>
    <row r="166" spans="1:20" s="37" customFormat="1" ht="32.25" customHeight="1" x14ac:dyDescent="0.35">
      <c r="A166" s="70" t="s">
        <v>326</v>
      </c>
      <c r="B166" s="71" t="s">
        <v>335</v>
      </c>
      <c r="C166" s="42">
        <f>159.29</f>
        <v>159.29</v>
      </c>
      <c r="D166" s="42">
        <f>C166*10.764</f>
        <v>1714.5975599999997</v>
      </c>
      <c r="E166" s="42">
        <v>0</v>
      </c>
      <c r="F166" s="106">
        <f>190*10.764</f>
        <v>2045.1599999999999</v>
      </c>
      <c r="G166" s="121" t="s">
        <v>30</v>
      </c>
      <c r="H166" s="122"/>
      <c r="I166" s="36"/>
      <c r="K166" s="37" t="e">
        <f>F166/E166</f>
        <v>#DIV/0!</v>
      </c>
      <c r="L166" s="123"/>
      <c r="M166" s="123"/>
      <c r="N166" s="36"/>
    </row>
    <row r="167" spans="1:20" s="37" customFormat="1" ht="15.75" customHeight="1" x14ac:dyDescent="0.35">
      <c r="A167" s="70" t="s">
        <v>327</v>
      </c>
      <c r="B167" s="71" t="s">
        <v>336</v>
      </c>
      <c r="C167" s="42">
        <f>113.2</f>
        <v>113.2</v>
      </c>
      <c r="D167" s="42">
        <f t="shared" ref="D167:D224" si="7">C167*10.764</f>
        <v>1218.4848</v>
      </c>
      <c r="E167" s="42">
        <v>0</v>
      </c>
      <c r="F167" s="106">
        <f>190*10.764</f>
        <v>2045.1599999999999</v>
      </c>
      <c r="G167" s="121" t="s">
        <v>30</v>
      </c>
      <c r="H167" s="122"/>
      <c r="I167" s="36"/>
      <c r="L167" s="123"/>
      <c r="M167" s="123"/>
      <c r="N167" s="36"/>
    </row>
    <row r="168" spans="1:20" s="37" customFormat="1" ht="15.75" customHeight="1" x14ac:dyDescent="0.35">
      <c r="A168" s="70" t="s">
        <v>328</v>
      </c>
      <c r="B168" s="71" t="s">
        <v>336</v>
      </c>
      <c r="C168" s="42">
        <f>113.025</f>
        <v>113.02500000000001</v>
      </c>
      <c r="D168" s="42">
        <f t="shared" si="7"/>
        <v>1216.6011000000001</v>
      </c>
      <c r="E168" s="42">
        <v>0</v>
      </c>
      <c r="F168" s="106">
        <f>190*10.764</f>
        <v>2045.1599999999999</v>
      </c>
      <c r="G168" s="121" t="s">
        <v>30</v>
      </c>
      <c r="H168" s="122"/>
      <c r="I168" s="36"/>
      <c r="L168" s="123"/>
      <c r="M168" s="123"/>
      <c r="N168" s="36"/>
    </row>
    <row r="169" spans="1:20" s="37" customFormat="1" ht="15.75" customHeight="1" x14ac:dyDescent="0.35">
      <c r="A169" s="70" t="s">
        <v>329</v>
      </c>
      <c r="B169" s="71" t="s">
        <v>336</v>
      </c>
      <c r="C169" s="42">
        <f t="shared" ref="C169:C172" si="8">113.025</f>
        <v>113.02500000000001</v>
      </c>
      <c r="D169" s="42">
        <f t="shared" si="7"/>
        <v>1216.6011000000001</v>
      </c>
      <c r="E169" s="42">
        <v>0</v>
      </c>
      <c r="F169" s="106">
        <f t="shared" ref="F169:F173" si="9">190*10.764</f>
        <v>2045.1599999999999</v>
      </c>
      <c r="G169" s="121" t="s">
        <v>30</v>
      </c>
      <c r="H169" s="122"/>
      <c r="I169" s="36"/>
      <c r="L169" s="146">
        <f>COUNT(C166:C225)</f>
        <v>60</v>
      </c>
      <c r="M169" s="123"/>
      <c r="N169" s="36"/>
      <c r="T169" s="21"/>
    </row>
    <row r="170" spans="1:20" s="37" customFormat="1" ht="15.75" customHeight="1" x14ac:dyDescent="0.35">
      <c r="A170" s="70" t="s">
        <v>330</v>
      </c>
      <c r="B170" s="71" t="s">
        <v>336</v>
      </c>
      <c r="C170" s="42">
        <f t="shared" si="8"/>
        <v>113.02500000000001</v>
      </c>
      <c r="D170" s="42">
        <f t="shared" si="7"/>
        <v>1216.6011000000001</v>
      </c>
      <c r="E170" s="42">
        <v>0</v>
      </c>
      <c r="F170" s="106">
        <f t="shared" si="9"/>
        <v>2045.1599999999999</v>
      </c>
      <c r="G170" s="121" t="s">
        <v>30</v>
      </c>
      <c r="H170" s="122"/>
      <c r="I170" s="36"/>
      <c r="L170" s="123"/>
      <c r="M170" s="123"/>
      <c r="N170" s="36"/>
      <c r="T170" s="21"/>
    </row>
    <row r="171" spans="1:20" s="37" customFormat="1" ht="15.75" customHeight="1" x14ac:dyDescent="0.35">
      <c r="A171" s="70" t="s">
        <v>331</v>
      </c>
      <c r="B171" s="71" t="s">
        <v>336</v>
      </c>
      <c r="C171" s="42">
        <f t="shared" si="8"/>
        <v>113.02500000000001</v>
      </c>
      <c r="D171" s="42">
        <f t="shared" si="7"/>
        <v>1216.6011000000001</v>
      </c>
      <c r="E171" s="42">
        <v>0</v>
      </c>
      <c r="F171" s="106">
        <f t="shared" si="9"/>
        <v>2045.1599999999999</v>
      </c>
      <c r="G171" s="121" t="s">
        <v>30</v>
      </c>
      <c r="H171" s="122"/>
      <c r="I171" s="36"/>
      <c r="L171" s="123"/>
      <c r="M171" s="123"/>
      <c r="N171" s="36"/>
      <c r="T171" s="21"/>
    </row>
    <row r="172" spans="1:20" s="37" customFormat="1" ht="15.75" customHeight="1" x14ac:dyDescent="0.35">
      <c r="A172" s="70" t="s">
        <v>332</v>
      </c>
      <c r="B172" s="71" t="s">
        <v>336</v>
      </c>
      <c r="C172" s="42">
        <f t="shared" si="8"/>
        <v>113.02500000000001</v>
      </c>
      <c r="D172" s="42">
        <f t="shared" si="7"/>
        <v>1216.6011000000001</v>
      </c>
      <c r="E172" s="42">
        <v>0</v>
      </c>
      <c r="F172" s="106">
        <f t="shared" si="9"/>
        <v>2045.1599999999999</v>
      </c>
      <c r="G172" s="121" t="s">
        <v>30</v>
      </c>
      <c r="H172" s="122"/>
      <c r="I172" s="104"/>
      <c r="L172" s="123"/>
      <c r="M172" s="123"/>
      <c r="N172" s="36"/>
      <c r="T172" s="21"/>
    </row>
    <row r="173" spans="1:20" s="37" customFormat="1" ht="30.75" customHeight="1" x14ac:dyDescent="0.35">
      <c r="A173" s="70" t="s">
        <v>333</v>
      </c>
      <c r="B173" s="71" t="s">
        <v>335</v>
      </c>
      <c r="C173" s="42">
        <f>159.29</f>
        <v>159.29</v>
      </c>
      <c r="D173" s="42">
        <f t="shared" si="7"/>
        <v>1714.5975599999997</v>
      </c>
      <c r="E173" s="42">
        <v>0</v>
      </c>
      <c r="F173" s="106">
        <f t="shared" si="9"/>
        <v>2045.1599999999999</v>
      </c>
      <c r="G173" s="121" t="s">
        <v>30</v>
      </c>
      <c r="H173" s="122"/>
      <c r="I173" s="36"/>
      <c r="L173" s="123"/>
      <c r="M173" s="123"/>
      <c r="N173" s="36"/>
      <c r="T173" s="21"/>
    </row>
    <row r="174" spans="1:20" s="37" customFormat="1" ht="15.75" customHeight="1" x14ac:dyDescent="0.35">
      <c r="A174" s="70" t="s">
        <v>334</v>
      </c>
      <c r="B174" s="71" t="s">
        <v>337</v>
      </c>
      <c r="C174" s="42">
        <f>290.898</f>
        <v>290.89800000000002</v>
      </c>
      <c r="D174" s="42">
        <f t="shared" si="7"/>
        <v>3131.2260719999999</v>
      </c>
      <c r="E174" s="42">
        <v>0</v>
      </c>
      <c r="F174" s="42">
        <f>400*10.764</f>
        <v>4305.5999999999995</v>
      </c>
      <c r="G174" s="121" t="s">
        <v>30</v>
      </c>
      <c r="H174" s="122"/>
      <c r="I174" s="36"/>
      <c r="L174" s="123"/>
      <c r="M174" s="123"/>
      <c r="N174" s="36"/>
      <c r="T174" s="21"/>
    </row>
    <row r="175" spans="1:20" s="37" customFormat="1" ht="30" customHeight="1" x14ac:dyDescent="0.35">
      <c r="A175" s="70" t="s">
        <v>338</v>
      </c>
      <c r="B175" s="71" t="s">
        <v>335</v>
      </c>
      <c r="C175" s="42">
        <f>172.512</f>
        <v>172.512</v>
      </c>
      <c r="D175" s="42">
        <f t="shared" si="7"/>
        <v>1856.9191679999999</v>
      </c>
      <c r="E175" s="42">
        <v>0</v>
      </c>
      <c r="F175" s="42">
        <f>190*10.764</f>
        <v>2045.1599999999999</v>
      </c>
      <c r="G175" s="121" t="s">
        <v>30</v>
      </c>
      <c r="H175" s="122"/>
      <c r="I175" s="104"/>
      <c r="L175" s="123"/>
      <c r="M175" s="123"/>
      <c r="N175" s="36"/>
      <c r="T175" s="21"/>
    </row>
    <row r="176" spans="1:20" s="37" customFormat="1" ht="15.75" customHeight="1" x14ac:dyDescent="0.35">
      <c r="A176" s="70" t="s">
        <v>339</v>
      </c>
      <c r="B176" s="71" t="s">
        <v>336</v>
      </c>
      <c r="C176" s="42">
        <f>112.5</f>
        <v>112.5</v>
      </c>
      <c r="D176" s="42">
        <f t="shared" si="7"/>
        <v>1210.9499999999998</v>
      </c>
      <c r="E176" s="42">
        <v>0</v>
      </c>
      <c r="F176" s="42">
        <f>190*10.764</f>
        <v>2045.1599999999999</v>
      </c>
      <c r="G176" s="121" t="s">
        <v>30</v>
      </c>
      <c r="H176" s="122"/>
      <c r="I176" s="36"/>
      <c r="L176" s="123"/>
      <c r="M176" s="123"/>
      <c r="N176" s="36"/>
      <c r="T176" s="21"/>
    </row>
    <row r="177" spans="1:20" s="37" customFormat="1" ht="15.75" customHeight="1" x14ac:dyDescent="0.35">
      <c r="A177" s="70" t="s">
        <v>340</v>
      </c>
      <c r="B177" s="71" t="s">
        <v>336</v>
      </c>
      <c r="C177" s="42">
        <f t="shared" ref="C177:C181" si="10">112.5</f>
        <v>112.5</v>
      </c>
      <c r="D177" s="42">
        <f t="shared" si="7"/>
        <v>1210.9499999999998</v>
      </c>
      <c r="E177" s="42">
        <v>0</v>
      </c>
      <c r="F177" s="42">
        <f t="shared" ref="F177:F190" si="11">190*10.764</f>
        <v>2045.1599999999999</v>
      </c>
      <c r="G177" s="121" t="s">
        <v>30</v>
      </c>
      <c r="H177" s="122"/>
      <c r="I177" s="36"/>
      <c r="L177" s="123"/>
      <c r="M177" s="123"/>
      <c r="N177" s="36"/>
      <c r="T177" s="21"/>
    </row>
    <row r="178" spans="1:20" s="37" customFormat="1" ht="15.75" customHeight="1" x14ac:dyDescent="0.35">
      <c r="A178" s="70" t="s">
        <v>341</v>
      </c>
      <c r="B178" s="71" t="s">
        <v>336</v>
      </c>
      <c r="C178" s="42">
        <f t="shared" si="10"/>
        <v>112.5</v>
      </c>
      <c r="D178" s="42">
        <f t="shared" si="7"/>
        <v>1210.9499999999998</v>
      </c>
      <c r="E178" s="42">
        <v>0</v>
      </c>
      <c r="F178" s="42">
        <f t="shared" si="11"/>
        <v>2045.1599999999999</v>
      </c>
      <c r="G178" s="121" t="s">
        <v>30</v>
      </c>
      <c r="H178" s="122"/>
      <c r="I178" s="36"/>
      <c r="L178" s="123"/>
      <c r="M178" s="123"/>
      <c r="N178" s="36"/>
      <c r="T178" s="21"/>
    </row>
    <row r="179" spans="1:20" s="37" customFormat="1" ht="15.75" customHeight="1" x14ac:dyDescent="0.35">
      <c r="A179" s="70" t="s">
        <v>342</v>
      </c>
      <c r="B179" s="71" t="s">
        <v>336</v>
      </c>
      <c r="C179" s="42">
        <f t="shared" si="10"/>
        <v>112.5</v>
      </c>
      <c r="D179" s="42">
        <f t="shared" si="7"/>
        <v>1210.9499999999998</v>
      </c>
      <c r="E179" s="42">
        <v>0</v>
      </c>
      <c r="F179" s="42">
        <f t="shared" si="11"/>
        <v>2045.1599999999999</v>
      </c>
      <c r="G179" s="121" t="s">
        <v>30</v>
      </c>
      <c r="H179" s="122"/>
      <c r="I179" s="36"/>
      <c r="L179" s="123"/>
      <c r="M179" s="123"/>
      <c r="N179" s="36"/>
      <c r="T179" s="21"/>
    </row>
    <row r="180" spans="1:20" s="37" customFormat="1" ht="15.75" customHeight="1" x14ac:dyDescent="0.35">
      <c r="A180" s="70" t="s">
        <v>343</v>
      </c>
      <c r="B180" s="71" t="s">
        <v>336</v>
      </c>
      <c r="C180" s="42">
        <f t="shared" si="10"/>
        <v>112.5</v>
      </c>
      <c r="D180" s="42">
        <f t="shared" si="7"/>
        <v>1210.9499999999998</v>
      </c>
      <c r="E180" s="42">
        <v>0</v>
      </c>
      <c r="F180" s="42">
        <f t="shared" si="11"/>
        <v>2045.1599999999999</v>
      </c>
      <c r="G180" s="121" t="s">
        <v>30</v>
      </c>
      <c r="H180" s="122"/>
      <c r="I180" s="36"/>
      <c r="L180" s="123"/>
      <c r="M180" s="123"/>
      <c r="N180" s="36"/>
      <c r="T180" s="21"/>
    </row>
    <row r="181" spans="1:20" s="37" customFormat="1" ht="15.75" customHeight="1" x14ac:dyDescent="0.35">
      <c r="A181" s="70" t="s">
        <v>344</v>
      </c>
      <c r="B181" s="71" t="s">
        <v>336</v>
      </c>
      <c r="C181" s="42">
        <f t="shared" si="10"/>
        <v>112.5</v>
      </c>
      <c r="D181" s="42">
        <f t="shared" si="7"/>
        <v>1210.9499999999998</v>
      </c>
      <c r="E181" s="42">
        <v>0</v>
      </c>
      <c r="F181" s="42">
        <f t="shared" si="11"/>
        <v>2045.1599999999999</v>
      </c>
      <c r="G181" s="121" t="s">
        <v>30</v>
      </c>
      <c r="H181" s="122"/>
      <c r="I181" s="36"/>
      <c r="L181" s="123"/>
      <c r="M181" s="123"/>
      <c r="N181" s="36"/>
      <c r="T181" s="21"/>
    </row>
    <row r="182" spans="1:20" s="37" customFormat="1" ht="33.75" customHeight="1" x14ac:dyDescent="0.35">
      <c r="A182" s="70" t="s">
        <v>345</v>
      </c>
      <c r="B182" s="71" t="s">
        <v>335</v>
      </c>
      <c r="C182" s="42">
        <f>179.55</f>
        <v>179.55</v>
      </c>
      <c r="D182" s="42">
        <f t="shared" si="7"/>
        <v>1932.6762000000001</v>
      </c>
      <c r="E182" s="42">
        <v>0</v>
      </c>
      <c r="F182" s="42">
        <f t="shared" si="11"/>
        <v>2045.1599999999999</v>
      </c>
      <c r="G182" s="121" t="s">
        <v>30</v>
      </c>
      <c r="H182" s="122"/>
      <c r="I182" s="36"/>
      <c r="L182" s="123"/>
      <c r="M182" s="123"/>
      <c r="N182" s="36"/>
      <c r="T182" s="21"/>
    </row>
    <row r="183" spans="1:20" s="37" customFormat="1" ht="32.25" customHeight="1" x14ac:dyDescent="0.35">
      <c r="A183" s="70" t="s">
        <v>346</v>
      </c>
      <c r="B183" s="71" t="s">
        <v>335</v>
      </c>
      <c r="C183" s="42">
        <f>162.687</f>
        <v>162.68700000000001</v>
      </c>
      <c r="D183" s="42">
        <f t="shared" si="7"/>
        <v>1751.1628680000001</v>
      </c>
      <c r="E183" s="42">
        <v>0</v>
      </c>
      <c r="F183" s="42">
        <f t="shared" si="11"/>
        <v>2045.1599999999999</v>
      </c>
      <c r="G183" s="121" t="s">
        <v>30</v>
      </c>
      <c r="H183" s="122"/>
      <c r="I183" s="36"/>
      <c r="L183" s="123"/>
      <c r="M183" s="123"/>
      <c r="N183" s="36"/>
      <c r="T183" s="21"/>
    </row>
    <row r="184" spans="1:20" s="37" customFormat="1" ht="32.25" customHeight="1" x14ac:dyDescent="0.35">
      <c r="A184" s="70" t="s">
        <v>347</v>
      </c>
      <c r="B184" s="71" t="s">
        <v>335</v>
      </c>
      <c r="C184" s="42">
        <f>167.778</f>
        <v>167.77799999999999</v>
      </c>
      <c r="D184" s="42">
        <f t="shared" si="7"/>
        <v>1805.9623919999999</v>
      </c>
      <c r="E184" s="42">
        <v>0</v>
      </c>
      <c r="F184" s="42">
        <f t="shared" si="11"/>
        <v>2045.1599999999999</v>
      </c>
      <c r="G184" s="121" t="s">
        <v>30</v>
      </c>
      <c r="H184" s="122"/>
      <c r="I184" s="105"/>
      <c r="L184" s="123"/>
      <c r="M184" s="123"/>
      <c r="N184" s="36"/>
      <c r="T184" s="21"/>
    </row>
    <row r="185" spans="1:20" s="37" customFormat="1" ht="15.75" customHeight="1" x14ac:dyDescent="0.35">
      <c r="A185" s="70" t="s">
        <v>348</v>
      </c>
      <c r="B185" s="71" t="s">
        <v>336</v>
      </c>
      <c r="C185" s="42">
        <f t="shared" ref="C185:C190" si="12">112.5</f>
        <v>112.5</v>
      </c>
      <c r="D185" s="42">
        <f t="shared" si="7"/>
        <v>1210.9499999999998</v>
      </c>
      <c r="E185" s="42">
        <v>0</v>
      </c>
      <c r="F185" s="42">
        <f t="shared" si="11"/>
        <v>2045.1599999999999</v>
      </c>
      <c r="G185" s="121" t="s">
        <v>30</v>
      </c>
      <c r="H185" s="122"/>
      <c r="I185" s="36"/>
      <c r="L185" s="123"/>
      <c r="M185" s="123"/>
      <c r="N185" s="36"/>
      <c r="T185" s="21"/>
    </row>
    <row r="186" spans="1:20" s="37" customFormat="1" ht="15.75" customHeight="1" x14ac:dyDescent="0.35">
      <c r="A186" s="70" t="s">
        <v>349</v>
      </c>
      <c r="B186" s="71" t="s">
        <v>336</v>
      </c>
      <c r="C186" s="42">
        <f t="shared" si="12"/>
        <v>112.5</v>
      </c>
      <c r="D186" s="42">
        <f t="shared" si="7"/>
        <v>1210.9499999999998</v>
      </c>
      <c r="E186" s="42">
        <v>0</v>
      </c>
      <c r="F186" s="42">
        <f t="shared" si="11"/>
        <v>2045.1599999999999</v>
      </c>
      <c r="G186" s="121" t="s">
        <v>30</v>
      </c>
      <c r="H186" s="122"/>
      <c r="I186" s="36"/>
      <c r="L186" s="123"/>
      <c r="M186" s="123"/>
      <c r="N186" s="36"/>
      <c r="T186" s="21"/>
    </row>
    <row r="187" spans="1:20" s="37" customFormat="1" ht="15.75" customHeight="1" x14ac:dyDescent="0.35">
      <c r="A187" s="70" t="s">
        <v>350</v>
      </c>
      <c r="B187" s="71" t="s">
        <v>336</v>
      </c>
      <c r="C187" s="42">
        <f t="shared" si="12"/>
        <v>112.5</v>
      </c>
      <c r="D187" s="42">
        <f t="shared" si="7"/>
        <v>1210.9499999999998</v>
      </c>
      <c r="E187" s="42">
        <v>0</v>
      </c>
      <c r="F187" s="42">
        <f t="shared" si="11"/>
        <v>2045.1599999999999</v>
      </c>
      <c r="G187" s="121" t="s">
        <v>30</v>
      </c>
      <c r="H187" s="122"/>
      <c r="I187" s="36"/>
      <c r="L187" s="123"/>
      <c r="M187" s="123"/>
      <c r="N187" s="36"/>
      <c r="T187" s="21"/>
    </row>
    <row r="188" spans="1:20" s="37" customFormat="1" ht="15.75" customHeight="1" x14ac:dyDescent="0.35">
      <c r="A188" s="70" t="s">
        <v>351</v>
      </c>
      <c r="B188" s="71" t="s">
        <v>336</v>
      </c>
      <c r="C188" s="42">
        <f t="shared" si="12"/>
        <v>112.5</v>
      </c>
      <c r="D188" s="42">
        <f t="shared" si="7"/>
        <v>1210.9499999999998</v>
      </c>
      <c r="E188" s="42">
        <v>0</v>
      </c>
      <c r="F188" s="42">
        <f t="shared" si="11"/>
        <v>2045.1599999999999</v>
      </c>
      <c r="G188" s="121" t="s">
        <v>30</v>
      </c>
      <c r="H188" s="122"/>
      <c r="I188" s="36"/>
      <c r="L188" s="123"/>
      <c r="M188" s="123"/>
      <c r="N188" s="36"/>
      <c r="T188" s="21"/>
    </row>
    <row r="189" spans="1:20" s="37" customFormat="1" ht="15.75" customHeight="1" x14ac:dyDescent="0.35">
      <c r="A189" s="70" t="s">
        <v>352</v>
      </c>
      <c r="B189" s="71" t="s">
        <v>336</v>
      </c>
      <c r="C189" s="42">
        <f t="shared" si="12"/>
        <v>112.5</v>
      </c>
      <c r="D189" s="42">
        <f t="shared" si="7"/>
        <v>1210.9499999999998</v>
      </c>
      <c r="E189" s="42">
        <v>0</v>
      </c>
      <c r="F189" s="42">
        <f t="shared" si="11"/>
        <v>2045.1599999999999</v>
      </c>
      <c r="G189" s="121" t="s">
        <v>30</v>
      </c>
      <c r="H189" s="122"/>
      <c r="I189" s="36"/>
      <c r="L189" s="123"/>
      <c r="M189" s="123"/>
      <c r="N189" s="36"/>
      <c r="T189" s="21"/>
    </row>
    <row r="190" spans="1:20" s="37" customFormat="1" ht="15.75" customHeight="1" x14ac:dyDescent="0.35">
      <c r="A190" s="70" t="s">
        <v>353</v>
      </c>
      <c r="B190" s="71" t="s">
        <v>336</v>
      </c>
      <c r="C190" s="42">
        <f t="shared" si="12"/>
        <v>112.5</v>
      </c>
      <c r="D190" s="42">
        <f t="shared" si="7"/>
        <v>1210.9499999999998</v>
      </c>
      <c r="E190" s="42">
        <v>0</v>
      </c>
      <c r="F190" s="42">
        <f t="shared" si="11"/>
        <v>2045.1599999999999</v>
      </c>
      <c r="G190" s="121" t="s">
        <v>30</v>
      </c>
      <c r="H190" s="122"/>
      <c r="I190" s="36"/>
      <c r="L190" s="123"/>
      <c r="M190" s="123"/>
      <c r="N190" s="36"/>
      <c r="T190" s="21"/>
    </row>
    <row r="191" spans="1:20" s="37" customFormat="1" ht="30.75" customHeight="1" x14ac:dyDescent="0.35">
      <c r="A191" s="70" t="s">
        <v>354</v>
      </c>
      <c r="B191" s="71" t="s">
        <v>335</v>
      </c>
      <c r="C191" s="42">
        <f>249.749</f>
        <v>249.749</v>
      </c>
      <c r="D191" s="42">
        <f t="shared" si="7"/>
        <v>2688.2982359999996</v>
      </c>
      <c r="E191" s="42">
        <v>0</v>
      </c>
      <c r="F191" s="42">
        <f>210*10.764</f>
        <v>2260.44</v>
      </c>
      <c r="G191" s="121" t="s">
        <v>30</v>
      </c>
      <c r="H191" s="122"/>
      <c r="I191" s="36"/>
      <c r="L191" s="123"/>
      <c r="M191" s="123"/>
      <c r="N191" s="36"/>
      <c r="T191" s="21"/>
    </row>
    <row r="192" spans="1:20" s="37" customFormat="1" ht="30.75" customHeight="1" x14ac:dyDescent="0.35">
      <c r="A192" s="70" t="s">
        <v>355</v>
      </c>
      <c r="B192" s="71" t="s">
        <v>335</v>
      </c>
      <c r="C192" s="42">
        <f>157.5</f>
        <v>157.5</v>
      </c>
      <c r="D192" s="42">
        <f t="shared" si="7"/>
        <v>1695.33</v>
      </c>
      <c r="E192" s="42">
        <v>0</v>
      </c>
      <c r="F192" s="42">
        <f t="shared" ref="F192:F203" si="13">210*10.764</f>
        <v>2260.44</v>
      </c>
      <c r="G192" s="121" t="s">
        <v>30</v>
      </c>
      <c r="H192" s="122"/>
      <c r="I192" s="36"/>
      <c r="L192" s="123"/>
      <c r="M192" s="123"/>
      <c r="N192" s="36"/>
      <c r="T192" s="21"/>
    </row>
    <row r="193" spans="1:20" s="37" customFormat="1" ht="30.75" customHeight="1" x14ac:dyDescent="0.35">
      <c r="A193" s="70" t="s">
        <v>356</v>
      </c>
      <c r="B193" s="71" t="s">
        <v>335</v>
      </c>
      <c r="C193" s="42">
        <f t="shared" ref="C193:C196" si="14">157.5</f>
        <v>157.5</v>
      </c>
      <c r="D193" s="42">
        <f t="shared" si="7"/>
        <v>1695.33</v>
      </c>
      <c r="E193" s="42">
        <v>0</v>
      </c>
      <c r="F193" s="42">
        <f t="shared" si="13"/>
        <v>2260.44</v>
      </c>
      <c r="G193" s="121" t="s">
        <v>30</v>
      </c>
      <c r="H193" s="122"/>
      <c r="I193" s="36"/>
      <c r="L193" s="123"/>
      <c r="M193" s="123"/>
      <c r="N193" s="36"/>
      <c r="T193" s="21"/>
    </row>
    <row r="194" spans="1:20" s="37" customFormat="1" ht="30.75" customHeight="1" x14ac:dyDescent="0.35">
      <c r="A194" s="70" t="s">
        <v>357</v>
      </c>
      <c r="B194" s="71" t="s">
        <v>335</v>
      </c>
      <c r="C194" s="42">
        <f t="shared" si="14"/>
        <v>157.5</v>
      </c>
      <c r="D194" s="42">
        <f t="shared" si="7"/>
        <v>1695.33</v>
      </c>
      <c r="E194" s="42">
        <v>0</v>
      </c>
      <c r="F194" s="42">
        <f t="shared" si="13"/>
        <v>2260.44</v>
      </c>
      <c r="G194" s="121" t="s">
        <v>30</v>
      </c>
      <c r="H194" s="122"/>
      <c r="I194" s="36"/>
      <c r="L194" s="123"/>
      <c r="M194" s="123"/>
      <c r="N194" s="36"/>
      <c r="T194" s="21"/>
    </row>
    <row r="195" spans="1:20" s="37" customFormat="1" ht="30.75" customHeight="1" x14ac:dyDescent="0.35">
      <c r="A195" s="70" t="s">
        <v>358</v>
      </c>
      <c r="B195" s="71" t="s">
        <v>335</v>
      </c>
      <c r="C195" s="42">
        <f t="shared" si="14"/>
        <v>157.5</v>
      </c>
      <c r="D195" s="42">
        <f t="shared" si="7"/>
        <v>1695.33</v>
      </c>
      <c r="E195" s="42">
        <v>0</v>
      </c>
      <c r="F195" s="42">
        <f t="shared" si="13"/>
        <v>2260.44</v>
      </c>
      <c r="G195" s="121" t="s">
        <v>30</v>
      </c>
      <c r="H195" s="122"/>
      <c r="I195" s="36"/>
      <c r="L195" s="123"/>
      <c r="M195" s="123"/>
      <c r="N195" s="36"/>
      <c r="T195" s="21"/>
    </row>
    <row r="196" spans="1:20" s="37" customFormat="1" ht="30.75" customHeight="1" x14ac:dyDescent="0.35">
      <c r="A196" s="70" t="s">
        <v>359</v>
      </c>
      <c r="B196" s="71" t="s">
        <v>335</v>
      </c>
      <c r="C196" s="42">
        <f t="shared" si="14"/>
        <v>157.5</v>
      </c>
      <c r="D196" s="42">
        <f t="shared" si="7"/>
        <v>1695.33</v>
      </c>
      <c r="E196" s="42">
        <v>0</v>
      </c>
      <c r="F196" s="42">
        <f t="shared" si="13"/>
        <v>2260.44</v>
      </c>
      <c r="G196" s="121" t="s">
        <v>30</v>
      </c>
      <c r="H196" s="122"/>
      <c r="I196" s="36"/>
      <c r="L196" s="123"/>
      <c r="M196" s="123"/>
      <c r="N196" s="36"/>
      <c r="T196" s="21"/>
    </row>
    <row r="197" spans="1:20" s="37" customFormat="1" ht="29.25" customHeight="1" x14ac:dyDescent="0.35">
      <c r="A197" s="111" t="s">
        <v>360</v>
      </c>
      <c r="B197" s="71" t="s">
        <v>337</v>
      </c>
      <c r="C197" s="42">
        <f>221.435</f>
        <v>221.435</v>
      </c>
      <c r="D197" s="42">
        <f t="shared" si="7"/>
        <v>2383.5263399999999</v>
      </c>
      <c r="E197" s="42">
        <v>0</v>
      </c>
      <c r="F197" s="42">
        <f>255*10.764</f>
        <v>2744.8199999999997</v>
      </c>
      <c r="G197" s="121" t="s">
        <v>30</v>
      </c>
      <c r="H197" s="122"/>
      <c r="I197" s="36"/>
      <c r="L197" s="123"/>
      <c r="M197" s="123"/>
      <c r="N197" s="36"/>
      <c r="T197" s="21"/>
    </row>
    <row r="198" spans="1:20" s="37" customFormat="1" ht="29.25" customHeight="1" x14ac:dyDescent="0.35">
      <c r="A198" s="70" t="s">
        <v>361</v>
      </c>
      <c r="B198" s="71" t="s">
        <v>335</v>
      </c>
      <c r="C198" s="42">
        <f>249.927</f>
        <v>249.92699999999999</v>
      </c>
      <c r="D198" s="42">
        <f t="shared" ref="D198:D204" si="15">C198*10.764</f>
        <v>2690.2142279999998</v>
      </c>
      <c r="E198" s="42">
        <v>0</v>
      </c>
      <c r="F198" s="42">
        <f t="shared" si="13"/>
        <v>2260.44</v>
      </c>
      <c r="G198" s="121" t="s">
        <v>30</v>
      </c>
      <c r="H198" s="122"/>
      <c r="I198" s="36"/>
      <c r="L198" s="123"/>
      <c r="M198" s="123"/>
      <c r="N198" s="36"/>
      <c r="T198" s="21"/>
    </row>
    <row r="199" spans="1:20" s="37" customFormat="1" ht="29.25" customHeight="1" x14ac:dyDescent="0.35">
      <c r="A199" s="70" t="s">
        <v>362</v>
      </c>
      <c r="B199" s="71" t="s">
        <v>335</v>
      </c>
      <c r="C199" s="42">
        <f>157.5</f>
        <v>157.5</v>
      </c>
      <c r="D199" s="42">
        <f t="shared" si="15"/>
        <v>1695.33</v>
      </c>
      <c r="E199" s="42">
        <v>0</v>
      </c>
      <c r="F199" s="42">
        <f t="shared" si="13"/>
        <v>2260.44</v>
      </c>
      <c r="G199" s="121" t="s">
        <v>30</v>
      </c>
      <c r="H199" s="122"/>
      <c r="I199" s="36"/>
      <c r="L199" s="123"/>
      <c r="M199" s="123"/>
      <c r="N199" s="36"/>
      <c r="T199" s="21"/>
    </row>
    <row r="200" spans="1:20" s="37" customFormat="1" ht="29.25" customHeight="1" x14ac:dyDescent="0.35">
      <c r="A200" s="70" t="s">
        <v>363</v>
      </c>
      <c r="B200" s="71" t="s">
        <v>335</v>
      </c>
      <c r="C200" s="42">
        <f t="shared" ref="C200:C202" si="16">157.5</f>
        <v>157.5</v>
      </c>
      <c r="D200" s="42">
        <f t="shared" si="15"/>
        <v>1695.33</v>
      </c>
      <c r="E200" s="42">
        <v>0</v>
      </c>
      <c r="F200" s="42">
        <f t="shared" si="13"/>
        <v>2260.44</v>
      </c>
      <c r="G200" s="121" t="s">
        <v>30</v>
      </c>
      <c r="H200" s="122"/>
      <c r="I200" s="36"/>
      <c r="L200" s="123"/>
      <c r="M200" s="123"/>
      <c r="N200" s="36"/>
      <c r="T200" s="21"/>
    </row>
    <row r="201" spans="1:20" s="37" customFormat="1" ht="29.25" customHeight="1" x14ac:dyDescent="0.35">
      <c r="A201" s="70" t="s">
        <v>364</v>
      </c>
      <c r="B201" s="71" t="s">
        <v>335</v>
      </c>
      <c r="C201" s="42">
        <f t="shared" si="16"/>
        <v>157.5</v>
      </c>
      <c r="D201" s="42">
        <f t="shared" si="15"/>
        <v>1695.33</v>
      </c>
      <c r="E201" s="42">
        <v>0</v>
      </c>
      <c r="F201" s="42">
        <f t="shared" si="13"/>
        <v>2260.44</v>
      </c>
      <c r="G201" s="121" t="s">
        <v>30</v>
      </c>
      <c r="H201" s="122"/>
      <c r="I201" s="36"/>
      <c r="L201" s="123"/>
      <c r="M201" s="123"/>
      <c r="N201" s="36"/>
      <c r="T201" s="21"/>
    </row>
    <row r="202" spans="1:20" s="37" customFormat="1" ht="29.25" customHeight="1" x14ac:dyDescent="0.35">
      <c r="A202" s="70" t="s">
        <v>365</v>
      </c>
      <c r="B202" s="71" t="s">
        <v>335</v>
      </c>
      <c r="C202" s="42">
        <f t="shared" si="16"/>
        <v>157.5</v>
      </c>
      <c r="D202" s="42">
        <f t="shared" si="15"/>
        <v>1695.33</v>
      </c>
      <c r="E202" s="42">
        <v>0</v>
      </c>
      <c r="F202" s="42">
        <f t="shared" si="13"/>
        <v>2260.44</v>
      </c>
      <c r="G202" s="121" t="s">
        <v>30</v>
      </c>
      <c r="H202" s="122"/>
      <c r="I202" s="36"/>
      <c r="L202" s="123"/>
      <c r="M202" s="123"/>
      <c r="N202" s="36"/>
      <c r="T202" s="21"/>
    </row>
    <row r="203" spans="1:20" s="37" customFormat="1" ht="29.25" customHeight="1" x14ac:dyDescent="0.35">
      <c r="A203" s="70" t="s">
        <v>366</v>
      </c>
      <c r="B203" s="71" t="s">
        <v>335</v>
      </c>
      <c r="C203" s="42">
        <f>249.165</f>
        <v>249.16499999999999</v>
      </c>
      <c r="D203" s="42">
        <f t="shared" si="15"/>
        <v>2682.0120599999996</v>
      </c>
      <c r="E203" s="42">
        <v>0</v>
      </c>
      <c r="F203" s="42">
        <f t="shared" si="13"/>
        <v>2260.44</v>
      </c>
      <c r="G203" s="121" t="s">
        <v>30</v>
      </c>
      <c r="H203" s="122"/>
      <c r="I203" s="36"/>
      <c r="L203" s="123"/>
      <c r="M203" s="123"/>
      <c r="N203" s="36"/>
      <c r="T203" s="21"/>
    </row>
    <row r="204" spans="1:20" s="37" customFormat="1" ht="30" customHeight="1" x14ac:dyDescent="0.35">
      <c r="A204" s="70" t="s">
        <v>367</v>
      </c>
      <c r="B204" s="71" t="s">
        <v>335</v>
      </c>
      <c r="C204" s="42">
        <f>162.687</f>
        <v>162.68700000000001</v>
      </c>
      <c r="D204" s="42">
        <f t="shared" si="15"/>
        <v>1751.1628680000001</v>
      </c>
      <c r="E204" s="42">
        <v>0</v>
      </c>
      <c r="F204" s="42">
        <f>175*10.764</f>
        <v>1883.6999999999998</v>
      </c>
      <c r="G204" s="121" t="s">
        <v>30</v>
      </c>
      <c r="H204" s="122"/>
      <c r="I204" s="36"/>
      <c r="L204" s="123"/>
      <c r="M204" s="123"/>
      <c r="N204" s="36"/>
      <c r="T204" s="21"/>
    </row>
    <row r="205" spans="1:20" s="37" customFormat="1" ht="30" customHeight="1" x14ac:dyDescent="0.35">
      <c r="A205" s="70" t="s">
        <v>368</v>
      </c>
      <c r="B205" s="71" t="s">
        <v>335</v>
      </c>
      <c r="C205" s="42">
        <f>167.292</f>
        <v>167.292</v>
      </c>
      <c r="D205" s="42">
        <f t="shared" ref="D205:D223" si="17">C205*10.764</f>
        <v>1800.731088</v>
      </c>
      <c r="E205" s="42">
        <v>0</v>
      </c>
      <c r="F205" s="42">
        <f t="shared" ref="F205:F212" si="18">175*10.764</f>
        <v>1883.6999999999998</v>
      </c>
      <c r="G205" s="121" t="s">
        <v>30</v>
      </c>
      <c r="H205" s="122"/>
      <c r="I205" s="36"/>
      <c r="L205" s="123"/>
      <c r="M205" s="123"/>
      <c r="N205" s="36"/>
      <c r="T205" s="21"/>
    </row>
    <row r="206" spans="1:20" s="37" customFormat="1" ht="15.75" customHeight="1" x14ac:dyDescent="0.35">
      <c r="A206" s="70" t="s">
        <v>369</v>
      </c>
      <c r="B206" s="71" t="s">
        <v>336</v>
      </c>
      <c r="C206" s="42">
        <f>123.75</f>
        <v>123.75</v>
      </c>
      <c r="D206" s="42">
        <f t="shared" si="17"/>
        <v>1332.0449999999998</v>
      </c>
      <c r="E206" s="42">
        <v>0</v>
      </c>
      <c r="F206" s="42">
        <f t="shared" si="18"/>
        <v>1883.6999999999998</v>
      </c>
      <c r="G206" s="121" t="s">
        <v>30</v>
      </c>
      <c r="H206" s="122"/>
      <c r="I206" s="36"/>
      <c r="L206" s="123"/>
      <c r="M206" s="123"/>
      <c r="N206" s="36"/>
      <c r="T206" s="21"/>
    </row>
    <row r="207" spans="1:20" s="37" customFormat="1" ht="15.75" customHeight="1" x14ac:dyDescent="0.35">
      <c r="A207" s="70" t="s">
        <v>370</v>
      </c>
      <c r="B207" s="71" t="s">
        <v>336</v>
      </c>
      <c r="C207" s="42">
        <f t="shared" ref="C207:C211" si="19">123.75</f>
        <v>123.75</v>
      </c>
      <c r="D207" s="42">
        <f t="shared" ref="D207:D218" si="20">C207*10.764</f>
        <v>1332.0449999999998</v>
      </c>
      <c r="E207" s="42">
        <v>0</v>
      </c>
      <c r="F207" s="42">
        <f t="shared" si="18"/>
        <v>1883.6999999999998</v>
      </c>
      <c r="G207" s="121" t="s">
        <v>30</v>
      </c>
      <c r="H207" s="122"/>
      <c r="I207" s="36"/>
      <c r="L207" s="123"/>
      <c r="M207" s="123"/>
      <c r="N207" s="36"/>
      <c r="T207" s="21"/>
    </row>
    <row r="208" spans="1:20" s="37" customFormat="1" ht="15.75" customHeight="1" x14ac:dyDescent="0.35">
      <c r="A208" s="70" t="s">
        <v>371</v>
      </c>
      <c r="B208" s="71" t="s">
        <v>336</v>
      </c>
      <c r="C208" s="42">
        <f t="shared" si="19"/>
        <v>123.75</v>
      </c>
      <c r="D208" s="42">
        <f t="shared" si="20"/>
        <v>1332.0449999999998</v>
      </c>
      <c r="E208" s="42">
        <v>0</v>
      </c>
      <c r="F208" s="42">
        <f t="shared" si="18"/>
        <v>1883.6999999999998</v>
      </c>
      <c r="G208" s="121" t="s">
        <v>30</v>
      </c>
      <c r="H208" s="122"/>
      <c r="I208" s="36"/>
      <c r="L208" s="123"/>
      <c r="M208" s="123"/>
      <c r="N208" s="36"/>
      <c r="T208" s="21"/>
    </row>
    <row r="209" spans="1:20" s="37" customFormat="1" ht="15.75" customHeight="1" x14ac:dyDescent="0.35">
      <c r="A209" s="70" t="s">
        <v>372</v>
      </c>
      <c r="B209" s="71" t="s">
        <v>336</v>
      </c>
      <c r="C209" s="42">
        <f t="shared" si="19"/>
        <v>123.75</v>
      </c>
      <c r="D209" s="42">
        <f t="shared" si="20"/>
        <v>1332.0449999999998</v>
      </c>
      <c r="E209" s="42">
        <v>0</v>
      </c>
      <c r="F209" s="42">
        <f t="shared" si="18"/>
        <v>1883.6999999999998</v>
      </c>
      <c r="G209" s="121" t="s">
        <v>30</v>
      </c>
      <c r="H209" s="122"/>
      <c r="I209" s="36"/>
      <c r="L209" s="123"/>
      <c r="M209" s="123"/>
      <c r="N209" s="36"/>
      <c r="T209" s="21"/>
    </row>
    <row r="210" spans="1:20" s="37" customFormat="1" ht="15.75" customHeight="1" x14ac:dyDescent="0.35">
      <c r="A210" s="70" t="s">
        <v>373</v>
      </c>
      <c r="B210" s="71" t="s">
        <v>336</v>
      </c>
      <c r="C210" s="42">
        <f t="shared" si="19"/>
        <v>123.75</v>
      </c>
      <c r="D210" s="42">
        <f t="shared" si="20"/>
        <v>1332.0449999999998</v>
      </c>
      <c r="E210" s="42">
        <v>0</v>
      </c>
      <c r="F210" s="42">
        <f t="shared" si="18"/>
        <v>1883.6999999999998</v>
      </c>
      <c r="G210" s="121" t="s">
        <v>30</v>
      </c>
      <c r="H210" s="122"/>
      <c r="I210" s="36"/>
      <c r="L210" s="123"/>
      <c r="M210" s="123"/>
      <c r="N210" s="36"/>
      <c r="T210" s="21"/>
    </row>
    <row r="211" spans="1:20" s="37" customFormat="1" ht="15.75" customHeight="1" x14ac:dyDescent="0.35">
      <c r="A211" s="70" t="s">
        <v>374</v>
      </c>
      <c r="B211" s="71" t="s">
        <v>336</v>
      </c>
      <c r="C211" s="42">
        <f t="shared" si="19"/>
        <v>123.75</v>
      </c>
      <c r="D211" s="42">
        <f t="shared" si="20"/>
        <v>1332.0449999999998</v>
      </c>
      <c r="E211" s="42">
        <v>0</v>
      </c>
      <c r="F211" s="42">
        <f t="shared" si="18"/>
        <v>1883.6999999999998</v>
      </c>
      <c r="G211" s="121" t="s">
        <v>30</v>
      </c>
      <c r="H211" s="122"/>
      <c r="I211" s="36"/>
      <c r="L211" s="123"/>
      <c r="M211" s="123"/>
      <c r="N211" s="36"/>
      <c r="T211" s="21"/>
    </row>
    <row r="212" spans="1:20" s="37" customFormat="1" ht="33" customHeight="1" x14ac:dyDescent="0.35">
      <c r="A212" s="70" t="s">
        <v>375</v>
      </c>
      <c r="B212" s="71" t="s">
        <v>335</v>
      </c>
      <c r="C212" s="42">
        <f>170.059</f>
        <v>170.059</v>
      </c>
      <c r="D212" s="42">
        <f t="shared" si="20"/>
        <v>1830.5150759999999</v>
      </c>
      <c r="E212" s="42">
        <v>0</v>
      </c>
      <c r="F212" s="42">
        <f t="shared" si="18"/>
        <v>1883.6999999999998</v>
      </c>
      <c r="G212" s="121" t="s">
        <v>30</v>
      </c>
      <c r="H212" s="122"/>
      <c r="I212" s="36"/>
      <c r="L212" s="123"/>
      <c r="M212" s="123"/>
      <c r="N212" s="36"/>
      <c r="T212" s="21"/>
    </row>
    <row r="213" spans="1:20" s="37" customFormat="1" ht="15.75" customHeight="1" x14ac:dyDescent="0.35">
      <c r="A213" s="70" t="s">
        <v>376</v>
      </c>
      <c r="B213" s="71" t="s">
        <v>337</v>
      </c>
      <c r="C213" s="42">
        <f>305.929</f>
        <v>305.92899999999997</v>
      </c>
      <c r="D213" s="42">
        <f t="shared" si="20"/>
        <v>3293.0197559999997</v>
      </c>
      <c r="E213" s="42">
        <v>0</v>
      </c>
      <c r="F213" s="42">
        <f>390*10.764</f>
        <v>4197.96</v>
      </c>
      <c r="G213" s="121" t="s">
        <v>30</v>
      </c>
      <c r="H213" s="122"/>
      <c r="I213" s="36"/>
      <c r="L213" s="123"/>
      <c r="M213" s="123"/>
      <c r="N213" s="36"/>
      <c r="T213" s="21"/>
    </row>
    <row r="214" spans="1:20" s="37" customFormat="1" ht="33" customHeight="1" x14ac:dyDescent="0.35">
      <c r="A214" s="70" t="s">
        <v>377</v>
      </c>
      <c r="B214" s="71" t="s">
        <v>335</v>
      </c>
      <c r="C214" s="42">
        <f>214.891</f>
        <v>214.89099999999999</v>
      </c>
      <c r="D214" s="42">
        <f t="shared" si="20"/>
        <v>2313.0867239999998</v>
      </c>
      <c r="E214" s="42">
        <v>0</v>
      </c>
      <c r="F214" s="42">
        <f>245*10.764</f>
        <v>2637.18</v>
      </c>
      <c r="G214" s="121" t="s">
        <v>30</v>
      </c>
      <c r="H214" s="122"/>
      <c r="I214" s="36"/>
      <c r="L214" s="123"/>
      <c r="M214" s="123"/>
      <c r="N214" s="36"/>
      <c r="T214" s="21"/>
    </row>
    <row r="215" spans="1:20" s="37" customFormat="1" ht="33" customHeight="1" x14ac:dyDescent="0.35">
      <c r="A215" s="70" t="s">
        <v>378</v>
      </c>
      <c r="B215" s="71" t="s">
        <v>335</v>
      </c>
      <c r="C215" s="42">
        <f>215.177</f>
        <v>215.17699999999999</v>
      </c>
      <c r="D215" s="42">
        <f t="shared" si="20"/>
        <v>2316.1652279999998</v>
      </c>
      <c r="E215" s="42">
        <v>0</v>
      </c>
      <c r="F215" s="42">
        <f t="shared" ref="F215:F217" si="21">245*10.764</f>
        <v>2637.18</v>
      </c>
      <c r="G215" s="121" t="s">
        <v>30</v>
      </c>
      <c r="H215" s="122"/>
      <c r="I215" s="36"/>
      <c r="L215" s="123"/>
      <c r="M215" s="123"/>
      <c r="N215" s="36"/>
      <c r="T215" s="21"/>
    </row>
    <row r="216" spans="1:20" s="37" customFormat="1" ht="33" customHeight="1" x14ac:dyDescent="0.35">
      <c r="A216" s="70" t="s">
        <v>379</v>
      </c>
      <c r="B216" s="71" t="s">
        <v>335</v>
      </c>
      <c r="C216" s="42">
        <f>215.462</f>
        <v>215.46199999999999</v>
      </c>
      <c r="D216" s="42">
        <f t="shared" si="20"/>
        <v>2319.2329679999998</v>
      </c>
      <c r="E216" s="42">
        <v>0</v>
      </c>
      <c r="F216" s="42">
        <f t="shared" si="21"/>
        <v>2637.18</v>
      </c>
      <c r="G216" s="121" t="s">
        <v>30</v>
      </c>
      <c r="H216" s="122"/>
      <c r="I216" s="36"/>
      <c r="L216" s="123"/>
      <c r="M216" s="123"/>
      <c r="N216" s="36"/>
      <c r="T216" s="21"/>
    </row>
    <row r="217" spans="1:20" s="37" customFormat="1" ht="33" customHeight="1" x14ac:dyDescent="0.35">
      <c r="A217" s="70" t="s">
        <v>380</v>
      </c>
      <c r="B217" s="71" t="s">
        <v>335</v>
      </c>
      <c r="C217" s="42">
        <f>217.314</f>
        <v>217.31399999999999</v>
      </c>
      <c r="D217" s="42">
        <f t="shared" si="20"/>
        <v>2339.1678959999999</v>
      </c>
      <c r="E217" s="42">
        <v>0</v>
      </c>
      <c r="F217" s="42">
        <f t="shared" si="21"/>
        <v>2637.18</v>
      </c>
      <c r="G217" s="121" t="s">
        <v>30</v>
      </c>
      <c r="H217" s="122"/>
      <c r="I217" s="36"/>
      <c r="L217" s="123"/>
      <c r="M217" s="123"/>
      <c r="N217" s="36"/>
      <c r="T217" s="21"/>
    </row>
    <row r="218" spans="1:20" s="37" customFormat="1" x14ac:dyDescent="0.35">
      <c r="A218" s="70" t="s">
        <v>381</v>
      </c>
      <c r="B218" s="71" t="s">
        <v>337</v>
      </c>
      <c r="C218" s="42">
        <f>357.6</f>
        <v>357.6</v>
      </c>
      <c r="D218" s="42">
        <f t="shared" si="20"/>
        <v>3849.2064</v>
      </c>
      <c r="E218" s="42">
        <v>0</v>
      </c>
      <c r="F218" s="42">
        <f>390*10.764</f>
        <v>4197.96</v>
      </c>
      <c r="G218" s="121" t="s">
        <v>30</v>
      </c>
      <c r="H218" s="122"/>
      <c r="I218" s="36"/>
      <c r="L218" s="123"/>
      <c r="M218" s="123"/>
      <c r="N218" s="36"/>
      <c r="T218" s="21"/>
    </row>
    <row r="219" spans="1:20" s="37" customFormat="1" ht="15.75" customHeight="1" x14ac:dyDescent="0.35">
      <c r="A219" s="70" t="s">
        <v>382</v>
      </c>
      <c r="B219" s="71" t="s">
        <v>337</v>
      </c>
      <c r="C219" s="42">
        <f>396.949</f>
        <v>396.94900000000001</v>
      </c>
      <c r="D219" s="42">
        <f t="shared" si="17"/>
        <v>4272.7590359999995</v>
      </c>
      <c r="E219" s="42">
        <v>0</v>
      </c>
      <c r="F219" s="42">
        <f>500*10.764</f>
        <v>5382</v>
      </c>
      <c r="G219" s="121" t="s">
        <v>30</v>
      </c>
      <c r="H219" s="122"/>
      <c r="I219" s="36"/>
      <c r="L219" s="123"/>
      <c r="M219" s="123"/>
      <c r="N219" s="36"/>
      <c r="T219" s="21"/>
    </row>
    <row r="220" spans="1:20" s="37" customFormat="1" ht="15.75" customHeight="1" x14ac:dyDescent="0.35">
      <c r="A220" s="70" t="s">
        <v>383</v>
      </c>
      <c r="B220" s="71" t="s">
        <v>337</v>
      </c>
      <c r="C220" s="42">
        <f>268.085</f>
        <v>268.08499999999998</v>
      </c>
      <c r="D220" s="42">
        <f t="shared" si="17"/>
        <v>2885.6669399999996</v>
      </c>
      <c r="E220" s="42">
        <v>0</v>
      </c>
      <c r="F220" s="42">
        <f>345*10.764</f>
        <v>3713.58</v>
      </c>
      <c r="G220" s="121" t="s">
        <v>30</v>
      </c>
      <c r="H220" s="122"/>
      <c r="I220" s="36"/>
      <c r="L220" s="123"/>
      <c r="M220" s="123"/>
      <c r="N220" s="36"/>
      <c r="T220" s="21"/>
    </row>
    <row r="221" spans="1:20" s="37" customFormat="1" ht="31.5" customHeight="1" x14ac:dyDescent="0.35">
      <c r="A221" s="70" t="s">
        <v>384</v>
      </c>
      <c r="B221" s="71" t="s">
        <v>335</v>
      </c>
      <c r="C221" s="42">
        <f>222.153</f>
        <v>222.15299999999999</v>
      </c>
      <c r="D221" s="42">
        <f t="shared" si="17"/>
        <v>2391.2548919999999</v>
      </c>
      <c r="E221" s="42">
        <v>0</v>
      </c>
      <c r="F221" s="42">
        <f>240*10.764</f>
        <v>2583.3599999999997</v>
      </c>
      <c r="G221" s="121" t="s">
        <v>30</v>
      </c>
      <c r="H221" s="122"/>
      <c r="I221" s="36"/>
      <c r="L221" s="123"/>
      <c r="M221" s="123"/>
      <c r="N221" s="36"/>
      <c r="T221" s="21"/>
    </row>
    <row r="222" spans="1:20" s="37" customFormat="1" ht="31.5" customHeight="1" x14ac:dyDescent="0.35">
      <c r="A222" s="70" t="s">
        <v>385</v>
      </c>
      <c r="B222" s="71" t="s">
        <v>335</v>
      </c>
      <c r="C222" s="42">
        <f>212.354</f>
        <v>212.35400000000001</v>
      </c>
      <c r="D222" s="42">
        <f t="shared" si="17"/>
        <v>2285.778456</v>
      </c>
      <c r="E222" s="42">
        <v>0</v>
      </c>
      <c r="F222" s="42">
        <f t="shared" ref="F222:F224" si="22">240*10.764</f>
        <v>2583.3599999999997</v>
      </c>
      <c r="G222" s="121" t="s">
        <v>30</v>
      </c>
      <c r="H222" s="122"/>
      <c r="I222" s="36"/>
      <c r="L222" s="123"/>
      <c r="M222" s="123"/>
      <c r="N222" s="36"/>
      <c r="T222" s="21"/>
    </row>
    <row r="223" spans="1:20" s="37" customFormat="1" ht="31.5" customHeight="1" x14ac:dyDescent="0.35">
      <c r="A223" s="70" t="s">
        <v>386</v>
      </c>
      <c r="B223" s="71" t="s">
        <v>335</v>
      </c>
      <c r="C223" s="42">
        <f>205.514</f>
        <v>205.51400000000001</v>
      </c>
      <c r="D223" s="42">
        <f t="shared" si="17"/>
        <v>2212.1526960000001</v>
      </c>
      <c r="E223" s="42">
        <v>0</v>
      </c>
      <c r="F223" s="42">
        <f t="shared" si="22"/>
        <v>2583.3599999999997</v>
      </c>
      <c r="G223" s="121" t="s">
        <v>30</v>
      </c>
      <c r="H223" s="122"/>
      <c r="I223" s="36"/>
      <c r="L223" s="123"/>
      <c r="M223" s="123"/>
      <c r="N223" s="36"/>
      <c r="T223" s="21"/>
    </row>
    <row r="224" spans="1:20" s="37" customFormat="1" ht="31.5" customHeight="1" x14ac:dyDescent="0.35">
      <c r="A224" s="70" t="s">
        <v>387</v>
      </c>
      <c r="B224" s="71" t="s">
        <v>335</v>
      </c>
      <c r="C224" s="42">
        <f>198.674</f>
        <v>198.67400000000001</v>
      </c>
      <c r="D224" s="42">
        <f t="shared" si="7"/>
        <v>2138.5269359999998</v>
      </c>
      <c r="E224" s="42">
        <v>0</v>
      </c>
      <c r="F224" s="42">
        <f t="shared" si="22"/>
        <v>2583.3599999999997</v>
      </c>
      <c r="G224" s="121" t="s">
        <v>30</v>
      </c>
      <c r="H224" s="122"/>
      <c r="I224" s="36"/>
      <c r="L224" s="123"/>
      <c r="M224" s="123"/>
      <c r="N224" s="36"/>
      <c r="T224" s="21"/>
    </row>
    <row r="225" spans="1:20" s="37" customFormat="1" ht="15.75" customHeight="1" x14ac:dyDescent="0.35">
      <c r="A225" s="70" t="s">
        <v>388</v>
      </c>
      <c r="B225" s="71" t="s">
        <v>337</v>
      </c>
      <c r="C225" s="42">
        <f>494.33</f>
        <v>494.33</v>
      </c>
      <c r="D225" s="42">
        <f t="shared" ref="D225" si="23">C225*10.764</f>
        <v>5320.9681199999995</v>
      </c>
      <c r="E225" s="42">
        <v>0</v>
      </c>
      <c r="F225" s="42">
        <f>410*10.764</f>
        <v>4413.24</v>
      </c>
      <c r="G225" s="121" t="s">
        <v>30</v>
      </c>
      <c r="H225" s="122"/>
      <c r="I225" s="36"/>
      <c r="L225" s="123"/>
      <c r="M225" s="123"/>
      <c r="N225" s="36"/>
      <c r="T225" s="21"/>
    </row>
    <row r="226" spans="1:20" s="35" customFormat="1" x14ac:dyDescent="0.35">
      <c r="A226" s="223" t="s">
        <v>60</v>
      </c>
      <c r="B226" s="223"/>
      <c r="C226" s="223"/>
      <c r="D226" s="223"/>
      <c r="E226" s="223"/>
      <c r="F226" s="223"/>
      <c r="G226" s="223"/>
      <c r="H226" s="223"/>
      <c r="T226" s="37"/>
    </row>
    <row r="227" spans="1:20" s="35" customFormat="1" ht="31.5" customHeight="1" x14ac:dyDescent="0.35">
      <c r="A227" s="46">
        <v>1</v>
      </c>
      <c r="B227" s="116" t="s">
        <v>437</v>
      </c>
      <c r="C227" s="117"/>
      <c r="D227" s="117"/>
      <c r="E227" s="117"/>
      <c r="F227" s="117"/>
      <c r="G227" s="117"/>
      <c r="H227" s="118"/>
      <c r="T227" s="37"/>
    </row>
    <row r="228" spans="1:20" s="35" customFormat="1" hidden="1" x14ac:dyDescent="0.35">
      <c r="A228" s="112">
        <v>1</v>
      </c>
      <c r="B228" s="116" t="str">
        <f>(IF(H164="Saleable area Loading :","We have considered Saleable area of Flats as per our Calculation.","We considered Saleable area of Flat as per Builder area Sheet."))</f>
        <v>We considered Saleable area of Flat as per Builder area Sheet.</v>
      </c>
      <c r="C228" s="117"/>
      <c r="D228" s="117"/>
      <c r="E228" s="117"/>
      <c r="F228" s="117"/>
      <c r="G228" s="117"/>
      <c r="H228" s="118"/>
      <c r="T228" s="37"/>
    </row>
    <row r="229" spans="1:20" s="35" customFormat="1" hidden="1" x14ac:dyDescent="0.35">
      <c r="A229" s="112">
        <v>1</v>
      </c>
      <c r="B229" s="116" t="str">
        <f>(IF(H156="Saleable area Loading :","We have considered Saleable area of Commercial as per our Calculation.","We considered Saleable area of Commercial as per Builder area Sheet."))</f>
        <v>We have considered Saleable area of Commercial as per our Calculation.</v>
      </c>
      <c r="C229" s="117"/>
      <c r="D229" s="117"/>
      <c r="E229" s="117"/>
      <c r="F229" s="117"/>
      <c r="G229" s="117"/>
      <c r="H229" s="118"/>
      <c r="T229" s="37"/>
    </row>
    <row r="230" spans="1:20" s="35" customFormat="1" hidden="1" x14ac:dyDescent="0.35">
      <c r="A230" s="112">
        <v>1</v>
      </c>
      <c r="B230" s="208" t="s">
        <v>113</v>
      </c>
      <c r="C230" s="209"/>
      <c r="D230" s="209"/>
      <c r="E230" s="209"/>
      <c r="F230" s="209"/>
      <c r="G230" s="209"/>
      <c r="H230" s="210"/>
      <c r="T230" s="37"/>
    </row>
    <row r="231" spans="1:20" s="35" customFormat="1" x14ac:dyDescent="0.35">
      <c r="A231" s="112">
        <v>2</v>
      </c>
      <c r="B231" s="116" t="s">
        <v>417</v>
      </c>
      <c r="C231" s="117"/>
      <c r="D231" s="117"/>
      <c r="E231" s="117"/>
      <c r="F231" s="117"/>
      <c r="G231" s="117"/>
      <c r="H231" s="118"/>
      <c r="T231" s="37"/>
    </row>
    <row r="232" spans="1:20" s="35" customFormat="1" x14ac:dyDescent="0.35">
      <c r="A232" s="112">
        <v>3</v>
      </c>
      <c r="B232" s="116" t="s">
        <v>142</v>
      </c>
      <c r="C232" s="117"/>
      <c r="D232" s="117"/>
      <c r="E232" s="117"/>
      <c r="F232" s="117"/>
      <c r="G232" s="117"/>
      <c r="H232" s="118"/>
    </row>
    <row r="233" spans="1:20" s="35" customFormat="1" x14ac:dyDescent="0.35">
      <c r="A233" s="112">
        <v>4</v>
      </c>
      <c r="B233" s="208" t="s">
        <v>114</v>
      </c>
      <c r="C233" s="209"/>
      <c r="D233" s="209"/>
      <c r="E233" s="209"/>
      <c r="F233" s="209"/>
      <c r="G233" s="209"/>
      <c r="H233" s="210"/>
    </row>
    <row r="234" spans="1:20" s="35" customFormat="1" ht="31.5" customHeight="1" x14ac:dyDescent="0.35">
      <c r="A234" s="114">
        <v>5</v>
      </c>
      <c r="B234" s="119" t="s">
        <v>144</v>
      </c>
      <c r="C234" s="119"/>
      <c r="D234" s="119"/>
      <c r="E234" s="119"/>
      <c r="F234" s="119"/>
      <c r="G234" s="119"/>
      <c r="H234" s="119"/>
    </row>
    <row r="235" spans="1:20" s="35" customFormat="1" x14ac:dyDescent="0.35">
      <c r="A235" s="114">
        <v>6</v>
      </c>
      <c r="B235" s="119" t="s">
        <v>115</v>
      </c>
      <c r="C235" s="119"/>
      <c r="D235" s="119"/>
      <c r="E235" s="119"/>
      <c r="F235" s="119"/>
      <c r="G235" s="119"/>
      <c r="H235" s="119"/>
    </row>
    <row r="236" spans="1:20" s="35" customFormat="1" x14ac:dyDescent="0.35">
      <c r="A236" s="114">
        <v>7</v>
      </c>
      <c r="B236" s="119" t="s">
        <v>419</v>
      </c>
      <c r="C236" s="119"/>
      <c r="D236" s="119"/>
      <c r="E236" s="119"/>
      <c r="F236" s="119"/>
      <c r="G236" s="119"/>
      <c r="H236" s="119"/>
    </row>
    <row r="237" spans="1:20" s="35" customFormat="1" x14ac:dyDescent="0.35">
      <c r="A237" s="114">
        <v>8</v>
      </c>
      <c r="B237" s="120" t="s">
        <v>418</v>
      </c>
      <c r="C237" s="120"/>
      <c r="D237" s="120"/>
      <c r="E237" s="120"/>
      <c r="F237" s="120"/>
      <c r="G237" s="120"/>
      <c r="H237" s="120"/>
    </row>
    <row r="238" spans="1:20" s="35" customFormat="1" x14ac:dyDescent="0.35">
      <c r="A238" s="114">
        <v>9</v>
      </c>
      <c r="B238" s="120" t="s">
        <v>423</v>
      </c>
      <c r="C238" s="120"/>
      <c r="D238" s="120"/>
      <c r="E238" s="120"/>
      <c r="F238" s="120"/>
      <c r="G238" s="120"/>
      <c r="H238" s="120"/>
    </row>
    <row r="239" spans="1:20" s="35" customFormat="1" ht="79.5" customHeight="1" x14ac:dyDescent="0.35">
      <c r="A239" s="114">
        <v>10</v>
      </c>
      <c r="B239" s="120" t="s">
        <v>420</v>
      </c>
      <c r="C239" s="120"/>
      <c r="D239" s="120"/>
      <c r="E239" s="120"/>
      <c r="F239" s="120"/>
      <c r="G239" s="120"/>
      <c r="H239" s="120"/>
    </row>
    <row r="240" spans="1:20" s="35" customFormat="1" x14ac:dyDescent="0.35">
      <c r="A240" s="112">
        <v>11</v>
      </c>
      <c r="B240" s="116" t="s">
        <v>431</v>
      </c>
      <c r="C240" s="117"/>
      <c r="D240" s="117"/>
      <c r="E240" s="117"/>
      <c r="F240" s="117"/>
      <c r="G240" s="117"/>
      <c r="H240" s="118"/>
    </row>
    <row r="241" spans="1:20" s="35" customFormat="1" ht="33" customHeight="1" x14ac:dyDescent="0.35">
      <c r="A241" s="112">
        <v>12</v>
      </c>
      <c r="B241" s="116" t="s">
        <v>434</v>
      </c>
      <c r="C241" s="117"/>
      <c r="D241" s="117"/>
      <c r="E241" s="117"/>
      <c r="F241" s="117"/>
      <c r="G241" s="117"/>
      <c r="H241" s="118"/>
    </row>
    <row r="242" spans="1:20" s="35" customFormat="1" hidden="1" x14ac:dyDescent="0.35">
      <c r="A242" s="109" t="s">
        <v>143</v>
      </c>
      <c r="B242" s="116"/>
      <c r="C242" s="117"/>
      <c r="D242" s="117"/>
      <c r="E242" s="117"/>
      <c r="F242" s="117"/>
      <c r="G242" s="117"/>
      <c r="H242" s="118"/>
    </row>
    <row r="243" spans="1:20" s="35" customFormat="1" hidden="1" x14ac:dyDescent="0.35">
      <c r="A243" s="46" t="s">
        <v>143</v>
      </c>
      <c r="B243" s="116" t="s">
        <v>416</v>
      </c>
      <c r="C243" s="117"/>
      <c r="D243" s="117"/>
      <c r="E243" s="117"/>
      <c r="F243" s="117"/>
      <c r="G243" s="117"/>
      <c r="H243" s="118"/>
    </row>
    <row r="244" spans="1:20" s="35" customFormat="1" x14ac:dyDescent="0.35">
      <c r="A244" s="115">
        <v>13</v>
      </c>
      <c r="B244" s="116" t="s">
        <v>439</v>
      </c>
      <c r="C244" s="117"/>
      <c r="D244" s="117"/>
      <c r="E244" s="117"/>
      <c r="F244" s="117"/>
      <c r="G244" s="117"/>
      <c r="H244" s="118"/>
    </row>
    <row r="245" spans="1:20" x14ac:dyDescent="0.35">
      <c r="A245" s="222" t="s">
        <v>53</v>
      </c>
      <c r="B245" s="222"/>
      <c r="C245" s="222"/>
      <c r="D245" s="222"/>
      <c r="E245" s="222"/>
      <c r="F245" s="222"/>
      <c r="G245" s="222"/>
      <c r="H245" s="222"/>
      <c r="I245" s="116" t="s">
        <v>416</v>
      </c>
      <c r="J245" s="117"/>
      <c r="K245" s="117"/>
      <c r="L245" s="117"/>
      <c r="M245" s="117"/>
      <c r="N245" s="117"/>
      <c r="O245" s="118"/>
      <c r="T245" s="35"/>
    </row>
    <row r="246" spans="1:20" x14ac:dyDescent="0.35">
      <c r="A246" s="133" t="s">
        <v>54</v>
      </c>
      <c r="B246" s="133"/>
      <c r="C246" s="133"/>
      <c r="D246" s="133"/>
      <c r="E246" s="133"/>
      <c r="F246" s="133"/>
      <c r="G246" s="133"/>
      <c r="H246" s="133"/>
      <c r="I246" s="21" t="s">
        <v>429</v>
      </c>
      <c r="T246" s="35"/>
    </row>
    <row r="247" spans="1:20" ht="15.75" customHeight="1" x14ac:dyDescent="0.35">
      <c r="A247" s="246" t="s">
        <v>55</v>
      </c>
      <c r="B247" s="246"/>
      <c r="C247" s="246"/>
      <c r="D247" s="246"/>
      <c r="E247" s="246"/>
      <c r="F247" s="246"/>
      <c r="G247" s="246"/>
      <c r="H247" s="246"/>
      <c r="T247" s="35"/>
    </row>
    <row r="248" spans="1:20" x14ac:dyDescent="0.35">
      <c r="A248" s="133" t="s">
        <v>56</v>
      </c>
      <c r="B248" s="133"/>
      <c r="C248" s="133"/>
      <c r="D248" s="133"/>
      <c r="E248" s="133"/>
      <c r="F248" s="133"/>
      <c r="G248" s="133"/>
      <c r="H248" s="133"/>
      <c r="T248" s="35"/>
    </row>
    <row r="249" spans="1:20" x14ac:dyDescent="0.35">
      <c r="A249" s="133" t="s">
        <v>57</v>
      </c>
      <c r="B249" s="133"/>
      <c r="C249" s="133"/>
      <c r="D249" s="133"/>
      <c r="E249" s="133"/>
      <c r="F249" s="133"/>
      <c r="G249" s="133"/>
      <c r="H249" s="133"/>
      <c r="T249" s="35"/>
    </row>
    <row r="250" spans="1:20" x14ac:dyDescent="0.35">
      <c r="A250" s="133" t="s">
        <v>116</v>
      </c>
      <c r="B250" s="133"/>
      <c r="C250" s="133"/>
      <c r="D250" s="133"/>
      <c r="E250" s="133"/>
      <c r="F250" s="133"/>
      <c r="G250" s="133"/>
      <c r="H250" s="133"/>
      <c r="T250" s="35"/>
    </row>
    <row r="251" spans="1:20" ht="34" customHeight="1" x14ac:dyDescent="0.35">
      <c r="A251" s="193" t="s">
        <v>117</v>
      </c>
      <c r="B251" s="193"/>
      <c r="C251" s="193"/>
      <c r="D251" s="193"/>
      <c r="E251" s="193"/>
      <c r="F251" s="193"/>
      <c r="G251" s="193"/>
      <c r="H251" s="193"/>
    </row>
    <row r="252" spans="1:20" x14ac:dyDescent="0.35">
      <c r="A252" s="218" t="s">
        <v>67</v>
      </c>
      <c r="B252" s="218"/>
      <c r="C252" s="218" t="s">
        <v>389</v>
      </c>
      <c r="D252" s="218"/>
      <c r="E252" s="218" t="s">
        <v>97</v>
      </c>
      <c r="F252" s="218"/>
      <c r="G252" s="219" t="s">
        <v>436</v>
      </c>
      <c r="H252" s="219"/>
    </row>
    <row r="253" spans="1:20" x14ac:dyDescent="0.35">
      <c r="A253" s="217" t="s">
        <v>69</v>
      </c>
      <c r="B253" s="217"/>
      <c r="C253" s="217"/>
      <c r="D253" s="217"/>
      <c r="E253" s="217"/>
      <c r="F253" s="217"/>
      <c r="G253" s="217"/>
      <c r="H253" s="217"/>
    </row>
    <row r="254" spans="1:20" x14ac:dyDescent="0.35">
      <c r="A254" s="217"/>
      <c r="B254" s="217"/>
      <c r="C254" s="217"/>
      <c r="D254" s="217"/>
      <c r="E254" s="217"/>
      <c r="F254" s="217"/>
      <c r="G254" s="217"/>
      <c r="H254" s="217"/>
    </row>
    <row r="255" spans="1:20" x14ac:dyDescent="0.35">
      <c r="A255" s="217"/>
      <c r="B255" s="217"/>
      <c r="C255" s="217"/>
      <c r="D255" s="217"/>
      <c r="E255" s="217"/>
      <c r="F255" s="217"/>
      <c r="G255" s="217"/>
      <c r="H255" s="217"/>
    </row>
    <row r="256" spans="1:20" hidden="1" x14ac:dyDescent="0.35">
      <c r="A256" s="217"/>
      <c r="B256" s="217"/>
      <c r="C256" s="217"/>
      <c r="D256" s="217"/>
      <c r="E256" s="217"/>
      <c r="F256" s="217"/>
      <c r="G256" s="217"/>
      <c r="H256" s="217"/>
    </row>
    <row r="257" spans="1:8" x14ac:dyDescent="0.35">
      <c r="A257" s="38" t="s">
        <v>58</v>
      </c>
      <c r="B257" s="39"/>
      <c r="C257" s="39"/>
      <c r="D257" s="38" t="str">
        <f>E9</f>
        <v>Magnolia Cluster 4</v>
      </c>
      <c r="F257" s="39"/>
      <c r="G257" s="39"/>
      <c r="H257" s="39"/>
    </row>
    <row r="258" spans="1:8" x14ac:dyDescent="0.35">
      <c r="A258" s="39"/>
      <c r="B258" s="39"/>
      <c r="C258" s="39"/>
      <c r="D258" s="39"/>
      <c r="E258" s="39"/>
      <c r="F258" s="39"/>
      <c r="G258" s="39"/>
      <c r="H258" s="39"/>
    </row>
    <row r="259" spans="1:8" x14ac:dyDescent="0.35">
      <c r="A259" s="39"/>
      <c r="B259" s="39"/>
      <c r="C259" s="39"/>
      <c r="D259" s="39"/>
      <c r="E259" s="39"/>
      <c r="F259" s="39"/>
      <c r="G259" s="39"/>
      <c r="H259" s="39"/>
    </row>
    <row r="260" spans="1:8" ht="15" customHeight="1" x14ac:dyDescent="0.35"/>
    <row r="300" spans="1:1" x14ac:dyDescent="0.35">
      <c r="A300" s="41" t="s">
        <v>432</v>
      </c>
    </row>
    <row r="343" spans="1:1" x14ac:dyDescent="0.35">
      <c r="A343" s="41" t="s">
        <v>153</v>
      </c>
    </row>
    <row r="386" spans="1:1" x14ac:dyDescent="0.35">
      <c r="A386" s="41" t="s">
        <v>59</v>
      </c>
    </row>
  </sheetData>
  <mergeCells count="457">
    <mergeCell ref="A150:B150"/>
    <mergeCell ref="C150:D150"/>
    <mergeCell ref="E150:F150"/>
    <mergeCell ref="G150:H150"/>
    <mergeCell ref="B239:H239"/>
    <mergeCell ref="D91:H91"/>
    <mergeCell ref="G187:H187"/>
    <mergeCell ref="L187:M187"/>
    <mergeCell ref="G188:H188"/>
    <mergeCell ref="L188:M188"/>
    <mergeCell ref="G189:H189"/>
    <mergeCell ref="L189:M189"/>
    <mergeCell ref="G190:H190"/>
    <mergeCell ref="L190:M190"/>
    <mergeCell ref="G224:H224"/>
    <mergeCell ref="L224:M224"/>
    <mergeCell ref="L182:M182"/>
    <mergeCell ref="G183:H183"/>
    <mergeCell ref="L183:M183"/>
    <mergeCell ref="G184:H184"/>
    <mergeCell ref="L184:M184"/>
    <mergeCell ref="G185:H185"/>
    <mergeCell ref="L185:M185"/>
    <mergeCell ref="L186:M186"/>
    <mergeCell ref="L177:M177"/>
    <mergeCell ref="G178:H178"/>
    <mergeCell ref="L178:M178"/>
    <mergeCell ref="G179:H179"/>
    <mergeCell ref="L179:M179"/>
    <mergeCell ref="G180:H180"/>
    <mergeCell ref="L180:M180"/>
    <mergeCell ref="G181:H181"/>
    <mergeCell ref="L181:M181"/>
    <mergeCell ref="L172:M172"/>
    <mergeCell ref="G173:H173"/>
    <mergeCell ref="L173:M173"/>
    <mergeCell ref="G174:H174"/>
    <mergeCell ref="L174:M174"/>
    <mergeCell ref="G175:H175"/>
    <mergeCell ref="L175:M175"/>
    <mergeCell ref="G176:H176"/>
    <mergeCell ref="L176:M176"/>
    <mergeCell ref="L171:M171"/>
    <mergeCell ref="I15:P15"/>
    <mergeCell ref="F144:H144"/>
    <mergeCell ref="F142:H142"/>
    <mergeCell ref="A155:H155"/>
    <mergeCell ref="A143:E143"/>
    <mergeCell ref="A160:B160"/>
    <mergeCell ref="A62:B62"/>
    <mergeCell ref="C62:E62"/>
    <mergeCell ref="D64:H64"/>
    <mergeCell ref="F143:H143"/>
    <mergeCell ref="C148:D148"/>
    <mergeCell ref="D74:H74"/>
    <mergeCell ref="A75:C75"/>
    <mergeCell ref="E43:H43"/>
    <mergeCell ref="A43:D43"/>
    <mergeCell ref="A106:B106"/>
    <mergeCell ref="A77:H77"/>
    <mergeCell ref="D78:H78"/>
    <mergeCell ref="D79:H79"/>
    <mergeCell ref="D80:H80"/>
    <mergeCell ref="D81:H81"/>
    <mergeCell ref="D82:H82"/>
    <mergeCell ref="D83:H83"/>
    <mergeCell ref="C106:H106"/>
    <mergeCell ref="A101:B101"/>
    <mergeCell ref="A50:B50"/>
    <mergeCell ref="C50:E50"/>
    <mergeCell ref="G50:H50"/>
    <mergeCell ref="G54:H54"/>
    <mergeCell ref="A53:B53"/>
    <mergeCell ref="A63:H63"/>
    <mergeCell ref="A64:C64"/>
    <mergeCell ref="A65:C65"/>
    <mergeCell ref="D65:H65"/>
    <mergeCell ref="G62:H62"/>
    <mergeCell ref="A56:B57"/>
    <mergeCell ref="C56:E56"/>
    <mergeCell ref="G56:H56"/>
    <mergeCell ref="A58:B59"/>
    <mergeCell ref="C58:E58"/>
    <mergeCell ref="G58:H58"/>
    <mergeCell ref="A60:B61"/>
    <mergeCell ref="C60:E60"/>
    <mergeCell ref="G60:H60"/>
    <mergeCell ref="G53:H53"/>
    <mergeCell ref="D89:H89"/>
    <mergeCell ref="D90:H90"/>
    <mergeCell ref="A54:B55"/>
    <mergeCell ref="D69:H69"/>
    <mergeCell ref="C54:E54"/>
    <mergeCell ref="A67:C69"/>
    <mergeCell ref="D67:H67"/>
    <mergeCell ref="D68:H68"/>
    <mergeCell ref="C53:E53"/>
    <mergeCell ref="A250:H250"/>
    <mergeCell ref="A247:H247"/>
    <mergeCell ref="A148:B148"/>
    <mergeCell ref="A114:B114"/>
    <mergeCell ref="A115:B115"/>
    <mergeCell ref="A116:B116"/>
    <mergeCell ref="A130:B130"/>
    <mergeCell ref="F135:H135"/>
    <mergeCell ref="A133:B133"/>
    <mergeCell ref="F141:H141"/>
    <mergeCell ref="C152:D152"/>
    <mergeCell ref="A165:H165"/>
    <mergeCell ref="A159:B159"/>
    <mergeCell ref="A153:B153"/>
    <mergeCell ref="C153:D153"/>
    <mergeCell ref="E153:F153"/>
    <mergeCell ref="B235:H235"/>
    <mergeCell ref="A145:E145"/>
    <mergeCell ref="F145:H145"/>
    <mergeCell ref="A146:E146"/>
    <mergeCell ref="F146:H146"/>
    <mergeCell ref="A149:B149"/>
    <mergeCell ref="A248:H248"/>
    <mergeCell ref="A147:H147"/>
    <mergeCell ref="A251:H251"/>
    <mergeCell ref="A249:H249"/>
    <mergeCell ref="A245:H245"/>
    <mergeCell ref="G148:H148"/>
    <mergeCell ref="C156:C157"/>
    <mergeCell ref="B230:H230"/>
    <mergeCell ref="B231:H231"/>
    <mergeCell ref="A226:H226"/>
    <mergeCell ref="A162:B162"/>
    <mergeCell ref="A161:B161"/>
    <mergeCell ref="A163:H163"/>
    <mergeCell ref="E148:F148"/>
    <mergeCell ref="A154:H154"/>
    <mergeCell ref="G164:H164"/>
    <mergeCell ref="G166:H166"/>
    <mergeCell ref="G167:H167"/>
    <mergeCell ref="G168:H168"/>
    <mergeCell ref="B227:H227"/>
    <mergeCell ref="B228:H228"/>
    <mergeCell ref="D156:D157"/>
    <mergeCell ref="G195:H195"/>
    <mergeCell ref="A253:H256"/>
    <mergeCell ref="A252:B252"/>
    <mergeCell ref="E252:F252"/>
    <mergeCell ref="C252:D252"/>
    <mergeCell ref="G252:H252"/>
    <mergeCell ref="G169:H169"/>
    <mergeCell ref="G170:H170"/>
    <mergeCell ref="G171:H171"/>
    <mergeCell ref="G172:H172"/>
    <mergeCell ref="G177:H177"/>
    <mergeCell ref="G182:H182"/>
    <mergeCell ref="G196:H196"/>
    <mergeCell ref="G186:H186"/>
    <mergeCell ref="B237:H237"/>
    <mergeCell ref="B244:H244"/>
    <mergeCell ref="A246:H246"/>
    <mergeCell ref="B232:H232"/>
    <mergeCell ref="G156:G157"/>
    <mergeCell ref="B243:H243"/>
    <mergeCell ref="B234:H234"/>
    <mergeCell ref="B233:H233"/>
    <mergeCell ref="B229:H229"/>
    <mergeCell ref="A92:B92"/>
    <mergeCell ref="C92:H92"/>
    <mergeCell ref="A100:B100"/>
    <mergeCell ref="C108:H108"/>
    <mergeCell ref="A124:B124"/>
    <mergeCell ref="A152:B152"/>
    <mergeCell ref="E152:F152"/>
    <mergeCell ref="C122:H122"/>
    <mergeCell ref="A123:B123"/>
    <mergeCell ref="A144:E144"/>
    <mergeCell ref="G152:H152"/>
    <mergeCell ref="A151:B151"/>
    <mergeCell ref="C151:D151"/>
    <mergeCell ref="E151:F151"/>
    <mergeCell ref="G151:H151"/>
    <mergeCell ref="A140:E140"/>
    <mergeCell ref="F140:H140"/>
    <mergeCell ref="A72:C72"/>
    <mergeCell ref="D72:H72"/>
    <mergeCell ref="C94:H94"/>
    <mergeCell ref="A97:B97"/>
    <mergeCell ref="A99:B99"/>
    <mergeCell ref="E95:F95"/>
    <mergeCell ref="A73:C73"/>
    <mergeCell ref="D73:H73"/>
    <mergeCell ref="A76:C76"/>
    <mergeCell ref="D76:H76"/>
    <mergeCell ref="A74:C74"/>
    <mergeCell ref="D75:H75"/>
    <mergeCell ref="A96:B96"/>
    <mergeCell ref="G95:H95"/>
    <mergeCell ref="A98:B98"/>
    <mergeCell ref="D84:H84"/>
    <mergeCell ref="D85:H85"/>
    <mergeCell ref="D86:H86"/>
    <mergeCell ref="D87:H87"/>
    <mergeCell ref="D88:H88"/>
    <mergeCell ref="A94:B94"/>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C34:E34"/>
    <mergeCell ref="A35:B35"/>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C61:H61"/>
    <mergeCell ref="A108:B108"/>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A45:D45"/>
    <mergeCell ref="A38:H38"/>
    <mergeCell ref="A37:B37"/>
    <mergeCell ref="C37:E37"/>
    <mergeCell ref="G124:H133"/>
    <mergeCell ref="A42:D42"/>
    <mergeCell ref="E42:H42"/>
    <mergeCell ref="A41:H41"/>
    <mergeCell ref="A70:C70"/>
    <mergeCell ref="A71:C71"/>
    <mergeCell ref="D70:H70"/>
    <mergeCell ref="E96:F105"/>
    <mergeCell ref="G96:H105"/>
    <mergeCell ref="A104:B104"/>
    <mergeCell ref="A105:B105"/>
    <mergeCell ref="D71:H71"/>
    <mergeCell ref="A44:D44"/>
    <mergeCell ref="E44:H44"/>
    <mergeCell ref="E45:H45"/>
    <mergeCell ref="E46:H46"/>
    <mergeCell ref="A109:B109"/>
    <mergeCell ref="E47:H47"/>
    <mergeCell ref="C59:H59"/>
    <mergeCell ref="A39:B39"/>
    <mergeCell ref="C39:H39"/>
    <mergeCell ref="A46:D46"/>
    <mergeCell ref="L162:M162"/>
    <mergeCell ref="L161:M161"/>
    <mergeCell ref="L160:M160"/>
    <mergeCell ref="L159:M159"/>
    <mergeCell ref="A103:B103"/>
    <mergeCell ref="C149:D149"/>
    <mergeCell ref="E149:F149"/>
    <mergeCell ref="G149:H149"/>
    <mergeCell ref="A135:E135"/>
    <mergeCell ref="A120:B120"/>
    <mergeCell ref="C120:H120"/>
    <mergeCell ref="A158:H158"/>
    <mergeCell ref="E156:E157"/>
    <mergeCell ref="A110:B110"/>
    <mergeCell ref="A47:D47"/>
    <mergeCell ref="A48:H48"/>
    <mergeCell ref="D66:H66"/>
    <mergeCell ref="A66:C66"/>
    <mergeCell ref="A102:B102"/>
    <mergeCell ref="E123:F123"/>
    <mergeCell ref="E124:F133"/>
    <mergeCell ref="A40:B40"/>
    <mergeCell ref="C40:H40"/>
    <mergeCell ref="F156:F157"/>
    <mergeCell ref="B156:B157"/>
    <mergeCell ref="A156:A157"/>
    <mergeCell ref="L169:M169"/>
    <mergeCell ref="L166:M166"/>
    <mergeCell ref="G153:H153"/>
    <mergeCell ref="L167:M167"/>
    <mergeCell ref="L168:M168"/>
    <mergeCell ref="C57:H57"/>
    <mergeCell ref="A95:B95"/>
    <mergeCell ref="A49:B49"/>
    <mergeCell ref="C49:H49"/>
    <mergeCell ref="A125:B125"/>
    <mergeCell ref="A126:B126"/>
    <mergeCell ref="G110:H119"/>
    <mergeCell ref="A111:B111"/>
    <mergeCell ref="A112:B112"/>
    <mergeCell ref="A113:B113"/>
    <mergeCell ref="F136:H136"/>
    <mergeCell ref="A136:E136"/>
    <mergeCell ref="A129:B129"/>
    <mergeCell ref="A131:B131"/>
    <mergeCell ref="A119:B119"/>
    <mergeCell ref="A142:E142"/>
    <mergeCell ref="F137:H137"/>
    <mergeCell ref="A141:E141"/>
    <mergeCell ref="A127:B127"/>
    <mergeCell ref="A128:B128"/>
    <mergeCell ref="E110:F119"/>
    <mergeCell ref="A117:B117"/>
    <mergeCell ref="A118:B118"/>
    <mergeCell ref="A132:B132"/>
    <mergeCell ref="A137:E137"/>
    <mergeCell ref="G123:H123"/>
    <mergeCell ref="A122:B122"/>
    <mergeCell ref="A139:E139"/>
    <mergeCell ref="F134:H134"/>
    <mergeCell ref="F139:H139"/>
    <mergeCell ref="A134:E134"/>
    <mergeCell ref="F138:H138"/>
    <mergeCell ref="L195:M195"/>
    <mergeCell ref="C55:H55"/>
    <mergeCell ref="G225:H225"/>
    <mergeCell ref="L225:M225"/>
    <mergeCell ref="G205:H205"/>
    <mergeCell ref="L205:M205"/>
    <mergeCell ref="G206:H206"/>
    <mergeCell ref="L206:M206"/>
    <mergeCell ref="G219:H219"/>
    <mergeCell ref="L219:M219"/>
    <mergeCell ref="G220:H220"/>
    <mergeCell ref="L220:M220"/>
    <mergeCell ref="G221:H221"/>
    <mergeCell ref="L221:M221"/>
    <mergeCell ref="G222:H222"/>
    <mergeCell ref="L222:M222"/>
    <mergeCell ref="G223:H223"/>
    <mergeCell ref="L223:M223"/>
    <mergeCell ref="G191:H191"/>
    <mergeCell ref="L170:M170"/>
    <mergeCell ref="E109:F109"/>
    <mergeCell ref="G109:H109"/>
    <mergeCell ref="A138:E138"/>
    <mergeCell ref="G215:H215"/>
    <mergeCell ref="L215:M215"/>
    <mergeCell ref="G208:H208"/>
    <mergeCell ref="L208:M208"/>
    <mergeCell ref="G209:H209"/>
    <mergeCell ref="L209:M209"/>
    <mergeCell ref="G210:H210"/>
    <mergeCell ref="L210:M210"/>
    <mergeCell ref="G211:H211"/>
    <mergeCell ref="L211:M211"/>
    <mergeCell ref="G212:H212"/>
    <mergeCell ref="L212:M212"/>
    <mergeCell ref="L198:M198"/>
    <mergeCell ref="G199:H199"/>
    <mergeCell ref="A51:B51"/>
    <mergeCell ref="C51:E51"/>
    <mergeCell ref="G51:H51"/>
    <mergeCell ref="G213:H213"/>
    <mergeCell ref="L213:M213"/>
    <mergeCell ref="G214:H214"/>
    <mergeCell ref="L214:M214"/>
    <mergeCell ref="G201:H201"/>
    <mergeCell ref="L201:M201"/>
    <mergeCell ref="G202:H202"/>
    <mergeCell ref="L202:M202"/>
    <mergeCell ref="G203:H203"/>
    <mergeCell ref="L199:M199"/>
    <mergeCell ref="G200:H200"/>
    <mergeCell ref="L200:M200"/>
    <mergeCell ref="L191:M191"/>
    <mergeCell ref="G192:H192"/>
    <mergeCell ref="L192:M192"/>
    <mergeCell ref="G193:H193"/>
    <mergeCell ref="L193:M193"/>
    <mergeCell ref="G194:H194"/>
    <mergeCell ref="L194:M194"/>
    <mergeCell ref="B240:H240"/>
    <mergeCell ref="B241:H241"/>
    <mergeCell ref="I245:O245"/>
    <mergeCell ref="B236:H236"/>
    <mergeCell ref="B242:H242"/>
    <mergeCell ref="B238:H238"/>
    <mergeCell ref="G218:H218"/>
    <mergeCell ref="L218:M218"/>
    <mergeCell ref="A52:B52"/>
    <mergeCell ref="C52:E52"/>
    <mergeCell ref="G52:H52"/>
    <mergeCell ref="G216:H216"/>
    <mergeCell ref="L216:M216"/>
    <mergeCell ref="G217:H217"/>
    <mergeCell ref="L217:M217"/>
    <mergeCell ref="L203:M203"/>
    <mergeCell ref="G204:H204"/>
    <mergeCell ref="L204:M204"/>
    <mergeCell ref="G207:H207"/>
    <mergeCell ref="L207:M207"/>
    <mergeCell ref="L196:M196"/>
    <mergeCell ref="G197:H197"/>
    <mergeCell ref="L197:M197"/>
    <mergeCell ref="G198:H198"/>
  </mergeCells>
  <dataValidations count="16">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56:E157">
      <formula1>"Attached Loft area,Attached Otla area,Attached Mezzanine area"</formula1>
    </dataValidation>
    <dataValidation type="list" allowBlank="1" showInputMessage="1" showErrorMessage="1" sqref="G252:H252">
      <formula1>"Gaurav Panchal,Kunal Kadam,Pranita Mhatre,Shruti Fule,Pooja Kawale,Neha Dhokale,Shruti Tathare, Hitakshi Mhatre, Sachin Sawant"</formula1>
    </dataValidation>
    <dataValidation type="list" allowBlank="1" showInputMessage="1" showErrorMessage="1" sqref="F134:H134">
      <formula1>"On Saleable Area,On Builtup Area,On Carpet Area,On Plot Area"</formula1>
    </dataValidation>
    <dataValidation type="list" allowBlank="1" showInputMessage="1" showErrorMessage="1" sqref="F145:H145">
      <formula1>OFFSET($S$134,1,MATCH($G20,$S$134:$W$134,0)-1,15,1)</formula1>
    </dataValidation>
    <dataValidation type="list" allowBlank="1" showInputMessage="1" showErrorMessage="1" sqref="B156:B157">
      <formula1>"Shop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H157">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101">
      <formula1>0</formula1>
      <formula2>H93</formula2>
    </dataValidation>
    <dataValidation type="list" allowBlank="1" showInputMessage="1" showErrorMessage="1" sqref="H156">
      <formula1>"Saleable area Loading :,Builder Saleable Area"</formula1>
    </dataValidation>
    <dataValidation type="list" allowBlank="1" showInputMessage="1" showErrorMessage="1" sqref="D156:D157">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256" max="16383" man="1"/>
    <brk id="299" max="16383" man="1"/>
    <brk id="342" max="16383" man="1"/>
    <brk id="385"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69"/>
  <sheetViews>
    <sheetView topLeftCell="A14" workbookViewId="0">
      <selection activeCell="A21" sqref="A21"/>
    </sheetView>
  </sheetViews>
  <sheetFormatPr defaultRowHeight="14.5" x14ac:dyDescent="0.35"/>
  <cols>
    <col min="2" max="2" width="7.26953125" customWidth="1"/>
    <col min="3" max="3" width="6.26953125" customWidth="1"/>
    <col min="4" max="5" width="6.7265625" customWidth="1"/>
    <col min="6" max="6" width="7" customWidth="1"/>
    <col min="8" max="8" width="7.453125" bestFit="1" customWidth="1"/>
    <col min="9" max="9" width="7.453125" customWidth="1"/>
    <col min="10" max="10" width="7.7265625" customWidth="1"/>
    <col min="11" max="11" width="7.54296875" customWidth="1"/>
    <col min="12" max="12" width="8.1796875" customWidth="1"/>
    <col min="13" max="13" width="10.1796875" customWidth="1"/>
    <col min="14" max="15" width="9.1796875" style="56"/>
    <col min="16" max="16" width="76.1796875" customWidth="1"/>
    <col min="17" max="43" width="0" hidden="1" customWidth="1"/>
  </cols>
  <sheetData>
    <row r="1" spans="1:38" ht="15" x14ac:dyDescent="0.35">
      <c r="A1" s="162" t="s">
        <v>130</v>
      </c>
      <c r="B1" s="163"/>
      <c r="C1" s="164" t="s">
        <v>301</v>
      </c>
      <c r="D1" s="165"/>
      <c r="E1" s="165"/>
      <c r="F1" s="165"/>
      <c r="G1" s="165"/>
      <c r="H1" s="166"/>
      <c r="I1" s="49" t="str">
        <f ca="1">IF(D14=100%,"All work Completed. Possession granted to the Building.",IF(D13=100%,"All work Completed, Waiting for OC",I2&amp;""&amp;I3&amp;""&amp;J2&amp;""&amp;J1&amp;" "&amp;J3))</f>
        <v xml:space="preserve">Excavation, Plinth, RCC Slab Completed </v>
      </c>
      <c r="J1" s="50" t="str">
        <f ca="1">(IF(C7=(D2+F2+H2),"",IF(C7&gt;0,", RCC upto "&amp;C7&amp;" Slab","")))&amp;(IF(C8=H2,"",IF(C8&gt;0,", Brickwork upto "&amp;C8&amp;" Floor","")))&amp;(IF(C9=H2,"",IF(C9&gt;0,", Internal Plaster upto "&amp;C9&amp;" Floor","")))&amp;(IF(C10=H2,"",IF(C10&gt;0,", External Plaster upto "&amp;C10&amp;" Floor","")))&amp;(IF(C11=H2,"",IF(C11&gt;0,", Flooring upto "&amp;C11&amp;" Floor","")))&amp;(IF(C12=H2,"",IF(C12&gt;0,", Painting upto "&amp;C12&amp;" Floor","")))&amp;(IF(C13=H2,"",IF(C13&gt;0,", Finishing upto "&amp;C13&amp;" Floor","")))&amp;(IF(C14=H2,"",IF(C14&gt;0,", Possession upto "&amp;C14&amp;" Floor","")))</f>
        <v/>
      </c>
      <c r="L1" s="39"/>
      <c r="M1" s="39"/>
      <c r="O1" s="73"/>
      <c r="P1" s="39"/>
      <c r="Q1" s="39"/>
      <c r="R1" s="39"/>
      <c r="S1" s="39"/>
      <c r="T1" s="74"/>
    </row>
    <row r="2" spans="1:38" ht="15.5" x14ac:dyDescent="0.35">
      <c r="A2" s="16" t="s">
        <v>132</v>
      </c>
      <c r="B2" s="14">
        <v>0</v>
      </c>
      <c r="C2" s="47" t="s">
        <v>63</v>
      </c>
      <c r="D2" s="47">
        <v>1</v>
      </c>
      <c r="E2" s="47" t="s">
        <v>62</v>
      </c>
      <c r="F2" s="14">
        <v>0</v>
      </c>
      <c r="G2" s="48" t="s">
        <v>70</v>
      </c>
      <c r="H2" s="17">
        <f ca="1">--TRIM(RIGHT(SUBSTITUTE(LEFT(C1,_xlfn.AGGREGATE(16,6,FIND({0,1,2,3,4,5,6,7,8,9},C1,ROW(INDIRECT("1:"&amp;LEN(C1)))),1))," ",REPT(" ",LEN(C1))),LEN(C1)))</f>
        <v>1</v>
      </c>
      <c r="I2" s="51" t="str">
        <f ca="1">IF(D5=100%,"Excavation","")&amp;IF(D6=100%,", Plinth","")&amp;IF(D7=100%,", RCC Slab","")&amp;IF(D8=100%,", Brickwork","")&amp;IF(D9=100%,", Internal Plaster","")&amp;IF(D10=100%,", External Plaster","")&amp;IF(D11=100%,", Flooring","")&amp;IF(D12=100%,", Painting","")&amp;IF(D13=100%,", Building common Amenities","")</f>
        <v>Excavation, Plinth, RCC Slab</v>
      </c>
      <c r="J2" s="52" t="str">
        <f ca="1">(IF(C5=0,"Work not yet Started.",IF(D5=25%,"Piling work in process",IF(D5=50%,"Excavation work in process",IF(D5=100%,"","0")))))&amp;(IF(C6=0%,"",IF(C6=J7,", Footing work is process",IF(C6=J8,", Footing work Completed",IF(C6=J9,", 1st Basement Completed",IF(C6=J10,", 1st &amp; 2nd Basement Completed",IF(C6=J11,", 1st to 3rd Basement Completed",IF(C6=J12,", 1st to 4th Basement Completed",IF(C6=J13,", Plinth work is process",IF(C6=J14,"","0"))))))))))</f>
        <v/>
      </c>
      <c r="L2" s="75"/>
      <c r="M2" s="76"/>
      <c r="N2" s="75"/>
      <c r="O2" s="75"/>
      <c r="P2" s="75"/>
      <c r="Q2" s="76"/>
      <c r="R2" s="77"/>
    </row>
    <row r="3" spans="1:38" ht="15" x14ac:dyDescent="0.35">
      <c r="A3" s="187" t="s">
        <v>80</v>
      </c>
      <c r="B3" s="188"/>
      <c r="C3" s="200" t="str">
        <f>(IF($G$99="NA",I1,"All work Completed. OC Received."))</f>
        <v>All work Completed. OC Received.</v>
      </c>
      <c r="D3" s="200"/>
      <c r="E3" s="200"/>
      <c r="F3" s="200"/>
      <c r="G3" s="200"/>
      <c r="H3" s="201"/>
      <c r="I3" s="51" t="str">
        <f ca="1">IF(I2&lt;&gt;""," Completed","")</f>
        <v xml:space="preserve"> Completed</v>
      </c>
      <c r="J3" s="52" t="str">
        <f ca="1">IF(J1&lt;&gt;"","Completed","")</f>
        <v/>
      </c>
      <c r="L3" s="78"/>
      <c r="M3" s="78"/>
      <c r="N3" s="79"/>
      <c r="O3" s="79"/>
      <c r="P3" s="80"/>
      <c r="Q3" s="80"/>
      <c r="R3" s="80"/>
      <c r="S3" s="80"/>
    </row>
    <row r="4" spans="1:38" ht="46.5" x14ac:dyDescent="0.35">
      <c r="A4" s="135" t="s">
        <v>46</v>
      </c>
      <c r="B4" s="131"/>
      <c r="C4" s="43" t="s">
        <v>129</v>
      </c>
      <c r="D4" s="43" t="s">
        <v>73</v>
      </c>
      <c r="E4" s="131" t="s">
        <v>75</v>
      </c>
      <c r="F4" s="131"/>
      <c r="G4" s="131" t="s">
        <v>74</v>
      </c>
      <c r="H4" s="132"/>
      <c r="I4" s="13" t="s">
        <v>131</v>
      </c>
      <c r="J4" s="28">
        <f ca="1">H2*25%</f>
        <v>0.25</v>
      </c>
      <c r="L4" s="81"/>
      <c r="M4" s="81"/>
      <c r="N4" s="82"/>
      <c r="O4" s="82"/>
      <c r="P4" s="81"/>
      <c r="Q4" s="81"/>
      <c r="R4" s="81"/>
      <c r="S4" s="81"/>
    </row>
    <row r="5" spans="1:38" ht="15.5" x14ac:dyDescent="0.35">
      <c r="A5" s="135" t="s">
        <v>118</v>
      </c>
      <c r="B5" s="131"/>
      <c r="C5" s="43">
        <f ca="1">J6</f>
        <v>1</v>
      </c>
      <c r="D5" s="19">
        <f ca="1">((100/H2)*C5)/100</f>
        <v>1</v>
      </c>
      <c r="E5" s="136">
        <f ca="1">(((C6/H2*10)+(40/(D2+F2+H2)*C7)+(7.5/(H2)*C8)+(7.5/(H2)*C9)+(10/H2*C10)+(10/H2*C11)+(5/H2*C12)+(5/H2*C13)+(5/H2*C14))/100)</f>
        <v>0.5</v>
      </c>
      <c r="F5" s="137"/>
      <c r="G5" s="136">
        <f ca="1">((((C5/H2)*20)+((C6/H2)*25)+(30/(H2+F2+D2)*C7)+(5/H2*C8)+(5/H2*C9)+(5/H2*C10)+(5/H2*C11)+(0/H2*C12)+(0/H2*C13)+(5/H2*C14))/100)</f>
        <v>0.75</v>
      </c>
      <c r="H5" s="154"/>
      <c r="I5" s="13" t="s">
        <v>91</v>
      </c>
      <c r="J5" s="29">
        <f ca="1">H2*50%</f>
        <v>0.5</v>
      </c>
      <c r="Q5" s="83"/>
      <c r="S5" s="83"/>
    </row>
    <row r="6" spans="1:38" ht="15.5" x14ac:dyDescent="0.35">
      <c r="A6" s="135" t="s">
        <v>47</v>
      </c>
      <c r="B6" s="131"/>
      <c r="C6" s="43">
        <f ca="1">J14</f>
        <v>1</v>
      </c>
      <c r="D6" s="19">
        <f ca="1">((100/H2)*C6)/100</f>
        <v>1</v>
      </c>
      <c r="E6" s="138"/>
      <c r="F6" s="139"/>
      <c r="G6" s="138"/>
      <c r="H6" s="155"/>
      <c r="I6" s="13" t="s">
        <v>92</v>
      </c>
      <c r="J6" s="29">
        <f ca="1">H2</f>
        <v>1</v>
      </c>
      <c r="M6" s="81"/>
      <c r="P6" s="83"/>
      <c r="Q6" s="83"/>
      <c r="R6" s="83"/>
      <c r="S6" s="83"/>
    </row>
    <row r="7" spans="1:38" ht="15.5" x14ac:dyDescent="0.35">
      <c r="A7" s="135" t="s">
        <v>119</v>
      </c>
      <c r="B7" s="131"/>
      <c r="C7" s="43">
        <f ca="1">D2+H2</f>
        <v>2</v>
      </c>
      <c r="D7" s="19">
        <f ca="1">((100/(D2+F2+H2))*C7)/100</f>
        <v>1</v>
      </c>
      <c r="E7" s="138"/>
      <c r="F7" s="139"/>
      <c r="G7" s="138"/>
      <c r="H7" s="155"/>
      <c r="I7" s="13" t="s">
        <v>93</v>
      </c>
      <c r="J7" s="30">
        <f ca="1">(IF(B2&gt;1,(H2/(B2+2)),H2/4))</f>
        <v>0.25</v>
      </c>
      <c r="M7" s="81"/>
      <c r="P7" s="83"/>
      <c r="Q7" s="83"/>
      <c r="R7" s="83"/>
      <c r="S7" s="83"/>
    </row>
    <row r="8" spans="1:38" ht="15.5" x14ac:dyDescent="0.35">
      <c r="A8" s="135" t="s">
        <v>126</v>
      </c>
      <c r="B8" s="131" t="s">
        <v>120</v>
      </c>
      <c r="C8" s="43">
        <v>0</v>
      </c>
      <c r="D8" s="19">
        <f ca="1">((100/H2)*C8)/100</f>
        <v>0</v>
      </c>
      <c r="E8" s="138"/>
      <c r="F8" s="139"/>
      <c r="G8" s="138"/>
      <c r="H8" s="155"/>
      <c r="I8" s="13" t="s">
        <v>94</v>
      </c>
      <c r="J8" s="30">
        <f ca="1">(IF(B2&gt;1,(H2/(B2+2)+J7),H2/4+J7))</f>
        <v>0.5</v>
      </c>
      <c r="M8" s="81"/>
      <c r="P8" s="83"/>
      <c r="Q8" s="83"/>
      <c r="R8" s="83"/>
      <c r="S8" s="83"/>
    </row>
    <row r="9" spans="1:38" ht="15.5" x14ac:dyDescent="0.35">
      <c r="A9" s="135" t="s">
        <v>127</v>
      </c>
      <c r="B9" s="131" t="s">
        <v>120</v>
      </c>
      <c r="C9" s="43">
        <v>0</v>
      </c>
      <c r="D9" s="19">
        <f ca="1">((100/H2)*C9)/100</f>
        <v>0</v>
      </c>
      <c r="E9" s="138"/>
      <c r="F9" s="139"/>
      <c r="G9" s="138"/>
      <c r="H9" s="155"/>
      <c r="I9" s="13" t="s">
        <v>136</v>
      </c>
      <c r="J9" s="30">
        <f>(IF(B2&gt;1,(H2/(B2+2)+J8),0))</f>
        <v>0</v>
      </c>
      <c r="M9" s="81"/>
      <c r="P9" s="83"/>
      <c r="Q9" s="83"/>
      <c r="R9" s="83"/>
      <c r="S9" s="83"/>
    </row>
    <row r="10" spans="1:38" ht="15.5" x14ac:dyDescent="0.35">
      <c r="A10" s="135" t="s">
        <v>125</v>
      </c>
      <c r="B10" s="131" t="s">
        <v>122</v>
      </c>
      <c r="C10" s="43">
        <v>0</v>
      </c>
      <c r="D10" s="19">
        <f ca="1">((100/(H2))*C10)/100</f>
        <v>0</v>
      </c>
      <c r="E10" s="138"/>
      <c r="F10" s="139"/>
      <c r="G10" s="138"/>
      <c r="H10" s="155"/>
      <c r="I10" s="13" t="s">
        <v>133</v>
      </c>
      <c r="J10" s="30">
        <f>(IF(B2&gt;2,(H2/(B2+2)+J9),0))</f>
        <v>0</v>
      </c>
      <c r="M10" s="81"/>
      <c r="P10" s="83"/>
      <c r="Q10" s="83"/>
      <c r="R10" s="83"/>
      <c r="S10" s="83"/>
    </row>
    <row r="11" spans="1:38" ht="15.5" x14ac:dyDescent="0.35">
      <c r="A11" s="135" t="s">
        <v>121</v>
      </c>
      <c r="B11" s="131" t="s">
        <v>121</v>
      </c>
      <c r="C11" s="43">
        <v>0</v>
      </c>
      <c r="D11" s="19">
        <f ca="1">((100/H2)*C11)/100</f>
        <v>0</v>
      </c>
      <c r="E11" s="138"/>
      <c r="F11" s="139"/>
      <c r="G11" s="138"/>
      <c r="H11" s="155"/>
      <c r="I11" s="13" t="s">
        <v>134</v>
      </c>
      <c r="J11" s="31">
        <f>(IF(B2&gt;3,(H2/(B2+2)+J10),0))</f>
        <v>0</v>
      </c>
      <c r="M11" s="81"/>
      <c r="P11" s="83"/>
      <c r="Q11" s="83"/>
      <c r="R11" s="83"/>
      <c r="S11" s="83"/>
    </row>
    <row r="12" spans="1:38" ht="15.5" x14ac:dyDescent="0.35">
      <c r="A12" s="135" t="s">
        <v>128</v>
      </c>
      <c r="B12" s="131"/>
      <c r="C12" s="43">
        <v>0</v>
      </c>
      <c r="D12" s="19">
        <f ca="1">((100/H2)*C12)/100</f>
        <v>0</v>
      </c>
      <c r="E12" s="138"/>
      <c r="F12" s="139"/>
      <c r="G12" s="138"/>
      <c r="H12" s="155"/>
      <c r="I12" s="13" t="s">
        <v>135</v>
      </c>
      <c r="J12" s="30">
        <f>(IF(B2&gt;4,(H2/(B2+2)+J11),0))</f>
        <v>0</v>
      </c>
      <c r="M12" s="81"/>
      <c r="P12" s="83"/>
      <c r="Q12" s="83"/>
      <c r="R12" s="83"/>
      <c r="S12" s="83"/>
    </row>
    <row r="13" spans="1:38" ht="15.5" x14ac:dyDescent="0.35">
      <c r="A13" s="135" t="s">
        <v>123</v>
      </c>
      <c r="B13" s="131" t="s">
        <v>123</v>
      </c>
      <c r="C13" s="43">
        <v>0</v>
      </c>
      <c r="D13" s="19">
        <f ca="1">((100/(H2))*C13)/100</f>
        <v>0</v>
      </c>
      <c r="E13" s="138"/>
      <c r="F13" s="139"/>
      <c r="G13" s="138"/>
      <c r="H13" s="155"/>
      <c r="I13" s="13" t="s">
        <v>137</v>
      </c>
      <c r="J13" s="30">
        <f ca="1">(IF(B2=1,(H2/(B2+3)+J8),IF(B2=0,(H2/4+J8),IF(B2&gt;1,0))))</f>
        <v>0.75</v>
      </c>
      <c r="M13" s="81"/>
      <c r="P13" s="83"/>
      <c r="Q13" s="83"/>
      <c r="R13" s="83"/>
      <c r="S13" s="83"/>
    </row>
    <row r="14" spans="1:38" ht="16" thickBot="1" x14ac:dyDescent="0.4">
      <c r="A14" s="157" t="s">
        <v>124</v>
      </c>
      <c r="B14" s="158"/>
      <c r="C14" s="44">
        <v>0</v>
      </c>
      <c r="D14" s="20">
        <f ca="1">((100/(H2))*C14)/100</f>
        <v>0</v>
      </c>
      <c r="E14" s="140"/>
      <c r="F14" s="141"/>
      <c r="G14" s="140"/>
      <c r="H14" s="156"/>
      <c r="I14" s="15" t="s">
        <v>95</v>
      </c>
      <c r="J14" s="32">
        <f ca="1">(IF(B2&gt;1.5,(H2/(B2+2)+J8+MAX(0,J9-J8)+MAX(0,J10-J9)+MAX(0,J11-J10)+MAX(0,J12-J11)+MAX(0,J13-J12)),IF(B2=1,(H2/(B2+3)+J13),IF(B2=0,H2/4+J13))))</f>
        <v>1</v>
      </c>
      <c r="M14" s="81"/>
      <c r="P14" s="83"/>
      <c r="Q14" s="83"/>
      <c r="R14" s="83"/>
      <c r="S14" s="83"/>
    </row>
    <row r="16" spans="1:38" ht="77.5" x14ac:dyDescent="0.35">
      <c r="A16" s="84" t="s">
        <v>302</v>
      </c>
      <c r="B16" s="268" t="s">
        <v>303</v>
      </c>
      <c r="C16" s="269"/>
      <c r="D16" s="84" t="s">
        <v>118</v>
      </c>
      <c r="E16" s="84" t="s">
        <v>47</v>
      </c>
      <c r="F16" s="84" t="s">
        <v>304</v>
      </c>
      <c r="G16" s="84" t="s">
        <v>305</v>
      </c>
      <c r="H16" s="84" t="s">
        <v>127</v>
      </c>
      <c r="I16" s="84" t="s">
        <v>306</v>
      </c>
      <c r="J16" s="84" t="s">
        <v>307</v>
      </c>
      <c r="K16" s="84" t="s">
        <v>308</v>
      </c>
      <c r="L16" s="84" t="s">
        <v>309</v>
      </c>
      <c r="M16" s="84" t="s">
        <v>124</v>
      </c>
      <c r="N16" s="84" t="s">
        <v>75</v>
      </c>
      <c r="O16" s="84" t="s">
        <v>74</v>
      </c>
      <c r="P16" s="85" t="s">
        <v>80</v>
      </c>
      <c r="Q16" s="86" t="s">
        <v>118</v>
      </c>
      <c r="R16" s="86" t="s">
        <v>47</v>
      </c>
      <c r="S16" s="86" t="s">
        <v>119</v>
      </c>
      <c r="T16" s="87" t="s">
        <v>126</v>
      </c>
      <c r="U16" s="88" t="s">
        <v>127</v>
      </c>
      <c r="V16" s="88" t="s">
        <v>125</v>
      </c>
      <c r="W16" s="88" t="s">
        <v>121</v>
      </c>
      <c r="X16" s="88" t="s">
        <v>128</v>
      </c>
      <c r="Y16" s="88" t="s">
        <v>123</v>
      </c>
      <c r="Z16" s="88" t="s">
        <v>124</v>
      </c>
      <c r="AA16" s="88" t="s">
        <v>131</v>
      </c>
      <c r="AB16" s="88" t="s">
        <v>91</v>
      </c>
      <c r="AC16" s="88" t="s">
        <v>92</v>
      </c>
      <c r="AD16" s="88" t="s">
        <v>93</v>
      </c>
      <c r="AE16" s="88" t="s">
        <v>94</v>
      </c>
      <c r="AF16" s="88" t="s">
        <v>136</v>
      </c>
      <c r="AG16" s="88" t="s">
        <v>133</v>
      </c>
      <c r="AH16" s="88" t="s">
        <v>134</v>
      </c>
      <c r="AI16" s="88" t="s">
        <v>135</v>
      </c>
      <c r="AJ16" s="88" t="s">
        <v>137</v>
      </c>
      <c r="AK16" s="88" t="s">
        <v>95</v>
      </c>
      <c r="AL16" s="88"/>
    </row>
    <row r="17" spans="1:43" ht="15.5" hidden="1" x14ac:dyDescent="0.35">
      <c r="A17" s="89">
        <v>1</v>
      </c>
      <c r="B17" s="18" t="s">
        <v>301</v>
      </c>
      <c r="C17" s="47">
        <f ca="1">--TRIM(RIGHT(SUBSTITUTE(LEFT(B17,_xlfn.AGGREGATE(16,6,FIND({0,1,2,3,4,5,6,7,8,9},B17,ROW(INDIRECT("1:"&amp;LEN(B17)))),1))," ",REPT(" ",LEN(B17))),LEN(B17)))</f>
        <v>1</v>
      </c>
      <c r="D17" s="43">
        <v>1</v>
      </c>
      <c r="E17" s="43">
        <v>1</v>
      </c>
      <c r="F17" s="43">
        <v>2</v>
      </c>
      <c r="G17" s="43">
        <v>1</v>
      </c>
      <c r="H17" s="43">
        <v>1</v>
      </c>
      <c r="I17" s="43">
        <v>1</v>
      </c>
      <c r="J17" s="43">
        <v>1</v>
      </c>
      <c r="K17" s="43">
        <v>1</v>
      </c>
      <c r="L17" s="43">
        <v>1</v>
      </c>
      <c r="M17" s="43">
        <v>1</v>
      </c>
      <c r="N17" s="90">
        <f ca="1">(((E17/C17*10)+(40/(1+C17)*F17)+(7.5/(C17)*G17)+(7.5/(C17)*H17)+(10/C17*I17)+(10/C17*J17)+(5/C17*K17)+(5/C17*L17)+(5/C17*M17))/100)</f>
        <v>1</v>
      </c>
      <c r="O17" s="90">
        <f ca="1">((((D17/C17)*20)+((E17/C17)*25)+(30/(C17+1)*F17)+(5/C17*G17)+(5/C17*H17)+(5/C17*I17)+(5/C17*J17)+(0/C17*K17)+(0/C17*L17)+(5/C17*M17))/100)</f>
        <v>1</v>
      </c>
      <c r="P17" s="91" t="str">
        <f ca="1">IF(Z17=100%,"All work Completed. Possession granted to the Building.",IF(Y17=100%,"All work Completed, Waiting for OC",AO17&amp;""&amp;AP17&amp;""&amp;AM17&amp;""&amp;AN17&amp;" "&amp;AQ17))</f>
        <v>All work Completed. Possession granted to the Building.</v>
      </c>
      <c r="Q17" s="19">
        <f ca="1">((100/C17)*D17)/100</f>
        <v>1</v>
      </c>
      <c r="R17" s="19">
        <f ca="1">((100/C17)*E17)/100</f>
        <v>1</v>
      </c>
      <c r="S17" s="19">
        <f ca="1">((100/(1+C17))*F17)/100</f>
        <v>1</v>
      </c>
      <c r="T17" s="19">
        <f ca="1">((100/C17)*G17)/100</f>
        <v>1</v>
      </c>
      <c r="U17" s="19">
        <f ca="1">((100/C17)*H17)/100</f>
        <v>1</v>
      </c>
      <c r="V17" s="19">
        <f ca="1">((100/(C17))*I17)/100</f>
        <v>1</v>
      </c>
      <c r="W17" s="19">
        <f ca="1">((100/C17)*J17)/100</f>
        <v>1</v>
      </c>
      <c r="X17" s="19">
        <f ca="1">((100/C17)*K17)/100</f>
        <v>1</v>
      </c>
      <c r="Y17" s="19">
        <f ca="1">((100/(C17))*L17)/100</f>
        <v>1</v>
      </c>
      <c r="Z17" s="19">
        <f ca="1">((100/(C17))*M17)/100</f>
        <v>1</v>
      </c>
      <c r="AA17" s="92">
        <f ca="1">C17*25%</f>
        <v>0.25</v>
      </c>
      <c r="AB17" s="93">
        <f ca="1">C17*50%</f>
        <v>0.5</v>
      </c>
      <c r="AC17" s="93">
        <f ca="1">C17</f>
        <v>1</v>
      </c>
      <c r="AD17" s="94">
        <f ca="1">(IF(M2&gt;1,(C17/(M2+2)),C17/4))</f>
        <v>0.25</v>
      </c>
      <c r="AE17" s="94">
        <f ca="1">(IF(M2&gt;1,(C17/(M2+2)+AD17),C17/4+AD17))</f>
        <v>0.5</v>
      </c>
      <c r="AF17" s="94">
        <f>(IF(M2&gt;1,(C17/(M2+2)+AE17),0))</f>
        <v>0</v>
      </c>
      <c r="AG17" s="94">
        <f>(IF(M2&gt;2,(C17/(M2+2)+AF17),0))</f>
        <v>0</v>
      </c>
      <c r="AH17" s="95">
        <f>(IF(M2&gt;3,(C17/(M2+2)+AG17),0))</f>
        <v>0</v>
      </c>
      <c r="AI17" s="94">
        <f>(IF(M2&gt;4,(C17/(M2+2)+AH17),0))</f>
        <v>0</v>
      </c>
      <c r="AJ17" s="94">
        <f ca="1">(IF(M2=1,(C17/(M2+3)+AE17),IF(M2=0,(C17/4+AE17),IF(M2&gt;1,0))))</f>
        <v>0.75</v>
      </c>
      <c r="AK17" s="94">
        <f ca="1">(IF(M2&gt;1.5,(C17/(M2+2)+AE17+MAX(0,AF17-AE17)+MAX(0,AG17-AF17)+MAX(0,AH17-AG17)+MAX(0,AI17-AH17)+MAX(0,AJ17-AI17)),IF(M2=1,(C17/(M2+3)+AJ17),IF(M2=0,C17/4+AJ17))))</f>
        <v>1</v>
      </c>
      <c r="AL17" s="96" t="str">
        <f t="shared" ref="AL17:AL30" si="0">(IF(W83=(1+T83),"",IF(W83&gt;0,", RCC upto "&amp;W83&amp;" Slab","")))&amp;(IF(X83=T83,"",IF(X83&gt;0,", Brickwork upto "&amp;X83&amp;" Floor","")))&amp;(IF(Y83=T83,"",IF(Y83&gt;0,", Internal Plaster upto "&amp;Y83&amp;" Floor","")))&amp;(IF(Z83=T83,"",IF(Z83&gt;0,", External Plaster upto "&amp;Z83&amp;" Floor","")))&amp;(IF(AA83=T83,"",IF(AA83&gt;0,", Flooring upto "&amp;AA83&amp;" Floor","")))&amp;(IF(AB83=T83,"",IF(AB83&gt;0,", Painting upto "&amp;AB83&amp;" Floor","")))&amp;(IF(AC83=T83,"",IF(AC83&gt;0,", Finishing upto "&amp;AC83&amp;" Floor","")))&amp;(IF(AD83=T83,"",IF(AD83&gt;0,", Possession upto "&amp;AD83&amp;" Floor","")))</f>
        <v/>
      </c>
      <c r="AM17" s="96" t="str">
        <f ca="1">(IF(D17=0,"Work not yet Started.",IF(Q17=25%,"Piling work in process",IF(Q17=50%,"Excavation work in process",IF(Q17=100%,"","0")))))&amp;(IF(E17=0%,"",IF(E17=AD17,", Footing work is process",IF(E17=AE17,", Footing work Completed",IF(E17=AF17,", 1st Basement Completed",IF(E17=AG17,", 1st &amp; 2nd Basement Completed",IF(E17=AH17,", 1st to 3rd Basement Completed",IF(E17=AI17,", 1st to 4th Basement Completed",IF(E17=AJ17,", Plinth work is process",IF(E17=AK17,"","0"))))))))))</f>
        <v/>
      </c>
      <c r="AN17" s="96" t="str">
        <f ca="1">(IF(F17=(1+C17),"",IF(F17&gt;0,", RCC upto "&amp;F17&amp;" Slab","")))&amp;(IF(G17=C17,"",IF(G17&gt;0,", Brickwork upto "&amp;G17&amp;" Floor","")))&amp;(IF(H17=C17,"",IF(H17&gt;0,", Internal Plaster upto "&amp;H17&amp;" Floor","")))&amp;(IF(I17=C17,"",IF(I17&gt;0,", External Plaster upto "&amp;I17&amp;" Floor","")))&amp;(IF(J17=C17,"",IF(J17&gt;0,", Flooring upto "&amp;J17&amp;" Floor","")))&amp;(IF(K17=C17,"",IF(K17&gt;0,", Painting upto "&amp;K17&amp;" Floor","")))&amp;(IF(L17=C17,"",IF(L17&gt;0,", Finishing upto "&amp;L17&amp;" Floor","")))&amp;(IF(M17=C17,"",IF(M17&gt;0,", Possession upto "&amp;M17&amp;" Floor","")))</f>
        <v/>
      </c>
      <c r="AO17" s="96" t="str">
        <f ca="1">IF(Q17=100%,"Excavation","")&amp;IF(R17=100%,", Plinth","")&amp;IF(S17=100%,", RCC Slab","")&amp;IF(T17=100%,", Brickwork","")&amp;IF(U17=100%,", Internal Plaster","")&amp;IF(V17=100%,", External Plaster","")&amp;IF(W17=100%,", Flooring","")&amp;IF(X17=100%,", Painting","")&amp;IF(Y17=100%,", Building common Amenities","")</f>
        <v>Excavation, Plinth, RCC Slab, Brickwork, Internal Plaster, External Plaster, Flooring, Painting, Building common Amenities</v>
      </c>
      <c r="AP17" s="96" t="str">
        <f ca="1">IF(AO17&lt;&gt;""," Completed","")</f>
        <v xml:space="preserve"> Completed</v>
      </c>
      <c r="AQ17" s="96" t="str">
        <f ca="1">IF(AN17&lt;&gt;"","Completed","")</f>
        <v/>
      </c>
    </row>
    <row r="18" spans="1:43" ht="15.5" hidden="1" x14ac:dyDescent="0.35">
      <c r="A18" s="89">
        <v>2</v>
      </c>
      <c r="B18" s="18" t="s">
        <v>301</v>
      </c>
      <c r="C18" s="47">
        <f ca="1">--TRIM(RIGHT(SUBSTITUTE(LEFT(B18,_xlfn.AGGREGATE(16,6,FIND({0,1,2,3,4,5,6,7,8,9},B18,ROW(INDIRECT("1:"&amp;LEN(B18)))),1))," ",REPT(" ",LEN(B18))),LEN(B18)))</f>
        <v>1</v>
      </c>
      <c r="D18" s="43">
        <v>1</v>
      </c>
      <c r="E18" s="43">
        <v>1</v>
      </c>
      <c r="F18" s="43">
        <v>2</v>
      </c>
      <c r="G18" s="43">
        <v>1</v>
      </c>
      <c r="H18" s="43">
        <v>1</v>
      </c>
      <c r="I18" s="43">
        <v>1</v>
      </c>
      <c r="J18" s="43">
        <v>0</v>
      </c>
      <c r="K18" s="43">
        <v>0</v>
      </c>
      <c r="L18" s="43">
        <v>0</v>
      </c>
      <c r="M18" s="43">
        <v>0</v>
      </c>
      <c r="N18" s="90">
        <f t="shared" ref="N18:N38" ca="1" si="1">(((E18/C18*10)+(40/(1+C18)*F18)+(7.5/(C18)*G18)+(7.5/(C18)*H18)+(10/C18*I18)+(10/C18*J18)+(5/C18*K18)+(5/C18*L18)+(5/C18*M18))/100)</f>
        <v>0.75</v>
      </c>
      <c r="O18" s="90">
        <f t="shared" ref="O18:O38" ca="1" si="2">((((D18/C18)*20)+((E18/C18)*25)+(30/(C18+1)*F18)+(5/C18*G18)+(5/C18*H18)+(5/C18*I18)+(5/C18*J18)+(0/C18*K18)+(0/C18*L18)+(5/C18*M18))/100)</f>
        <v>0.9</v>
      </c>
      <c r="P18" s="91" t="str">
        <f t="shared" ref="P18:P38" ca="1" si="3">IF(Z18=100%,"All work Completed. Possession granted to the Building.",IF(Y18=100%,"All work Completed, Waiting for OC",AO18&amp;""&amp;AP18&amp;""&amp;AM18&amp;""&amp;AN18&amp;" "&amp;AQ18))</f>
        <v xml:space="preserve">Excavation, Plinth, RCC Slab, Brickwork, Internal Plaster, External Plaster Completed </v>
      </c>
      <c r="Q18" s="19">
        <f t="shared" ref="Q18:Q69" ca="1" si="4">((100/C18)*D18)/100</f>
        <v>1</v>
      </c>
      <c r="R18" s="19">
        <f t="shared" ref="R18:R69" ca="1" si="5">((100/C18)*E18)/100</f>
        <v>1</v>
      </c>
      <c r="S18" s="19">
        <f t="shared" ref="S18:S69" ca="1" si="6">((100/(1+C18))*F18)/100</f>
        <v>1</v>
      </c>
      <c r="T18" s="19">
        <f t="shared" ref="T18:T69" ca="1" si="7">((100/C18)*G18)/100</f>
        <v>1</v>
      </c>
      <c r="U18" s="19">
        <f t="shared" ref="U18:U69" ca="1" si="8">((100/C18)*H18)/100</f>
        <v>1</v>
      </c>
      <c r="V18" s="19">
        <f t="shared" ref="V18:V69" ca="1" si="9">((100/(C18))*I18)/100</f>
        <v>1</v>
      </c>
      <c r="W18" s="19">
        <f t="shared" ref="W18:W69" ca="1" si="10">((100/C18)*J18)/100</f>
        <v>0</v>
      </c>
      <c r="X18" s="19">
        <f t="shared" ref="X18:X69" ca="1" si="11">((100/C18)*K18)/100</f>
        <v>0</v>
      </c>
      <c r="Y18" s="19">
        <f t="shared" ref="Y18:Y69" ca="1" si="12">((100/(C18))*L18)/100</f>
        <v>0</v>
      </c>
      <c r="Z18" s="19">
        <f t="shared" ref="Z18:Z69" ca="1" si="13">((100/(C18))*M18)/100</f>
        <v>0</v>
      </c>
      <c r="AA18" s="92">
        <f t="shared" ref="AA18:AA69" ca="1" si="14">C18*25%</f>
        <v>0.25</v>
      </c>
      <c r="AB18" s="93">
        <f t="shared" ref="AB18:AB69" ca="1" si="15">C18*50%</f>
        <v>0.5</v>
      </c>
      <c r="AC18" s="93">
        <f t="shared" ref="AC18:AC69" ca="1" si="16">C18</f>
        <v>1</v>
      </c>
      <c r="AD18" s="94">
        <f t="shared" ref="AD18:AD30" ca="1" si="17">(IF(M3&gt;1,(C18/(M3+2)),C18/4))</f>
        <v>0.25</v>
      </c>
      <c r="AE18" s="94">
        <f t="shared" ref="AE18:AE30" ca="1" si="18">(IF(M3&gt;1,(C18/(M3+2)+AD18),C18/4+AD18))</f>
        <v>0.5</v>
      </c>
      <c r="AF18" s="94">
        <f t="shared" ref="AF18:AF30" si="19">(IF(M3&gt;1,(C18/(M3+2)+AE18),0))</f>
        <v>0</v>
      </c>
      <c r="AG18" s="94">
        <f t="shared" ref="AG18:AG30" si="20">(IF(M3&gt;2,(C18/(M3+2)+AF18),0))</f>
        <v>0</v>
      </c>
      <c r="AH18" s="95">
        <f t="shared" ref="AH18:AH30" si="21">(IF(M3&gt;3,(C18/(M3+2)+AG18),0))</f>
        <v>0</v>
      </c>
      <c r="AI18" s="94">
        <f t="shared" ref="AI18:AI30" si="22">(IF(M3&gt;4,(C18/(M3+2)+AH18),0))</f>
        <v>0</v>
      </c>
      <c r="AJ18" s="94">
        <f t="shared" ref="AJ18:AJ30" ca="1" si="23">(IF(M3=1,(C18/(M3+3)+AE18),IF(M3=0,(C18/4+AE18),IF(M3&gt;1,0))))</f>
        <v>0.75</v>
      </c>
      <c r="AK18" s="94">
        <f t="shared" ref="AK18:AK30" ca="1" si="24">(IF(M3&gt;1.5,(C18/(M3+2)+AE18+MAX(0,AF18-AE18)+MAX(0,AG18-AF18)+MAX(0,AH18-AG18)+MAX(0,AI18-AH18)+MAX(0,AJ18-AI18)),IF(M3=1,(C18/(M3+3)+AJ18),IF(M3=0,C18/4+AJ18))))</f>
        <v>1</v>
      </c>
      <c r="AL18" s="96" t="str">
        <f t="shared" si="0"/>
        <v/>
      </c>
      <c r="AM18" s="96" t="str">
        <f t="shared" ref="AM18:AM69" ca="1" si="25">(IF(D18=0,"Work not yet Started.",IF(Q18=25%,"Piling work in process",IF(Q18=50%,"Excavation work in process",IF(Q18=100%,"","0")))))&amp;(IF(E18=0%,"",IF(E18=AD18,", Footing work is process",IF(E18=AE18,", Footing work Completed",IF(E18=AF18,", 1st Basement Completed",IF(E18=AG18,", 1st &amp; 2nd Basement Completed",IF(E18=AH18,", 1st to 3rd Basement Completed",IF(E18=AI18,", 1st to 4th Basement Completed",IF(E18=AJ18,", Plinth work is process",IF(E18=AK18,"","0"))))))))))</f>
        <v/>
      </c>
      <c r="AN18" s="96" t="str">
        <f t="shared" ref="AN18:AN69" ca="1" si="26">(IF(F18=(1+C18),"",IF(F18&gt;0,", RCC upto "&amp;F18&amp;" Slab","")))&amp;(IF(G18=C18,"",IF(G18&gt;0,", Brickwork upto "&amp;G18&amp;" Floor","")))&amp;(IF(H18=C18,"",IF(H18&gt;0,", Internal Plaster upto "&amp;H18&amp;" Floor","")))&amp;(IF(I18=C18,"",IF(I18&gt;0,", External Plaster upto "&amp;I18&amp;" Floor","")))&amp;(IF(J18=C18,"",IF(J18&gt;0,", Flooring upto "&amp;J18&amp;" Floor","")))&amp;(IF(K18=C18,"",IF(K18&gt;0,", Painting upto "&amp;K18&amp;" Floor","")))&amp;(IF(L18=C18,"",IF(L18&gt;0,", Finishing upto "&amp;L18&amp;" Floor","")))&amp;(IF(M18=C18,"",IF(M18&gt;0,", Possession upto "&amp;M18&amp;" Floor","")))</f>
        <v/>
      </c>
      <c r="AO18" s="96" t="str">
        <f t="shared" ref="AO18:AO69" ca="1" si="27">IF(Q18=100%,"Excavation","")&amp;IF(R18=100%,", Plinth","")&amp;IF(S18=100%,", RCC Slab","")&amp;IF(T18=100%,", Brickwork","")&amp;IF(U18=100%,", Internal Plaster","")&amp;IF(V18=100%,", External Plaster","")&amp;IF(W18=100%,", Flooring","")&amp;IF(X18=100%,", Painting","")&amp;IF(Y18=100%,", Building common Amenities","")</f>
        <v>Excavation, Plinth, RCC Slab, Brickwork, Internal Plaster, External Plaster</v>
      </c>
      <c r="AP18" s="96" t="str">
        <f t="shared" ref="AP18:AP69" ca="1" si="28">IF(AO18&lt;&gt;""," Completed","")</f>
        <v xml:space="preserve"> Completed</v>
      </c>
      <c r="AQ18" s="96" t="str">
        <f t="shared" ref="AQ18:AQ69" ca="1" si="29">IF(AN18&lt;&gt;"","Completed","")</f>
        <v/>
      </c>
    </row>
    <row r="19" spans="1:43" ht="28" x14ac:dyDescent="0.35">
      <c r="A19" s="89" t="s">
        <v>413</v>
      </c>
      <c r="B19" s="18" t="s">
        <v>301</v>
      </c>
      <c r="C19" s="47">
        <v>2</v>
      </c>
      <c r="D19" s="43">
        <v>0</v>
      </c>
      <c r="E19" s="43">
        <v>0</v>
      </c>
      <c r="F19" s="43">
        <v>0</v>
      </c>
      <c r="G19" s="43">
        <v>0</v>
      </c>
      <c r="H19" s="43">
        <v>0</v>
      </c>
      <c r="I19" s="43">
        <v>0</v>
      </c>
      <c r="J19" s="43">
        <v>0</v>
      </c>
      <c r="K19" s="43">
        <v>0</v>
      </c>
      <c r="L19" s="43">
        <v>0</v>
      </c>
      <c r="M19" s="43">
        <v>0</v>
      </c>
      <c r="N19" s="90">
        <f t="shared" si="1"/>
        <v>0</v>
      </c>
      <c r="O19" s="90">
        <f t="shared" si="2"/>
        <v>0</v>
      </c>
      <c r="P19" s="103" t="str">
        <f t="shared" si="3"/>
        <v xml:space="preserve">Work not yet Started. </v>
      </c>
      <c r="Q19" s="19">
        <f t="shared" si="4"/>
        <v>0</v>
      </c>
      <c r="R19" s="19">
        <f t="shared" si="5"/>
        <v>0</v>
      </c>
      <c r="S19" s="19">
        <f t="shared" si="6"/>
        <v>0</v>
      </c>
      <c r="T19" s="19">
        <f t="shared" si="7"/>
        <v>0</v>
      </c>
      <c r="U19" s="19">
        <f t="shared" si="8"/>
        <v>0</v>
      </c>
      <c r="V19" s="19">
        <f t="shared" si="9"/>
        <v>0</v>
      </c>
      <c r="W19" s="19">
        <f t="shared" si="10"/>
        <v>0</v>
      </c>
      <c r="X19" s="19">
        <f t="shared" si="11"/>
        <v>0</v>
      </c>
      <c r="Y19" s="19">
        <f t="shared" si="12"/>
        <v>0</v>
      </c>
      <c r="Z19" s="19">
        <f t="shared" si="13"/>
        <v>0</v>
      </c>
      <c r="AA19" s="92">
        <f t="shared" si="14"/>
        <v>0.5</v>
      </c>
      <c r="AB19" s="93">
        <f t="shared" si="15"/>
        <v>1</v>
      </c>
      <c r="AC19" s="93">
        <f t="shared" si="16"/>
        <v>2</v>
      </c>
      <c r="AD19" s="94">
        <f t="shared" si="17"/>
        <v>0.5</v>
      </c>
      <c r="AE19" s="94">
        <f t="shared" si="18"/>
        <v>1</v>
      </c>
      <c r="AF19" s="94">
        <f t="shared" si="19"/>
        <v>0</v>
      </c>
      <c r="AG19" s="94">
        <f t="shared" si="20"/>
        <v>0</v>
      </c>
      <c r="AH19" s="95">
        <f t="shared" si="21"/>
        <v>0</v>
      </c>
      <c r="AI19" s="94">
        <f t="shared" si="22"/>
        <v>0</v>
      </c>
      <c r="AJ19" s="94">
        <f t="shared" si="23"/>
        <v>1.5</v>
      </c>
      <c r="AK19" s="94">
        <f t="shared" si="24"/>
        <v>2</v>
      </c>
      <c r="AL19" s="96" t="str">
        <f t="shared" si="0"/>
        <v/>
      </c>
      <c r="AM19" s="96" t="str">
        <f t="shared" si="25"/>
        <v>Work not yet Started.</v>
      </c>
      <c r="AN19" s="96" t="str">
        <f t="shared" si="26"/>
        <v/>
      </c>
      <c r="AO19" s="96" t="str">
        <f t="shared" si="27"/>
        <v/>
      </c>
      <c r="AP19" s="96" t="str">
        <f t="shared" si="28"/>
        <v/>
      </c>
      <c r="AQ19" s="96" t="str">
        <f t="shared" si="29"/>
        <v/>
      </c>
    </row>
    <row r="20" spans="1:43" ht="28" x14ac:dyDescent="0.35">
      <c r="A20" s="89" t="s">
        <v>414</v>
      </c>
      <c r="B20" s="18" t="s">
        <v>301</v>
      </c>
      <c r="C20" s="47">
        <f ca="1">--TRIM(RIGHT(SUBSTITUTE(LEFT(B20,_xlfn.AGGREGATE(16,6,FIND({0,1,2,3,4,5,6,7,8,9},B20,ROW(INDIRECT("1:"&amp;LEN(B20)))),1))," ",REPT(" ",LEN(B20))),LEN(B20)))</f>
        <v>1</v>
      </c>
      <c r="D20" s="43">
        <v>0</v>
      </c>
      <c r="E20" s="43">
        <v>0</v>
      </c>
      <c r="F20" s="43">
        <v>0</v>
      </c>
      <c r="G20" s="43">
        <v>0</v>
      </c>
      <c r="H20" s="43">
        <v>0</v>
      </c>
      <c r="I20" s="43">
        <v>0</v>
      </c>
      <c r="J20" s="43">
        <v>0</v>
      </c>
      <c r="K20" s="43">
        <v>0</v>
      </c>
      <c r="L20" s="43">
        <v>0</v>
      </c>
      <c r="M20" s="43">
        <v>0</v>
      </c>
      <c r="N20" s="90">
        <f t="shared" ca="1" si="1"/>
        <v>0</v>
      </c>
      <c r="O20" s="90">
        <f t="shared" ca="1" si="2"/>
        <v>0</v>
      </c>
      <c r="P20" s="103" t="str">
        <f t="shared" ca="1" si="3"/>
        <v xml:space="preserve">Work not yet Started. </v>
      </c>
      <c r="Q20" s="19">
        <f t="shared" ca="1" si="4"/>
        <v>0</v>
      </c>
      <c r="R20" s="19">
        <f t="shared" ca="1" si="5"/>
        <v>0</v>
      </c>
      <c r="S20" s="19">
        <f t="shared" ca="1" si="6"/>
        <v>0</v>
      </c>
      <c r="T20" s="19">
        <f t="shared" ca="1" si="7"/>
        <v>0</v>
      </c>
      <c r="U20" s="19">
        <f t="shared" ca="1" si="8"/>
        <v>0</v>
      </c>
      <c r="V20" s="19">
        <f t="shared" ca="1" si="9"/>
        <v>0</v>
      </c>
      <c r="W20" s="19">
        <f t="shared" ca="1" si="10"/>
        <v>0</v>
      </c>
      <c r="X20" s="19">
        <f t="shared" ca="1" si="11"/>
        <v>0</v>
      </c>
      <c r="Y20" s="19">
        <f t="shared" ca="1" si="12"/>
        <v>0</v>
      </c>
      <c r="Z20" s="19">
        <f t="shared" ca="1" si="13"/>
        <v>0</v>
      </c>
      <c r="AA20" s="92">
        <f t="shared" ca="1" si="14"/>
        <v>0.25</v>
      </c>
      <c r="AB20" s="93">
        <f t="shared" ca="1" si="15"/>
        <v>0.5</v>
      </c>
      <c r="AC20" s="93">
        <f t="shared" ca="1" si="16"/>
        <v>1</v>
      </c>
      <c r="AD20" s="94">
        <f t="shared" ca="1" si="17"/>
        <v>0.25</v>
      </c>
      <c r="AE20" s="94">
        <f t="shared" ca="1" si="18"/>
        <v>0.5</v>
      </c>
      <c r="AF20" s="94">
        <f t="shared" si="19"/>
        <v>0</v>
      </c>
      <c r="AG20" s="94">
        <f t="shared" si="20"/>
        <v>0</v>
      </c>
      <c r="AH20" s="95">
        <f t="shared" si="21"/>
        <v>0</v>
      </c>
      <c r="AI20" s="94">
        <f t="shared" si="22"/>
        <v>0</v>
      </c>
      <c r="AJ20" s="94">
        <f t="shared" ca="1" si="23"/>
        <v>0.75</v>
      </c>
      <c r="AK20" s="94">
        <f t="shared" ca="1" si="24"/>
        <v>1</v>
      </c>
      <c r="AL20" s="96" t="str">
        <f t="shared" si="0"/>
        <v/>
      </c>
      <c r="AM20" s="96" t="str">
        <f t="shared" si="25"/>
        <v>Work not yet Started.</v>
      </c>
      <c r="AN20" s="96" t="str">
        <f t="shared" ca="1" si="26"/>
        <v/>
      </c>
      <c r="AO20" s="96" t="str">
        <f t="shared" ca="1" si="27"/>
        <v/>
      </c>
      <c r="AP20" s="96" t="str">
        <f t="shared" ca="1" si="28"/>
        <v/>
      </c>
      <c r="AQ20" s="96" t="str">
        <f t="shared" ca="1" si="29"/>
        <v/>
      </c>
    </row>
    <row r="21" spans="1:43" ht="28" x14ac:dyDescent="0.35">
      <c r="A21" s="89" t="s">
        <v>403</v>
      </c>
      <c r="B21" s="18" t="s">
        <v>301</v>
      </c>
      <c r="C21" s="47">
        <f ca="1">--TRIM(RIGHT(SUBSTITUTE(LEFT(B21,_xlfn.AGGREGATE(16,6,FIND({0,1,2,3,4,5,6,7,8,9},B21,ROW(INDIRECT("1:"&amp;LEN(B21)))),1))," ",REPT(" ",LEN(B21))),LEN(B21)))</f>
        <v>1</v>
      </c>
      <c r="D21" s="43">
        <v>0</v>
      </c>
      <c r="E21" s="43">
        <v>0</v>
      </c>
      <c r="F21" s="43">
        <v>0</v>
      </c>
      <c r="G21" s="43">
        <v>0</v>
      </c>
      <c r="H21" s="43">
        <v>0</v>
      </c>
      <c r="I21" s="43">
        <v>0</v>
      </c>
      <c r="J21" s="43">
        <v>0</v>
      </c>
      <c r="K21" s="43">
        <v>0</v>
      </c>
      <c r="L21" s="43">
        <v>0</v>
      </c>
      <c r="M21" s="43">
        <v>0</v>
      </c>
      <c r="N21" s="90">
        <f t="shared" ca="1" si="1"/>
        <v>0</v>
      </c>
      <c r="O21" s="90">
        <f t="shared" ca="1" si="2"/>
        <v>0</v>
      </c>
      <c r="P21" s="103" t="str">
        <f t="shared" ca="1" si="3"/>
        <v xml:space="preserve">Work not yet Started. </v>
      </c>
      <c r="Q21" s="19">
        <f t="shared" ca="1" si="4"/>
        <v>0</v>
      </c>
      <c r="R21" s="19">
        <f t="shared" ca="1" si="5"/>
        <v>0</v>
      </c>
      <c r="S21" s="19">
        <f t="shared" ca="1" si="6"/>
        <v>0</v>
      </c>
      <c r="T21" s="19">
        <f t="shared" ca="1" si="7"/>
        <v>0</v>
      </c>
      <c r="U21" s="19">
        <f t="shared" ca="1" si="8"/>
        <v>0</v>
      </c>
      <c r="V21" s="19">
        <f t="shared" ca="1" si="9"/>
        <v>0</v>
      </c>
      <c r="W21" s="19">
        <f t="shared" ca="1" si="10"/>
        <v>0</v>
      </c>
      <c r="X21" s="19">
        <f t="shared" ca="1" si="11"/>
        <v>0</v>
      </c>
      <c r="Y21" s="19">
        <f t="shared" ca="1" si="12"/>
        <v>0</v>
      </c>
      <c r="Z21" s="19">
        <f t="shared" ca="1" si="13"/>
        <v>0</v>
      </c>
      <c r="AA21" s="92">
        <f t="shared" ca="1" si="14"/>
        <v>0.25</v>
      </c>
      <c r="AB21" s="93">
        <f t="shared" ca="1" si="15"/>
        <v>0.5</v>
      </c>
      <c r="AC21" s="93">
        <f t="shared" ca="1" si="16"/>
        <v>1</v>
      </c>
      <c r="AD21" s="94">
        <f t="shared" ca="1" si="17"/>
        <v>0.25</v>
      </c>
      <c r="AE21" s="94">
        <f t="shared" ca="1" si="18"/>
        <v>0.5</v>
      </c>
      <c r="AF21" s="94">
        <f t="shared" si="19"/>
        <v>0</v>
      </c>
      <c r="AG21" s="94">
        <f t="shared" si="20"/>
        <v>0</v>
      </c>
      <c r="AH21" s="95">
        <f t="shared" si="21"/>
        <v>0</v>
      </c>
      <c r="AI21" s="94">
        <f t="shared" si="22"/>
        <v>0</v>
      </c>
      <c r="AJ21" s="94">
        <f t="shared" ca="1" si="23"/>
        <v>0.75</v>
      </c>
      <c r="AK21" s="94">
        <f t="shared" ca="1" si="24"/>
        <v>1</v>
      </c>
      <c r="AL21" s="96" t="str">
        <f t="shared" si="0"/>
        <v/>
      </c>
      <c r="AM21" s="96" t="str">
        <f t="shared" si="25"/>
        <v>Work not yet Started.</v>
      </c>
      <c r="AN21" s="96" t="str">
        <f t="shared" ca="1" si="26"/>
        <v/>
      </c>
      <c r="AO21" s="96" t="str">
        <f t="shared" ca="1" si="27"/>
        <v/>
      </c>
      <c r="AP21" s="96" t="str">
        <f t="shared" ca="1" si="28"/>
        <v/>
      </c>
      <c r="AQ21" s="96" t="str">
        <f t="shared" ca="1" si="29"/>
        <v/>
      </c>
    </row>
    <row r="22" spans="1:43" ht="28" x14ac:dyDescent="0.35">
      <c r="A22" s="89" t="s">
        <v>404</v>
      </c>
      <c r="B22" s="18" t="s">
        <v>301</v>
      </c>
      <c r="C22" s="47">
        <f ca="1">--TRIM(RIGHT(SUBSTITUTE(LEFT(B22,_xlfn.AGGREGATE(16,6,FIND({0,1,2,3,4,5,6,7,8,9},B22,ROW(INDIRECT("1:"&amp;LEN(B22)))),1))," ",REPT(" ",LEN(B22))),LEN(B22)))</f>
        <v>1</v>
      </c>
      <c r="D22" s="43">
        <v>0</v>
      </c>
      <c r="E22" s="43">
        <v>0</v>
      </c>
      <c r="F22" s="43">
        <v>0</v>
      </c>
      <c r="G22" s="43">
        <v>0</v>
      </c>
      <c r="H22" s="43">
        <v>0</v>
      </c>
      <c r="I22" s="43">
        <v>0</v>
      </c>
      <c r="J22" s="43">
        <v>0</v>
      </c>
      <c r="K22" s="43">
        <v>0</v>
      </c>
      <c r="L22" s="43">
        <v>0</v>
      </c>
      <c r="M22" s="43">
        <v>0</v>
      </c>
      <c r="N22" s="90">
        <f t="shared" ca="1" si="1"/>
        <v>0</v>
      </c>
      <c r="O22" s="90">
        <f t="shared" ca="1" si="2"/>
        <v>0</v>
      </c>
      <c r="P22" s="103" t="str">
        <f t="shared" ca="1" si="3"/>
        <v xml:space="preserve">Work not yet Started. </v>
      </c>
      <c r="Q22" s="19">
        <f t="shared" ca="1" si="4"/>
        <v>0</v>
      </c>
      <c r="R22" s="19">
        <f t="shared" ca="1" si="5"/>
        <v>0</v>
      </c>
      <c r="S22" s="19">
        <f t="shared" ca="1" si="6"/>
        <v>0</v>
      </c>
      <c r="T22" s="19">
        <f t="shared" ca="1" si="7"/>
        <v>0</v>
      </c>
      <c r="U22" s="19">
        <f t="shared" ca="1" si="8"/>
        <v>0</v>
      </c>
      <c r="V22" s="19">
        <f t="shared" ca="1" si="9"/>
        <v>0</v>
      </c>
      <c r="W22" s="19">
        <f t="shared" ca="1" si="10"/>
        <v>0</v>
      </c>
      <c r="X22" s="19">
        <f t="shared" ca="1" si="11"/>
        <v>0</v>
      </c>
      <c r="Y22" s="19">
        <f t="shared" ca="1" si="12"/>
        <v>0</v>
      </c>
      <c r="Z22" s="19">
        <f t="shared" ca="1" si="13"/>
        <v>0</v>
      </c>
      <c r="AA22" s="92">
        <f t="shared" ca="1" si="14"/>
        <v>0.25</v>
      </c>
      <c r="AB22" s="93">
        <f t="shared" ca="1" si="15"/>
        <v>0.5</v>
      </c>
      <c r="AC22" s="93">
        <f t="shared" ca="1" si="16"/>
        <v>1</v>
      </c>
      <c r="AD22" s="94">
        <f t="shared" ca="1" si="17"/>
        <v>0.25</v>
      </c>
      <c r="AE22" s="94">
        <f t="shared" ca="1" si="18"/>
        <v>0.5</v>
      </c>
      <c r="AF22" s="94">
        <f t="shared" si="19"/>
        <v>0</v>
      </c>
      <c r="AG22" s="94">
        <f t="shared" si="20"/>
        <v>0</v>
      </c>
      <c r="AH22" s="95">
        <f t="shared" si="21"/>
        <v>0</v>
      </c>
      <c r="AI22" s="94">
        <f t="shared" si="22"/>
        <v>0</v>
      </c>
      <c r="AJ22" s="94">
        <f t="shared" ca="1" si="23"/>
        <v>0.75</v>
      </c>
      <c r="AK22" s="94">
        <f t="shared" ca="1" si="24"/>
        <v>1</v>
      </c>
      <c r="AL22" s="96" t="str">
        <f t="shared" si="0"/>
        <v/>
      </c>
      <c r="AM22" s="96" t="str">
        <f t="shared" si="25"/>
        <v>Work not yet Started.</v>
      </c>
      <c r="AN22" s="96" t="str">
        <f t="shared" ca="1" si="26"/>
        <v/>
      </c>
      <c r="AO22" s="96" t="str">
        <f t="shared" ca="1" si="27"/>
        <v/>
      </c>
      <c r="AP22" s="96" t="str">
        <f t="shared" ca="1" si="28"/>
        <v/>
      </c>
      <c r="AQ22" s="96" t="str">
        <f t="shared" ca="1" si="29"/>
        <v/>
      </c>
    </row>
    <row r="23" spans="1:43" ht="28" x14ac:dyDescent="0.35">
      <c r="A23" s="89" t="s">
        <v>405</v>
      </c>
      <c r="B23" s="18" t="s">
        <v>301</v>
      </c>
      <c r="C23" s="47">
        <f ca="1">--TRIM(RIGHT(SUBSTITUTE(LEFT(B23,_xlfn.AGGREGATE(16,6,FIND({0,1,2,3,4,5,6,7,8,9},B23,ROW(INDIRECT("1:"&amp;LEN(B23)))),1))," ",REPT(" ",LEN(B23))),LEN(B23)))</f>
        <v>1</v>
      </c>
      <c r="D23" s="43">
        <v>0</v>
      </c>
      <c r="E23" s="43">
        <v>0</v>
      </c>
      <c r="F23" s="43">
        <v>0</v>
      </c>
      <c r="G23" s="43">
        <v>0</v>
      </c>
      <c r="H23" s="43">
        <v>0</v>
      </c>
      <c r="I23" s="43">
        <v>0</v>
      </c>
      <c r="J23" s="43">
        <v>0</v>
      </c>
      <c r="K23" s="43">
        <v>0</v>
      </c>
      <c r="L23" s="43">
        <v>0</v>
      </c>
      <c r="M23" s="43">
        <v>0</v>
      </c>
      <c r="N23" s="90">
        <f t="shared" ca="1" si="1"/>
        <v>0</v>
      </c>
      <c r="O23" s="90">
        <f t="shared" ca="1" si="2"/>
        <v>0</v>
      </c>
      <c r="P23" s="103" t="str">
        <f t="shared" ca="1" si="3"/>
        <v xml:space="preserve">Work not yet Started. </v>
      </c>
      <c r="Q23" s="19">
        <f t="shared" ca="1" si="4"/>
        <v>0</v>
      </c>
      <c r="R23" s="19">
        <f t="shared" ca="1" si="5"/>
        <v>0</v>
      </c>
      <c r="S23" s="19">
        <f t="shared" ca="1" si="6"/>
        <v>0</v>
      </c>
      <c r="T23" s="19">
        <f t="shared" ca="1" si="7"/>
        <v>0</v>
      </c>
      <c r="U23" s="19">
        <f t="shared" ca="1" si="8"/>
        <v>0</v>
      </c>
      <c r="V23" s="19">
        <f t="shared" ca="1" si="9"/>
        <v>0</v>
      </c>
      <c r="W23" s="19">
        <f t="shared" ca="1" si="10"/>
        <v>0</v>
      </c>
      <c r="X23" s="19">
        <f t="shared" ca="1" si="11"/>
        <v>0</v>
      </c>
      <c r="Y23" s="19">
        <f t="shared" ca="1" si="12"/>
        <v>0</v>
      </c>
      <c r="Z23" s="19">
        <f t="shared" ca="1" si="13"/>
        <v>0</v>
      </c>
      <c r="AA23" s="92">
        <f t="shared" ca="1" si="14"/>
        <v>0.25</v>
      </c>
      <c r="AB23" s="93">
        <f t="shared" ca="1" si="15"/>
        <v>0.5</v>
      </c>
      <c r="AC23" s="93">
        <f t="shared" ca="1" si="16"/>
        <v>1</v>
      </c>
      <c r="AD23" s="94">
        <f t="shared" ca="1" si="17"/>
        <v>0.25</v>
      </c>
      <c r="AE23" s="94">
        <f t="shared" ca="1" si="18"/>
        <v>0.5</v>
      </c>
      <c r="AF23" s="94">
        <f t="shared" si="19"/>
        <v>0</v>
      </c>
      <c r="AG23" s="94">
        <f t="shared" si="20"/>
        <v>0</v>
      </c>
      <c r="AH23" s="95">
        <f t="shared" si="21"/>
        <v>0</v>
      </c>
      <c r="AI23" s="94">
        <f t="shared" si="22"/>
        <v>0</v>
      </c>
      <c r="AJ23" s="94">
        <f t="shared" ca="1" si="23"/>
        <v>0.75</v>
      </c>
      <c r="AK23" s="94">
        <f t="shared" ca="1" si="24"/>
        <v>1</v>
      </c>
      <c r="AL23" s="96" t="str">
        <f t="shared" si="0"/>
        <v/>
      </c>
      <c r="AM23" s="96" t="str">
        <f t="shared" si="25"/>
        <v>Work not yet Started.</v>
      </c>
      <c r="AN23" s="96" t="str">
        <f t="shared" ca="1" si="26"/>
        <v/>
      </c>
      <c r="AO23" s="96" t="str">
        <f t="shared" ca="1" si="27"/>
        <v/>
      </c>
      <c r="AP23" s="96" t="str">
        <f t="shared" ca="1" si="28"/>
        <v/>
      </c>
      <c r="AQ23" s="96" t="str">
        <f t="shared" ca="1" si="29"/>
        <v/>
      </c>
    </row>
    <row r="24" spans="1:43" ht="28" x14ac:dyDescent="0.35">
      <c r="A24" s="89" t="s">
        <v>406</v>
      </c>
      <c r="B24" s="18" t="s">
        <v>301</v>
      </c>
      <c r="C24" s="47">
        <v>1</v>
      </c>
      <c r="D24" s="43">
        <v>0</v>
      </c>
      <c r="E24" s="43">
        <v>0</v>
      </c>
      <c r="F24" s="43">
        <v>0</v>
      </c>
      <c r="G24" s="43">
        <v>0</v>
      </c>
      <c r="H24" s="43">
        <v>0</v>
      </c>
      <c r="I24" s="43">
        <v>0</v>
      </c>
      <c r="J24" s="43">
        <v>0</v>
      </c>
      <c r="K24" s="43">
        <v>0</v>
      </c>
      <c r="L24" s="43">
        <v>0</v>
      </c>
      <c r="M24" s="43">
        <v>0</v>
      </c>
      <c r="N24" s="90">
        <v>0</v>
      </c>
      <c r="O24" s="90">
        <v>0</v>
      </c>
      <c r="P24" s="103" t="str">
        <f t="shared" si="3"/>
        <v xml:space="preserve">Work not yet Started. </v>
      </c>
      <c r="Q24" s="19">
        <f t="shared" si="4"/>
        <v>0</v>
      </c>
      <c r="R24" s="19">
        <f t="shared" si="5"/>
        <v>0</v>
      </c>
      <c r="S24" s="19">
        <f t="shared" si="6"/>
        <v>0</v>
      </c>
      <c r="T24" s="19">
        <f t="shared" si="7"/>
        <v>0</v>
      </c>
      <c r="U24" s="19">
        <f t="shared" si="8"/>
        <v>0</v>
      </c>
      <c r="V24" s="19">
        <f t="shared" si="9"/>
        <v>0</v>
      </c>
      <c r="W24" s="19">
        <f t="shared" si="10"/>
        <v>0</v>
      </c>
      <c r="X24" s="19">
        <f t="shared" si="11"/>
        <v>0</v>
      </c>
      <c r="Y24" s="19">
        <f t="shared" si="12"/>
        <v>0</v>
      </c>
      <c r="Z24" s="19">
        <f t="shared" si="13"/>
        <v>0</v>
      </c>
      <c r="AA24" s="92">
        <f t="shared" si="14"/>
        <v>0.25</v>
      </c>
      <c r="AB24" s="93">
        <f t="shared" si="15"/>
        <v>0.5</v>
      </c>
      <c r="AC24" s="93">
        <f t="shared" si="16"/>
        <v>1</v>
      </c>
      <c r="AD24" s="94">
        <f t="shared" si="17"/>
        <v>0.25</v>
      </c>
      <c r="AE24" s="94">
        <f t="shared" si="18"/>
        <v>0.5</v>
      </c>
      <c r="AF24" s="94">
        <f t="shared" si="19"/>
        <v>0</v>
      </c>
      <c r="AG24" s="94">
        <f t="shared" si="20"/>
        <v>0</v>
      </c>
      <c r="AH24" s="95">
        <f t="shared" si="21"/>
        <v>0</v>
      </c>
      <c r="AI24" s="94">
        <f t="shared" si="22"/>
        <v>0</v>
      </c>
      <c r="AJ24" s="94">
        <f t="shared" si="23"/>
        <v>0.75</v>
      </c>
      <c r="AK24" s="94">
        <f t="shared" si="24"/>
        <v>1</v>
      </c>
      <c r="AL24" s="96" t="str">
        <f t="shared" si="0"/>
        <v/>
      </c>
      <c r="AM24" s="96" t="str">
        <f t="shared" si="25"/>
        <v>Work not yet Started.</v>
      </c>
      <c r="AN24" s="96" t="str">
        <f t="shared" si="26"/>
        <v/>
      </c>
      <c r="AO24" s="96" t="str">
        <f t="shared" si="27"/>
        <v/>
      </c>
      <c r="AP24" s="96" t="str">
        <f t="shared" si="28"/>
        <v/>
      </c>
      <c r="AQ24" s="96" t="str">
        <f t="shared" si="29"/>
        <v/>
      </c>
    </row>
    <row r="25" spans="1:43" ht="28" x14ac:dyDescent="0.35">
      <c r="A25" s="89" t="s">
        <v>407</v>
      </c>
      <c r="B25" s="18" t="s">
        <v>301</v>
      </c>
      <c r="C25" s="47">
        <f ca="1">--TRIM(RIGHT(SUBSTITUTE(LEFT(B25,_xlfn.AGGREGATE(16,6,FIND({0,1,2,3,4,5,6,7,8,9},B25,ROW(INDIRECT("1:"&amp;LEN(B25)))),1))," ",REPT(" ",LEN(B25))),LEN(B25)))</f>
        <v>1</v>
      </c>
      <c r="D25" s="43">
        <v>0</v>
      </c>
      <c r="E25" s="43">
        <v>0</v>
      </c>
      <c r="F25" s="43">
        <v>0</v>
      </c>
      <c r="G25" s="43">
        <v>0</v>
      </c>
      <c r="H25" s="43">
        <v>0</v>
      </c>
      <c r="I25" s="43">
        <v>0</v>
      </c>
      <c r="J25" s="43">
        <v>0</v>
      </c>
      <c r="K25" s="43">
        <v>0</v>
      </c>
      <c r="L25" s="43">
        <v>0</v>
      </c>
      <c r="M25" s="43">
        <v>0</v>
      </c>
      <c r="N25" s="90">
        <f t="shared" ca="1" si="1"/>
        <v>0</v>
      </c>
      <c r="O25" s="90">
        <f t="shared" ca="1" si="2"/>
        <v>0</v>
      </c>
      <c r="P25" s="103" t="str">
        <f t="shared" ca="1" si="3"/>
        <v xml:space="preserve">Work not yet Started. </v>
      </c>
      <c r="Q25" s="19">
        <f t="shared" ca="1" si="4"/>
        <v>0</v>
      </c>
      <c r="R25" s="19">
        <f t="shared" ca="1" si="5"/>
        <v>0</v>
      </c>
      <c r="S25" s="19">
        <f t="shared" ca="1" si="6"/>
        <v>0</v>
      </c>
      <c r="T25" s="19">
        <f t="shared" ca="1" si="7"/>
        <v>0</v>
      </c>
      <c r="U25" s="19">
        <f t="shared" ca="1" si="8"/>
        <v>0</v>
      </c>
      <c r="V25" s="19">
        <f t="shared" ca="1" si="9"/>
        <v>0</v>
      </c>
      <c r="W25" s="19">
        <f t="shared" ca="1" si="10"/>
        <v>0</v>
      </c>
      <c r="X25" s="19">
        <f t="shared" ca="1" si="11"/>
        <v>0</v>
      </c>
      <c r="Y25" s="19">
        <f t="shared" ca="1" si="12"/>
        <v>0</v>
      </c>
      <c r="Z25" s="19">
        <f t="shared" ca="1" si="13"/>
        <v>0</v>
      </c>
      <c r="AA25" s="92">
        <f t="shared" ca="1" si="14"/>
        <v>0.25</v>
      </c>
      <c r="AB25" s="93">
        <f t="shared" ca="1" si="15"/>
        <v>0.5</v>
      </c>
      <c r="AC25" s="93">
        <f t="shared" ca="1" si="16"/>
        <v>1</v>
      </c>
      <c r="AD25" s="94">
        <f t="shared" ca="1" si="17"/>
        <v>0.25</v>
      </c>
      <c r="AE25" s="94">
        <f t="shared" ca="1" si="18"/>
        <v>0.5</v>
      </c>
      <c r="AF25" s="94">
        <f t="shared" si="19"/>
        <v>0</v>
      </c>
      <c r="AG25" s="94">
        <f t="shared" si="20"/>
        <v>0</v>
      </c>
      <c r="AH25" s="95">
        <f t="shared" si="21"/>
        <v>0</v>
      </c>
      <c r="AI25" s="94">
        <f t="shared" si="22"/>
        <v>0</v>
      </c>
      <c r="AJ25" s="94">
        <f t="shared" ca="1" si="23"/>
        <v>0.75</v>
      </c>
      <c r="AK25" s="94">
        <f t="shared" ca="1" si="24"/>
        <v>1</v>
      </c>
      <c r="AL25" s="96" t="str">
        <f t="shared" si="0"/>
        <v/>
      </c>
      <c r="AM25" s="96" t="str">
        <f t="shared" si="25"/>
        <v>Work not yet Started.</v>
      </c>
      <c r="AN25" s="96" t="str">
        <f t="shared" ca="1" si="26"/>
        <v/>
      </c>
      <c r="AO25" s="96" t="str">
        <f t="shared" ca="1" si="27"/>
        <v/>
      </c>
      <c r="AP25" s="96" t="str">
        <f t="shared" ca="1" si="28"/>
        <v/>
      </c>
      <c r="AQ25" s="96" t="str">
        <f t="shared" ca="1" si="29"/>
        <v/>
      </c>
    </row>
    <row r="26" spans="1:43" ht="15.5" x14ac:dyDescent="0.35">
      <c r="A26" s="89">
        <v>8</v>
      </c>
      <c r="B26" s="18" t="s">
        <v>301</v>
      </c>
      <c r="C26" s="47">
        <f ca="1">--TRIM(RIGHT(SUBSTITUTE(LEFT(B26,_xlfn.AGGREGATE(16,6,FIND({0,1,2,3,4,5,6,7,8,9},B26,ROW(INDIRECT("1:"&amp;LEN(B26)))),1))," ",REPT(" ",LEN(B26))),LEN(B26)))</f>
        <v>1</v>
      </c>
      <c r="D26" s="43">
        <v>0</v>
      </c>
      <c r="E26" s="43">
        <v>0</v>
      </c>
      <c r="F26" s="43">
        <v>0</v>
      </c>
      <c r="G26" s="43">
        <v>0</v>
      </c>
      <c r="H26" s="43">
        <v>0</v>
      </c>
      <c r="I26" s="43">
        <v>0</v>
      </c>
      <c r="J26" s="43">
        <v>0</v>
      </c>
      <c r="K26" s="43">
        <v>0</v>
      </c>
      <c r="L26" s="43">
        <v>0</v>
      </c>
      <c r="M26" s="43">
        <v>0</v>
      </c>
      <c r="N26" s="90">
        <f t="shared" ca="1" si="1"/>
        <v>0</v>
      </c>
      <c r="O26" s="90">
        <f t="shared" ca="1" si="2"/>
        <v>0</v>
      </c>
      <c r="P26" s="103" t="str">
        <f t="shared" ca="1" si="3"/>
        <v xml:space="preserve">Work not yet Started. </v>
      </c>
      <c r="Q26" s="19">
        <f t="shared" ca="1" si="4"/>
        <v>0</v>
      </c>
      <c r="R26" s="19">
        <f t="shared" ca="1" si="5"/>
        <v>0</v>
      </c>
      <c r="S26" s="19">
        <f t="shared" ca="1" si="6"/>
        <v>0</v>
      </c>
      <c r="T26" s="19">
        <f t="shared" ca="1" si="7"/>
        <v>0</v>
      </c>
      <c r="U26" s="19">
        <f t="shared" ca="1" si="8"/>
        <v>0</v>
      </c>
      <c r="V26" s="19">
        <f t="shared" ca="1" si="9"/>
        <v>0</v>
      </c>
      <c r="W26" s="19">
        <f t="shared" ca="1" si="10"/>
        <v>0</v>
      </c>
      <c r="X26" s="19">
        <f t="shared" ca="1" si="11"/>
        <v>0</v>
      </c>
      <c r="Y26" s="19">
        <f t="shared" ca="1" si="12"/>
        <v>0</v>
      </c>
      <c r="Z26" s="19">
        <f t="shared" ca="1" si="13"/>
        <v>0</v>
      </c>
      <c r="AA26" s="92">
        <f t="shared" ca="1" si="14"/>
        <v>0.25</v>
      </c>
      <c r="AB26" s="93">
        <f t="shared" ca="1" si="15"/>
        <v>0.5</v>
      </c>
      <c r="AC26" s="93">
        <f t="shared" ca="1" si="16"/>
        <v>1</v>
      </c>
      <c r="AD26" s="94">
        <f t="shared" ca="1" si="17"/>
        <v>0.25</v>
      </c>
      <c r="AE26" s="94">
        <f t="shared" ca="1" si="18"/>
        <v>0.5</v>
      </c>
      <c r="AF26" s="94">
        <f t="shared" si="19"/>
        <v>0</v>
      </c>
      <c r="AG26" s="94">
        <f t="shared" si="20"/>
        <v>0</v>
      </c>
      <c r="AH26" s="95">
        <f t="shared" si="21"/>
        <v>0</v>
      </c>
      <c r="AI26" s="94">
        <f t="shared" si="22"/>
        <v>0</v>
      </c>
      <c r="AJ26" s="94">
        <f t="shared" ca="1" si="23"/>
        <v>0.75</v>
      </c>
      <c r="AK26" s="94">
        <f t="shared" ca="1" si="24"/>
        <v>1</v>
      </c>
      <c r="AL26" s="96" t="str">
        <f t="shared" si="0"/>
        <v/>
      </c>
      <c r="AM26" s="96" t="str">
        <f t="shared" si="25"/>
        <v>Work not yet Started.</v>
      </c>
      <c r="AN26" s="96" t="str">
        <f t="shared" ca="1" si="26"/>
        <v/>
      </c>
      <c r="AO26" s="96" t="str">
        <f t="shared" ca="1" si="27"/>
        <v/>
      </c>
      <c r="AP26" s="96" t="str">
        <f t="shared" ca="1" si="28"/>
        <v/>
      </c>
      <c r="AQ26" s="96" t="str">
        <f t="shared" ca="1" si="29"/>
        <v/>
      </c>
    </row>
    <row r="27" spans="1:43" ht="15.5" x14ac:dyDescent="0.35">
      <c r="A27" s="89">
        <v>9</v>
      </c>
      <c r="B27" s="18" t="s">
        <v>301</v>
      </c>
      <c r="C27" s="47">
        <f ca="1">--TRIM(RIGHT(SUBSTITUTE(LEFT(B27,_xlfn.AGGREGATE(16,6,FIND({0,1,2,3,4,5,6,7,8,9},B27,ROW(INDIRECT("1:"&amp;LEN(B27)))),1))," ",REPT(" ",LEN(B27))),LEN(B27)))</f>
        <v>1</v>
      </c>
      <c r="D27" s="43">
        <v>0</v>
      </c>
      <c r="E27" s="43">
        <v>0</v>
      </c>
      <c r="F27" s="43">
        <v>0</v>
      </c>
      <c r="G27" s="43">
        <v>0</v>
      </c>
      <c r="H27" s="43">
        <v>0</v>
      </c>
      <c r="I27" s="43">
        <v>0</v>
      </c>
      <c r="J27" s="43">
        <v>0</v>
      </c>
      <c r="K27" s="43">
        <v>0</v>
      </c>
      <c r="L27" s="43">
        <v>0</v>
      </c>
      <c r="M27" s="43">
        <v>0</v>
      </c>
      <c r="N27" s="90">
        <f t="shared" ca="1" si="1"/>
        <v>0</v>
      </c>
      <c r="O27" s="90">
        <f t="shared" ca="1" si="2"/>
        <v>0</v>
      </c>
      <c r="P27" s="103" t="str">
        <f t="shared" ca="1" si="3"/>
        <v xml:space="preserve">Work not yet Started. </v>
      </c>
      <c r="Q27" s="19">
        <f t="shared" ca="1" si="4"/>
        <v>0</v>
      </c>
      <c r="R27" s="19">
        <f t="shared" ca="1" si="5"/>
        <v>0</v>
      </c>
      <c r="S27" s="19">
        <f t="shared" ca="1" si="6"/>
        <v>0</v>
      </c>
      <c r="T27" s="19">
        <f t="shared" ca="1" si="7"/>
        <v>0</v>
      </c>
      <c r="U27" s="19">
        <f t="shared" ca="1" si="8"/>
        <v>0</v>
      </c>
      <c r="V27" s="19">
        <f t="shared" ca="1" si="9"/>
        <v>0</v>
      </c>
      <c r="W27" s="19">
        <f t="shared" ca="1" si="10"/>
        <v>0</v>
      </c>
      <c r="X27" s="19">
        <f t="shared" ca="1" si="11"/>
        <v>0</v>
      </c>
      <c r="Y27" s="19">
        <f t="shared" ca="1" si="12"/>
        <v>0</v>
      </c>
      <c r="Z27" s="19">
        <f t="shared" ca="1" si="13"/>
        <v>0</v>
      </c>
      <c r="AA27" s="92">
        <f t="shared" ca="1" si="14"/>
        <v>0.25</v>
      </c>
      <c r="AB27" s="93">
        <f t="shared" ca="1" si="15"/>
        <v>0.5</v>
      </c>
      <c r="AC27" s="93">
        <f t="shared" ca="1" si="16"/>
        <v>1</v>
      </c>
      <c r="AD27" s="94">
        <f t="shared" ca="1" si="17"/>
        <v>0.25</v>
      </c>
      <c r="AE27" s="94">
        <f t="shared" ca="1" si="18"/>
        <v>0.5</v>
      </c>
      <c r="AF27" s="94">
        <f t="shared" si="19"/>
        <v>0</v>
      </c>
      <c r="AG27" s="94">
        <f t="shared" si="20"/>
        <v>0</v>
      </c>
      <c r="AH27" s="95">
        <f t="shared" si="21"/>
        <v>0</v>
      </c>
      <c r="AI27" s="94">
        <f t="shared" si="22"/>
        <v>0</v>
      </c>
      <c r="AJ27" s="94">
        <f t="shared" ca="1" si="23"/>
        <v>0.75</v>
      </c>
      <c r="AK27" s="94">
        <f t="shared" ca="1" si="24"/>
        <v>1</v>
      </c>
      <c r="AL27" s="96" t="str">
        <f t="shared" si="0"/>
        <v/>
      </c>
      <c r="AM27" s="96" t="str">
        <f t="shared" si="25"/>
        <v>Work not yet Started.</v>
      </c>
      <c r="AN27" s="96" t="str">
        <f t="shared" ca="1" si="26"/>
        <v/>
      </c>
      <c r="AO27" s="96" t="str">
        <f t="shared" ca="1" si="27"/>
        <v/>
      </c>
      <c r="AP27" s="96" t="str">
        <f t="shared" ca="1" si="28"/>
        <v/>
      </c>
      <c r="AQ27" s="96" t="str">
        <f t="shared" ca="1" si="29"/>
        <v/>
      </c>
    </row>
    <row r="28" spans="1:43" ht="15.5" x14ac:dyDescent="0.35">
      <c r="A28" s="89">
        <v>10</v>
      </c>
      <c r="B28" s="18" t="s">
        <v>301</v>
      </c>
      <c r="C28" s="47">
        <f ca="1">--TRIM(RIGHT(SUBSTITUTE(LEFT(B28,_xlfn.AGGREGATE(16,6,FIND({0,1,2,3,4,5,6,7,8,9},B28,ROW(INDIRECT("1:"&amp;LEN(B28)))),1))," ",REPT(" ",LEN(B28))),LEN(B28)))</f>
        <v>1</v>
      </c>
      <c r="D28" s="43">
        <v>0</v>
      </c>
      <c r="E28" s="43">
        <v>0</v>
      </c>
      <c r="F28" s="43">
        <v>0</v>
      </c>
      <c r="G28" s="43">
        <v>0</v>
      </c>
      <c r="H28" s="43">
        <v>0</v>
      </c>
      <c r="I28" s="43">
        <v>0</v>
      </c>
      <c r="J28" s="43">
        <v>0</v>
      </c>
      <c r="K28" s="43">
        <v>0</v>
      </c>
      <c r="L28" s="43">
        <v>0</v>
      </c>
      <c r="M28" s="43">
        <v>0</v>
      </c>
      <c r="N28" s="90">
        <f t="shared" ca="1" si="1"/>
        <v>0</v>
      </c>
      <c r="O28" s="90">
        <f t="shared" ca="1" si="2"/>
        <v>0</v>
      </c>
      <c r="P28" s="103" t="str">
        <f t="shared" ca="1" si="3"/>
        <v xml:space="preserve">Work not yet Started. </v>
      </c>
      <c r="Q28" s="19">
        <f t="shared" ca="1" si="4"/>
        <v>0</v>
      </c>
      <c r="R28" s="19">
        <f t="shared" ca="1" si="5"/>
        <v>0</v>
      </c>
      <c r="S28" s="19">
        <f t="shared" ca="1" si="6"/>
        <v>0</v>
      </c>
      <c r="T28" s="19">
        <f t="shared" ca="1" si="7"/>
        <v>0</v>
      </c>
      <c r="U28" s="19">
        <f t="shared" ca="1" si="8"/>
        <v>0</v>
      </c>
      <c r="V28" s="19">
        <f t="shared" ca="1" si="9"/>
        <v>0</v>
      </c>
      <c r="W28" s="19">
        <f t="shared" ca="1" si="10"/>
        <v>0</v>
      </c>
      <c r="X28" s="19">
        <f t="shared" ca="1" si="11"/>
        <v>0</v>
      </c>
      <c r="Y28" s="19">
        <f t="shared" ca="1" si="12"/>
        <v>0</v>
      </c>
      <c r="Z28" s="19">
        <f t="shared" ca="1" si="13"/>
        <v>0</v>
      </c>
      <c r="AA28" s="92">
        <f t="shared" ca="1" si="14"/>
        <v>0.25</v>
      </c>
      <c r="AB28" s="93">
        <f t="shared" ca="1" si="15"/>
        <v>0.5</v>
      </c>
      <c r="AC28" s="93">
        <f t="shared" ca="1" si="16"/>
        <v>1</v>
      </c>
      <c r="AD28" s="94">
        <f t="shared" ca="1" si="17"/>
        <v>0.25</v>
      </c>
      <c r="AE28" s="94">
        <f t="shared" ca="1" si="18"/>
        <v>0.5</v>
      </c>
      <c r="AF28" s="94">
        <f t="shared" si="19"/>
        <v>0</v>
      </c>
      <c r="AG28" s="94">
        <f t="shared" si="20"/>
        <v>0</v>
      </c>
      <c r="AH28" s="95">
        <f t="shared" si="21"/>
        <v>0</v>
      </c>
      <c r="AI28" s="94">
        <f t="shared" si="22"/>
        <v>0</v>
      </c>
      <c r="AJ28" s="94">
        <f t="shared" ca="1" si="23"/>
        <v>0.75</v>
      </c>
      <c r="AK28" s="94">
        <f t="shared" ca="1" si="24"/>
        <v>1</v>
      </c>
      <c r="AL28" s="96" t="str">
        <f t="shared" si="0"/>
        <v/>
      </c>
      <c r="AM28" s="96" t="str">
        <f t="shared" si="25"/>
        <v>Work not yet Started.</v>
      </c>
      <c r="AN28" s="96" t="str">
        <f t="shared" ca="1" si="26"/>
        <v/>
      </c>
      <c r="AO28" s="96" t="str">
        <f t="shared" ca="1" si="27"/>
        <v/>
      </c>
      <c r="AP28" s="96" t="str">
        <f t="shared" ca="1" si="28"/>
        <v/>
      </c>
      <c r="AQ28" s="96" t="str">
        <f t="shared" ca="1" si="29"/>
        <v/>
      </c>
    </row>
    <row r="29" spans="1:43" ht="15.5" x14ac:dyDescent="0.35">
      <c r="A29" s="89">
        <v>11</v>
      </c>
      <c r="B29" s="18" t="s">
        <v>301</v>
      </c>
      <c r="C29" s="47">
        <f ca="1">--TRIM(RIGHT(SUBSTITUTE(LEFT(B29,_xlfn.AGGREGATE(16,6,FIND({0,1,2,3,4,5,6,7,8,9},B29,ROW(INDIRECT("1:"&amp;LEN(B29)))),1))," ",REPT(" ",LEN(B29))),LEN(B29)))</f>
        <v>1</v>
      </c>
      <c r="D29" s="43">
        <v>0</v>
      </c>
      <c r="E29" s="43">
        <v>0</v>
      </c>
      <c r="F29" s="43">
        <v>0</v>
      </c>
      <c r="G29" s="43">
        <v>0</v>
      </c>
      <c r="H29" s="43">
        <v>0</v>
      </c>
      <c r="I29" s="43">
        <v>0</v>
      </c>
      <c r="J29" s="43">
        <v>0</v>
      </c>
      <c r="K29" s="43">
        <v>0</v>
      </c>
      <c r="L29" s="43">
        <v>0</v>
      </c>
      <c r="M29" s="43">
        <v>0</v>
      </c>
      <c r="N29" s="90">
        <f t="shared" ca="1" si="1"/>
        <v>0</v>
      </c>
      <c r="O29" s="90">
        <f t="shared" ca="1" si="2"/>
        <v>0</v>
      </c>
      <c r="P29" s="103" t="str">
        <f t="shared" ca="1" si="3"/>
        <v xml:space="preserve">Work not yet Started. </v>
      </c>
      <c r="Q29" s="19">
        <f t="shared" ca="1" si="4"/>
        <v>0</v>
      </c>
      <c r="R29" s="19">
        <f t="shared" ca="1" si="5"/>
        <v>0</v>
      </c>
      <c r="S29" s="19">
        <f t="shared" ca="1" si="6"/>
        <v>0</v>
      </c>
      <c r="T29" s="19">
        <f t="shared" ca="1" si="7"/>
        <v>0</v>
      </c>
      <c r="U29" s="19">
        <f t="shared" ca="1" si="8"/>
        <v>0</v>
      </c>
      <c r="V29" s="19">
        <f t="shared" ca="1" si="9"/>
        <v>0</v>
      </c>
      <c r="W29" s="19">
        <f t="shared" ca="1" si="10"/>
        <v>0</v>
      </c>
      <c r="X29" s="19">
        <f t="shared" ca="1" si="11"/>
        <v>0</v>
      </c>
      <c r="Y29" s="19">
        <f t="shared" ca="1" si="12"/>
        <v>0</v>
      </c>
      <c r="Z29" s="19">
        <f t="shared" ca="1" si="13"/>
        <v>0</v>
      </c>
      <c r="AA29" s="92">
        <f t="shared" ca="1" si="14"/>
        <v>0.25</v>
      </c>
      <c r="AB29" s="93">
        <f t="shared" ca="1" si="15"/>
        <v>0.5</v>
      </c>
      <c r="AC29" s="93">
        <f t="shared" ca="1" si="16"/>
        <v>1</v>
      </c>
      <c r="AD29" s="94">
        <f t="shared" ca="1" si="17"/>
        <v>0.25</v>
      </c>
      <c r="AE29" s="94">
        <f t="shared" ca="1" si="18"/>
        <v>0.5</v>
      </c>
      <c r="AF29" s="94">
        <f t="shared" si="19"/>
        <v>0</v>
      </c>
      <c r="AG29" s="94">
        <f t="shared" si="20"/>
        <v>0</v>
      </c>
      <c r="AH29" s="95">
        <f t="shared" si="21"/>
        <v>0</v>
      </c>
      <c r="AI29" s="94">
        <f t="shared" si="22"/>
        <v>0</v>
      </c>
      <c r="AJ29" s="94">
        <f t="shared" ca="1" si="23"/>
        <v>0.75</v>
      </c>
      <c r="AK29" s="94">
        <f t="shared" ca="1" si="24"/>
        <v>1</v>
      </c>
      <c r="AL29" s="96" t="str">
        <f t="shared" si="0"/>
        <v/>
      </c>
      <c r="AM29" s="96" t="str">
        <f t="shared" si="25"/>
        <v>Work not yet Started.</v>
      </c>
      <c r="AN29" s="96" t="str">
        <f t="shared" ca="1" si="26"/>
        <v/>
      </c>
      <c r="AO29" s="96" t="str">
        <f t="shared" ca="1" si="27"/>
        <v/>
      </c>
      <c r="AP29" s="96" t="str">
        <f t="shared" ca="1" si="28"/>
        <v/>
      </c>
      <c r="AQ29" s="96" t="str">
        <f t="shared" ca="1" si="29"/>
        <v/>
      </c>
    </row>
    <row r="30" spans="1:43" ht="15.5" x14ac:dyDescent="0.35">
      <c r="A30" s="89">
        <v>12</v>
      </c>
      <c r="B30" s="18" t="s">
        <v>301</v>
      </c>
      <c r="C30" s="47">
        <f ca="1">--TRIM(RIGHT(SUBSTITUTE(LEFT(B30,_xlfn.AGGREGATE(16,6,FIND({0,1,2,3,4,5,6,7,8,9},B30,ROW(INDIRECT("1:"&amp;LEN(B30)))),1))," ",REPT(" ",LEN(B30))),LEN(B30)))</f>
        <v>1</v>
      </c>
      <c r="D30" s="43">
        <v>0</v>
      </c>
      <c r="E30" s="43">
        <v>0</v>
      </c>
      <c r="F30" s="43">
        <v>0</v>
      </c>
      <c r="G30" s="43">
        <v>0</v>
      </c>
      <c r="H30" s="43">
        <v>0</v>
      </c>
      <c r="I30" s="43">
        <v>0</v>
      </c>
      <c r="J30" s="43">
        <v>0</v>
      </c>
      <c r="K30" s="43">
        <v>0</v>
      </c>
      <c r="L30" s="43">
        <v>0</v>
      </c>
      <c r="M30" s="43">
        <v>0</v>
      </c>
      <c r="N30" s="90">
        <f t="shared" ca="1" si="1"/>
        <v>0</v>
      </c>
      <c r="O30" s="90">
        <f t="shared" ca="1" si="2"/>
        <v>0</v>
      </c>
      <c r="P30" s="103" t="str">
        <f t="shared" ca="1" si="3"/>
        <v xml:space="preserve">Work not yet Started. </v>
      </c>
      <c r="Q30" s="19">
        <f t="shared" ca="1" si="4"/>
        <v>0</v>
      </c>
      <c r="R30" s="19">
        <f t="shared" ca="1" si="5"/>
        <v>0</v>
      </c>
      <c r="S30" s="19">
        <f t="shared" ca="1" si="6"/>
        <v>0</v>
      </c>
      <c r="T30" s="19">
        <f t="shared" ca="1" si="7"/>
        <v>0</v>
      </c>
      <c r="U30" s="19">
        <f t="shared" ca="1" si="8"/>
        <v>0</v>
      </c>
      <c r="V30" s="19">
        <f t="shared" ca="1" si="9"/>
        <v>0</v>
      </c>
      <c r="W30" s="19">
        <f t="shared" ca="1" si="10"/>
        <v>0</v>
      </c>
      <c r="X30" s="19">
        <f t="shared" ca="1" si="11"/>
        <v>0</v>
      </c>
      <c r="Y30" s="19">
        <f t="shared" ca="1" si="12"/>
        <v>0</v>
      </c>
      <c r="Z30" s="19">
        <f t="shared" ca="1" si="13"/>
        <v>0</v>
      </c>
      <c r="AA30" s="92">
        <f t="shared" ca="1" si="14"/>
        <v>0.25</v>
      </c>
      <c r="AB30" s="93">
        <f t="shared" ca="1" si="15"/>
        <v>0.5</v>
      </c>
      <c r="AC30" s="93">
        <f t="shared" ca="1" si="16"/>
        <v>1</v>
      </c>
      <c r="AD30" s="94">
        <f t="shared" ca="1" si="17"/>
        <v>0.25</v>
      </c>
      <c r="AE30" s="94">
        <f t="shared" ca="1" si="18"/>
        <v>0.5</v>
      </c>
      <c r="AF30" s="94">
        <f t="shared" si="19"/>
        <v>0</v>
      </c>
      <c r="AG30" s="94">
        <f t="shared" si="20"/>
        <v>0</v>
      </c>
      <c r="AH30" s="95">
        <f t="shared" si="21"/>
        <v>0</v>
      </c>
      <c r="AI30" s="94">
        <f t="shared" si="22"/>
        <v>0</v>
      </c>
      <c r="AJ30" s="94">
        <f t="shared" ca="1" si="23"/>
        <v>0.75</v>
      </c>
      <c r="AK30" s="94">
        <f t="shared" ca="1" si="24"/>
        <v>1</v>
      </c>
      <c r="AL30" s="96" t="str">
        <f t="shared" si="0"/>
        <v/>
      </c>
      <c r="AM30" s="96" t="str">
        <f t="shared" si="25"/>
        <v>Work not yet Started.</v>
      </c>
      <c r="AN30" s="96" t="str">
        <f t="shared" ca="1" si="26"/>
        <v/>
      </c>
      <c r="AO30" s="96" t="str">
        <f t="shared" ca="1" si="27"/>
        <v/>
      </c>
      <c r="AP30" s="96" t="str">
        <f t="shared" ca="1" si="28"/>
        <v/>
      </c>
      <c r="AQ30" s="96" t="str">
        <f t="shared" ca="1" si="29"/>
        <v/>
      </c>
    </row>
    <row r="31" spans="1:43" ht="15.5" x14ac:dyDescent="0.35">
      <c r="A31" s="89">
        <v>13</v>
      </c>
      <c r="B31" s="18" t="s">
        <v>301</v>
      </c>
      <c r="C31" s="47">
        <f ca="1">--TRIM(RIGHT(SUBSTITUTE(LEFT(B31,_xlfn.AGGREGATE(16,6,FIND({0,1,2,3,4,5,6,7,8,9},B31,ROW(INDIRECT("1:"&amp;LEN(B31)))),1))," ",REPT(" ",LEN(B31))),LEN(B31)))</f>
        <v>1</v>
      </c>
      <c r="D31" s="43">
        <v>0</v>
      </c>
      <c r="E31" s="43">
        <v>0</v>
      </c>
      <c r="F31" s="43">
        <v>0</v>
      </c>
      <c r="G31" s="43">
        <v>0</v>
      </c>
      <c r="H31" s="43">
        <v>0</v>
      </c>
      <c r="I31" s="43">
        <v>0</v>
      </c>
      <c r="J31" s="43">
        <v>0</v>
      </c>
      <c r="K31" s="43">
        <v>0</v>
      </c>
      <c r="L31" s="43">
        <v>0</v>
      </c>
      <c r="M31" s="43">
        <v>0</v>
      </c>
      <c r="N31" s="90">
        <f t="shared" ca="1" si="1"/>
        <v>0</v>
      </c>
      <c r="O31" s="90">
        <f t="shared" ca="1" si="2"/>
        <v>0</v>
      </c>
      <c r="P31" s="103" t="str">
        <f t="shared" ca="1" si="3"/>
        <v xml:space="preserve">Work not yet Started. </v>
      </c>
      <c r="Q31" s="19">
        <f t="shared" ca="1" si="4"/>
        <v>0</v>
      </c>
      <c r="R31" s="19">
        <f t="shared" ca="1" si="5"/>
        <v>0</v>
      </c>
      <c r="S31" s="19">
        <f t="shared" ca="1" si="6"/>
        <v>0</v>
      </c>
      <c r="T31" s="19">
        <f t="shared" ca="1" si="7"/>
        <v>0</v>
      </c>
      <c r="U31" s="19">
        <f t="shared" ca="1" si="8"/>
        <v>0</v>
      </c>
      <c r="V31" s="19">
        <f t="shared" ca="1" si="9"/>
        <v>0</v>
      </c>
      <c r="W31" s="19">
        <f t="shared" ca="1" si="10"/>
        <v>0</v>
      </c>
      <c r="X31" s="19">
        <f t="shared" ca="1" si="11"/>
        <v>0</v>
      </c>
      <c r="Y31" s="19">
        <f t="shared" ca="1" si="12"/>
        <v>0</v>
      </c>
      <c r="Z31" s="19">
        <f t="shared" ca="1" si="13"/>
        <v>0</v>
      </c>
      <c r="AA31" s="92">
        <f t="shared" ca="1" si="14"/>
        <v>0.25</v>
      </c>
      <c r="AB31" s="93">
        <f t="shared" ca="1" si="15"/>
        <v>0.5</v>
      </c>
      <c r="AC31" s="93">
        <f t="shared" ca="1" si="16"/>
        <v>1</v>
      </c>
      <c r="AD31" s="94">
        <f t="shared" ref="AD31:AD54" ca="1" si="30">(IF(M17&gt;1,(C31/(M17+2)),C31/4))</f>
        <v>0.25</v>
      </c>
      <c r="AE31" s="94">
        <f t="shared" ref="AE31:AE54" ca="1" si="31">(IF(M17&gt;1,(C31/(M17+2)+AD31),C31/4+AD31))</f>
        <v>0.5</v>
      </c>
      <c r="AF31" s="94">
        <f t="shared" ref="AF31:AF54" si="32">(IF(M17&gt;1,(C31/(M17+2)+AE31),0))</f>
        <v>0</v>
      </c>
      <c r="AG31" s="94">
        <f t="shared" ref="AG31:AG54" si="33">(IF(M17&gt;2,(C31/(M17+2)+AF31),0))</f>
        <v>0</v>
      </c>
      <c r="AH31" s="95">
        <f t="shared" ref="AH31:AH54" si="34">(IF(M17&gt;3,(C31/(M17+2)+AG31),0))</f>
        <v>0</v>
      </c>
      <c r="AI31" s="94">
        <f t="shared" ref="AI31:AI54" si="35">(IF(M17&gt;4,(C31/(M17+2)+AH31),0))</f>
        <v>0</v>
      </c>
      <c r="AJ31" s="94">
        <f t="shared" ref="AJ31:AJ54" ca="1" si="36">(IF(M17=1,(C31/(M17+3)+AE31),IF(M17=0,(C31/4+AE31),IF(M17&gt;1,0))))</f>
        <v>0.75</v>
      </c>
      <c r="AK31" s="94">
        <f t="shared" ref="AK31:AK54" ca="1" si="37">(IF(M17&gt;1.5,(C31/(M17+2)+AE31+MAX(0,AF31-AE31)+MAX(0,AG31-AF31)+MAX(0,AH31-AG31)+MAX(0,AI31-AH31)+MAX(0,AJ31-AI31)),IF(M17=1,(C31/(M17+3)+AJ31),IF(M17=0,C31/4+AJ31))))</f>
        <v>1</v>
      </c>
      <c r="AL31" s="96" t="str">
        <f t="shared" ref="AL31:AL44" si="38">(IF(W98=(1+T98),"",IF(W98&gt;0,", RCC upto "&amp;W98&amp;" Slab","")))&amp;(IF(X98=T98,"",IF(X98&gt;0,", Brickwork upto "&amp;X98&amp;" Floor","")))&amp;(IF(Y98=T98,"",IF(Y98&gt;0,", Internal Plaster upto "&amp;Y98&amp;" Floor","")))&amp;(IF(Z98=T98,"",IF(Z98&gt;0,", External Plaster upto "&amp;Z98&amp;" Floor","")))&amp;(IF(AA98=T98,"",IF(AA98&gt;0,", Flooring upto "&amp;AA98&amp;" Floor","")))&amp;(IF(AB98=T98,"",IF(AB98&gt;0,", Painting upto "&amp;AB98&amp;" Floor","")))&amp;(IF(AC98=T98,"",IF(AC98&gt;0,", Finishing upto "&amp;AC98&amp;" Floor","")))&amp;(IF(AD98=T98,"",IF(AD98&gt;0,", Possession upto "&amp;AD98&amp;" Floor","")))</f>
        <v/>
      </c>
      <c r="AM31" s="96" t="str">
        <f t="shared" si="25"/>
        <v>Work not yet Started.</v>
      </c>
      <c r="AN31" s="96" t="str">
        <f t="shared" ca="1" si="26"/>
        <v/>
      </c>
      <c r="AO31" s="96" t="str">
        <f t="shared" ca="1" si="27"/>
        <v/>
      </c>
      <c r="AP31" s="96" t="str">
        <f t="shared" ca="1" si="28"/>
        <v/>
      </c>
      <c r="AQ31" s="96" t="str">
        <f t="shared" ca="1" si="29"/>
        <v/>
      </c>
    </row>
    <row r="32" spans="1:43" ht="15.5" x14ac:dyDescent="0.35">
      <c r="A32" s="89">
        <v>14</v>
      </c>
      <c r="B32" s="18" t="s">
        <v>301</v>
      </c>
      <c r="C32" s="47">
        <f ca="1">--TRIM(RIGHT(SUBSTITUTE(LEFT(B32,_xlfn.AGGREGATE(16,6,FIND({0,1,2,3,4,5,6,7,8,9},B32,ROW(INDIRECT("1:"&amp;LEN(B32)))),1))," ",REPT(" ",LEN(B32))),LEN(B32)))</f>
        <v>1</v>
      </c>
      <c r="D32" s="43">
        <v>0</v>
      </c>
      <c r="E32" s="43">
        <v>0</v>
      </c>
      <c r="F32" s="43">
        <v>0</v>
      </c>
      <c r="G32" s="43">
        <v>0</v>
      </c>
      <c r="H32" s="43">
        <v>0</v>
      </c>
      <c r="I32" s="43">
        <v>0</v>
      </c>
      <c r="J32" s="43">
        <v>0</v>
      </c>
      <c r="K32" s="43">
        <v>0</v>
      </c>
      <c r="L32" s="43">
        <v>0</v>
      </c>
      <c r="M32" s="43">
        <v>0</v>
      </c>
      <c r="N32" s="90">
        <f t="shared" ca="1" si="1"/>
        <v>0</v>
      </c>
      <c r="O32" s="90">
        <f t="shared" ca="1" si="2"/>
        <v>0</v>
      </c>
      <c r="P32" s="103" t="str">
        <f t="shared" ca="1" si="3"/>
        <v xml:space="preserve">Work not yet Started. </v>
      </c>
      <c r="Q32" s="19">
        <f t="shared" ca="1" si="4"/>
        <v>0</v>
      </c>
      <c r="R32" s="19">
        <f t="shared" ca="1" si="5"/>
        <v>0</v>
      </c>
      <c r="S32" s="19">
        <f t="shared" ca="1" si="6"/>
        <v>0</v>
      </c>
      <c r="T32" s="19">
        <f t="shared" ca="1" si="7"/>
        <v>0</v>
      </c>
      <c r="U32" s="19">
        <f t="shared" ca="1" si="8"/>
        <v>0</v>
      </c>
      <c r="V32" s="19">
        <f t="shared" ca="1" si="9"/>
        <v>0</v>
      </c>
      <c r="W32" s="19">
        <f t="shared" ca="1" si="10"/>
        <v>0</v>
      </c>
      <c r="X32" s="19">
        <f t="shared" ca="1" si="11"/>
        <v>0</v>
      </c>
      <c r="Y32" s="19">
        <f t="shared" ca="1" si="12"/>
        <v>0</v>
      </c>
      <c r="Z32" s="19">
        <f t="shared" ca="1" si="13"/>
        <v>0</v>
      </c>
      <c r="AA32" s="92">
        <f t="shared" ca="1" si="14"/>
        <v>0.25</v>
      </c>
      <c r="AB32" s="93">
        <f t="shared" ca="1" si="15"/>
        <v>0.5</v>
      </c>
      <c r="AC32" s="93">
        <f t="shared" ca="1" si="16"/>
        <v>1</v>
      </c>
      <c r="AD32" s="94">
        <f t="shared" ca="1" si="30"/>
        <v>0.25</v>
      </c>
      <c r="AE32" s="94">
        <f t="shared" ca="1" si="31"/>
        <v>0.5</v>
      </c>
      <c r="AF32" s="94">
        <f t="shared" si="32"/>
        <v>0</v>
      </c>
      <c r="AG32" s="94">
        <f t="shared" si="33"/>
        <v>0</v>
      </c>
      <c r="AH32" s="95">
        <f t="shared" si="34"/>
        <v>0</v>
      </c>
      <c r="AI32" s="94">
        <f t="shared" si="35"/>
        <v>0</v>
      </c>
      <c r="AJ32" s="94">
        <f t="shared" ca="1" si="36"/>
        <v>0.75</v>
      </c>
      <c r="AK32" s="94">
        <f t="shared" ca="1" si="37"/>
        <v>1</v>
      </c>
      <c r="AL32" s="96" t="str">
        <f t="shared" si="38"/>
        <v/>
      </c>
      <c r="AM32" s="96" t="str">
        <f t="shared" si="25"/>
        <v>Work not yet Started.</v>
      </c>
      <c r="AN32" s="96" t="str">
        <f t="shared" ca="1" si="26"/>
        <v/>
      </c>
      <c r="AO32" s="96" t="str">
        <f t="shared" ca="1" si="27"/>
        <v/>
      </c>
      <c r="AP32" s="96" t="str">
        <f t="shared" ca="1" si="28"/>
        <v/>
      </c>
      <c r="AQ32" s="96" t="str">
        <f t="shared" ca="1" si="29"/>
        <v/>
      </c>
    </row>
    <row r="33" spans="1:43" ht="15.5" x14ac:dyDescent="0.35">
      <c r="A33" s="89">
        <v>15</v>
      </c>
      <c r="B33" s="18" t="s">
        <v>301</v>
      </c>
      <c r="C33" s="47">
        <f ca="1">--TRIM(RIGHT(SUBSTITUTE(LEFT(B33,_xlfn.AGGREGATE(16,6,FIND({0,1,2,3,4,5,6,7,8,9},B33,ROW(INDIRECT("1:"&amp;LEN(B33)))),1))," ",REPT(" ",LEN(B33))),LEN(B33)))</f>
        <v>1</v>
      </c>
      <c r="D33" s="43">
        <v>0</v>
      </c>
      <c r="E33" s="43">
        <v>0</v>
      </c>
      <c r="F33" s="43">
        <v>0</v>
      </c>
      <c r="G33" s="43">
        <v>0</v>
      </c>
      <c r="H33" s="43">
        <v>0</v>
      </c>
      <c r="I33" s="43">
        <v>0</v>
      </c>
      <c r="J33" s="43">
        <v>0</v>
      </c>
      <c r="K33" s="43">
        <v>0</v>
      </c>
      <c r="L33" s="43">
        <v>0</v>
      </c>
      <c r="M33" s="43">
        <v>0</v>
      </c>
      <c r="N33" s="90">
        <f t="shared" ca="1" si="1"/>
        <v>0</v>
      </c>
      <c r="O33" s="90">
        <f t="shared" ca="1" si="2"/>
        <v>0</v>
      </c>
      <c r="P33" s="103" t="str">
        <f t="shared" ca="1" si="3"/>
        <v xml:space="preserve">Work not yet Started. </v>
      </c>
      <c r="Q33" s="19">
        <f t="shared" ca="1" si="4"/>
        <v>0</v>
      </c>
      <c r="R33" s="19">
        <f t="shared" ca="1" si="5"/>
        <v>0</v>
      </c>
      <c r="S33" s="19">
        <f t="shared" ca="1" si="6"/>
        <v>0</v>
      </c>
      <c r="T33" s="19">
        <f t="shared" ca="1" si="7"/>
        <v>0</v>
      </c>
      <c r="U33" s="19">
        <f t="shared" ca="1" si="8"/>
        <v>0</v>
      </c>
      <c r="V33" s="19">
        <f t="shared" ca="1" si="9"/>
        <v>0</v>
      </c>
      <c r="W33" s="19">
        <f t="shared" ca="1" si="10"/>
        <v>0</v>
      </c>
      <c r="X33" s="19">
        <f t="shared" ca="1" si="11"/>
        <v>0</v>
      </c>
      <c r="Y33" s="19">
        <f t="shared" ca="1" si="12"/>
        <v>0</v>
      </c>
      <c r="Z33" s="19">
        <f t="shared" ca="1" si="13"/>
        <v>0</v>
      </c>
      <c r="AA33" s="92">
        <f t="shared" ca="1" si="14"/>
        <v>0.25</v>
      </c>
      <c r="AB33" s="93">
        <f t="shared" ca="1" si="15"/>
        <v>0.5</v>
      </c>
      <c r="AC33" s="93">
        <f t="shared" ca="1" si="16"/>
        <v>1</v>
      </c>
      <c r="AD33" s="94">
        <f t="shared" ca="1" si="30"/>
        <v>0.25</v>
      </c>
      <c r="AE33" s="94">
        <f t="shared" ca="1" si="31"/>
        <v>0.5</v>
      </c>
      <c r="AF33" s="94">
        <f t="shared" si="32"/>
        <v>0</v>
      </c>
      <c r="AG33" s="94">
        <f t="shared" si="33"/>
        <v>0</v>
      </c>
      <c r="AH33" s="95">
        <f t="shared" si="34"/>
        <v>0</v>
      </c>
      <c r="AI33" s="94">
        <f t="shared" si="35"/>
        <v>0</v>
      </c>
      <c r="AJ33" s="94">
        <f t="shared" ca="1" si="36"/>
        <v>0.75</v>
      </c>
      <c r="AK33" s="94">
        <f t="shared" ca="1" si="37"/>
        <v>1</v>
      </c>
      <c r="AL33" s="96" t="str">
        <f t="shared" si="38"/>
        <v/>
      </c>
      <c r="AM33" s="96" t="str">
        <f t="shared" si="25"/>
        <v>Work not yet Started.</v>
      </c>
      <c r="AN33" s="96" t="str">
        <f t="shared" ca="1" si="26"/>
        <v/>
      </c>
      <c r="AO33" s="96" t="str">
        <f t="shared" ca="1" si="27"/>
        <v/>
      </c>
      <c r="AP33" s="96" t="str">
        <f t="shared" ca="1" si="28"/>
        <v/>
      </c>
      <c r="AQ33" s="96" t="str">
        <f t="shared" ca="1" si="29"/>
        <v/>
      </c>
    </row>
    <row r="34" spans="1:43" ht="15.5" x14ac:dyDescent="0.35">
      <c r="A34" s="89">
        <v>16</v>
      </c>
      <c r="B34" s="18" t="s">
        <v>301</v>
      </c>
      <c r="C34" s="47">
        <f ca="1">--TRIM(RIGHT(SUBSTITUTE(LEFT(B34,_xlfn.AGGREGATE(16,6,FIND({0,1,2,3,4,5,6,7,8,9},B34,ROW(INDIRECT("1:"&amp;LEN(B34)))),1))," ",REPT(" ",LEN(B34))),LEN(B34)))</f>
        <v>1</v>
      </c>
      <c r="D34" s="43">
        <v>0</v>
      </c>
      <c r="E34" s="43">
        <v>0</v>
      </c>
      <c r="F34" s="43">
        <v>0</v>
      </c>
      <c r="G34" s="43">
        <v>0</v>
      </c>
      <c r="H34" s="43">
        <v>0</v>
      </c>
      <c r="I34" s="43">
        <v>0</v>
      </c>
      <c r="J34" s="43">
        <v>0</v>
      </c>
      <c r="K34" s="43">
        <v>0</v>
      </c>
      <c r="L34" s="43">
        <v>0</v>
      </c>
      <c r="M34" s="43">
        <v>0</v>
      </c>
      <c r="N34" s="90">
        <f t="shared" ca="1" si="1"/>
        <v>0</v>
      </c>
      <c r="O34" s="90">
        <f t="shared" ca="1" si="2"/>
        <v>0</v>
      </c>
      <c r="P34" s="103" t="str">
        <f t="shared" ca="1" si="3"/>
        <v xml:space="preserve">Work not yet Started. </v>
      </c>
      <c r="Q34" s="19">
        <f t="shared" ca="1" si="4"/>
        <v>0</v>
      </c>
      <c r="R34" s="19">
        <f t="shared" ca="1" si="5"/>
        <v>0</v>
      </c>
      <c r="S34" s="19">
        <f t="shared" ca="1" si="6"/>
        <v>0</v>
      </c>
      <c r="T34" s="19">
        <f t="shared" ca="1" si="7"/>
        <v>0</v>
      </c>
      <c r="U34" s="19">
        <f t="shared" ca="1" si="8"/>
        <v>0</v>
      </c>
      <c r="V34" s="19">
        <f t="shared" ca="1" si="9"/>
        <v>0</v>
      </c>
      <c r="W34" s="19">
        <f t="shared" ca="1" si="10"/>
        <v>0</v>
      </c>
      <c r="X34" s="19">
        <f t="shared" ca="1" si="11"/>
        <v>0</v>
      </c>
      <c r="Y34" s="19">
        <f t="shared" ca="1" si="12"/>
        <v>0</v>
      </c>
      <c r="Z34" s="19">
        <f t="shared" ca="1" si="13"/>
        <v>0</v>
      </c>
      <c r="AA34" s="92">
        <f t="shared" ca="1" si="14"/>
        <v>0.25</v>
      </c>
      <c r="AB34" s="93">
        <f t="shared" ca="1" si="15"/>
        <v>0.5</v>
      </c>
      <c r="AC34" s="93">
        <f t="shared" ca="1" si="16"/>
        <v>1</v>
      </c>
      <c r="AD34" s="94">
        <f t="shared" ca="1" si="30"/>
        <v>0.25</v>
      </c>
      <c r="AE34" s="94">
        <f t="shared" ca="1" si="31"/>
        <v>0.5</v>
      </c>
      <c r="AF34" s="94">
        <f t="shared" si="32"/>
        <v>0</v>
      </c>
      <c r="AG34" s="94">
        <f t="shared" si="33"/>
        <v>0</v>
      </c>
      <c r="AH34" s="95">
        <f t="shared" si="34"/>
        <v>0</v>
      </c>
      <c r="AI34" s="94">
        <f t="shared" si="35"/>
        <v>0</v>
      </c>
      <c r="AJ34" s="94">
        <f t="shared" ca="1" si="36"/>
        <v>0.75</v>
      </c>
      <c r="AK34" s="94">
        <f t="shared" ca="1" si="37"/>
        <v>1</v>
      </c>
      <c r="AL34" s="96" t="str">
        <f t="shared" si="38"/>
        <v/>
      </c>
      <c r="AM34" s="96" t="str">
        <f t="shared" si="25"/>
        <v>Work not yet Started.</v>
      </c>
      <c r="AN34" s="96" t="str">
        <f t="shared" ca="1" si="26"/>
        <v/>
      </c>
      <c r="AO34" s="96" t="str">
        <f t="shared" ca="1" si="27"/>
        <v/>
      </c>
      <c r="AP34" s="96" t="str">
        <f t="shared" ca="1" si="28"/>
        <v/>
      </c>
      <c r="AQ34" s="96" t="str">
        <f t="shared" ca="1" si="29"/>
        <v/>
      </c>
    </row>
    <row r="35" spans="1:43" ht="15.5" x14ac:dyDescent="0.35">
      <c r="A35" s="89">
        <v>17</v>
      </c>
      <c r="B35" s="18" t="s">
        <v>301</v>
      </c>
      <c r="C35" s="47">
        <f ca="1">--TRIM(RIGHT(SUBSTITUTE(LEFT(B35,_xlfn.AGGREGATE(16,6,FIND({0,1,2,3,4,5,6,7,8,9},B35,ROW(INDIRECT("1:"&amp;LEN(B35)))),1))," ",REPT(" ",LEN(B35))),LEN(B35)))</f>
        <v>1</v>
      </c>
      <c r="D35" s="43">
        <v>0</v>
      </c>
      <c r="E35" s="43">
        <v>0</v>
      </c>
      <c r="F35" s="43">
        <v>0</v>
      </c>
      <c r="G35" s="43">
        <v>0</v>
      </c>
      <c r="H35" s="43">
        <v>0</v>
      </c>
      <c r="I35" s="43">
        <v>0</v>
      </c>
      <c r="J35" s="43">
        <v>0</v>
      </c>
      <c r="K35" s="43">
        <v>0</v>
      </c>
      <c r="L35" s="43">
        <v>0</v>
      </c>
      <c r="M35" s="43">
        <v>0</v>
      </c>
      <c r="N35" s="90">
        <f t="shared" ca="1" si="1"/>
        <v>0</v>
      </c>
      <c r="O35" s="90">
        <f t="shared" ca="1" si="2"/>
        <v>0</v>
      </c>
      <c r="P35" s="103" t="str">
        <f t="shared" ca="1" si="3"/>
        <v xml:space="preserve">Work not yet Started. </v>
      </c>
      <c r="Q35" s="19">
        <f t="shared" ca="1" si="4"/>
        <v>0</v>
      </c>
      <c r="R35" s="19">
        <f t="shared" ca="1" si="5"/>
        <v>0</v>
      </c>
      <c r="S35" s="19">
        <f t="shared" ca="1" si="6"/>
        <v>0</v>
      </c>
      <c r="T35" s="19">
        <f t="shared" ca="1" si="7"/>
        <v>0</v>
      </c>
      <c r="U35" s="19">
        <f t="shared" ca="1" si="8"/>
        <v>0</v>
      </c>
      <c r="V35" s="19">
        <f t="shared" ca="1" si="9"/>
        <v>0</v>
      </c>
      <c r="W35" s="19">
        <f t="shared" ca="1" si="10"/>
        <v>0</v>
      </c>
      <c r="X35" s="19">
        <f t="shared" ca="1" si="11"/>
        <v>0</v>
      </c>
      <c r="Y35" s="19">
        <f t="shared" ca="1" si="12"/>
        <v>0</v>
      </c>
      <c r="Z35" s="19">
        <f t="shared" ca="1" si="13"/>
        <v>0</v>
      </c>
      <c r="AA35" s="92">
        <f t="shared" ca="1" si="14"/>
        <v>0.25</v>
      </c>
      <c r="AB35" s="93">
        <f t="shared" ca="1" si="15"/>
        <v>0.5</v>
      </c>
      <c r="AC35" s="93">
        <f t="shared" ca="1" si="16"/>
        <v>1</v>
      </c>
      <c r="AD35" s="94">
        <f t="shared" ca="1" si="30"/>
        <v>0.25</v>
      </c>
      <c r="AE35" s="94">
        <f t="shared" ca="1" si="31"/>
        <v>0.5</v>
      </c>
      <c r="AF35" s="94">
        <f t="shared" si="32"/>
        <v>0</v>
      </c>
      <c r="AG35" s="94">
        <f t="shared" si="33"/>
        <v>0</v>
      </c>
      <c r="AH35" s="95">
        <f t="shared" si="34"/>
        <v>0</v>
      </c>
      <c r="AI35" s="94">
        <f t="shared" si="35"/>
        <v>0</v>
      </c>
      <c r="AJ35" s="94">
        <f t="shared" ca="1" si="36"/>
        <v>0.75</v>
      </c>
      <c r="AK35" s="94">
        <f t="shared" ca="1" si="37"/>
        <v>1</v>
      </c>
      <c r="AL35" s="96" t="str">
        <f t="shared" si="38"/>
        <v/>
      </c>
      <c r="AM35" s="96" t="str">
        <f t="shared" si="25"/>
        <v>Work not yet Started.</v>
      </c>
      <c r="AN35" s="96" t="str">
        <f t="shared" ca="1" si="26"/>
        <v/>
      </c>
      <c r="AO35" s="96" t="str">
        <f t="shared" ca="1" si="27"/>
        <v/>
      </c>
      <c r="AP35" s="96" t="str">
        <f t="shared" ca="1" si="28"/>
        <v/>
      </c>
      <c r="AQ35" s="96" t="str">
        <f t="shared" ca="1" si="29"/>
        <v/>
      </c>
    </row>
    <row r="36" spans="1:43" ht="15.5" x14ac:dyDescent="0.35">
      <c r="A36" s="89">
        <v>18</v>
      </c>
      <c r="B36" s="18" t="s">
        <v>301</v>
      </c>
      <c r="C36" s="47">
        <f ca="1">--TRIM(RIGHT(SUBSTITUTE(LEFT(B36,_xlfn.AGGREGATE(16,6,FIND({0,1,2,3,4,5,6,7,8,9},B36,ROW(INDIRECT("1:"&amp;LEN(B36)))),1))," ",REPT(" ",LEN(B36))),LEN(B36)))</f>
        <v>1</v>
      </c>
      <c r="D36" s="43">
        <v>0</v>
      </c>
      <c r="E36" s="43">
        <v>0</v>
      </c>
      <c r="F36" s="43">
        <v>0</v>
      </c>
      <c r="G36" s="43">
        <v>0</v>
      </c>
      <c r="H36" s="43">
        <v>0</v>
      </c>
      <c r="I36" s="43">
        <v>0</v>
      </c>
      <c r="J36" s="43">
        <v>0</v>
      </c>
      <c r="K36" s="43">
        <v>0</v>
      </c>
      <c r="L36" s="43">
        <v>0</v>
      </c>
      <c r="M36" s="43">
        <v>0</v>
      </c>
      <c r="N36" s="90">
        <f t="shared" ca="1" si="1"/>
        <v>0</v>
      </c>
      <c r="O36" s="90">
        <f t="shared" ca="1" si="2"/>
        <v>0</v>
      </c>
      <c r="P36" s="103" t="str">
        <f t="shared" ca="1" si="3"/>
        <v xml:space="preserve">Work not yet Started. </v>
      </c>
      <c r="Q36" s="19">
        <f t="shared" ca="1" si="4"/>
        <v>0</v>
      </c>
      <c r="R36" s="19">
        <f t="shared" ca="1" si="5"/>
        <v>0</v>
      </c>
      <c r="S36" s="19">
        <f t="shared" ca="1" si="6"/>
        <v>0</v>
      </c>
      <c r="T36" s="19">
        <f t="shared" ca="1" si="7"/>
        <v>0</v>
      </c>
      <c r="U36" s="19">
        <f t="shared" ca="1" si="8"/>
        <v>0</v>
      </c>
      <c r="V36" s="19">
        <f t="shared" ca="1" si="9"/>
        <v>0</v>
      </c>
      <c r="W36" s="19">
        <f t="shared" ca="1" si="10"/>
        <v>0</v>
      </c>
      <c r="X36" s="19">
        <f t="shared" ca="1" si="11"/>
        <v>0</v>
      </c>
      <c r="Y36" s="19">
        <f t="shared" ca="1" si="12"/>
        <v>0</v>
      </c>
      <c r="Z36" s="19">
        <f t="shared" ca="1" si="13"/>
        <v>0</v>
      </c>
      <c r="AA36" s="92">
        <f t="shared" ca="1" si="14"/>
        <v>0.25</v>
      </c>
      <c r="AB36" s="93">
        <f t="shared" ca="1" si="15"/>
        <v>0.5</v>
      </c>
      <c r="AC36" s="93">
        <f t="shared" ca="1" si="16"/>
        <v>1</v>
      </c>
      <c r="AD36" s="94">
        <f t="shared" ca="1" si="30"/>
        <v>0.25</v>
      </c>
      <c r="AE36" s="94">
        <f t="shared" ca="1" si="31"/>
        <v>0.5</v>
      </c>
      <c r="AF36" s="94">
        <f t="shared" si="32"/>
        <v>0</v>
      </c>
      <c r="AG36" s="94">
        <f t="shared" si="33"/>
        <v>0</v>
      </c>
      <c r="AH36" s="95">
        <f t="shared" si="34"/>
        <v>0</v>
      </c>
      <c r="AI36" s="94">
        <f t="shared" si="35"/>
        <v>0</v>
      </c>
      <c r="AJ36" s="94">
        <f t="shared" ca="1" si="36"/>
        <v>0.75</v>
      </c>
      <c r="AK36" s="94">
        <f t="shared" ca="1" si="37"/>
        <v>1</v>
      </c>
      <c r="AL36" s="96" t="str">
        <f t="shared" si="38"/>
        <v/>
      </c>
      <c r="AM36" s="96" t="str">
        <f t="shared" si="25"/>
        <v>Work not yet Started.</v>
      </c>
      <c r="AN36" s="96" t="str">
        <f t="shared" ca="1" si="26"/>
        <v/>
      </c>
      <c r="AO36" s="96" t="str">
        <f t="shared" ca="1" si="27"/>
        <v/>
      </c>
      <c r="AP36" s="96" t="str">
        <f t="shared" ca="1" si="28"/>
        <v/>
      </c>
      <c r="AQ36" s="96" t="str">
        <f t="shared" ca="1" si="29"/>
        <v/>
      </c>
    </row>
    <row r="37" spans="1:43" ht="15.5" x14ac:dyDescent="0.35">
      <c r="A37" s="89">
        <v>19</v>
      </c>
      <c r="B37" s="18" t="s">
        <v>301</v>
      </c>
      <c r="C37" s="47">
        <f ca="1">--TRIM(RIGHT(SUBSTITUTE(LEFT(B37,_xlfn.AGGREGATE(16,6,FIND({0,1,2,3,4,5,6,7,8,9},B37,ROW(INDIRECT("1:"&amp;LEN(B37)))),1))," ",REPT(" ",LEN(B37))),LEN(B37)))</f>
        <v>1</v>
      </c>
      <c r="D37" s="43">
        <v>0</v>
      </c>
      <c r="E37" s="43">
        <v>0</v>
      </c>
      <c r="F37" s="43">
        <v>0</v>
      </c>
      <c r="G37" s="43">
        <v>0</v>
      </c>
      <c r="H37" s="43">
        <v>0</v>
      </c>
      <c r="I37" s="43">
        <v>0</v>
      </c>
      <c r="J37" s="43">
        <v>0</v>
      </c>
      <c r="K37" s="43">
        <v>0</v>
      </c>
      <c r="L37" s="43">
        <v>0</v>
      </c>
      <c r="M37" s="43">
        <v>0</v>
      </c>
      <c r="N37" s="90">
        <f t="shared" ca="1" si="1"/>
        <v>0</v>
      </c>
      <c r="O37" s="90">
        <f t="shared" ca="1" si="2"/>
        <v>0</v>
      </c>
      <c r="P37" s="103" t="str">
        <f t="shared" ca="1" si="3"/>
        <v xml:space="preserve">Work not yet Started. </v>
      </c>
      <c r="Q37" s="19">
        <f t="shared" ca="1" si="4"/>
        <v>0</v>
      </c>
      <c r="R37" s="19">
        <f t="shared" ca="1" si="5"/>
        <v>0</v>
      </c>
      <c r="S37" s="19">
        <f t="shared" ca="1" si="6"/>
        <v>0</v>
      </c>
      <c r="T37" s="19">
        <f t="shared" ca="1" si="7"/>
        <v>0</v>
      </c>
      <c r="U37" s="19">
        <f t="shared" ca="1" si="8"/>
        <v>0</v>
      </c>
      <c r="V37" s="19">
        <f t="shared" ca="1" si="9"/>
        <v>0</v>
      </c>
      <c r="W37" s="19">
        <f t="shared" ca="1" si="10"/>
        <v>0</v>
      </c>
      <c r="X37" s="19">
        <f t="shared" ca="1" si="11"/>
        <v>0</v>
      </c>
      <c r="Y37" s="19">
        <f t="shared" ca="1" si="12"/>
        <v>0</v>
      </c>
      <c r="Z37" s="19">
        <f t="shared" ca="1" si="13"/>
        <v>0</v>
      </c>
      <c r="AA37" s="92">
        <f t="shared" ca="1" si="14"/>
        <v>0.25</v>
      </c>
      <c r="AB37" s="93">
        <f t="shared" ca="1" si="15"/>
        <v>0.5</v>
      </c>
      <c r="AC37" s="93">
        <f t="shared" ca="1" si="16"/>
        <v>1</v>
      </c>
      <c r="AD37" s="94">
        <f t="shared" ca="1" si="30"/>
        <v>0.25</v>
      </c>
      <c r="AE37" s="94">
        <f t="shared" ca="1" si="31"/>
        <v>0.5</v>
      </c>
      <c r="AF37" s="94">
        <f t="shared" si="32"/>
        <v>0</v>
      </c>
      <c r="AG37" s="94">
        <f t="shared" si="33"/>
        <v>0</v>
      </c>
      <c r="AH37" s="95">
        <f t="shared" si="34"/>
        <v>0</v>
      </c>
      <c r="AI37" s="94">
        <f t="shared" si="35"/>
        <v>0</v>
      </c>
      <c r="AJ37" s="94">
        <f t="shared" ca="1" si="36"/>
        <v>0.75</v>
      </c>
      <c r="AK37" s="94">
        <f t="shared" ca="1" si="37"/>
        <v>1</v>
      </c>
      <c r="AL37" s="96" t="str">
        <f t="shared" si="38"/>
        <v/>
      </c>
      <c r="AM37" s="96" t="str">
        <f t="shared" si="25"/>
        <v>Work not yet Started.</v>
      </c>
      <c r="AN37" s="96" t="str">
        <f t="shared" ca="1" si="26"/>
        <v/>
      </c>
      <c r="AO37" s="96" t="str">
        <f t="shared" ca="1" si="27"/>
        <v/>
      </c>
      <c r="AP37" s="96" t="str">
        <f t="shared" ca="1" si="28"/>
        <v/>
      </c>
      <c r="AQ37" s="96" t="str">
        <f t="shared" ca="1" si="29"/>
        <v/>
      </c>
    </row>
    <row r="38" spans="1:43" ht="15.5" x14ac:dyDescent="0.35">
      <c r="A38" s="89">
        <v>20</v>
      </c>
      <c r="B38" s="18" t="s">
        <v>301</v>
      </c>
      <c r="C38" s="47">
        <f ca="1">--TRIM(RIGHT(SUBSTITUTE(LEFT(B38,_xlfn.AGGREGATE(16,6,FIND({0,1,2,3,4,5,6,7,8,9},B38,ROW(INDIRECT("1:"&amp;LEN(B38)))),1))," ",REPT(" ",LEN(B38))),LEN(B38)))</f>
        <v>1</v>
      </c>
      <c r="D38" s="43">
        <v>0</v>
      </c>
      <c r="E38" s="43">
        <v>0</v>
      </c>
      <c r="F38" s="43">
        <v>0</v>
      </c>
      <c r="G38" s="43">
        <v>0</v>
      </c>
      <c r="H38" s="43">
        <v>0</v>
      </c>
      <c r="I38" s="43">
        <v>0</v>
      </c>
      <c r="J38" s="43">
        <v>0</v>
      </c>
      <c r="K38" s="43">
        <v>0</v>
      </c>
      <c r="L38" s="43">
        <v>0</v>
      </c>
      <c r="M38" s="43">
        <v>0</v>
      </c>
      <c r="N38" s="90">
        <f t="shared" ca="1" si="1"/>
        <v>0</v>
      </c>
      <c r="O38" s="90">
        <f t="shared" ca="1" si="2"/>
        <v>0</v>
      </c>
      <c r="P38" s="103" t="str">
        <f t="shared" ca="1" si="3"/>
        <v xml:space="preserve">Work not yet Started. </v>
      </c>
      <c r="Q38" s="19">
        <f t="shared" ca="1" si="4"/>
        <v>0</v>
      </c>
      <c r="R38" s="19">
        <f t="shared" ca="1" si="5"/>
        <v>0</v>
      </c>
      <c r="S38" s="19">
        <f t="shared" ca="1" si="6"/>
        <v>0</v>
      </c>
      <c r="T38" s="19">
        <f t="shared" ca="1" si="7"/>
        <v>0</v>
      </c>
      <c r="U38" s="19">
        <f t="shared" ca="1" si="8"/>
        <v>0</v>
      </c>
      <c r="V38" s="19">
        <f t="shared" ca="1" si="9"/>
        <v>0</v>
      </c>
      <c r="W38" s="19">
        <f t="shared" ca="1" si="10"/>
        <v>0</v>
      </c>
      <c r="X38" s="19">
        <f t="shared" ca="1" si="11"/>
        <v>0</v>
      </c>
      <c r="Y38" s="19">
        <f t="shared" ca="1" si="12"/>
        <v>0</v>
      </c>
      <c r="Z38" s="19">
        <f t="shared" ca="1" si="13"/>
        <v>0</v>
      </c>
      <c r="AA38" s="92">
        <f t="shared" ca="1" si="14"/>
        <v>0.25</v>
      </c>
      <c r="AB38" s="93">
        <f t="shared" ca="1" si="15"/>
        <v>0.5</v>
      </c>
      <c r="AC38" s="93">
        <f t="shared" ca="1" si="16"/>
        <v>1</v>
      </c>
      <c r="AD38" s="94">
        <f t="shared" ca="1" si="30"/>
        <v>0.25</v>
      </c>
      <c r="AE38" s="94">
        <f t="shared" ca="1" si="31"/>
        <v>0.5</v>
      </c>
      <c r="AF38" s="94">
        <f t="shared" si="32"/>
        <v>0</v>
      </c>
      <c r="AG38" s="94">
        <f t="shared" si="33"/>
        <v>0</v>
      </c>
      <c r="AH38" s="95">
        <f t="shared" si="34"/>
        <v>0</v>
      </c>
      <c r="AI38" s="94">
        <f t="shared" si="35"/>
        <v>0</v>
      </c>
      <c r="AJ38" s="94">
        <f t="shared" ca="1" si="36"/>
        <v>0.75</v>
      </c>
      <c r="AK38" s="94">
        <f t="shared" ca="1" si="37"/>
        <v>1</v>
      </c>
      <c r="AL38" s="96" t="str">
        <f t="shared" si="38"/>
        <v/>
      </c>
      <c r="AM38" s="96" t="str">
        <f t="shared" si="25"/>
        <v>Work not yet Started.</v>
      </c>
      <c r="AN38" s="96" t="str">
        <f t="shared" ca="1" si="26"/>
        <v/>
      </c>
      <c r="AO38" s="96" t="str">
        <f t="shared" ca="1" si="27"/>
        <v/>
      </c>
      <c r="AP38" s="96" t="str">
        <f t="shared" ca="1" si="28"/>
        <v/>
      </c>
      <c r="AQ38" s="96" t="str">
        <f t="shared" ca="1" si="29"/>
        <v/>
      </c>
    </row>
    <row r="39" spans="1:43" ht="15.5" x14ac:dyDescent="0.35">
      <c r="A39" s="89"/>
      <c r="B39" s="18"/>
      <c r="C39" s="47"/>
      <c r="D39" s="43"/>
      <c r="E39" s="43"/>
      <c r="F39" s="43"/>
      <c r="G39" s="43"/>
      <c r="H39" s="43"/>
      <c r="I39" s="43"/>
      <c r="J39" s="43"/>
      <c r="K39" s="43"/>
      <c r="L39" s="43"/>
      <c r="M39" s="43"/>
      <c r="N39" s="90"/>
      <c r="O39" s="90"/>
      <c r="P39" s="96"/>
      <c r="Q39" s="19" t="e">
        <f t="shared" si="4"/>
        <v>#DIV/0!</v>
      </c>
      <c r="R39" s="19" t="e">
        <f t="shared" si="5"/>
        <v>#DIV/0!</v>
      </c>
      <c r="S39" s="19">
        <f t="shared" si="6"/>
        <v>0</v>
      </c>
      <c r="T39" s="19" t="e">
        <f t="shared" si="7"/>
        <v>#DIV/0!</v>
      </c>
      <c r="U39" s="19" t="e">
        <f t="shared" si="8"/>
        <v>#DIV/0!</v>
      </c>
      <c r="V39" s="19" t="e">
        <f t="shared" si="9"/>
        <v>#DIV/0!</v>
      </c>
      <c r="W39" s="19" t="e">
        <f t="shared" si="10"/>
        <v>#DIV/0!</v>
      </c>
      <c r="X39" s="19" t="e">
        <f t="shared" si="11"/>
        <v>#DIV/0!</v>
      </c>
      <c r="Y39" s="19" t="e">
        <f t="shared" si="12"/>
        <v>#DIV/0!</v>
      </c>
      <c r="Z39" s="19" t="e">
        <f t="shared" si="13"/>
        <v>#DIV/0!</v>
      </c>
      <c r="AA39" s="92">
        <f t="shared" si="14"/>
        <v>0</v>
      </c>
      <c r="AB39" s="93">
        <f t="shared" si="15"/>
        <v>0</v>
      </c>
      <c r="AC39" s="93">
        <f t="shared" si="16"/>
        <v>0</v>
      </c>
      <c r="AD39" s="94">
        <f t="shared" si="30"/>
        <v>0</v>
      </c>
      <c r="AE39" s="94">
        <f t="shared" si="31"/>
        <v>0</v>
      </c>
      <c r="AF39" s="94">
        <f t="shared" si="32"/>
        <v>0</v>
      </c>
      <c r="AG39" s="94">
        <f t="shared" si="33"/>
        <v>0</v>
      </c>
      <c r="AH39" s="95">
        <f t="shared" si="34"/>
        <v>0</v>
      </c>
      <c r="AI39" s="94">
        <f t="shared" si="35"/>
        <v>0</v>
      </c>
      <c r="AJ39" s="94">
        <f t="shared" si="36"/>
        <v>0</v>
      </c>
      <c r="AK39" s="94">
        <f t="shared" si="37"/>
        <v>0</v>
      </c>
      <c r="AL39" s="96" t="str">
        <f t="shared" si="38"/>
        <v/>
      </c>
      <c r="AM39" s="96" t="str">
        <f t="shared" si="25"/>
        <v>Work not yet Started.</v>
      </c>
      <c r="AN39" s="96" t="str">
        <f t="shared" si="26"/>
        <v/>
      </c>
      <c r="AO39" s="96" t="e">
        <f t="shared" si="27"/>
        <v>#DIV/0!</v>
      </c>
      <c r="AP39" s="96" t="e">
        <f t="shared" si="28"/>
        <v>#DIV/0!</v>
      </c>
      <c r="AQ39" s="96" t="str">
        <f t="shared" si="29"/>
        <v/>
      </c>
    </row>
    <row r="40" spans="1:43" ht="15.5" x14ac:dyDescent="0.35">
      <c r="A40" s="89"/>
      <c r="B40" s="18"/>
      <c r="C40" s="47"/>
      <c r="D40" s="43"/>
      <c r="E40" s="43"/>
      <c r="F40" s="43"/>
      <c r="G40" s="43"/>
      <c r="H40" s="43"/>
      <c r="I40" s="43"/>
      <c r="J40" s="43"/>
      <c r="K40" s="43"/>
      <c r="L40" s="43"/>
      <c r="M40" s="43"/>
      <c r="N40" s="90"/>
      <c r="O40" s="90"/>
      <c r="P40" s="96"/>
      <c r="Q40" s="19" t="e">
        <f t="shared" si="4"/>
        <v>#DIV/0!</v>
      </c>
      <c r="R40" s="19" t="e">
        <f t="shared" si="5"/>
        <v>#DIV/0!</v>
      </c>
      <c r="S40" s="19">
        <f t="shared" si="6"/>
        <v>0</v>
      </c>
      <c r="T40" s="19" t="e">
        <f t="shared" si="7"/>
        <v>#DIV/0!</v>
      </c>
      <c r="U40" s="19" t="e">
        <f t="shared" si="8"/>
        <v>#DIV/0!</v>
      </c>
      <c r="V40" s="19" t="e">
        <f t="shared" si="9"/>
        <v>#DIV/0!</v>
      </c>
      <c r="W40" s="19" t="e">
        <f t="shared" si="10"/>
        <v>#DIV/0!</v>
      </c>
      <c r="X40" s="19" t="e">
        <f t="shared" si="11"/>
        <v>#DIV/0!</v>
      </c>
      <c r="Y40" s="19" t="e">
        <f t="shared" si="12"/>
        <v>#DIV/0!</v>
      </c>
      <c r="Z40" s="19" t="e">
        <f t="shared" si="13"/>
        <v>#DIV/0!</v>
      </c>
      <c r="AA40" s="92">
        <f t="shared" si="14"/>
        <v>0</v>
      </c>
      <c r="AB40" s="93">
        <f t="shared" si="15"/>
        <v>0</v>
      </c>
      <c r="AC40" s="93">
        <f t="shared" si="16"/>
        <v>0</v>
      </c>
      <c r="AD40" s="94">
        <f t="shared" si="30"/>
        <v>0</v>
      </c>
      <c r="AE40" s="94">
        <f t="shared" si="31"/>
        <v>0</v>
      </c>
      <c r="AF40" s="94">
        <f t="shared" si="32"/>
        <v>0</v>
      </c>
      <c r="AG40" s="94">
        <f t="shared" si="33"/>
        <v>0</v>
      </c>
      <c r="AH40" s="95">
        <f t="shared" si="34"/>
        <v>0</v>
      </c>
      <c r="AI40" s="94">
        <f t="shared" si="35"/>
        <v>0</v>
      </c>
      <c r="AJ40" s="94">
        <f t="shared" si="36"/>
        <v>0</v>
      </c>
      <c r="AK40" s="94">
        <f t="shared" si="37"/>
        <v>0</v>
      </c>
      <c r="AL40" s="96" t="str">
        <f t="shared" si="38"/>
        <v/>
      </c>
      <c r="AM40" s="96" t="str">
        <f t="shared" si="25"/>
        <v>Work not yet Started.</v>
      </c>
      <c r="AN40" s="96" t="str">
        <f t="shared" si="26"/>
        <v/>
      </c>
      <c r="AO40" s="96" t="e">
        <f t="shared" si="27"/>
        <v>#DIV/0!</v>
      </c>
      <c r="AP40" s="96" t="e">
        <f t="shared" si="28"/>
        <v>#DIV/0!</v>
      </c>
      <c r="AQ40" s="96" t="str">
        <f t="shared" si="29"/>
        <v/>
      </c>
    </row>
    <row r="41" spans="1:43" ht="15.5" x14ac:dyDescent="0.35">
      <c r="A41" s="89"/>
      <c r="B41" s="18"/>
      <c r="C41" s="47"/>
      <c r="D41" s="43"/>
      <c r="E41" s="43"/>
      <c r="F41" s="43"/>
      <c r="G41" s="43"/>
      <c r="H41" s="43"/>
      <c r="I41" s="43"/>
      <c r="J41" s="43"/>
      <c r="K41" s="43"/>
      <c r="L41" s="43"/>
      <c r="M41" s="43"/>
      <c r="N41" s="90"/>
      <c r="O41" s="90"/>
      <c r="P41" s="96"/>
      <c r="Q41" s="19" t="e">
        <f t="shared" si="4"/>
        <v>#DIV/0!</v>
      </c>
      <c r="R41" s="19" t="e">
        <f t="shared" si="5"/>
        <v>#DIV/0!</v>
      </c>
      <c r="S41" s="19">
        <f t="shared" si="6"/>
        <v>0</v>
      </c>
      <c r="T41" s="19" t="e">
        <f t="shared" si="7"/>
        <v>#DIV/0!</v>
      </c>
      <c r="U41" s="19" t="e">
        <f t="shared" si="8"/>
        <v>#DIV/0!</v>
      </c>
      <c r="V41" s="19" t="e">
        <f t="shared" si="9"/>
        <v>#DIV/0!</v>
      </c>
      <c r="W41" s="19" t="e">
        <f t="shared" si="10"/>
        <v>#DIV/0!</v>
      </c>
      <c r="X41" s="19" t="e">
        <f t="shared" si="11"/>
        <v>#DIV/0!</v>
      </c>
      <c r="Y41" s="19" t="e">
        <f t="shared" si="12"/>
        <v>#DIV/0!</v>
      </c>
      <c r="Z41" s="19" t="e">
        <f t="shared" si="13"/>
        <v>#DIV/0!</v>
      </c>
      <c r="AA41" s="92">
        <f t="shared" si="14"/>
        <v>0</v>
      </c>
      <c r="AB41" s="93">
        <f t="shared" si="15"/>
        <v>0</v>
      </c>
      <c r="AC41" s="93">
        <f t="shared" si="16"/>
        <v>0</v>
      </c>
      <c r="AD41" s="94">
        <f t="shared" si="30"/>
        <v>0</v>
      </c>
      <c r="AE41" s="94">
        <f t="shared" si="31"/>
        <v>0</v>
      </c>
      <c r="AF41" s="94">
        <f t="shared" si="32"/>
        <v>0</v>
      </c>
      <c r="AG41" s="94">
        <f t="shared" si="33"/>
        <v>0</v>
      </c>
      <c r="AH41" s="95">
        <f t="shared" si="34"/>
        <v>0</v>
      </c>
      <c r="AI41" s="94">
        <f t="shared" si="35"/>
        <v>0</v>
      </c>
      <c r="AJ41" s="94">
        <f t="shared" si="36"/>
        <v>0</v>
      </c>
      <c r="AK41" s="94">
        <f t="shared" si="37"/>
        <v>0</v>
      </c>
      <c r="AL41" s="96" t="str">
        <f t="shared" si="38"/>
        <v/>
      </c>
      <c r="AM41" s="96" t="str">
        <f t="shared" si="25"/>
        <v>Work not yet Started.</v>
      </c>
      <c r="AN41" s="96" t="str">
        <f t="shared" si="26"/>
        <v/>
      </c>
      <c r="AO41" s="96" t="e">
        <f t="shared" si="27"/>
        <v>#DIV/0!</v>
      </c>
      <c r="AP41" s="96" t="e">
        <f t="shared" si="28"/>
        <v>#DIV/0!</v>
      </c>
      <c r="AQ41" s="96" t="str">
        <f t="shared" si="29"/>
        <v/>
      </c>
    </row>
    <row r="42" spans="1:43" ht="15.5" x14ac:dyDescent="0.35">
      <c r="A42" s="89"/>
      <c r="B42" s="18"/>
      <c r="C42" s="47"/>
      <c r="D42" s="43"/>
      <c r="E42" s="43"/>
      <c r="F42" s="43"/>
      <c r="G42" s="43"/>
      <c r="H42" s="43"/>
      <c r="I42" s="43"/>
      <c r="J42" s="43"/>
      <c r="K42" s="43"/>
      <c r="L42" s="43"/>
      <c r="M42" s="43"/>
      <c r="N42" s="90"/>
      <c r="O42" s="90"/>
      <c r="P42" s="96"/>
      <c r="Q42" s="19" t="e">
        <f t="shared" si="4"/>
        <v>#DIV/0!</v>
      </c>
      <c r="R42" s="19" t="e">
        <f t="shared" si="5"/>
        <v>#DIV/0!</v>
      </c>
      <c r="S42" s="19">
        <f t="shared" si="6"/>
        <v>0</v>
      </c>
      <c r="T42" s="19" t="e">
        <f t="shared" si="7"/>
        <v>#DIV/0!</v>
      </c>
      <c r="U42" s="19" t="e">
        <f t="shared" si="8"/>
        <v>#DIV/0!</v>
      </c>
      <c r="V42" s="19" t="e">
        <f t="shared" si="9"/>
        <v>#DIV/0!</v>
      </c>
      <c r="W42" s="19" t="e">
        <f t="shared" si="10"/>
        <v>#DIV/0!</v>
      </c>
      <c r="X42" s="19" t="e">
        <f t="shared" si="11"/>
        <v>#DIV/0!</v>
      </c>
      <c r="Y42" s="19" t="e">
        <f t="shared" si="12"/>
        <v>#DIV/0!</v>
      </c>
      <c r="Z42" s="19" t="e">
        <f t="shared" si="13"/>
        <v>#DIV/0!</v>
      </c>
      <c r="AA42" s="92">
        <f t="shared" si="14"/>
        <v>0</v>
      </c>
      <c r="AB42" s="93">
        <f t="shared" si="15"/>
        <v>0</v>
      </c>
      <c r="AC42" s="93">
        <f t="shared" si="16"/>
        <v>0</v>
      </c>
      <c r="AD42" s="94">
        <f t="shared" si="30"/>
        <v>0</v>
      </c>
      <c r="AE42" s="94">
        <f t="shared" si="31"/>
        <v>0</v>
      </c>
      <c r="AF42" s="94">
        <f t="shared" si="32"/>
        <v>0</v>
      </c>
      <c r="AG42" s="94">
        <f t="shared" si="33"/>
        <v>0</v>
      </c>
      <c r="AH42" s="95">
        <f t="shared" si="34"/>
        <v>0</v>
      </c>
      <c r="AI42" s="94">
        <f t="shared" si="35"/>
        <v>0</v>
      </c>
      <c r="AJ42" s="94">
        <f t="shared" si="36"/>
        <v>0</v>
      </c>
      <c r="AK42" s="94">
        <f t="shared" si="37"/>
        <v>0</v>
      </c>
      <c r="AL42" s="96" t="str">
        <f t="shared" si="38"/>
        <v/>
      </c>
      <c r="AM42" s="96" t="str">
        <f t="shared" si="25"/>
        <v>Work not yet Started.</v>
      </c>
      <c r="AN42" s="96" t="str">
        <f t="shared" si="26"/>
        <v/>
      </c>
      <c r="AO42" s="96" t="e">
        <f t="shared" si="27"/>
        <v>#DIV/0!</v>
      </c>
      <c r="AP42" s="96" t="e">
        <f t="shared" si="28"/>
        <v>#DIV/0!</v>
      </c>
      <c r="AQ42" s="96" t="str">
        <f t="shared" si="29"/>
        <v/>
      </c>
    </row>
    <row r="43" spans="1:43" ht="15.5" x14ac:dyDescent="0.35">
      <c r="A43" s="89"/>
      <c r="B43" s="18"/>
      <c r="C43" s="47"/>
      <c r="D43" s="43"/>
      <c r="E43" s="43"/>
      <c r="F43" s="43"/>
      <c r="G43" s="43"/>
      <c r="H43" s="43"/>
      <c r="I43" s="43"/>
      <c r="J43" s="43"/>
      <c r="K43" s="43"/>
      <c r="L43" s="43"/>
      <c r="M43" s="43"/>
      <c r="N43" s="90"/>
      <c r="O43" s="90"/>
      <c r="P43" s="96"/>
      <c r="Q43" s="19" t="e">
        <f t="shared" si="4"/>
        <v>#DIV/0!</v>
      </c>
      <c r="R43" s="19" t="e">
        <f t="shared" si="5"/>
        <v>#DIV/0!</v>
      </c>
      <c r="S43" s="19">
        <f t="shared" si="6"/>
        <v>0</v>
      </c>
      <c r="T43" s="19" t="e">
        <f t="shared" si="7"/>
        <v>#DIV/0!</v>
      </c>
      <c r="U43" s="19" t="e">
        <f t="shared" si="8"/>
        <v>#DIV/0!</v>
      </c>
      <c r="V43" s="19" t="e">
        <f t="shared" si="9"/>
        <v>#DIV/0!</v>
      </c>
      <c r="W43" s="19" t="e">
        <f t="shared" si="10"/>
        <v>#DIV/0!</v>
      </c>
      <c r="X43" s="19" t="e">
        <f t="shared" si="11"/>
        <v>#DIV/0!</v>
      </c>
      <c r="Y43" s="19" t="e">
        <f t="shared" si="12"/>
        <v>#DIV/0!</v>
      </c>
      <c r="Z43" s="19" t="e">
        <f t="shared" si="13"/>
        <v>#DIV/0!</v>
      </c>
      <c r="AA43" s="92">
        <f t="shared" si="14"/>
        <v>0</v>
      </c>
      <c r="AB43" s="93">
        <f t="shared" si="15"/>
        <v>0</v>
      </c>
      <c r="AC43" s="93">
        <f t="shared" si="16"/>
        <v>0</v>
      </c>
      <c r="AD43" s="94">
        <f t="shared" si="30"/>
        <v>0</v>
      </c>
      <c r="AE43" s="94">
        <f t="shared" si="31"/>
        <v>0</v>
      </c>
      <c r="AF43" s="94">
        <f t="shared" si="32"/>
        <v>0</v>
      </c>
      <c r="AG43" s="94">
        <f t="shared" si="33"/>
        <v>0</v>
      </c>
      <c r="AH43" s="95">
        <f t="shared" si="34"/>
        <v>0</v>
      </c>
      <c r="AI43" s="94">
        <f t="shared" si="35"/>
        <v>0</v>
      </c>
      <c r="AJ43" s="94">
        <f t="shared" si="36"/>
        <v>0</v>
      </c>
      <c r="AK43" s="94">
        <f t="shared" si="37"/>
        <v>0</v>
      </c>
      <c r="AL43" s="96" t="str">
        <f t="shared" si="38"/>
        <v/>
      </c>
      <c r="AM43" s="96" t="str">
        <f t="shared" si="25"/>
        <v>Work not yet Started.</v>
      </c>
      <c r="AN43" s="96" t="str">
        <f t="shared" si="26"/>
        <v/>
      </c>
      <c r="AO43" s="96" t="e">
        <f t="shared" si="27"/>
        <v>#DIV/0!</v>
      </c>
      <c r="AP43" s="96" t="e">
        <f t="shared" si="28"/>
        <v>#DIV/0!</v>
      </c>
      <c r="AQ43" s="96" t="str">
        <f t="shared" si="29"/>
        <v/>
      </c>
    </row>
    <row r="44" spans="1:43" ht="15.5" x14ac:dyDescent="0.35">
      <c r="A44" s="89"/>
      <c r="B44" s="18"/>
      <c r="C44" s="47"/>
      <c r="D44" s="43"/>
      <c r="E44" s="43"/>
      <c r="F44" s="43"/>
      <c r="G44" s="43"/>
      <c r="H44" s="43"/>
      <c r="I44" s="43"/>
      <c r="J44" s="43"/>
      <c r="K44" s="43"/>
      <c r="L44" s="43"/>
      <c r="M44" s="43"/>
      <c r="N44" s="90"/>
      <c r="O44" s="90"/>
      <c r="P44" s="96"/>
      <c r="Q44" s="19" t="e">
        <f t="shared" si="4"/>
        <v>#DIV/0!</v>
      </c>
      <c r="R44" s="19" t="e">
        <f t="shared" si="5"/>
        <v>#DIV/0!</v>
      </c>
      <c r="S44" s="19">
        <f t="shared" si="6"/>
        <v>0</v>
      </c>
      <c r="T44" s="19" t="e">
        <f t="shared" si="7"/>
        <v>#DIV/0!</v>
      </c>
      <c r="U44" s="19" t="e">
        <f t="shared" si="8"/>
        <v>#DIV/0!</v>
      </c>
      <c r="V44" s="19" t="e">
        <f t="shared" si="9"/>
        <v>#DIV/0!</v>
      </c>
      <c r="W44" s="19" t="e">
        <f t="shared" si="10"/>
        <v>#DIV/0!</v>
      </c>
      <c r="X44" s="19" t="e">
        <f t="shared" si="11"/>
        <v>#DIV/0!</v>
      </c>
      <c r="Y44" s="19" t="e">
        <f t="shared" si="12"/>
        <v>#DIV/0!</v>
      </c>
      <c r="Z44" s="19" t="e">
        <f t="shared" si="13"/>
        <v>#DIV/0!</v>
      </c>
      <c r="AA44" s="92">
        <f t="shared" si="14"/>
        <v>0</v>
      </c>
      <c r="AB44" s="93">
        <f t="shared" si="15"/>
        <v>0</v>
      </c>
      <c r="AC44" s="93">
        <f t="shared" si="16"/>
        <v>0</v>
      </c>
      <c r="AD44" s="94">
        <f t="shared" si="30"/>
        <v>0</v>
      </c>
      <c r="AE44" s="94">
        <f t="shared" si="31"/>
        <v>0</v>
      </c>
      <c r="AF44" s="94">
        <f t="shared" si="32"/>
        <v>0</v>
      </c>
      <c r="AG44" s="94">
        <f t="shared" si="33"/>
        <v>0</v>
      </c>
      <c r="AH44" s="95">
        <f t="shared" si="34"/>
        <v>0</v>
      </c>
      <c r="AI44" s="94">
        <f t="shared" si="35"/>
        <v>0</v>
      </c>
      <c r="AJ44" s="94">
        <f t="shared" si="36"/>
        <v>0</v>
      </c>
      <c r="AK44" s="94">
        <f t="shared" si="37"/>
        <v>0</v>
      </c>
      <c r="AL44" s="96" t="str">
        <f t="shared" si="38"/>
        <v/>
      </c>
      <c r="AM44" s="96" t="str">
        <f t="shared" si="25"/>
        <v>Work not yet Started.</v>
      </c>
      <c r="AN44" s="96" t="str">
        <f t="shared" si="26"/>
        <v/>
      </c>
      <c r="AO44" s="96" t="e">
        <f t="shared" si="27"/>
        <v>#DIV/0!</v>
      </c>
      <c r="AP44" s="96" t="e">
        <f t="shared" si="28"/>
        <v>#DIV/0!</v>
      </c>
      <c r="AQ44" s="96" t="str">
        <f t="shared" si="29"/>
        <v/>
      </c>
    </row>
    <row r="45" spans="1:43" ht="15.5" x14ac:dyDescent="0.35">
      <c r="A45" s="89"/>
      <c r="B45" s="18"/>
      <c r="C45" s="47"/>
      <c r="D45" s="43"/>
      <c r="E45" s="43"/>
      <c r="F45" s="43"/>
      <c r="G45" s="43"/>
      <c r="H45" s="43"/>
      <c r="I45" s="43"/>
      <c r="J45" s="43"/>
      <c r="K45" s="43"/>
      <c r="L45" s="43"/>
      <c r="M45" s="43"/>
      <c r="N45" s="90"/>
      <c r="O45" s="90"/>
      <c r="P45" s="96"/>
      <c r="Q45" s="19" t="e">
        <f t="shared" si="4"/>
        <v>#DIV/0!</v>
      </c>
      <c r="R45" s="19" t="e">
        <f t="shared" si="5"/>
        <v>#DIV/0!</v>
      </c>
      <c r="S45" s="19">
        <f t="shared" si="6"/>
        <v>0</v>
      </c>
      <c r="T45" s="19" t="e">
        <f t="shared" si="7"/>
        <v>#DIV/0!</v>
      </c>
      <c r="U45" s="19" t="e">
        <f t="shared" si="8"/>
        <v>#DIV/0!</v>
      </c>
      <c r="V45" s="19" t="e">
        <f t="shared" si="9"/>
        <v>#DIV/0!</v>
      </c>
      <c r="W45" s="19" t="e">
        <f t="shared" si="10"/>
        <v>#DIV/0!</v>
      </c>
      <c r="X45" s="19" t="e">
        <f t="shared" si="11"/>
        <v>#DIV/0!</v>
      </c>
      <c r="Y45" s="19" t="e">
        <f t="shared" si="12"/>
        <v>#DIV/0!</v>
      </c>
      <c r="Z45" s="19" t="e">
        <f t="shared" si="13"/>
        <v>#DIV/0!</v>
      </c>
      <c r="AA45" s="92">
        <f t="shared" si="14"/>
        <v>0</v>
      </c>
      <c r="AB45" s="93">
        <f t="shared" si="15"/>
        <v>0</v>
      </c>
      <c r="AC45" s="93">
        <f t="shared" si="16"/>
        <v>0</v>
      </c>
      <c r="AD45" s="94">
        <f t="shared" si="30"/>
        <v>0</v>
      </c>
      <c r="AE45" s="94">
        <f t="shared" si="31"/>
        <v>0</v>
      </c>
      <c r="AF45" s="94">
        <f t="shared" si="32"/>
        <v>0</v>
      </c>
      <c r="AG45" s="94">
        <f t="shared" si="33"/>
        <v>0</v>
      </c>
      <c r="AH45" s="95">
        <f t="shared" si="34"/>
        <v>0</v>
      </c>
      <c r="AI45" s="94">
        <f t="shared" si="35"/>
        <v>0</v>
      </c>
      <c r="AJ45" s="94">
        <f t="shared" si="36"/>
        <v>0</v>
      </c>
      <c r="AK45" s="94">
        <f t="shared" si="37"/>
        <v>0</v>
      </c>
      <c r="AL45" s="96" t="str">
        <f t="shared" ref="AL45:AL54" si="39">(IF(W113=(1+T113),"",IF(W113&gt;0,", RCC upto "&amp;W113&amp;" Slab","")))&amp;(IF(X113=T113,"",IF(X113&gt;0,", Brickwork upto "&amp;X113&amp;" Floor","")))&amp;(IF(Y113=T113,"",IF(Y113&gt;0,", Internal Plaster upto "&amp;Y113&amp;" Floor","")))&amp;(IF(Z113=T113,"",IF(Z113&gt;0,", External Plaster upto "&amp;Z113&amp;" Floor","")))&amp;(IF(AA113=T113,"",IF(AA113&gt;0,", Flooring upto "&amp;AA113&amp;" Floor","")))&amp;(IF(AB113=T113,"",IF(AB113&gt;0,", Painting upto "&amp;AB113&amp;" Floor","")))&amp;(IF(AC113=T113,"",IF(AC113&gt;0,", Finishing upto "&amp;AC113&amp;" Floor","")))&amp;(IF(AD113=T113,"",IF(AD113&gt;0,", Possession upto "&amp;AD113&amp;" Floor","")))</f>
        <v/>
      </c>
      <c r="AM45" s="96" t="str">
        <f t="shared" si="25"/>
        <v>Work not yet Started.</v>
      </c>
      <c r="AN45" s="96" t="str">
        <f t="shared" si="26"/>
        <v/>
      </c>
      <c r="AO45" s="96" t="e">
        <f t="shared" si="27"/>
        <v>#DIV/0!</v>
      </c>
      <c r="AP45" s="96" t="e">
        <f t="shared" si="28"/>
        <v>#DIV/0!</v>
      </c>
      <c r="AQ45" s="96" t="str">
        <f t="shared" si="29"/>
        <v/>
      </c>
    </row>
    <row r="46" spans="1:43" ht="15.5" x14ac:dyDescent="0.35">
      <c r="A46" s="97"/>
      <c r="B46" s="18"/>
      <c r="C46" s="47"/>
      <c r="D46" s="43"/>
      <c r="E46" s="43"/>
      <c r="F46" s="43"/>
      <c r="G46" s="43"/>
      <c r="H46" s="43"/>
      <c r="I46" s="43"/>
      <c r="J46" s="43"/>
      <c r="K46" s="43"/>
      <c r="L46" s="43"/>
      <c r="M46" s="43"/>
      <c r="N46" s="90"/>
      <c r="O46" s="90"/>
      <c r="P46" s="96"/>
      <c r="Q46" s="19" t="e">
        <f t="shared" si="4"/>
        <v>#DIV/0!</v>
      </c>
      <c r="R46" s="19" t="e">
        <f t="shared" si="5"/>
        <v>#DIV/0!</v>
      </c>
      <c r="S46" s="19">
        <f t="shared" si="6"/>
        <v>0</v>
      </c>
      <c r="T46" s="19" t="e">
        <f t="shared" si="7"/>
        <v>#DIV/0!</v>
      </c>
      <c r="U46" s="19" t="e">
        <f t="shared" si="8"/>
        <v>#DIV/0!</v>
      </c>
      <c r="V46" s="19" t="e">
        <f t="shared" si="9"/>
        <v>#DIV/0!</v>
      </c>
      <c r="W46" s="19" t="e">
        <f t="shared" si="10"/>
        <v>#DIV/0!</v>
      </c>
      <c r="X46" s="19" t="e">
        <f t="shared" si="11"/>
        <v>#DIV/0!</v>
      </c>
      <c r="Y46" s="19" t="e">
        <f t="shared" si="12"/>
        <v>#DIV/0!</v>
      </c>
      <c r="Z46" s="19" t="e">
        <f t="shared" si="13"/>
        <v>#DIV/0!</v>
      </c>
      <c r="AA46" s="92">
        <f t="shared" si="14"/>
        <v>0</v>
      </c>
      <c r="AB46" s="93">
        <f t="shared" si="15"/>
        <v>0</v>
      </c>
      <c r="AC46" s="93">
        <f t="shared" si="16"/>
        <v>0</v>
      </c>
      <c r="AD46" s="94">
        <f t="shared" si="30"/>
        <v>0</v>
      </c>
      <c r="AE46" s="94">
        <f t="shared" si="31"/>
        <v>0</v>
      </c>
      <c r="AF46" s="94">
        <f t="shared" si="32"/>
        <v>0</v>
      </c>
      <c r="AG46" s="94">
        <f t="shared" si="33"/>
        <v>0</v>
      </c>
      <c r="AH46" s="95">
        <f t="shared" si="34"/>
        <v>0</v>
      </c>
      <c r="AI46" s="94">
        <f t="shared" si="35"/>
        <v>0</v>
      </c>
      <c r="AJ46" s="94">
        <f t="shared" si="36"/>
        <v>0</v>
      </c>
      <c r="AK46" s="94">
        <f t="shared" si="37"/>
        <v>0</v>
      </c>
      <c r="AL46" s="96" t="str">
        <f t="shared" si="39"/>
        <v/>
      </c>
      <c r="AM46" s="96" t="str">
        <f t="shared" si="25"/>
        <v>Work not yet Started.</v>
      </c>
      <c r="AN46" s="96" t="str">
        <f t="shared" si="26"/>
        <v/>
      </c>
      <c r="AO46" s="96" t="e">
        <f t="shared" si="27"/>
        <v>#DIV/0!</v>
      </c>
      <c r="AP46" s="96" t="e">
        <f t="shared" si="28"/>
        <v>#DIV/0!</v>
      </c>
      <c r="AQ46" s="96" t="str">
        <f t="shared" si="29"/>
        <v/>
      </c>
    </row>
    <row r="47" spans="1:43" ht="15.5" x14ac:dyDescent="0.35">
      <c r="A47" s="97"/>
      <c r="B47" s="18"/>
      <c r="C47" s="47"/>
      <c r="D47" s="43"/>
      <c r="E47" s="43"/>
      <c r="F47" s="43"/>
      <c r="G47" s="43"/>
      <c r="H47" s="43"/>
      <c r="I47" s="43"/>
      <c r="J47" s="43"/>
      <c r="K47" s="43"/>
      <c r="L47" s="43"/>
      <c r="M47" s="43"/>
      <c r="N47" s="90"/>
      <c r="O47" s="90"/>
      <c r="P47" s="96"/>
      <c r="Q47" s="19" t="e">
        <f t="shared" si="4"/>
        <v>#DIV/0!</v>
      </c>
      <c r="R47" s="19" t="e">
        <f t="shared" si="5"/>
        <v>#DIV/0!</v>
      </c>
      <c r="S47" s="19">
        <f t="shared" si="6"/>
        <v>0</v>
      </c>
      <c r="T47" s="19" t="e">
        <f t="shared" si="7"/>
        <v>#DIV/0!</v>
      </c>
      <c r="U47" s="19" t="e">
        <f t="shared" si="8"/>
        <v>#DIV/0!</v>
      </c>
      <c r="V47" s="19" t="e">
        <f t="shared" si="9"/>
        <v>#DIV/0!</v>
      </c>
      <c r="W47" s="19" t="e">
        <f t="shared" si="10"/>
        <v>#DIV/0!</v>
      </c>
      <c r="X47" s="19" t="e">
        <f t="shared" si="11"/>
        <v>#DIV/0!</v>
      </c>
      <c r="Y47" s="19" t="e">
        <f t="shared" si="12"/>
        <v>#DIV/0!</v>
      </c>
      <c r="Z47" s="19" t="e">
        <f t="shared" si="13"/>
        <v>#DIV/0!</v>
      </c>
      <c r="AA47" s="92">
        <f t="shared" si="14"/>
        <v>0</v>
      </c>
      <c r="AB47" s="93">
        <f t="shared" si="15"/>
        <v>0</v>
      </c>
      <c r="AC47" s="93">
        <f t="shared" si="16"/>
        <v>0</v>
      </c>
      <c r="AD47" s="94">
        <f t="shared" si="30"/>
        <v>0</v>
      </c>
      <c r="AE47" s="94">
        <f t="shared" si="31"/>
        <v>0</v>
      </c>
      <c r="AF47" s="94">
        <f t="shared" si="32"/>
        <v>0</v>
      </c>
      <c r="AG47" s="94">
        <f t="shared" si="33"/>
        <v>0</v>
      </c>
      <c r="AH47" s="95">
        <f t="shared" si="34"/>
        <v>0</v>
      </c>
      <c r="AI47" s="94">
        <f t="shared" si="35"/>
        <v>0</v>
      </c>
      <c r="AJ47" s="94">
        <f t="shared" si="36"/>
        <v>0</v>
      </c>
      <c r="AK47" s="94">
        <f t="shared" si="37"/>
        <v>0</v>
      </c>
      <c r="AL47" s="96" t="str">
        <f t="shared" si="39"/>
        <v/>
      </c>
      <c r="AM47" s="96" t="str">
        <f t="shared" si="25"/>
        <v>Work not yet Started.</v>
      </c>
      <c r="AN47" s="96" t="str">
        <f t="shared" si="26"/>
        <v/>
      </c>
      <c r="AO47" s="96" t="e">
        <f t="shared" si="27"/>
        <v>#DIV/0!</v>
      </c>
      <c r="AP47" s="96" t="e">
        <f t="shared" si="28"/>
        <v>#DIV/0!</v>
      </c>
      <c r="AQ47" s="96" t="str">
        <f t="shared" si="29"/>
        <v/>
      </c>
    </row>
    <row r="48" spans="1:43" ht="15.5" x14ac:dyDescent="0.35">
      <c r="A48" s="97"/>
      <c r="B48" s="18"/>
      <c r="C48" s="47"/>
      <c r="D48" s="43"/>
      <c r="E48" s="43"/>
      <c r="F48" s="43"/>
      <c r="G48" s="43"/>
      <c r="H48" s="43"/>
      <c r="I48" s="43"/>
      <c r="J48" s="43"/>
      <c r="K48" s="43"/>
      <c r="L48" s="43"/>
      <c r="M48" s="43"/>
      <c r="N48" s="90"/>
      <c r="O48" s="90"/>
      <c r="P48" s="96"/>
      <c r="Q48" s="19" t="e">
        <f t="shared" si="4"/>
        <v>#DIV/0!</v>
      </c>
      <c r="R48" s="19" t="e">
        <f t="shared" si="5"/>
        <v>#DIV/0!</v>
      </c>
      <c r="S48" s="19">
        <f t="shared" si="6"/>
        <v>0</v>
      </c>
      <c r="T48" s="19" t="e">
        <f t="shared" si="7"/>
        <v>#DIV/0!</v>
      </c>
      <c r="U48" s="19" t="e">
        <f t="shared" si="8"/>
        <v>#DIV/0!</v>
      </c>
      <c r="V48" s="19" t="e">
        <f t="shared" si="9"/>
        <v>#DIV/0!</v>
      </c>
      <c r="W48" s="19" t="e">
        <f t="shared" si="10"/>
        <v>#DIV/0!</v>
      </c>
      <c r="X48" s="19" t="e">
        <f t="shared" si="11"/>
        <v>#DIV/0!</v>
      </c>
      <c r="Y48" s="19" t="e">
        <f t="shared" si="12"/>
        <v>#DIV/0!</v>
      </c>
      <c r="Z48" s="19" t="e">
        <f t="shared" si="13"/>
        <v>#DIV/0!</v>
      </c>
      <c r="AA48" s="92">
        <f t="shared" si="14"/>
        <v>0</v>
      </c>
      <c r="AB48" s="93">
        <f t="shared" si="15"/>
        <v>0</v>
      </c>
      <c r="AC48" s="93">
        <f t="shared" si="16"/>
        <v>0</v>
      </c>
      <c r="AD48" s="94">
        <f t="shared" si="30"/>
        <v>0</v>
      </c>
      <c r="AE48" s="94">
        <f t="shared" si="31"/>
        <v>0</v>
      </c>
      <c r="AF48" s="94">
        <f t="shared" si="32"/>
        <v>0</v>
      </c>
      <c r="AG48" s="94">
        <f t="shared" si="33"/>
        <v>0</v>
      </c>
      <c r="AH48" s="95">
        <f t="shared" si="34"/>
        <v>0</v>
      </c>
      <c r="AI48" s="94">
        <f t="shared" si="35"/>
        <v>0</v>
      </c>
      <c r="AJ48" s="94">
        <f t="shared" si="36"/>
        <v>0</v>
      </c>
      <c r="AK48" s="94">
        <f t="shared" si="37"/>
        <v>0</v>
      </c>
      <c r="AL48" s="96" t="str">
        <f t="shared" si="39"/>
        <v/>
      </c>
      <c r="AM48" s="96" t="str">
        <f t="shared" si="25"/>
        <v>Work not yet Started.</v>
      </c>
      <c r="AN48" s="96" t="str">
        <f t="shared" si="26"/>
        <v/>
      </c>
      <c r="AO48" s="96" t="e">
        <f t="shared" si="27"/>
        <v>#DIV/0!</v>
      </c>
      <c r="AP48" s="96" t="e">
        <f t="shared" si="28"/>
        <v>#DIV/0!</v>
      </c>
      <c r="AQ48" s="96" t="str">
        <f t="shared" si="29"/>
        <v/>
      </c>
    </row>
    <row r="49" spans="1:43" ht="15.5" x14ac:dyDescent="0.35">
      <c r="A49" s="97"/>
      <c r="B49" s="18"/>
      <c r="C49" s="47"/>
      <c r="D49" s="43"/>
      <c r="E49" s="43"/>
      <c r="F49" s="43"/>
      <c r="G49" s="43"/>
      <c r="H49" s="43"/>
      <c r="I49" s="43"/>
      <c r="J49" s="43"/>
      <c r="K49" s="43"/>
      <c r="L49" s="43"/>
      <c r="M49" s="43"/>
      <c r="N49" s="90"/>
      <c r="O49" s="90"/>
      <c r="P49" s="96"/>
      <c r="Q49" s="19" t="e">
        <f t="shared" si="4"/>
        <v>#DIV/0!</v>
      </c>
      <c r="R49" s="19" t="e">
        <f t="shared" si="5"/>
        <v>#DIV/0!</v>
      </c>
      <c r="S49" s="19">
        <f t="shared" si="6"/>
        <v>0</v>
      </c>
      <c r="T49" s="19" t="e">
        <f t="shared" si="7"/>
        <v>#DIV/0!</v>
      </c>
      <c r="U49" s="19" t="e">
        <f t="shared" si="8"/>
        <v>#DIV/0!</v>
      </c>
      <c r="V49" s="19" t="e">
        <f t="shared" si="9"/>
        <v>#DIV/0!</v>
      </c>
      <c r="W49" s="19" t="e">
        <f t="shared" si="10"/>
        <v>#DIV/0!</v>
      </c>
      <c r="X49" s="19" t="e">
        <f t="shared" si="11"/>
        <v>#DIV/0!</v>
      </c>
      <c r="Y49" s="19" t="e">
        <f t="shared" si="12"/>
        <v>#DIV/0!</v>
      </c>
      <c r="Z49" s="19" t="e">
        <f t="shared" si="13"/>
        <v>#DIV/0!</v>
      </c>
      <c r="AA49" s="92">
        <f t="shared" si="14"/>
        <v>0</v>
      </c>
      <c r="AB49" s="93">
        <f t="shared" si="15"/>
        <v>0</v>
      </c>
      <c r="AC49" s="93">
        <f t="shared" si="16"/>
        <v>0</v>
      </c>
      <c r="AD49" s="94">
        <f t="shared" si="30"/>
        <v>0</v>
      </c>
      <c r="AE49" s="94">
        <f t="shared" si="31"/>
        <v>0</v>
      </c>
      <c r="AF49" s="94">
        <f t="shared" si="32"/>
        <v>0</v>
      </c>
      <c r="AG49" s="94">
        <f t="shared" si="33"/>
        <v>0</v>
      </c>
      <c r="AH49" s="95">
        <f t="shared" si="34"/>
        <v>0</v>
      </c>
      <c r="AI49" s="94">
        <f t="shared" si="35"/>
        <v>0</v>
      </c>
      <c r="AJ49" s="94">
        <f t="shared" si="36"/>
        <v>0</v>
      </c>
      <c r="AK49" s="94">
        <f t="shared" si="37"/>
        <v>0</v>
      </c>
      <c r="AL49" s="96" t="str">
        <f t="shared" si="39"/>
        <v/>
      </c>
      <c r="AM49" s="96" t="str">
        <f t="shared" si="25"/>
        <v>Work not yet Started.</v>
      </c>
      <c r="AN49" s="96" t="str">
        <f t="shared" si="26"/>
        <v/>
      </c>
      <c r="AO49" s="96" t="e">
        <f t="shared" si="27"/>
        <v>#DIV/0!</v>
      </c>
      <c r="AP49" s="96" t="e">
        <f t="shared" si="28"/>
        <v>#DIV/0!</v>
      </c>
      <c r="AQ49" s="96" t="str">
        <f t="shared" si="29"/>
        <v/>
      </c>
    </row>
    <row r="50" spans="1:43" ht="15.5" x14ac:dyDescent="0.35">
      <c r="A50" s="97"/>
      <c r="B50" s="18"/>
      <c r="C50" s="47"/>
      <c r="D50" s="43"/>
      <c r="E50" s="43"/>
      <c r="F50" s="43"/>
      <c r="G50" s="43"/>
      <c r="H50" s="43"/>
      <c r="I50" s="43"/>
      <c r="J50" s="43"/>
      <c r="K50" s="43"/>
      <c r="L50" s="43"/>
      <c r="M50" s="43"/>
      <c r="N50" s="90"/>
      <c r="O50" s="90"/>
      <c r="P50" s="96"/>
      <c r="Q50" s="19" t="e">
        <f t="shared" si="4"/>
        <v>#DIV/0!</v>
      </c>
      <c r="R50" s="19" t="e">
        <f t="shared" si="5"/>
        <v>#DIV/0!</v>
      </c>
      <c r="S50" s="19">
        <f t="shared" si="6"/>
        <v>0</v>
      </c>
      <c r="T50" s="19" t="e">
        <f t="shared" si="7"/>
        <v>#DIV/0!</v>
      </c>
      <c r="U50" s="19" t="e">
        <f t="shared" si="8"/>
        <v>#DIV/0!</v>
      </c>
      <c r="V50" s="19" t="e">
        <f t="shared" si="9"/>
        <v>#DIV/0!</v>
      </c>
      <c r="W50" s="19" t="e">
        <f t="shared" si="10"/>
        <v>#DIV/0!</v>
      </c>
      <c r="X50" s="19" t="e">
        <f t="shared" si="11"/>
        <v>#DIV/0!</v>
      </c>
      <c r="Y50" s="19" t="e">
        <f t="shared" si="12"/>
        <v>#DIV/0!</v>
      </c>
      <c r="Z50" s="19" t="e">
        <f t="shared" si="13"/>
        <v>#DIV/0!</v>
      </c>
      <c r="AA50" s="92">
        <f t="shared" si="14"/>
        <v>0</v>
      </c>
      <c r="AB50" s="93">
        <f t="shared" si="15"/>
        <v>0</v>
      </c>
      <c r="AC50" s="93">
        <f t="shared" si="16"/>
        <v>0</v>
      </c>
      <c r="AD50" s="94">
        <f t="shared" si="30"/>
        <v>0</v>
      </c>
      <c r="AE50" s="94">
        <f t="shared" si="31"/>
        <v>0</v>
      </c>
      <c r="AF50" s="94">
        <f t="shared" si="32"/>
        <v>0</v>
      </c>
      <c r="AG50" s="94">
        <f t="shared" si="33"/>
        <v>0</v>
      </c>
      <c r="AH50" s="95">
        <f t="shared" si="34"/>
        <v>0</v>
      </c>
      <c r="AI50" s="94">
        <f t="shared" si="35"/>
        <v>0</v>
      </c>
      <c r="AJ50" s="94">
        <f t="shared" si="36"/>
        <v>0</v>
      </c>
      <c r="AK50" s="94">
        <f t="shared" si="37"/>
        <v>0</v>
      </c>
      <c r="AL50" s="96" t="str">
        <f t="shared" si="39"/>
        <v/>
      </c>
      <c r="AM50" s="96" t="str">
        <f t="shared" si="25"/>
        <v>Work not yet Started.</v>
      </c>
      <c r="AN50" s="96" t="str">
        <f t="shared" si="26"/>
        <v/>
      </c>
      <c r="AO50" s="96" t="e">
        <f t="shared" si="27"/>
        <v>#DIV/0!</v>
      </c>
      <c r="AP50" s="96" t="e">
        <f t="shared" si="28"/>
        <v>#DIV/0!</v>
      </c>
      <c r="AQ50" s="96" t="str">
        <f t="shared" si="29"/>
        <v/>
      </c>
    </row>
    <row r="51" spans="1:43" ht="15.5" x14ac:dyDescent="0.35">
      <c r="A51" s="97"/>
      <c r="B51" s="18"/>
      <c r="C51" s="47"/>
      <c r="D51" s="43"/>
      <c r="E51" s="43"/>
      <c r="F51" s="43"/>
      <c r="G51" s="43"/>
      <c r="H51" s="43"/>
      <c r="I51" s="43"/>
      <c r="J51" s="43"/>
      <c r="K51" s="43"/>
      <c r="L51" s="43"/>
      <c r="M51" s="43"/>
      <c r="N51" s="90"/>
      <c r="O51" s="90"/>
      <c r="P51" s="96"/>
      <c r="Q51" s="19" t="e">
        <f t="shared" si="4"/>
        <v>#DIV/0!</v>
      </c>
      <c r="R51" s="19" t="e">
        <f t="shared" si="5"/>
        <v>#DIV/0!</v>
      </c>
      <c r="S51" s="19">
        <f t="shared" si="6"/>
        <v>0</v>
      </c>
      <c r="T51" s="19" t="e">
        <f t="shared" si="7"/>
        <v>#DIV/0!</v>
      </c>
      <c r="U51" s="19" t="e">
        <f t="shared" si="8"/>
        <v>#DIV/0!</v>
      </c>
      <c r="V51" s="19" t="e">
        <f t="shared" si="9"/>
        <v>#DIV/0!</v>
      </c>
      <c r="W51" s="19" t="e">
        <f t="shared" si="10"/>
        <v>#DIV/0!</v>
      </c>
      <c r="X51" s="19" t="e">
        <f t="shared" si="11"/>
        <v>#DIV/0!</v>
      </c>
      <c r="Y51" s="19" t="e">
        <f t="shared" si="12"/>
        <v>#DIV/0!</v>
      </c>
      <c r="Z51" s="19" t="e">
        <f t="shared" si="13"/>
        <v>#DIV/0!</v>
      </c>
      <c r="AA51" s="92">
        <f t="shared" si="14"/>
        <v>0</v>
      </c>
      <c r="AB51" s="93">
        <f t="shared" si="15"/>
        <v>0</v>
      </c>
      <c r="AC51" s="93">
        <f t="shared" si="16"/>
        <v>0</v>
      </c>
      <c r="AD51" s="94">
        <f t="shared" si="30"/>
        <v>0</v>
      </c>
      <c r="AE51" s="94">
        <f t="shared" si="31"/>
        <v>0</v>
      </c>
      <c r="AF51" s="94">
        <f t="shared" si="32"/>
        <v>0</v>
      </c>
      <c r="AG51" s="94">
        <f t="shared" si="33"/>
        <v>0</v>
      </c>
      <c r="AH51" s="95">
        <f t="shared" si="34"/>
        <v>0</v>
      </c>
      <c r="AI51" s="94">
        <f t="shared" si="35"/>
        <v>0</v>
      </c>
      <c r="AJ51" s="94">
        <f t="shared" si="36"/>
        <v>0</v>
      </c>
      <c r="AK51" s="94">
        <f t="shared" si="37"/>
        <v>0</v>
      </c>
      <c r="AL51" s="96" t="str">
        <f t="shared" si="39"/>
        <v/>
      </c>
      <c r="AM51" s="96" t="str">
        <f t="shared" si="25"/>
        <v>Work not yet Started.</v>
      </c>
      <c r="AN51" s="96" t="str">
        <f t="shared" si="26"/>
        <v/>
      </c>
      <c r="AO51" s="96" t="e">
        <f t="shared" si="27"/>
        <v>#DIV/0!</v>
      </c>
      <c r="AP51" s="96" t="e">
        <f t="shared" si="28"/>
        <v>#DIV/0!</v>
      </c>
      <c r="AQ51" s="96" t="str">
        <f t="shared" si="29"/>
        <v/>
      </c>
    </row>
    <row r="52" spans="1:43" ht="15.5" x14ac:dyDescent="0.35">
      <c r="A52" s="97"/>
      <c r="B52" s="18"/>
      <c r="C52" s="47"/>
      <c r="D52" s="43"/>
      <c r="E52" s="43"/>
      <c r="F52" s="43"/>
      <c r="G52" s="43"/>
      <c r="H52" s="43"/>
      <c r="I52" s="43"/>
      <c r="J52" s="43"/>
      <c r="K52" s="43"/>
      <c r="L52" s="43"/>
      <c r="M52" s="43"/>
      <c r="N52" s="90"/>
      <c r="O52" s="90"/>
      <c r="P52" s="96"/>
      <c r="Q52" s="19" t="e">
        <f t="shared" si="4"/>
        <v>#DIV/0!</v>
      </c>
      <c r="R52" s="19" t="e">
        <f t="shared" si="5"/>
        <v>#DIV/0!</v>
      </c>
      <c r="S52" s="19">
        <f t="shared" si="6"/>
        <v>0</v>
      </c>
      <c r="T52" s="19" t="e">
        <f t="shared" si="7"/>
        <v>#DIV/0!</v>
      </c>
      <c r="U52" s="19" t="e">
        <f t="shared" si="8"/>
        <v>#DIV/0!</v>
      </c>
      <c r="V52" s="19" t="e">
        <f t="shared" si="9"/>
        <v>#DIV/0!</v>
      </c>
      <c r="W52" s="19" t="e">
        <f t="shared" si="10"/>
        <v>#DIV/0!</v>
      </c>
      <c r="X52" s="19" t="e">
        <f t="shared" si="11"/>
        <v>#DIV/0!</v>
      </c>
      <c r="Y52" s="19" t="e">
        <f t="shared" si="12"/>
        <v>#DIV/0!</v>
      </c>
      <c r="Z52" s="19" t="e">
        <f t="shared" si="13"/>
        <v>#DIV/0!</v>
      </c>
      <c r="AA52" s="92">
        <f t="shared" si="14"/>
        <v>0</v>
      </c>
      <c r="AB52" s="93">
        <f t="shared" si="15"/>
        <v>0</v>
      </c>
      <c r="AC52" s="93">
        <f t="shared" si="16"/>
        <v>0</v>
      </c>
      <c r="AD52" s="94">
        <f t="shared" si="30"/>
        <v>0</v>
      </c>
      <c r="AE52" s="94">
        <f t="shared" si="31"/>
        <v>0</v>
      </c>
      <c r="AF52" s="94">
        <f t="shared" si="32"/>
        <v>0</v>
      </c>
      <c r="AG52" s="94">
        <f t="shared" si="33"/>
        <v>0</v>
      </c>
      <c r="AH52" s="95">
        <f t="shared" si="34"/>
        <v>0</v>
      </c>
      <c r="AI52" s="94">
        <f t="shared" si="35"/>
        <v>0</v>
      </c>
      <c r="AJ52" s="94">
        <f t="shared" si="36"/>
        <v>0</v>
      </c>
      <c r="AK52" s="94">
        <f t="shared" si="37"/>
        <v>0</v>
      </c>
      <c r="AL52" s="96" t="str">
        <f t="shared" si="39"/>
        <v/>
      </c>
      <c r="AM52" s="96" t="str">
        <f t="shared" si="25"/>
        <v>Work not yet Started.</v>
      </c>
      <c r="AN52" s="96" t="str">
        <f t="shared" si="26"/>
        <v/>
      </c>
      <c r="AO52" s="96" t="e">
        <f t="shared" si="27"/>
        <v>#DIV/0!</v>
      </c>
      <c r="AP52" s="96" t="e">
        <f t="shared" si="28"/>
        <v>#DIV/0!</v>
      </c>
      <c r="AQ52" s="96" t="str">
        <f t="shared" si="29"/>
        <v/>
      </c>
    </row>
    <row r="53" spans="1:43" ht="15.5" x14ac:dyDescent="0.35">
      <c r="A53" s="97"/>
      <c r="B53" s="18"/>
      <c r="C53" s="47"/>
      <c r="D53" s="43"/>
      <c r="E53" s="43"/>
      <c r="F53" s="43"/>
      <c r="G53" s="43"/>
      <c r="H53" s="43"/>
      <c r="I53" s="43"/>
      <c r="J53" s="43"/>
      <c r="K53" s="43"/>
      <c r="L53" s="43"/>
      <c r="M53" s="43"/>
      <c r="N53" s="90"/>
      <c r="O53" s="90"/>
      <c r="P53" s="96"/>
      <c r="Q53" s="19" t="e">
        <f t="shared" si="4"/>
        <v>#DIV/0!</v>
      </c>
      <c r="R53" s="19" t="e">
        <f t="shared" si="5"/>
        <v>#DIV/0!</v>
      </c>
      <c r="S53" s="19">
        <f t="shared" si="6"/>
        <v>0</v>
      </c>
      <c r="T53" s="19" t="e">
        <f t="shared" si="7"/>
        <v>#DIV/0!</v>
      </c>
      <c r="U53" s="19" t="e">
        <f t="shared" si="8"/>
        <v>#DIV/0!</v>
      </c>
      <c r="V53" s="19" t="e">
        <f t="shared" si="9"/>
        <v>#DIV/0!</v>
      </c>
      <c r="W53" s="19" t="e">
        <f t="shared" si="10"/>
        <v>#DIV/0!</v>
      </c>
      <c r="X53" s="19" t="e">
        <f t="shared" si="11"/>
        <v>#DIV/0!</v>
      </c>
      <c r="Y53" s="19" t="e">
        <f t="shared" si="12"/>
        <v>#DIV/0!</v>
      </c>
      <c r="Z53" s="19" t="e">
        <f t="shared" si="13"/>
        <v>#DIV/0!</v>
      </c>
      <c r="AA53" s="92">
        <f t="shared" si="14"/>
        <v>0</v>
      </c>
      <c r="AB53" s="93">
        <f t="shared" si="15"/>
        <v>0</v>
      </c>
      <c r="AC53" s="93">
        <f t="shared" si="16"/>
        <v>0</v>
      </c>
      <c r="AD53" s="94">
        <f t="shared" si="30"/>
        <v>0</v>
      </c>
      <c r="AE53" s="94">
        <f t="shared" si="31"/>
        <v>0</v>
      </c>
      <c r="AF53" s="94">
        <f t="shared" si="32"/>
        <v>0</v>
      </c>
      <c r="AG53" s="94">
        <f t="shared" si="33"/>
        <v>0</v>
      </c>
      <c r="AH53" s="95">
        <f t="shared" si="34"/>
        <v>0</v>
      </c>
      <c r="AI53" s="94">
        <f t="shared" si="35"/>
        <v>0</v>
      </c>
      <c r="AJ53" s="94">
        <f t="shared" si="36"/>
        <v>0</v>
      </c>
      <c r="AK53" s="94">
        <f t="shared" si="37"/>
        <v>0</v>
      </c>
      <c r="AL53" s="96" t="str">
        <f t="shared" si="39"/>
        <v/>
      </c>
      <c r="AM53" s="96" t="str">
        <f t="shared" si="25"/>
        <v>Work not yet Started.</v>
      </c>
      <c r="AN53" s="96" t="str">
        <f t="shared" si="26"/>
        <v/>
      </c>
      <c r="AO53" s="96" t="e">
        <f t="shared" si="27"/>
        <v>#DIV/0!</v>
      </c>
      <c r="AP53" s="96" t="e">
        <f t="shared" si="28"/>
        <v>#DIV/0!</v>
      </c>
      <c r="AQ53" s="96" t="str">
        <f t="shared" si="29"/>
        <v/>
      </c>
    </row>
    <row r="54" spans="1:43" ht="15.5" x14ac:dyDescent="0.35">
      <c r="A54" s="97"/>
      <c r="B54" s="18"/>
      <c r="C54" s="47"/>
      <c r="D54" s="43"/>
      <c r="E54" s="43"/>
      <c r="F54" s="43"/>
      <c r="G54" s="43"/>
      <c r="H54" s="43"/>
      <c r="I54" s="43"/>
      <c r="J54" s="43"/>
      <c r="K54" s="43"/>
      <c r="L54" s="43"/>
      <c r="M54" s="43"/>
      <c r="N54" s="90"/>
      <c r="O54" s="90"/>
      <c r="P54" s="96"/>
      <c r="Q54" s="19" t="e">
        <f t="shared" si="4"/>
        <v>#DIV/0!</v>
      </c>
      <c r="R54" s="19" t="e">
        <f t="shared" si="5"/>
        <v>#DIV/0!</v>
      </c>
      <c r="S54" s="19">
        <f t="shared" si="6"/>
        <v>0</v>
      </c>
      <c r="T54" s="19" t="e">
        <f t="shared" si="7"/>
        <v>#DIV/0!</v>
      </c>
      <c r="U54" s="19" t="e">
        <f t="shared" si="8"/>
        <v>#DIV/0!</v>
      </c>
      <c r="V54" s="19" t="e">
        <f t="shared" si="9"/>
        <v>#DIV/0!</v>
      </c>
      <c r="W54" s="19" t="e">
        <f t="shared" si="10"/>
        <v>#DIV/0!</v>
      </c>
      <c r="X54" s="19" t="e">
        <f t="shared" si="11"/>
        <v>#DIV/0!</v>
      </c>
      <c r="Y54" s="19" t="e">
        <f t="shared" si="12"/>
        <v>#DIV/0!</v>
      </c>
      <c r="Z54" s="19" t="e">
        <f t="shared" si="13"/>
        <v>#DIV/0!</v>
      </c>
      <c r="AA54" s="92">
        <f t="shared" si="14"/>
        <v>0</v>
      </c>
      <c r="AB54" s="93">
        <f t="shared" si="15"/>
        <v>0</v>
      </c>
      <c r="AC54" s="93">
        <f t="shared" si="16"/>
        <v>0</v>
      </c>
      <c r="AD54" s="94">
        <f t="shared" si="30"/>
        <v>0</v>
      </c>
      <c r="AE54" s="94">
        <f t="shared" si="31"/>
        <v>0</v>
      </c>
      <c r="AF54" s="94">
        <f t="shared" si="32"/>
        <v>0</v>
      </c>
      <c r="AG54" s="94">
        <f t="shared" si="33"/>
        <v>0</v>
      </c>
      <c r="AH54" s="95">
        <f t="shared" si="34"/>
        <v>0</v>
      </c>
      <c r="AI54" s="94">
        <f t="shared" si="35"/>
        <v>0</v>
      </c>
      <c r="AJ54" s="94">
        <f t="shared" si="36"/>
        <v>0</v>
      </c>
      <c r="AK54" s="94">
        <f t="shared" si="37"/>
        <v>0</v>
      </c>
      <c r="AL54" s="96" t="str">
        <f t="shared" si="39"/>
        <v/>
      </c>
      <c r="AM54" s="96" t="str">
        <f t="shared" si="25"/>
        <v>Work not yet Started.</v>
      </c>
      <c r="AN54" s="96" t="str">
        <f t="shared" si="26"/>
        <v/>
      </c>
      <c r="AO54" s="96" t="e">
        <f t="shared" si="27"/>
        <v>#DIV/0!</v>
      </c>
      <c r="AP54" s="96" t="e">
        <f t="shared" si="28"/>
        <v>#DIV/0!</v>
      </c>
      <c r="AQ54" s="96" t="str">
        <f t="shared" si="29"/>
        <v/>
      </c>
    </row>
    <row r="55" spans="1:43" ht="15.5" x14ac:dyDescent="0.35">
      <c r="A55" s="97"/>
      <c r="B55" s="18"/>
      <c r="C55" s="47"/>
      <c r="D55" s="43"/>
      <c r="E55" s="43"/>
      <c r="F55" s="43"/>
      <c r="G55" s="43"/>
      <c r="H55" s="43"/>
      <c r="I55" s="43"/>
      <c r="J55" s="43"/>
      <c r="K55" s="43"/>
      <c r="L55" s="43"/>
      <c r="M55" s="43"/>
      <c r="N55" s="90"/>
      <c r="O55" s="90"/>
      <c r="P55" s="96"/>
      <c r="Q55" s="19" t="e">
        <f t="shared" si="4"/>
        <v>#DIV/0!</v>
      </c>
      <c r="R55" s="19" t="e">
        <f t="shared" si="5"/>
        <v>#DIV/0!</v>
      </c>
      <c r="S55" s="19">
        <f t="shared" si="6"/>
        <v>0</v>
      </c>
      <c r="T55" s="19" t="e">
        <f t="shared" si="7"/>
        <v>#DIV/0!</v>
      </c>
      <c r="U55" s="19" t="e">
        <f t="shared" si="8"/>
        <v>#DIV/0!</v>
      </c>
      <c r="V55" s="19" t="e">
        <f t="shared" si="9"/>
        <v>#DIV/0!</v>
      </c>
      <c r="W55" s="19" t="e">
        <f t="shared" si="10"/>
        <v>#DIV/0!</v>
      </c>
      <c r="X55" s="19" t="e">
        <f t="shared" si="11"/>
        <v>#DIV/0!</v>
      </c>
      <c r="Y55" s="19" t="e">
        <f t="shared" si="12"/>
        <v>#DIV/0!</v>
      </c>
      <c r="Z55" s="19" t="e">
        <f t="shared" si="13"/>
        <v>#DIV/0!</v>
      </c>
      <c r="AA55" s="92">
        <f t="shared" si="14"/>
        <v>0</v>
      </c>
      <c r="AB55" s="93">
        <f t="shared" si="15"/>
        <v>0</v>
      </c>
      <c r="AC55" s="93">
        <f t="shared" si="16"/>
        <v>0</v>
      </c>
      <c r="AD55" s="94">
        <f t="shared" ref="AD55:AD67" si="40">(IF(M40&gt;1,(C55/(M40+2)),C55/4))</f>
        <v>0</v>
      </c>
      <c r="AE55" s="94">
        <f t="shared" ref="AE55:AE67" si="41">(IF(M40&gt;1,(C55/(M40+2)+AD55),C55/4+AD55))</f>
        <v>0</v>
      </c>
      <c r="AF55" s="94">
        <f t="shared" ref="AF55:AF67" si="42">(IF(M40&gt;1,(C55/(M40+2)+AE55),0))</f>
        <v>0</v>
      </c>
      <c r="AG55" s="94">
        <f t="shared" ref="AG55:AG67" si="43">(IF(M40&gt;2,(C55/(M40+2)+AF55),0))</f>
        <v>0</v>
      </c>
      <c r="AH55" s="95">
        <f t="shared" ref="AH55:AH67" si="44">(IF(M40&gt;3,(C55/(M40+2)+AG55),0))</f>
        <v>0</v>
      </c>
      <c r="AI55" s="94">
        <f t="shared" ref="AI55:AI67" si="45">(IF(M40&gt;4,(C55/(M40+2)+AH55),0))</f>
        <v>0</v>
      </c>
      <c r="AJ55" s="94">
        <f t="shared" ref="AJ55:AJ67" si="46">(IF(M40=1,(C55/(M40+3)+AE55),IF(M40=0,(C55/4+AE55),IF(M40&gt;1,0))))</f>
        <v>0</v>
      </c>
      <c r="AK55" s="94">
        <f t="shared" ref="AK55:AK67" si="47">(IF(M40&gt;1.5,(C55/(M40+2)+AE55+MAX(0,AF55-AE55)+MAX(0,AG55-AF55)+MAX(0,AH55-AG55)+MAX(0,AI55-AH55)+MAX(0,AJ55-AI55)),IF(M40=1,(C55/(M40+3)+AJ55),IF(M40=0,C55/4+AJ55))))</f>
        <v>0</v>
      </c>
      <c r="AL55" s="96" t="str">
        <f t="shared" ref="AL55:AL67" si="48">(IF(W121=(1+T121),"",IF(W121&gt;0,", RCC upto "&amp;W121&amp;" Slab","")))&amp;(IF(X121=T121,"",IF(X121&gt;0,", Brickwork upto "&amp;X121&amp;" Floor","")))&amp;(IF(Y121=T121,"",IF(Y121&gt;0,", Internal Plaster upto "&amp;Y121&amp;" Floor","")))&amp;(IF(Z121=T121,"",IF(Z121&gt;0,", External Plaster upto "&amp;Z121&amp;" Floor","")))&amp;(IF(AA121=T121,"",IF(AA121&gt;0,", Flooring upto "&amp;AA121&amp;" Floor","")))&amp;(IF(AB121=T121,"",IF(AB121&gt;0,", Painting upto "&amp;AB121&amp;" Floor","")))&amp;(IF(AC121=T121,"",IF(AC121&gt;0,", Finishing upto "&amp;AC121&amp;" Floor","")))&amp;(IF(AD121=T121,"",IF(AD121&gt;0,", Possession upto "&amp;AD121&amp;" Floor","")))</f>
        <v/>
      </c>
      <c r="AM55" s="96" t="str">
        <f t="shared" si="25"/>
        <v>Work not yet Started.</v>
      </c>
      <c r="AN55" s="96" t="str">
        <f t="shared" si="26"/>
        <v/>
      </c>
      <c r="AO55" s="96" t="e">
        <f t="shared" si="27"/>
        <v>#DIV/0!</v>
      </c>
      <c r="AP55" s="96" t="e">
        <f t="shared" si="28"/>
        <v>#DIV/0!</v>
      </c>
      <c r="AQ55" s="96" t="str">
        <f t="shared" si="29"/>
        <v/>
      </c>
    </row>
    <row r="56" spans="1:43" ht="15.5" x14ac:dyDescent="0.35">
      <c r="A56" s="97"/>
      <c r="B56" s="18"/>
      <c r="C56" s="47"/>
      <c r="D56" s="43"/>
      <c r="E56" s="43"/>
      <c r="F56" s="43"/>
      <c r="G56" s="43"/>
      <c r="H56" s="43"/>
      <c r="I56" s="43"/>
      <c r="J56" s="43"/>
      <c r="K56" s="43"/>
      <c r="L56" s="43"/>
      <c r="M56" s="43"/>
      <c r="N56" s="90"/>
      <c r="O56" s="90"/>
      <c r="P56" s="96"/>
      <c r="Q56" s="19" t="e">
        <f t="shared" si="4"/>
        <v>#DIV/0!</v>
      </c>
      <c r="R56" s="19" t="e">
        <f t="shared" si="5"/>
        <v>#DIV/0!</v>
      </c>
      <c r="S56" s="19">
        <f t="shared" si="6"/>
        <v>0</v>
      </c>
      <c r="T56" s="19" t="e">
        <f t="shared" si="7"/>
        <v>#DIV/0!</v>
      </c>
      <c r="U56" s="19" t="e">
        <f t="shared" si="8"/>
        <v>#DIV/0!</v>
      </c>
      <c r="V56" s="19" t="e">
        <f t="shared" si="9"/>
        <v>#DIV/0!</v>
      </c>
      <c r="W56" s="19" t="e">
        <f t="shared" si="10"/>
        <v>#DIV/0!</v>
      </c>
      <c r="X56" s="19" t="e">
        <f t="shared" si="11"/>
        <v>#DIV/0!</v>
      </c>
      <c r="Y56" s="19" t="e">
        <f t="shared" si="12"/>
        <v>#DIV/0!</v>
      </c>
      <c r="Z56" s="19" t="e">
        <f t="shared" si="13"/>
        <v>#DIV/0!</v>
      </c>
      <c r="AA56" s="92">
        <f t="shared" si="14"/>
        <v>0</v>
      </c>
      <c r="AB56" s="93">
        <f t="shared" si="15"/>
        <v>0</v>
      </c>
      <c r="AC56" s="93">
        <f t="shared" si="16"/>
        <v>0</v>
      </c>
      <c r="AD56" s="94">
        <f t="shared" si="40"/>
        <v>0</v>
      </c>
      <c r="AE56" s="94">
        <f t="shared" si="41"/>
        <v>0</v>
      </c>
      <c r="AF56" s="94">
        <f t="shared" si="42"/>
        <v>0</v>
      </c>
      <c r="AG56" s="94">
        <f t="shared" si="43"/>
        <v>0</v>
      </c>
      <c r="AH56" s="95">
        <f t="shared" si="44"/>
        <v>0</v>
      </c>
      <c r="AI56" s="94">
        <f t="shared" si="45"/>
        <v>0</v>
      </c>
      <c r="AJ56" s="94">
        <f t="shared" si="46"/>
        <v>0</v>
      </c>
      <c r="AK56" s="94">
        <f t="shared" si="47"/>
        <v>0</v>
      </c>
      <c r="AL56" s="96" t="str">
        <f t="shared" si="48"/>
        <v/>
      </c>
      <c r="AM56" s="96" t="str">
        <f t="shared" si="25"/>
        <v>Work not yet Started.</v>
      </c>
      <c r="AN56" s="96" t="str">
        <f t="shared" si="26"/>
        <v/>
      </c>
      <c r="AO56" s="96" t="e">
        <f t="shared" si="27"/>
        <v>#DIV/0!</v>
      </c>
      <c r="AP56" s="96" t="e">
        <f t="shared" si="28"/>
        <v>#DIV/0!</v>
      </c>
      <c r="AQ56" s="96" t="str">
        <f t="shared" si="29"/>
        <v/>
      </c>
    </row>
    <row r="57" spans="1:43" ht="15.5" x14ac:dyDescent="0.35">
      <c r="A57" s="97"/>
      <c r="B57" s="18"/>
      <c r="C57" s="47"/>
      <c r="D57" s="43"/>
      <c r="E57" s="43"/>
      <c r="F57" s="43"/>
      <c r="G57" s="43"/>
      <c r="H57" s="43"/>
      <c r="I57" s="43"/>
      <c r="J57" s="43"/>
      <c r="K57" s="43"/>
      <c r="L57" s="43"/>
      <c r="M57" s="43"/>
      <c r="N57" s="90"/>
      <c r="O57" s="90"/>
      <c r="P57" s="96"/>
      <c r="Q57" s="19" t="e">
        <f t="shared" si="4"/>
        <v>#DIV/0!</v>
      </c>
      <c r="R57" s="19" t="e">
        <f t="shared" si="5"/>
        <v>#DIV/0!</v>
      </c>
      <c r="S57" s="19">
        <f t="shared" si="6"/>
        <v>0</v>
      </c>
      <c r="T57" s="19" t="e">
        <f t="shared" si="7"/>
        <v>#DIV/0!</v>
      </c>
      <c r="U57" s="19" t="e">
        <f t="shared" si="8"/>
        <v>#DIV/0!</v>
      </c>
      <c r="V57" s="19" t="e">
        <f t="shared" si="9"/>
        <v>#DIV/0!</v>
      </c>
      <c r="W57" s="19" t="e">
        <f t="shared" si="10"/>
        <v>#DIV/0!</v>
      </c>
      <c r="X57" s="19" t="e">
        <f t="shared" si="11"/>
        <v>#DIV/0!</v>
      </c>
      <c r="Y57" s="19" t="e">
        <f t="shared" si="12"/>
        <v>#DIV/0!</v>
      </c>
      <c r="Z57" s="19" t="e">
        <f t="shared" si="13"/>
        <v>#DIV/0!</v>
      </c>
      <c r="AA57" s="92">
        <f t="shared" si="14"/>
        <v>0</v>
      </c>
      <c r="AB57" s="93">
        <f t="shared" si="15"/>
        <v>0</v>
      </c>
      <c r="AC57" s="93">
        <f t="shared" si="16"/>
        <v>0</v>
      </c>
      <c r="AD57" s="94">
        <f t="shared" si="40"/>
        <v>0</v>
      </c>
      <c r="AE57" s="94">
        <f t="shared" si="41"/>
        <v>0</v>
      </c>
      <c r="AF57" s="94">
        <f t="shared" si="42"/>
        <v>0</v>
      </c>
      <c r="AG57" s="94">
        <f t="shared" si="43"/>
        <v>0</v>
      </c>
      <c r="AH57" s="95">
        <f t="shared" si="44"/>
        <v>0</v>
      </c>
      <c r="AI57" s="94">
        <f t="shared" si="45"/>
        <v>0</v>
      </c>
      <c r="AJ57" s="94">
        <f t="shared" si="46"/>
        <v>0</v>
      </c>
      <c r="AK57" s="94">
        <f t="shared" si="47"/>
        <v>0</v>
      </c>
      <c r="AL57" s="96" t="str">
        <f t="shared" si="48"/>
        <v/>
      </c>
      <c r="AM57" s="96" t="str">
        <f t="shared" si="25"/>
        <v>Work not yet Started.</v>
      </c>
      <c r="AN57" s="96" t="str">
        <f t="shared" si="26"/>
        <v/>
      </c>
      <c r="AO57" s="96" t="e">
        <f t="shared" si="27"/>
        <v>#DIV/0!</v>
      </c>
      <c r="AP57" s="96" t="e">
        <f t="shared" si="28"/>
        <v>#DIV/0!</v>
      </c>
      <c r="AQ57" s="96" t="str">
        <f t="shared" si="29"/>
        <v/>
      </c>
    </row>
    <row r="58" spans="1:43" ht="15.5" x14ac:dyDescent="0.35">
      <c r="A58" s="97"/>
      <c r="B58" s="18"/>
      <c r="C58" s="47"/>
      <c r="D58" s="43"/>
      <c r="E58" s="43"/>
      <c r="F58" s="43"/>
      <c r="G58" s="43"/>
      <c r="H58" s="43"/>
      <c r="I58" s="43"/>
      <c r="J58" s="43"/>
      <c r="K58" s="43"/>
      <c r="L58" s="43"/>
      <c r="M58" s="43"/>
      <c r="N58" s="90"/>
      <c r="O58" s="90"/>
      <c r="P58" s="102"/>
      <c r="Q58" s="19" t="e">
        <f t="shared" si="4"/>
        <v>#DIV/0!</v>
      </c>
      <c r="R58" s="19" t="e">
        <f t="shared" si="5"/>
        <v>#DIV/0!</v>
      </c>
      <c r="S58" s="19">
        <f t="shared" si="6"/>
        <v>0</v>
      </c>
      <c r="T58" s="19" t="e">
        <f t="shared" si="7"/>
        <v>#DIV/0!</v>
      </c>
      <c r="U58" s="19" t="e">
        <f t="shared" si="8"/>
        <v>#DIV/0!</v>
      </c>
      <c r="V58" s="19" t="e">
        <f t="shared" si="9"/>
        <v>#DIV/0!</v>
      </c>
      <c r="W58" s="19" t="e">
        <f t="shared" si="10"/>
        <v>#DIV/0!</v>
      </c>
      <c r="X58" s="19" t="e">
        <f t="shared" si="11"/>
        <v>#DIV/0!</v>
      </c>
      <c r="Y58" s="19" t="e">
        <f t="shared" si="12"/>
        <v>#DIV/0!</v>
      </c>
      <c r="Z58" s="19" t="e">
        <f t="shared" si="13"/>
        <v>#DIV/0!</v>
      </c>
      <c r="AA58" s="92">
        <f t="shared" si="14"/>
        <v>0</v>
      </c>
      <c r="AB58" s="93">
        <f t="shared" si="15"/>
        <v>0</v>
      </c>
      <c r="AC58" s="93">
        <f t="shared" si="16"/>
        <v>0</v>
      </c>
      <c r="AD58" s="94">
        <f t="shared" si="40"/>
        <v>0</v>
      </c>
      <c r="AE58" s="94">
        <f t="shared" si="41"/>
        <v>0</v>
      </c>
      <c r="AF58" s="94">
        <f t="shared" si="42"/>
        <v>0</v>
      </c>
      <c r="AG58" s="94">
        <f t="shared" si="43"/>
        <v>0</v>
      </c>
      <c r="AH58" s="95">
        <f t="shared" si="44"/>
        <v>0</v>
      </c>
      <c r="AI58" s="94">
        <f t="shared" si="45"/>
        <v>0</v>
      </c>
      <c r="AJ58" s="94">
        <f t="shared" si="46"/>
        <v>0</v>
      </c>
      <c r="AK58" s="94">
        <f t="shared" si="47"/>
        <v>0</v>
      </c>
      <c r="AL58" s="96" t="str">
        <f t="shared" si="48"/>
        <v/>
      </c>
      <c r="AM58" s="96" t="str">
        <f t="shared" si="25"/>
        <v>Work not yet Started.</v>
      </c>
      <c r="AN58" s="96" t="str">
        <f t="shared" si="26"/>
        <v/>
      </c>
      <c r="AO58" s="96" t="e">
        <f t="shared" si="27"/>
        <v>#DIV/0!</v>
      </c>
      <c r="AP58" s="96" t="e">
        <f t="shared" si="28"/>
        <v>#DIV/0!</v>
      </c>
      <c r="AQ58" s="96" t="str">
        <f t="shared" si="29"/>
        <v/>
      </c>
    </row>
    <row r="59" spans="1:43" ht="15.5" x14ac:dyDescent="0.35">
      <c r="A59" s="97"/>
      <c r="B59" s="18"/>
      <c r="C59" s="47"/>
      <c r="D59" s="43"/>
      <c r="E59" s="43"/>
      <c r="F59" s="43"/>
      <c r="G59" s="43"/>
      <c r="H59" s="43"/>
      <c r="I59" s="43"/>
      <c r="J59" s="43"/>
      <c r="K59" s="43"/>
      <c r="L59" s="43"/>
      <c r="M59" s="43"/>
      <c r="N59" s="90"/>
      <c r="O59" s="90"/>
      <c r="P59" s="96"/>
      <c r="Q59" s="19" t="e">
        <f t="shared" si="4"/>
        <v>#DIV/0!</v>
      </c>
      <c r="R59" s="19" t="e">
        <f t="shared" si="5"/>
        <v>#DIV/0!</v>
      </c>
      <c r="S59" s="19">
        <f t="shared" si="6"/>
        <v>0</v>
      </c>
      <c r="T59" s="19" t="e">
        <f t="shared" si="7"/>
        <v>#DIV/0!</v>
      </c>
      <c r="U59" s="19" t="e">
        <f t="shared" si="8"/>
        <v>#DIV/0!</v>
      </c>
      <c r="V59" s="19" t="e">
        <f t="shared" si="9"/>
        <v>#DIV/0!</v>
      </c>
      <c r="W59" s="19" t="e">
        <f t="shared" si="10"/>
        <v>#DIV/0!</v>
      </c>
      <c r="X59" s="19" t="e">
        <f t="shared" si="11"/>
        <v>#DIV/0!</v>
      </c>
      <c r="Y59" s="19" t="e">
        <f t="shared" si="12"/>
        <v>#DIV/0!</v>
      </c>
      <c r="Z59" s="19" t="e">
        <f t="shared" si="13"/>
        <v>#DIV/0!</v>
      </c>
      <c r="AA59" s="92">
        <f t="shared" si="14"/>
        <v>0</v>
      </c>
      <c r="AB59" s="93">
        <f t="shared" si="15"/>
        <v>0</v>
      </c>
      <c r="AC59" s="93">
        <f t="shared" si="16"/>
        <v>0</v>
      </c>
      <c r="AD59" s="94">
        <f t="shared" si="40"/>
        <v>0</v>
      </c>
      <c r="AE59" s="94">
        <f t="shared" si="41"/>
        <v>0</v>
      </c>
      <c r="AF59" s="94">
        <f t="shared" si="42"/>
        <v>0</v>
      </c>
      <c r="AG59" s="94">
        <f t="shared" si="43"/>
        <v>0</v>
      </c>
      <c r="AH59" s="95">
        <f t="shared" si="44"/>
        <v>0</v>
      </c>
      <c r="AI59" s="94">
        <f t="shared" si="45"/>
        <v>0</v>
      </c>
      <c r="AJ59" s="94">
        <f t="shared" si="46"/>
        <v>0</v>
      </c>
      <c r="AK59" s="94">
        <f t="shared" si="47"/>
        <v>0</v>
      </c>
      <c r="AL59" s="96" t="str">
        <f t="shared" si="48"/>
        <v/>
      </c>
      <c r="AM59" s="96" t="str">
        <f t="shared" si="25"/>
        <v>Work not yet Started.</v>
      </c>
      <c r="AN59" s="96" t="str">
        <f t="shared" si="26"/>
        <v/>
      </c>
      <c r="AO59" s="96" t="e">
        <f t="shared" si="27"/>
        <v>#DIV/0!</v>
      </c>
      <c r="AP59" s="96" t="e">
        <f t="shared" si="28"/>
        <v>#DIV/0!</v>
      </c>
      <c r="AQ59" s="96" t="str">
        <f t="shared" si="29"/>
        <v/>
      </c>
    </row>
    <row r="60" spans="1:43" ht="15.5" x14ac:dyDescent="0.35">
      <c r="A60" s="89"/>
      <c r="B60" s="18"/>
      <c r="C60" s="47"/>
      <c r="D60" s="43"/>
      <c r="E60" s="43"/>
      <c r="F60" s="43"/>
      <c r="G60" s="43"/>
      <c r="H60" s="43"/>
      <c r="I60" s="43"/>
      <c r="J60" s="43"/>
      <c r="K60" s="43"/>
      <c r="L60" s="43"/>
      <c r="M60" s="43"/>
      <c r="N60" s="90"/>
      <c r="O60" s="90"/>
      <c r="P60" s="96"/>
      <c r="Q60" s="19" t="e">
        <f t="shared" si="4"/>
        <v>#DIV/0!</v>
      </c>
      <c r="R60" s="19" t="e">
        <f t="shared" si="5"/>
        <v>#DIV/0!</v>
      </c>
      <c r="S60" s="19">
        <f t="shared" si="6"/>
        <v>0</v>
      </c>
      <c r="T60" s="19" t="e">
        <f t="shared" si="7"/>
        <v>#DIV/0!</v>
      </c>
      <c r="U60" s="19" t="e">
        <f t="shared" si="8"/>
        <v>#DIV/0!</v>
      </c>
      <c r="V60" s="19" t="e">
        <f t="shared" si="9"/>
        <v>#DIV/0!</v>
      </c>
      <c r="W60" s="19" t="e">
        <f t="shared" si="10"/>
        <v>#DIV/0!</v>
      </c>
      <c r="X60" s="19" t="e">
        <f t="shared" si="11"/>
        <v>#DIV/0!</v>
      </c>
      <c r="Y60" s="19" t="e">
        <f t="shared" si="12"/>
        <v>#DIV/0!</v>
      </c>
      <c r="Z60" s="19" t="e">
        <f t="shared" si="13"/>
        <v>#DIV/0!</v>
      </c>
      <c r="AA60" s="92">
        <f t="shared" si="14"/>
        <v>0</v>
      </c>
      <c r="AB60" s="93">
        <f t="shared" si="15"/>
        <v>0</v>
      </c>
      <c r="AC60" s="93">
        <f t="shared" si="16"/>
        <v>0</v>
      </c>
      <c r="AD60" s="94">
        <f t="shared" si="40"/>
        <v>0</v>
      </c>
      <c r="AE60" s="94">
        <f t="shared" si="41"/>
        <v>0</v>
      </c>
      <c r="AF60" s="94">
        <f t="shared" si="42"/>
        <v>0</v>
      </c>
      <c r="AG60" s="94">
        <f t="shared" si="43"/>
        <v>0</v>
      </c>
      <c r="AH60" s="95">
        <f t="shared" si="44"/>
        <v>0</v>
      </c>
      <c r="AI60" s="94">
        <f t="shared" si="45"/>
        <v>0</v>
      </c>
      <c r="AJ60" s="94">
        <f t="shared" si="46"/>
        <v>0</v>
      </c>
      <c r="AK60" s="94">
        <f t="shared" si="47"/>
        <v>0</v>
      </c>
      <c r="AL60" s="96" t="str">
        <f t="shared" si="48"/>
        <v/>
      </c>
      <c r="AM60" s="96" t="str">
        <f t="shared" si="25"/>
        <v>Work not yet Started.</v>
      </c>
      <c r="AN60" s="96" t="str">
        <f t="shared" si="26"/>
        <v/>
      </c>
      <c r="AO60" s="96" t="e">
        <f t="shared" si="27"/>
        <v>#DIV/0!</v>
      </c>
      <c r="AP60" s="96" t="e">
        <f t="shared" si="28"/>
        <v>#DIV/0!</v>
      </c>
      <c r="AQ60" s="96" t="str">
        <f t="shared" si="29"/>
        <v/>
      </c>
    </row>
    <row r="61" spans="1:43" ht="15.5" x14ac:dyDescent="0.35">
      <c r="A61" s="89"/>
      <c r="B61" s="18"/>
      <c r="C61" s="47"/>
      <c r="D61" s="43"/>
      <c r="E61" s="43"/>
      <c r="F61" s="43"/>
      <c r="G61" s="43"/>
      <c r="H61" s="43"/>
      <c r="I61" s="43"/>
      <c r="J61" s="43"/>
      <c r="K61" s="43"/>
      <c r="L61" s="43"/>
      <c r="M61" s="43"/>
      <c r="N61" s="90"/>
      <c r="O61" s="90"/>
      <c r="P61" s="96"/>
      <c r="Q61" s="19" t="e">
        <f t="shared" si="4"/>
        <v>#DIV/0!</v>
      </c>
      <c r="R61" s="19" t="e">
        <f t="shared" si="5"/>
        <v>#DIV/0!</v>
      </c>
      <c r="S61" s="19">
        <f t="shared" si="6"/>
        <v>0</v>
      </c>
      <c r="T61" s="19" t="e">
        <f t="shared" si="7"/>
        <v>#DIV/0!</v>
      </c>
      <c r="U61" s="19" t="e">
        <f t="shared" si="8"/>
        <v>#DIV/0!</v>
      </c>
      <c r="V61" s="19" t="e">
        <f t="shared" si="9"/>
        <v>#DIV/0!</v>
      </c>
      <c r="W61" s="19" t="e">
        <f t="shared" si="10"/>
        <v>#DIV/0!</v>
      </c>
      <c r="X61" s="19" t="e">
        <f t="shared" si="11"/>
        <v>#DIV/0!</v>
      </c>
      <c r="Y61" s="19" t="e">
        <f t="shared" si="12"/>
        <v>#DIV/0!</v>
      </c>
      <c r="Z61" s="19" t="e">
        <f t="shared" si="13"/>
        <v>#DIV/0!</v>
      </c>
      <c r="AA61" s="92">
        <f t="shared" si="14"/>
        <v>0</v>
      </c>
      <c r="AB61" s="93">
        <f t="shared" si="15"/>
        <v>0</v>
      </c>
      <c r="AC61" s="93">
        <f t="shared" si="16"/>
        <v>0</v>
      </c>
      <c r="AD61" s="94">
        <f t="shared" si="40"/>
        <v>0</v>
      </c>
      <c r="AE61" s="94">
        <f t="shared" si="41"/>
        <v>0</v>
      </c>
      <c r="AF61" s="94">
        <f t="shared" si="42"/>
        <v>0</v>
      </c>
      <c r="AG61" s="94">
        <f t="shared" si="43"/>
        <v>0</v>
      </c>
      <c r="AH61" s="95">
        <f t="shared" si="44"/>
        <v>0</v>
      </c>
      <c r="AI61" s="94">
        <f t="shared" si="45"/>
        <v>0</v>
      </c>
      <c r="AJ61" s="94">
        <f t="shared" si="46"/>
        <v>0</v>
      </c>
      <c r="AK61" s="94">
        <f t="shared" si="47"/>
        <v>0</v>
      </c>
      <c r="AL61" s="96" t="str">
        <f t="shared" si="48"/>
        <v/>
      </c>
      <c r="AM61" s="96" t="str">
        <f t="shared" si="25"/>
        <v>Work not yet Started.</v>
      </c>
      <c r="AN61" s="96" t="str">
        <f t="shared" si="26"/>
        <v/>
      </c>
      <c r="AO61" s="96" t="e">
        <f t="shared" si="27"/>
        <v>#DIV/0!</v>
      </c>
      <c r="AP61" s="96" t="e">
        <f t="shared" si="28"/>
        <v>#DIV/0!</v>
      </c>
      <c r="AQ61" s="96" t="str">
        <f t="shared" si="29"/>
        <v/>
      </c>
    </row>
    <row r="62" spans="1:43" ht="15.5" x14ac:dyDescent="0.35">
      <c r="A62" s="89"/>
      <c r="B62" s="18"/>
      <c r="C62" s="47"/>
      <c r="D62" s="43"/>
      <c r="E62" s="43"/>
      <c r="F62" s="43"/>
      <c r="G62" s="43"/>
      <c r="H62" s="43"/>
      <c r="I62" s="43"/>
      <c r="J62" s="43"/>
      <c r="K62" s="43"/>
      <c r="L62" s="43"/>
      <c r="M62" s="43"/>
      <c r="N62" s="90"/>
      <c r="O62" s="90"/>
      <c r="P62" s="96"/>
      <c r="Q62" s="19" t="e">
        <f t="shared" si="4"/>
        <v>#DIV/0!</v>
      </c>
      <c r="R62" s="19" t="e">
        <f t="shared" si="5"/>
        <v>#DIV/0!</v>
      </c>
      <c r="S62" s="19">
        <f t="shared" si="6"/>
        <v>0</v>
      </c>
      <c r="T62" s="19" t="e">
        <f t="shared" si="7"/>
        <v>#DIV/0!</v>
      </c>
      <c r="U62" s="19" t="e">
        <f t="shared" si="8"/>
        <v>#DIV/0!</v>
      </c>
      <c r="V62" s="19" t="e">
        <f t="shared" si="9"/>
        <v>#DIV/0!</v>
      </c>
      <c r="W62" s="19" t="e">
        <f t="shared" si="10"/>
        <v>#DIV/0!</v>
      </c>
      <c r="X62" s="19" t="e">
        <f t="shared" si="11"/>
        <v>#DIV/0!</v>
      </c>
      <c r="Y62" s="19" t="e">
        <f t="shared" si="12"/>
        <v>#DIV/0!</v>
      </c>
      <c r="Z62" s="19" t="e">
        <f t="shared" si="13"/>
        <v>#DIV/0!</v>
      </c>
      <c r="AA62" s="92">
        <f t="shared" si="14"/>
        <v>0</v>
      </c>
      <c r="AB62" s="93">
        <f t="shared" si="15"/>
        <v>0</v>
      </c>
      <c r="AC62" s="93">
        <f t="shared" si="16"/>
        <v>0</v>
      </c>
      <c r="AD62" s="94">
        <f t="shared" si="40"/>
        <v>0</v>
      </c>
      <c r="AE62" s="94">
        <f t="shared" si="41"/>
        <v>0</v>
      </c>
      <c r="AF62" s="94">
        <f t="shared" si="42"/>
        <v>0</v>
      </c>
      <c r="AG62" s="94">
        <f t="shared" si="43"/>
        <v>0</v>
      </c>
      <c r="AH62" s="95">
        <f t="shared" si="44"/>
        <v>0</v>
      </c>
      <c r="AI62" s="94">
        <f t="shared" si="45"/>
        <v>0</v>
      </c>
      <c r="AJ62" s="94">
        <f t="shared" si="46"/>
        <v>0</v>
      </c>
      <c r="AK62" s="94">
        <f t="shared" si="47"/>
        <v>0</v>
      </c>
      <c r="AL62" s="96" t="str">
        <f t="shared" si="48"/>
        <v/>
      </c>
      <c r="AM62" s="96" t="str">
        <f t="shared" si="25"/>
        <v>Work not yet Started.</v>
      </c>
      <c r="AN62" s="96" t="str">
        <f t="shared" si="26"/>
        <v/>
      </c>
      <c r="AO62" s="96" t="e">
        <f t="shared" si="27"/>
        <v>#DIV/0!</v>
      </c>
      <c r="AP62" s="96" t="e">
        <f t="shared" si="28"/>
        <v>#DIV/0!</v>
      </c>
      <c r="AQ62" s="96" t="str">
        <f t="shared" si="29"/>
        <v/>
      </c>
    </row>
    <row r="63" spans="1:43" ht="15.5" x14ac:dyDescent="0.35">
      <c r="A63" s="89"/>
      <c r="B63" s="18"/>
      <c r="C63" s="47"/>
      <c r="D63" s="43"/>
      <c r="E63" s="43"/>
      <c r="F63" s="43"/>
      <c r="G63" s="43"/>
      <c r="H63" s="43"/>
      <c r="I63" s="43"/>
      <c r="J63" s="43"/>
      <c r="K63" s="43"/>
      <c r="L63" s="43"/>
      <c r="M63" s="43"/>
      <c r="N63" s="90"/>
      <c r="O63" s="90"/>
      <c r="P63" s="96"/>
      <c r="Q63" s="19" t="e">
        <f t="shared" si="4"/>
        <v>#DIV/0!</v>
      </c>
      <c r="R63" s="19" t="e">
        <f t="shared" si="5"/>
        <v>#DIV/0!</v>
      </c>
      <c r="S63" s="19">
        <f t="shared" si="6"/>
        <v>0</v>
      </c>
      <c r="T63" s="19" t="e">
        <f t="shared" si="7"/>
        <v>#DIV/0!</v>
      </c>
      <c r="U63" s="19" t="e">
        <f t="shared" si="8"/>
        <v>#DIV/0!</v>
      </c>
      <c r="V63" s="19" t="e">
        <f t="shared" si="9"/>
        <v>#DIV/0!</v>
      </c>
      <c r="W63" s="19" t="e">
        <f t="shared" si="10"/>
        <v>#DIV/0!</v>
      </c>
      <c r="X63" s="19" t="e">
        <f t="shared" si="11"/>
        <v>#DIV/0!</v>
      </c>
      <c r="Y63" s="19" t="e">
        <f t="shared" si="12"/>
        <v>#DIV/0!</v>
      </c>
      <c r="Z63" s="19" t="e">
        <f t="shared" si="13"/>
        <v>#DIV/0!</v>
      </c>
      <c r="AA63" s="92">
        <f t="shared" si="14"/>
        <v>0</v>
      </c>
      <c r="AB63" s="93">
        <f t="shared" si="15"/>
        <v>0</v>
      </c>
      <c r="AC63" s="93">
        <f t="shared" si="16"/>
        <v>0</v>
      </c>
      <c r="AD63" s="94">
        <f t="shared" si="40"/>
        <v>0</v>
      </c>
      <c r="AE63" s="94">
        <f t="shared" si="41"/>
        <v>0</v>
      </c>
      <c r="AF63" s="94">
        <f t="shared" si="42"/>
        <v>0</v>
      </c>
      <c r="AG63" s="94">
        <f t="shared" si="43"/>
        <v>0</v>
      </c>
      <c r="AH63" s="95">
        <f t="shared" si="44"/>
        <v>0</v>
      </c>
      <c r="AI63" s="94">
        <f t="shared" si="45"/>
        <v>0</v>
      </c>
      <c r="AJ63" s="94">
        <f t="shared" si="46"/>
        <v>0</v>
      </c>
      <c r="AK63" s="94">
        <f t="shared" si="47"/>
        <v>0</v>
      </c>
      <c r="AL63" s="96" t="str">
        <f t="shared" si="48"/>
        <v/>
      </c>
      <c r="AM63" s="96" t="str">
        <f t="shared" si="25"/>
        <v>Work not yet Started.</v>
      </c>
      <c r="AN63" s="96" t="str">
        <f t="shared" si="26"/>
        <v/>
      </c>
      <c r="AO63" s="96" t="e">
        <f t="shared" si="27"/>
        <v>#DIV/0!</v>
      </c>
      <c r="AP63" s="96" t="e">
        <f t="shared" si="28"/>
        <v>#DIV/0!</v>
      </c>
      <c r="AQ63" s="96" t="str">
        <f t="shared" si="29"/>
        <v/>
      </c>
    </row>
    <row r="64" spans="1:43" ht="15.5" x14ac:dyDescent="0.35">
      <c r="A64" s="89"/>
      <c r="B64" s="18"/>
      <c r="C64" s="47"/>
      <c r="D64" s="43"/>
      <c r="E64" s="43"/>
      <c r="F64" s="43"/>
      <c r="G64" s="43"/>
      <c r="H64" s="43"/>
      <c r="I64" s="43"/>
      <c r="J64" s="43"/>
      <c r="K64" s="43"/>
      <c r="L64" s="43"/>
      <c r="M64" s="43"/>
      <c r="N64" s="90"/>
      <c r="O64" s="90"/>
      <c r="P64" s="96"/>
      <c r="Q64" s="19" t="e">
        <f t="shared" si="4"/>
        <v>#DIV/0!</v>
      </c>
      <c r="R64" s="19" t="e">
        <f t="shared" si="5"/>
        <v>#DIV/0!</v>
      </c>
      <c r="S64" s="19">
        <f t="shared" si="6"/>
        <v>0</v>
      </c>
      <c r="T64" s="19" t="e">
        <f t="shared" si="7"/>
        <v>#DIV/0!</v>
      </c>
      <c r="U64" s="19" t="e">
        <f t="shared" si="8"/>
        <v>#DIV/0!</v>
      </c>
      <c r="V64" s="19" t="e">
        <f t="shared" si="9"/>
        <v>#DIV/0!</v>
      </c>
      <c r="W64" s="19" t="e">
        <f t="shared" si="10"/>
        <v>#DIV/0!</v>
      </c>
      <c r="X64" s="19" t="e">
        <f t="shared" si="11"/>
        <v>#DIV/0!</v>
      </c>
      <c r="Y64" s="19" t="e">
        <f t="shared" si="12"/>
        <v>#DIV/0!</v>
      </c>
      <c r="Z64" s="19" t="e">
        <f t="shared" si="13"/>
        <v>#DIV/0!</v>
      </c>
      <c r="AA64" s="92">
        <f t="shared" si="14"/>
        <v>0</v>
      </c>
      <c r="AB64" s="93">
        <f t="shared" si="15"/>
        <v>0</v>
      </c>
      <c r="AC64" s="93">
        <f t="shared" si="16"/>
        <v>0</v>
      </c>
      <c r="AD64" s="94">
        <f t="shared" si="40"/>
        <v>0</v>
      </c>
      <c r="AE64" s="94">
        <f t="shared" si="41"/>
        <v>0</v>
      </c>
      <c r="AF64" s="94">
        <f t="shared" si="42"/>
        <v>0</v>
      </c>
      <c r="AG64" s="94">
        <f t="shared" si="43"/>
        <v>0</v>
      </c>
      <c r="AH64" s="95">
        <f t="shared" si="44"/>
        <v>0</v>
      </c>
      <c r="AI64" s="94">
        <f t="shared" si="45"/>
        <v>0</v>
      </c>
      <c r="AJ64" s="94">
        <f t="shared" si="46"/>
        <v>0</v>
      </c>
      <c r="AK64" s="94">
        <f t="shared" si="47"/>
        <v>0</v>
      </c>
      <c r="AL64" s="96" t="str">
        <f t="shared" si="48"/>
        <v/>
      </c>
      <c r="AM64" s="96" t="str">
        <f t="shared" si="25"/>
        <v>Work not yet Started.</v>
      </c>
      <c r="AN64" s="96" t="str">
        <f t="shared" si="26"/>
        <v/>
      </c>
      <c r="AO64" s="96" t="e">
        <f t="shared" si="27"/>
        <v>#DIV/0!</v>
      </c>
      <c r="AP64" s="96" t="e">
        <f t="shared" si="28"/>
        <v>#DIV/0!</v>
      </c>
      <c r="AQ64" s="96" t="str">
        <f t="shared" si="29"/>
        <v/>
      </c>
    </row>
    <row r="65" spans="1:43" ht="15.5" x14ac:dyDescent="0.35">
      <c r="A65" s="89"/>
      <c r="B65" s="18"/>
      <c r="C65" s="47"/>
      <c r="D65" s="43"/>
      <c r="E65" s="43"/>
      <c r="F65" s="43"/>
      <c r="G65" s="43"/>
      <c r="H65" s="43"/>
      <c r="I65" s="43"/>
      <c r="J65" s="43"/>
      <c r="K65" s="43"/>
      <c r="L65" s="43"/>
      <c r="M65" s="43"/>
      <c r="N65" s="90"/>
      <c r="O65" s="90"/>
      <c r="P65" s="96"/>
      <c r="Q65" s="19" t="e">
        <f t="shared" si="4"/>
        <v>#DIV/0!</v>
      </c>
      <c r="R65" s="19" t="e">
        <f t="shared" si="5"/>
        <v>#DIV/0!</v>
      </c>
      <c r="S65" s="19">
        <f t="shared" si="6"/>
        <v>0</v>
      </c>
      <c r="T65" s="19" t="e">
        <f t="shared" si="7"/>
        <v>#DIV/0!</v>
      </c>
      <c r="U65" s="19" t="e">
        <f t="shared" si="8"/>
        <v>#DIV/0!</v>
      </c>
      <c r="V65" s="19" t="e">
        <f t="shared" si="9"/>
        <v>#DIV/0!</v>
      </c>
      <c r="W65" s="19" t="e">
        <f t="shared" si="10"/>
        <v>#DIV/0!</v>
      </c>
      <c r="X65" s="19" t="e">
        <f t="shared" si="11"/>
        <v>#DIV/0!</v>
      </c>
      <c r="Y65" s="19" t="e">
        <f t="shared" si="12"/>
        <v>#DIV/0!</v>
      </c>
      <c r="Z65" s="19" t="e">
        <f t="shared" si="13"/>
        <v>#DIV/0!</v>
      </c>
      <c r="AA65" s="92">
        <f t="shared" si="14"/>
        <v>0</v>
      </c>
      <c r="AB65" s="93">
        <f t="shared" si="15"/>
        <v>0</v>
      </c>
      <c r="AC65" s="93">
        <f t="shared" si="16"/>
        <v>0</v>
      </c>
      <c r="AD65" s="94">
        <f t="shared" si="40"/>
        <v>0</v>
      </c>
      <c r="AE65" s="94">
        <f t="shared" si="41"/>
        <v>0</v>
      </c>
      <c r="AF65" s="94">
        <f t="shared" si="42"/>
        <v>0</v>
      </c>
      <c r="AG65" s="94">
        <f t="shared" si="43"/>
        <v>0</v>
      </c>
      <c r="AH65" s="95">
        <f t="shared" si="44"/>
        <v>0</v>
      </c>
      <c r="AI65" s="94">
        <f t="shared" si="45"/>
        <v>0</v>
      </c>
      <c r="AJ65" s="94">
        <f t="shared" si="46"/>
        <v>0</v>
      </c>
      <c r="AK65" s="94">
        <f t="shared" si="47"/>
        <v>0</v>
      </c>
      <c r="AL65" s="96" t="str">
        <f t="shared" si="48"/>
        <v/>
      </c>
      <c r="AM65" s="96" t="str">
        <f t="shared" si="25"/>
        <v>Work not yet Started.</v>
      </c>
      <c r="AN65" s="96" t="str">
        <f t="shared" si="26"/>
        <v/>
      </c>
      <c r="AO65" s="96" t="e">
        <f t="shared" si="27"/>
        <v>#DIV/0!</v>
      </c>
      <c r="AP65" s="96" t="e">
        <f t="shared" si="28"/>
        <v>#DIV/0!</v>
      </c>
      <c r="AQ65" s="96" t="str">
        <f t="shared" si="29"/>
        <v/>
      </c>
    </row>
    <row r="66" spans="1:43" ht="15.5" x14ac:dyDescent="0.35">
      <c r="A66" s="89"/>
      <c r="B66" s="18"/>
      <c r="C66" s="47"/>
      <c r="D66" s="43"/>
      <c r="E66" s="43"/>
      <c r="F66" s="43"/>
      <c r="G66" s="43"/>
      <c r="H66" s="43"/>
      <c r="I66" s="43"/>
      <c r="J66" s="43"/>
      <c r="K66" s="43"/>
      <c r="L66" s="43"/>
      <c r="M66" s="43"/>
      <c r="N66" s="90"/>
      <c r="O66" s="90"/>
      <c r="P66" s="96"/>
      <c r="Q66" s="19" t="e">
        <f t="shared" si="4"/>
        <v>#DIV/0!</v>
      </c>
      <c r="R66" s="19" t="e">
        <f t="shared" si="5"/>
        <v>#DIV/0!</v>
      </c>
      <c r="S66" s="19">
        <f t="shared" si="6"/>
        <v>0</v>
      </c>
      <c r="T66" s="19" t="e">
        <f t="shared" si="7"/>
        <v>#DIV/0!</v>
      </c>
      <c r="U66" s="19" t="e">
        <f t="shared" si="8"/>
        <v>#DIV/0!</v>
      </c>
      <c r="V66" s="19" t="e">
        <f t="shared" si="9"/>
        <v>#DIV/0!</v>
      </c>
      <c r="W66" s="19" t="e">
        <f t="shared" si="10"/>
        <v>#DIV/0!</v>
      </c>
      <c r="X66" s="19" t="e">
        <f t="shared" si="11"/>
        <v>#DIV/0!</v>
      </c>
      <c r="Y66" s="19" t="e">
        <f t="shared" si="12"/>
        <v>#DIV/0!</v>
      </c>
      <c r="Z66" s="19" t="e">
        <f t="shared" si="13"/>
        <v>#DIV/0!</v>
      </c>
      <c r="AA66" s="92">
        <f t="shared" si="14"/>
        <v>0</v>
      </c>
      <c r="AB66" s="93">
        <f t="shared" si="15"/>
        <v>0</v>
      </c>
      <c r="AC66" s="93">
        <f t="shared" si="16"/>
        <v>0</v>
      </c>
      <c r="AD66" s="94">
        <f t="shared" si="40"/>
        <v>0</v>
      </c>
      <c r="AE66" s="94">
        <f t="shared" si="41"/>
        <v>0</v>
      </c>
      <c r="AF66" s="94">
        <f t="shared" si="42"/>
        <v>0</v>
      </c>
      <c r="AG66" s="94">
        <f t="shared" si="43"/>
        <v>0</v>
      </c>
      <c r="AH66" s="95">
        <f t="shared" si="44"/>
        <v>0</v>
      </c>
      <c r="AI66" s="94">
        <f t="shared" si="45"/>
        <v>0</v>
      </c>
      <c r="AJ66" s="94">
        <f t="shared" si="46"/>
        <v>0</v>
      </c>
      <c r="AK66" s="94">
        <f t="shared" si="47"/>
        <v>0</v>
      </c>
      <c r="AL66" s="96" t="str">
        <f t="shared" si="48"/>
        <v/>
      </c>
      <c r="AM66" s="96" t="str">
        <f t="shared" si="25"/>
        <v>Work not yet Started.</v>
      </c>
      <c r="AN66" s="96" t="str">
        <f t="shared" si="26"/>
        <v/>
      </c>
      <c r="AO66" s="96" t="e">
        <f t="shared" si="27"/>
        <v>#DIV/0!</v>
      </c>
      <c r="AP66" s="96" t="e">
        <f t="shared" si="28"/>
        <v>#DIV/0!</v>
      </c>
      <c r="AQ66" s="96" t="str">
        <f t="shared" si="29"/>
        <v/>
      </c>
    </row>
    <row r="67" spans="1:43" ht="15.5" x14ac:dyDescent="0.35">
      <c r="A67" s="89"/>
      <c r="B67" s="18"/>
      <c r="C67" s="47"/>
      <c r="D67" s="43"/>
      <c r="E67" s="43"/>
      <c r="F67" s="43"/>
      <c r="G67" s="43"/>
      <c r="H67" s="43"/>
      <c r="I67" s="43"/>
      <c r="J67" s="43"/>
      <c r="K67" s="43"/>
      <c r="L67" s="43"/>
      <c r="M67" s="43"/>
      <c r="N67" s="90"/>
      <c r="O67" s="90"/>
      <c r="P67" s="96"/>
      <c r="Q67" s="19" t="e">
        <f t="shared" si="4"/>
        <v>#DIV/0!</v>
      </c>
      <c r="R67" s="19" t="e">
        <f t="shared" si="5"/>
        <v>#DIV/0!</v>
      </c>
      <c r="S67" s="19">
        <f t="shared" si="6"/>
        <v>0</v>
      </c>
      <c r="T67" s="19" t="e">
        <f t="shared" si="7"/>
        <v>#DIV/0!</v>
      </c>
      <c r="U67" s="19" t="e">
        <f t="shared" si="8"/>
        <v>#DIV/0!</v>
      </c>
      <c r="V67" s="19" t="e">
        <f t="shared" si="9"/>
        <v>#DIV/0!</v>
      </c>
      <c r="W67" s="19" t="e">
        <f t="shared" si="10"/>
        <v>#DIV/0!</v>
      </c>
      <c r="X67" s="19" t="e">
        <f t="shared" si="11"/>
        <v>#DIV/0!</v>
      </c>
      <c r="Y67" s="19" t="e">
        <f t="shared" si="12"/>
        <v>#DIV/0!</v>
      </c>
      <c r="Z67" s="19" t="e">
        <f t="shared" si="13"/>
        <v>#DIV/0!</v>
      </c>
      <c r="AA67" s="92">
        <f t="shared" si="14"/>
        <v>0</v>
      </c>
      <c r="AB67" s="93">
        <f t="shared" si="15"/>
        <v>0</v>
      </c>
      <c r="AC67" s="93">
        <f t="shared" si="16"/>
        <v>0</v>
      </c>
      <c r="AD67" s="94">
        <f t="shared" si="40"/>
        <v>0</v>
      </c>
      <c r="AE67" s="94">
        <f t="shared" si="41"/>
        <v>0</v>
      </c>
      <c r="AF67" s="94">
        <f t="shared" si="42"/>
        <v>0</v>
      </c>
      <c r="AG67" s="94">
        <f t="shared" si="43"/>
        <v>0</v>
      </c>
      <c r="AH67" s="95">
        <f t="shared" si="44"/>
        <v>0</v>
      </c>
      <c r="AI67" s="94">
        <f t="shared" si="45"/>
        <v>0</v>
      </c>
      <c r="AJ67" s="94">
        <f t="shared" si="46"/>
        <v>0</v>
      </c>
      <c r="AK67" s="94">
        <f t="shared" si="47"/>
        <v>0</v>
      </c>
      <c r="AL67" s="96" t="str">
        <f t="shared" si="48"/>
        <v/>
      </c>
      <c r="AM67" s="96" t="str">
        <f t="shared" si="25"/>
        <v>Work not yet Started.</v>
      </c>
      <c r="AN67" s="96" t="str">
        <f t="shared" si="26"/>
        <v/>
      </c>
      <c r="AO67" s="96" t="e">
        <f t="shared" si="27"/>
        <v>#DIV/0!</v>
      </c>
      <c r="AP67" s="96" t="e">
        <f t="shared" si="28"/>
        <v>#DIV/0!</v>
      </c>
      <c r="AQ67" s="96" t="str">
        <f t="shared" si="29"/>
        <v/>
      </c>
    </row>
    <row r="68" spans="1:43" ht="15.5" x14ac:dyDescent="0.35">
      <c r="A68" s="89"/>
      <c r="B68" s="18"/>
      <c r="C68" s="47"/>
      <c r="D68" s="43"/>
      <c r="E68" s="43"/>
      <c r="F68" s="43"/>
      <c r="G68" s="43"/>
      <c r="H68" s="43"/>
      <c r="I68" s="43"/>
      <c r="J68" s="43"/>
      <c r="K68" s="43"/>
      <c r="L68" s="43"/>
      <c r="M68" s="43"/>
      <c r="N68" s="90"/>
      <c r="O68" s="90"/>
      <c r="P68" s="96"/>
      <c r="Q68" s="19" t="e">
        <f t="shared" si="4"/>
        <v>#DIV/0!</v>
      </c>
      <c r="R68" s="19" t="e">
        <f t="shared" si="5"/>
        <v>#DIV/0!</v>
      </c>
      <c r="S68" s="19">
        <f t="shared" si="6"/>
        <v>0</v>
      </c>
      <c r="T68" s="19" t="e">
        <f t="shared" si="7"/>
        <v>#DIV/0!</v>
      </c>
      <c r="U68" s="19" t="e">
        <f t="shared" si="8"/>
        <v>#DIV/0!</v>
      </c>
      <c r="V68" s="19" t="e">
        <f t="shared" si="9"/>
        <v>#DIV/0!</v>
      </c>
      <c r="W68" s="19" t="e">
        <f t="shared" si="10"/>
        <v>#DIV/0!</v>
      </c>
      <c r="X68" s="19" t="e">
        <f t="shared" si="11"/>
        <v>#DIV/0!</v>
      </c>
      <c r="Y68" s="19" t="e">
        <f t="shared" si="12"/>
        <v>#DIV/0!</v>
      </c>
      <c r="Z68" s="19" t="e">
        <f t="shared" si="13"/>
        <v>#DIV/0!</v>
      </c>
      <c r="AA68" s="92">
        <f t="shared" si="14"/>
        <v>0</v>
      </c>
      <c r="AB68" s="93">
        <f t="shared" si="15"/>
        <v>0</v>
      </c>
      <c r="AC68" s="93">
        <f t="shared" si="16"/>
        <v>0</v>
      </c>
      <c r="AD68" s="94">
        <f t="shared" ref="AD68:AD69" si="49">(IF(M54&gt;1,(C68/(M54+2)),C68/4))</f>
        <v>0</v>
      </c>
      <c r="AE68" s="94">
        <f t="shared" ref="AE68:AE69" si="50">(IF(M54&gt;1,(C68/(M54+2)+AD68),C68/4+AD68))</f>
        <v>0</v>
      </c>
      <c r="AF68" s="94">
        <f t="shared" ref="AF68:AF69" si="51">(IF(M54&gt;1,(C68/(M54+2)+AE68),0))</f>
        <v>0</v>
      </c>
      <c r="AG68" s="94">
        <f t="shared" ref="AG68:AG69" si="52">(IF(M54&gt;2,(C68/(M54+2)+AF68),0))</f>
        <v>0</v>
      </c>
      <c r="AH68" s="95">
        <f t="shared" ref="AH68:AH69" si="53">(IF(M54&gt;3,(C68/(M54+2)+AG68),0))</f>
        <v>0</v>
      </c>
      <c r="AI68" s="94">
        <f t="shared" ref="AI68:AI69" si="54">(IF(M54&gt;4,(C68/(M54+2)+AH68),0))</f>
        <v>0</v>
      </c>
      <c r="AJ68" s="94">
        <f t="shared" ref="AJ68:AJ69" si="55">(IF(M54=1,(C68/(M54+3)+AE68),IF(M54=0,(C68/4+AE68),IF(M54&gt;1,0))))</f>
        <v>0</v>
      </c>
      <c r="AK68" s="94">
        <f t="shared" ref="AK68:AK69" si="56">(IF(M54&gt;1.5,(C68/(M54+2)+AE68+MAX(0,AF68-AE68)+MAX(0,AG68-AF68)+MAX(0,AH68-AG68)+MAX(0,AI68-AH68)+MAX(0,AJ68-AI68)),IF(M54=1,(C68/(M54+3)+AJ68),IF(M54=0,C68/4+AJ68))))</f>
        <v>0</v>
      </c>
      <c r="AL68" s="96" t="str">
        <f>(IF(W135=(1+T135),"",IF(W135&gt;0,", RCC upto "&amp;W135&amp;" Slab","")))&amp;(IF(X135=T135,"",IF(X135&gt;0,", Brickwork upto "&amp;X135&amp;" Floor","")))&amp;(IF(Y135=T135,"",IF(Y135&gt;0,", Internal Plaster upto "&amp;Y135&amp;" Floor","")))&amp;(IF(Z135=T135,"",IF(Z135&gt;0,", External Plaster upto "&amp;Z135&amp;" Floor","")))&amp;(IF(AA135=T135,"",IF(AA135&gt;0,", Flooring upto "&amp;AA135&amp;" Floor","")))&amp;(IF(AB135=T135,"",IF(AB135&gt;0,", Painting upto "&amp;AB135&amp;" Floor","")))&amp;(IF(AC135=T135,"",IF(AC135&gt;0,", Finishing upto "&amp;AC135&amp;" Floor","")))&amp;(IF(AD135=T135,"",IF(AD135&gt;0,", Possession upto "&amp;AD135&amp;" Floor","")))</f>
        <v/>
      </c>
      <c r="AM68" s="96" t="str">
        <f t="shared" si="25"/>
        <v>Work not yet Started.</v>
      </c>
      <c r="AN68" s="96" t="str">
        <f t="shared" si="26"/>
        <v/>
      </c>
      <c r="AO68" s="96" t="e">
        <f t="shared" si="27"/>
        <v>#DIV/0!</v>
      </c>
      <c r="AP68" s="96" t="e">
        <f t="shared" si="28"/>
        <v>#DIV/0!</v>
      </c>
      <c r="AQ68" s="96" t="str">
        <f t="shared" si="29"/>
        <v/>
      </c>
    </row>
    <row r="69" spans="1:43" ht="15.5" x14ac:dyDescent="0.35">
      <c r="A69" s="89"/>
      <c r="B69" s="18"/>
      <c r="C69" s="47"/>
      <c r="D69" s="43"/>
      <c r="E69" s="43"/>
      <c r="F69" s="43"/>
      <c r="G69" s="43"/>
      <c r="H69" s="43"/>
      <c r="I69" s="43"/>
      <c r="J69" s="43"/>
      <c r="K69" s="43"/>
      <c r="L69" s="43"/>
      <c r="M69" s="43"/>
      <c r="N69" s="90"/>
      <c r="O69" s="90"/>
      <c r="P69" s="96"/>
      <c r="Q69" s="19" t="e">
        <f t="shared" si="4"/>
        <v>#DIV/0!</v>
      </c>
      <c r="R69" s="19" t="e">
        <f t="shared" si="5"/>
        <v>#DIV/0!</v>
      </c>
      <c r="S69" s="19">
        <f t="shared" si="6"/>
        <v>0</v>
      </c>
      <c r="T69" s="19" t="e">
        <f t="shared" si="7"/>
        <v>#DIV/0!</v>
      </c>
      <c r="U69" s="19" t="e">
        <f t="shared" si="8"/>
        <v>#DIV/0!</v>
      </c>
      <c r="V69" s="19" t="e">
        <f t="shared" si="9"/>
        <v>#DIV/0!</v>
      </c>
      <c r="W69" s="19" t="e">
        <f t="shared" si="10"/>
        <v>#DIV/0!</v>
      </c>
      <c r="X69" s="19" t="e">
        <f t="shared" si="11"/>
        <v>#DIV/0!</v>
      </c>
      <c r="Y69" s="19" t="e">
        <f t="shared" si="12"/>
        <v>#DIV/0!</v>
      </c>
      <c r="Z69" s="19" t="e">
        <f t="shared" si="13"/>
        <v>#DIV/0!</v>
      </c>
      <c r="AA69" s="92">
        <f t="shared" si="14"/>
        <v>0</v>
      </c>
      <c r="AB69" s="93">
        <f t="shared" si="15"/>
        <v>0</v>
      </c>
      <c r="AC69" s="93">
        <f t="shared" si="16"/>
        <v>0</v>
      </c>
      <c r="AD69" s="94">
        <f t="shared" si="49"/>
        <v>0</v>
      </c>
      <c r="AE69" s="94">
        <f t="shared" si="50"/>
        <v>0</v>
      </c>
      <c r="AF69" s="94">
        <f t="shared" si="51"/>
        <v>0</v>
      </c>
      <c r="AG69" s="94">
        <f t="shared" si="52"/>
        <v>0</v>
      </c>
      <c r="AH69" s="95">
        <f t="shared" si="53"/>
        <v>0</v>
      </c>
      <c r="AI69" s="94">
        <f t="shared" si="54"/>
        <v>0</v>
      </c>
      <c r="AJ69" s="94">
        <f t="shared" si="55"/>
        <v>0</v>
      </c>
      <c r="AK69" s="94">
        <f t="shared" si="56"/>
        <v>0</v>
      </c>
      <c r="AL69" s="96" t="str">
        <f>(IF(W136=(1+T136),"",IF(W136&gt;0,", RCC upto "&amp;W136&amp;" Slab","")))&amp;(IF(X136=T136,"",IF(X136&gt;0,", Brickwork upto "&amp;X136&amp;" Floor","")))&amp;(IF(Y136=T136,"",IF(Y136&gt;0,", Internal Plaster upto "&amp;Y136&amp;" Floor","")))&amp;(IF(Z136=T136,"",IF(Z136&gt;0,", External Plaster upto "&amp;Z136&amp;" Floor","")))&amp;(IF(AA136=T136,"",IF(AA136&gt;0,", Flooring upto "&amp;AA136&amp;" Floor","")))&amp;(IF(AB136=T136,"",IF(AB136&gt;0,", Painting upto "&amp;AB136&amp;" Floor","")))&amp;(IF(AC136=T136,"",IF(AC136&gt;0,", Finishing upto "&amp;AC136&amp;" Floor","")))&amp;(IF(AD136=T136,"",IF(AD136&gt;0,", Possession upto "&amp;AD136&amp;" Floor","")))</f>
        <v/>
      </c>
      <c r="AM69" s="96" t="str">
        <f t="shared" si="25"/>
        <v>Work not yet Started.</v>
      </c>
      <c r="AN69" s="96" t="str">
        <f t="shared" si="26"/>
        <v/>
      </c>
      <c r="AO69" s="96" t="e">
        <f t="shared" si="27"/>
        <v>#DIV/0!</v>
      </c>
      <c r="AP69" s="96" t="e">
        <f t="shared" si="28"/>
        <v>#DIV/0!</v>
      </c>
      <c r="AQ69" s="96" t="str">
        <f t="shared" si="29"/>
        <v/>
      </c>
    </row>
  </sheetData>
  <mergeCells count="20">
    <mergeCell ref="B16:C16"/>
    <mergeCell ref="A5:B5"/>
    <mergeCell ref="E5:F14"/>
    <mergeCell ref="G5:H14"/>
    <mergeCell ref="A6:B6"/>
    <mergeCell ref="A7:B7"/>
    <mergeCell ref="A8:B8"/>
    <mergeCell ref="A9:B9"/>
    <mergeCell ref="A10:B10"/>
    <mergeCell ref="A11:B11"/>
    <mergeCell ref="A12:B12"/>
    <mergeCell ref="A13:B13"/>
    <mergeCell ref="A14:B14"/>
    <mergeCell ref="A1:B1"/>
    <mergeCell ref="C1:H1"/>
    <mergeCell ref="A3:B3"/>
    <mergeCell ref="C3:H3"/>
    <mergeCell ref="A4:B4"/>
    <mergeCell ref="E4:F4"/>
    <mergeCell ref="G4:H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C28" sqref="C28"/>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70" t="s">
        <v>98</v>
      </c>
      <c r="C3" s="270"/>
      <c r="D3" s="270"/>
      <c r="E3" s="270"/>
      <c r="F3" s="270"/>
      <c r="G3" s="270"/>
      <c r="H3" s="270"/>
    </row>
    <row r="4" spans="1:9" x14ac:dyDescent="0.35">
      <c r="A4" s="2"/>
      <c r="B4" s="3" t="s">
        <v>99</v>
      </c>
      <c r="C4" s="3" t="s">
        <v>100</v>
      </c>
      <c r="D4" s="3" t="s">
        <v>61</v>
      </c>
      <c r="E4" s="3" t="s">
        <v>101</v>
      </c>
      <c r="F4" s="3" t="s">
        <v>107</v>
      </c>
      <c r="G4" s="3" t="s">
        <v>108</v>
      </c>
      <c r="H4" s="3" t="s">
        <v>102</v>
      </c>
    </row>
    <row r="5" spans="1:9" ht="15" customHeight="1" x14ac:dyDescent="0.35">
      <c r="A5" s="2"/>
      <c r="B5" s="5" t="s">
        <v>103</v>
      </c>
      <c r="C5" s="6"/>
      <c r="D5" s="5"/>
      <c r="E5" s="5"/>
      <c r="F5" s="7">
        <f>E5*1.6</f>
        <v>0</v>
      </c>
      <c r="G5" s="7" t="e">
        <f>H5/F5</f>
        <v>#DIV/0!</v>
      </c>
      <c r="H5" s="8"/>
    </row>
    <row r="6" spans="1:9" x14ac:dyDescent="0.35">
      <c r="A6" s="2"/>
      <c r="B6" s="5" t="s">
        <v>103</v>
      </c>
      <c r="C6" s="9"/>
      <c r="D6" s="5"/>
      <c r="E6" s="5"/>
      <c r="F6" s="7">
        <f t="shared" ref="F6:F11" si="0">E6*1.6</f>
        <v>0</v>
      </c>
      <c r="G6" s="7" t="e">
        <f t="shared" ref="G6:G11" si="1">H6/F6</f>
        <v>#DIV/0!</v>
      </c>
      <c r="H6" s="8"/>
    </row>
    <row r="7" spans="1:9" ht="15" customHeight="1" x14ac:dyDescent="0.35">
      <c r="A7" s="2"/>
      <c r="B7" s="5" t="s">
        <v>103</v>
      </c>
      <c r="C7" s="6"/>
      <c r="D7" s="5"/>
      <c r="E7" s="5"/>
      <c r="F7" s="7">
        <f t="shared" si="0"/>
        <v>0</v>
      </c>
      <c r="G7" s="7" t="e">
        <f t="shared" si="1"/>
        <v>#DIV/0!</v>
      </c>
      <c r="H7" s="8"/>
    </row>
    <row r="8" spans="1:9" x14ac:dyDescent="0.35">
      <c r="A8" s="2"/>
      <c r="B8" s="5" t="s">
        <v>103</v>
      </c>
      <c r="C8" s="9"/>
      <c r="D8" s="5"/>
      <c r="E8" s="5"/>
      <c r="F8" s="7">
        <f t="shared" si="0"/>
        <v>0</v>
      </c>
      <c r="G8" s="7" t="e">
        <f t="shared" si="1"/>
        <v>#DIV/0!</v>
      </c>
      <c r="H8" s="8"/>
    </row>
    <row r="9" spans="1:9" ht="15" customHeight="1" x14ac:dyDescent="0.35">
      <c r="A9" s="2"/>
      <c r="B9" s="5" t="s">
        <v>103</v>
      </c>
      <c r="C9" s="9"/>
      <c r="D9" s="5"/>
      <c r="E9" s="5"/>
      <c r="F9" s="7">
        <f t="shared" si="0"/>
        <v>0</v>
      </c>
      <c r="G9" s="7" t="e">
        <f t="shared" si="1"/>
        <v>#DIV/0!</v>
      </c>
      <c r="H9" s="8"/>
    </row>
    <row r="10" spans="1:9" ht="15" customHeight="1" x14ac:dyDescent="0.35">
      <c r="A10" s="2"/>
      <c r="B10" s="5" t="s">
        <v>104</v>
      </c>
      <c r="C10" s="6"/>
      <c r="D10" s="5"/>
      <c r="E10" s="5"/>
      <c r="F10" s="7">
        <f t="shared" si="0"/>
        <v>0</v>
      </c>
      <c r="G10" s="7" t="e">
        <f t="shared" si="1"/>
        <v>#DIV/0!</v>
      </c>
      <c r="H10" s="8"/>
    </row>
    <row r="11" spans="1:9" ht="15" customHeight="1" x14ac:dyDescent="0.35">
      <c r="A11" s="2"/>
      <c r="B11" s="5" t="s">
        <v>104</v>
      </c>
      <c r="C11" s="6"/>
      <c r="D11" s="5"/>
      <c r="E11" s="5"/>
      <c r="F11" s="7">
        <f t="shared" si="0"/>
        <v>0</v>
      </c>
      <c r="G11" s="7" t="e">
        <f t="shared" si="1"/>
        <v>#DIV/0!</v>
      </c>
      <c r="H11" s="8"/>
    </row>
    <row r="12" spans="1:9" ht="15" customHeight="1" x14ac:dyDescent="0.35">
      <c r="A12" s="2"/>
      <c r="B12" s="10" t="s">
        <v>105</v>
      </c>
      <c r="C12" s="5"/>
      <c r="D12" s="5"/>
      <c r="E12" s="5"/>
      <c r="F12" s="5"/>
      <c r="G12" s="11" t="e">
        <f>AVERAGE(G5:G11)</f>
        <v>#DIV/0!</v>
      </c>
      <c r="H12" s="5"/>
    </row>
    <row r="13" spans="1:9" ht="15" customHeight="1" x14ac:dyDescent="0.35">
      <c r="B13" s="10" t="s">
        <v>106</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53"/>
      <c r="C4" s="53" t="s">
        <v>10</v>
      </c>
      <c r="D4" s="54" t="s">
        <v>167</v>
      </c>
      <c r="E4" s="54" t="s">
        <v>177</v>
      </c>
      <c r="F4" s="54" t="s">
        <v>163</v>
      </c>
      <c r="G4" s="54" t="s">
        <v>182</v>
      </c>
      <c r="H4" s="54" t="s">
        <v>200</v>
      </c>
      <c r="J4" t="s">
        <v>182</v>
      </c>
      <c r="K4" t="s">
        <v>198</v>
      </c>
    </row>
    <row r="5" spans="2:11" x14ac:dyDescent="0.35">
      <c r="B5" s="53"/>
      <c r="C5" s="53"/>
      <c r="D5" s="54" t="s">
        <v>168</v>
      </c>
      <c r="E5" s="54" t="s">
        <v>175</v>
      </c>
      <c r="F5" s="54" t="s">
        <v>197</v>
      </c>
      <c r="G5" s="54" t="s">
        <v>183</v>
      </c>
      <c r="H5" s="54" t="s">
        <v>201</v>
      </c>
    </row>
    <row r="6" spans="2:11" x14ac:dyDescent="0.35">
      <c r="B6" s="53"/>
      <c r="C6" s="53"/>
      <c r="D6" s="54" t="s">
        <v>169</v>
      </c>
      <c r="E6" s="54" t="s">
        <v>176</v>
      </c>
      <c r="F6" s="54" t="s">
        <v>198</v>
      </c>
      <c r="G6" s="54" t="s">
        <v>184</v>
      </c>
      <c r="H6" s="54" t="s">
        <v>214</v>
      </c>
    </row>
    <row r="7" spans="2:11" x14ac:dyDescent="0.35">
      <c r="B7" s="53"/>
      <c r="C7" s="53"/>
      <c r="D7" s="54" t="s">
        <v>170</v>
      </c>
      <c r="E7" s="54" t="s">
        <v>178</v>
      </c>
      <c r="F7" s="54" t="s">
        <v>199</v>
      </c>
      <c r="G7" s="54" t="s">
        <v>185</v>
      </c>
      <c r="H7" s="54" t="s">
        <v>202</v>
      </c>
    </row>
    <row r="8" spans="2:11" x14ac:dyDescent="0.35">
      <c r="B8" s="53"/>
      <c r="C8" s="53"/>
      <c r="D8" s="54" t="s">
        <v>171</v>
      </c>
      <c r="E8" s="54" t="s">
        <v>179</v>
      </c>
      <c r="F8" s="54"/>
      <c r="G8" s="54" t="s">
        <v>186</v>
      </c>
      <c r="H8" s="54" t="s">
        <v>203</v>
      </c>
    </row>
    <row r="9" spans="2:11" x14ac:dyDescent="0.35">
      <c r="B9" s="53"/>
      <c r="C9" s="53"/>
      <c r="D9" s="54" t="s">
        <v>172</v>
      </c>
      <c r="E9" s="54" t="s">
        <v>177</v>
      </c>
      <c r="F9" s="54"/>
      <c r="G9" s="54" t="s">
        <v>187</v>
      </c>
      <c r="H9" s="54" t="s">
        <v>204</v>
      </c>
    </row>
    <row r="10" spans="2:11" x14ac:dyDescent="0.35">
      <c r="B10" s="53"/>
      <c r="C10" s="53"/>
      <c r="D10" s="54" t="s">
        <v>173</v>
      </c>
      <c r="E10" s="54" t="s">
        <v>180</v>
      </c>
      <c r="F10" s="54"/>
      <c r="G10" s="54" t="s">
        <v>188</v>
      </c>
      <c r="H10" s="54" t="s">
        <v>205</v>
      </c>
    </row>
    <row r="11" spans="2:11" x14ac:dyDescent="0.35">
      <c r="B11" s="53"/>
      <c r="C11" s="53"/>
      <c r="D11" s="54" t="s">
        <v>174</v>
      </c>
      <c r="E11" s="54" t="s">
        <v>181</v>
      </c>
      <c r="F11" s="54"/>
      <c r="G11" s="54" t="s">
        <v>189</v>
      </c>
      <c r="H11" s="54" t="s">
        <v>206</v>
      </c>
    </row>
    <row r="12" spans="2:11" x14ac:dyDescent="0.35">
      <c r="B12" s="53"/>
      <c r="C12" s="53"/>
      <c r="D12" s="54"/>
      <c r="E12" s="54"/>
      <c r="F12" s="54"/>
      <c r="G12" s="54" t="s">
        <v>190</v>
      </c>
      <c r="H12" s="54" t="s">
        <v>207</v>
      </c>
    </row>
    <row r="13" spans="2:11" x14ac:dyDescent="0.35">
      <c r="B13" s="53"/>
      <c r="C13" s="53"/>
      <c r="D13" s="54"/>
      <c r="E13" s="54"/>
      <c r="F13" s="54"/>
      <c r="G13" s="54" t="s">
        <v>191</v>
      </c>
      <c r="H13" s="54" t="s">
        <v>208</v>
      </c>
    </row>
    <row r="14" spans="2:11" x14ac:dyDescent="0.35">
      <c r="B14" s="53"/>
      <c r="C14" s="53"/>
      <c r="D14" s="54"/>
      <c r="E14" s="54"/>
      <c r="F14" s="54"/>
      <c r="G14" s="54" t="s">
        <v>192</v>
      </c>
      <c r="H14" s="54" t="s">
        <v>209</v>
      </c>
    </row>
    <row r="15" spans="2:11" x14ac:dyDescent="0.35">
      <c r="B15" s="53"/>
      <c r="C15" s="53"/>
      <c r="D15" s="54"/>
      <c r="E15" s="54"/>
      <c r="F15" s="54"/>
      <c r="G15" s="54" t="s">
        <v>193</v>
      </c>
      <c r="H15" s="54" t="s">
        <v>210</v>
      </c>
    </row>
    <row r="16" spans="2:11" x14ac:dyDescent="0.35">
      <c r="B16" s="53"/>
      <c r="C16" s="53"/>
      <c r="D16" s="54"/>
      <c r="E16" s="54"/>
      <c r="F16" s="54"/>
      <c r="G16" s="54" t="s">
        <v>194</v>
      </c>
      <c r="H16" s="54" t="s">
        <v>211</v>
      </c>
    </row>
    <row r="17" spans="2:8" x14ac:dyDescent="0.35">
      <c r="B17" s="53"/>
      <c r="C17" s="53"/>
      <c r="D17" s="54"/>
      <c r="E17" s="54"/>
      <c r="F17" s="54"/>
      <c r="G17" s="54" t="s">
        <v>195</v>
      </c>
      <c r="H17" s="54" t="s">
        <v>212</v>
      </c>
    </row>
    <row r="18" spans="2:8" x14ac:dyDescent="0.35">
      <c r="B18" s="53"/>
      <c r="C18" s="53"/>
      <c r="D18" s="54"/>
      <c r="E18" s="54"/>
      <c r="F18" s="54"/>
      <c r="G18" s="54" t="s">
        <v>196</v>
      </c>
      <c r="H18" s="54" t="s">
        <v>213</v>
      </c>
    </row>
    <row r="24" spans="2:8" x14ac:dyDescent="0.35">
      <c r="C24" t="s">
        <v>160</v>
      </c>
    </row>
    <row r="25" spans="2:8" x14ac:dyDescent="0.35">
      <c r="C25" t="s">
        <v>215</v>
      </c>
    </row>
    <row r="26" spans="2:8" x14ac:dyDescent="0.35">
      <c r="C26" t="s">
        <v>216</v>
      </c>
    </row>
    <row r="27" spans="2:8" x14ac:dyDescent="0.35">
      <c r="C27" t="s">
        <v>217</v>
      </c>
    </row>
    <row r="28" spans="2:8" x14ac:dyDescent="0.35">
      <c r="C28" t="s">
        <v>218</v>
      </c>
    </row>
    <row r="29" spans="2:8" x14ac:dyDescent="0.35">
      <c r="C29" t="s">
        <v>219</v>
      </c>
    </row>
    <row r="30" spans="2:8" x14ac:dyDescent="0.35">
      <c r="C30" t="s">
        <v>160</v>
      </c>
    </row>
    <row r="33" spans="3:11" x14ac:dyDescent="0.35">
      <c r="J33">
        <v>1</v>
      </c>
      <c r="K33">
        <v>2</v>
      </c>
    </row>
    <row r="34" spans="3:11" x14ac:dyDescent="0.35">
      <c r="C34" s="56" t="s">
        <v>224</v>
      </c>
      <c r="D34" s="54" t="s">
        <v>222</v>
      </c>
      <c r="E34" s="54" t="s">
        <v>227</v>
      </c>
      <c r="F34" s="54" t="s">
        <v>225</v>
      </c>
      <c r="G34" s="54" t="s">
        <v>226</v>
      </c>
      <c r="H34" s="54" t="s">
        <v>228</v>
      </c>
      <c r="J34" t="s">
        <v>182</v>
      </c>
      <c r="K34" t="s">
        <v>198</v>
      </c>
    </row>
    <row r="35" spans="3:11" x14ac:dyDescent="0.35">
      <c r="C35" s="53" t="s">
        <v>223</v>
      </c>
      <c r="D35" s="54" t="s">
        <v>161</v>
      </c>
      <c r="E35" s="54" t="s">
        <v>232</v>
      </c>
      <c r="F35" s="54" t="s">
        <v>234</v>
      </c>
      <c r="G35" s="54" t="s">
        <v>236</v>
      </c>
      <c r="H35" s="54"/>
    </row>
    <row r="36" spans="3:11" x14ac:dyDescent="0.35">
      <c r="C36" s="53"/>
      <c r="D36" s="54" t="s">
        <v>229</v>
      </c>
      <c r="E36" s="54" t="s">
        <v>233</v>
      </c>
      <c r="F36" s="54" t="s">
        <v>235</v>
      </c>
      <c r="G36" s="54" t="s">
        <v>237</v>
      </c>
      <c r="H36" s="54"/>
    </row>
    <row r="37" spans="3:11" x14ac:dyDescent="0.35">
      <c r="C37" s="53"/>
      <c r="D37" s="54" t="s">
        <v>230</v>
      </c>
      <c r="E37" s="54"/>
      <c r="F37" s="54"/>
      <c r="G37" s="54" t="s">
        <v>238</v>
      </c>
      <c r="H37" s="54"/>
    </row>
    <row r="38" spans="3:11" x14ac:dyDescent="0.35">
      <c r="C38" s="53"/>
      <c r="D38" s="54" t="s">
        <v>231</v>
      </c>
      <c r="E38" s="54"/>
      <c r="F38" s="54"/>
      <c r="G38" s="54" t="s">
        <v>238</v>
      </c>
      <c r="H38" s="54"/>
    </row>
    <row r="39" spans="3:11" x14ac:dyDescent="0.35">
      <c r="C39" s="53"/>
      <c r="D39" s="54"/>
      <c r="E39" s="54"/>
      <c r="F39" s="54"/>
      <c r="G39" s="54" t="s">
        <v>239</v>
      </c>
      <c r="H39" s="54"/>
    </row>
    <row r="40" spans="3:11" x14ac:dyDescent="0.35">
      <c r="C40" s="53"/>
      <c r="D40" s="54"/>
      <c r="E40" s="54"/>
      <c r="F40" s="54"/>
      <c r="G40" s="54" t="s">
        <v>240</v>
      </c>
      <c r="H40" s="54"/>
    </row>
    <row r="41" spans="3:11" x14ac:dyDescent="0.35">
      <c r="C41" s="53"/>
      <c r="D41" s="54"/>
      <c r="E41" s="54"/>
      <c r="F41" s="54"/>
      <c r="G41" s="54"/>
      <c r="H41" s="54"/>
    </row>
    <row r="43" spans="3:11" x14ac:dyDescent="0.35">
      <c r="C43" t="s">
        <v>241</v>
      </c>
    </row>
    <row r="44" spans="3:11" x14ac:dyDescent="0.35">
      <c r="C44" t="s">
        <v>163</v>
      </c>
      <c r="D44" t="s">
        <v>242</v>
      </c>
    </row>
    <row r="45" spans="3:11" x14ac:dyDescent="0.35">
      <c r="D45" t="s">
        <v>243</v>
      </c>
    </row>
    <row r="46" spans="3:11" x14ac:dyDescent="0.35">
      <c r="D46" t="s">
        <v>244</v>
      </c>
    </row>
    <row r="47" spans="3:11" x14ac:dyDescent="0.35">
      <c r="D47" t="s">
        <v>245</v>
      </c>
    </row>
    <row r="48" spans="3:11" x14ac:dyDescent="0.35">
      <c r="D48" t="s">
        <v>246</v>
      </c>
    </row>
    <row r="49" spans="3:4" x14ac:dyDescent="0.35">
      <c r="C49" t="s">
        <v>167</v>
      </c>
      <c r="D49" t="s">
        <v>247</v>
      </c>
    </row>
    <row r="50" spans="3:4" x14ac:dyDescent="0.35">
      <c r="D50" t="s">
        <v>248</v>
      </c>
    </row>
    <row r="51" spans="3:4" x14ac:dyDescent="0.35">
      <c r="D51" t="s">
        <v>249</v>
      </c>
    </row>
    <row r="52" spans="3:4" x14ac:dyDescent="0.35">
      <c r="D52" t="s">
        <v>252</v>
      </c>
    </row>
    <row r="53" spans="3:4" x14ac:dyDescent="0.35">
      <c r="D53" t="s">
        <v>250</v>
      </c>
    </row>
    <row r="54" spans="3:4" x14ac:dyDescent="0.35">
      <c r="D54" t="s">
        <v>251</v>
      </c>
    </row>
    <row r="55" spans="3:4" x14ac:dyDescent="0.35">
      <c r="D55" t="s">
        <v>253</v>
      </c>
    </row>
    <row r="56" spans="3:4" x14ac:dyDescent="0.35">
      <c r="D56" t="s">
        <v>254</v>
      </c>
    </row>
    <row r="57" spans="3:4" x14ac:dyDescent="0.35">
      <c r="D57" t="s">
        <v>255</v>
      </c>
    </row>
    <row r="58" spans="3:4" x14ac:dyDescent="0.35">
      <c r="D58" t="s">
        <v>257</v>
      </c>
    </row>
    <row r="59" spans="3:4" x14ac:dyDescent="0.35">
      <c r="D59" t="s">
        <v>266</v>
      </c>
    </row>
    <row r="60" spans="3:4" x14ac:dyDescent="0.35">
      <c r="C60" t="s">
        <v>182</v>
      </c>
      <c r="D60" t="s">
        <v>258</v>
      </c>
    </row>
    <row r="61" spans="3:4" x14ac:dyDescent="0.35">
      <c r="D61" t="s">
        <v>256</v>
      </c>
    </row>
    <row r="62" spans="3:4" x14ac:dyDescent="0.35">
      <c r="D62" t="s">
        <v>246</v>
      </c>
    </row>
    <row r="63" spans="3:4" x14ac:dyDescent="0.35">
      <c r="D63" t="s">
        <v>259</v>
      </c>
    </row>
    <row r="64" spans="3:4" x14ac:dyDescent="0.35">
      <c r="D64" t="s">
        <v>260</v>
      </c>
    </row>
    <row r="65" spans="3:4" x14ac:dyDescent="0.35">
      <c r="D65" t="s">
        <v>261</v>
      </c>
    </row>
    <row r="66" spans="3:4" x14ac:dyDescent="0.35">
      <c r="D66" t="s">
        <v>262</v>
      </c>
    </row>
    <row r="67" spans="3:4" x14ac:dyDescent="0.35">
      <c r="C67" t="s">
        <v>177</v>
      </c>
      <c r="D67" t="s">
        <v>263</v>
      </c>
    </row>
    <row r="68" spans="3:4" x14ac:dyDescent="0.35">
      <c r="D68" t="s">
        <v>264</v>
      </c>
    </row>
    <row r="69" spans="3:4" x14ac:dyDescent="0.35">
      <c r="D69" t="s">
        <v>265</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topLeftCell="A9" workbookViewId="0">
      <selection activeCell="D22" sqref="D22"/>
    </sheetView>
  </sheetViews>
  <sheetFormatPr defaultRowHeight="14.5" x14ac:dyDescent="0.35"/>
  <cols>
    <col min="2" max="2" width="3" bestFit="1" customWidth="1"/>
    <col min="3" max="3" width="130" customWidth="1"/>
  </cols>
  <sheetData>
    <row r="2" spans="2:3" ht="15" customHeight="1" x14ac:dyDescent="0.35">
      <c r="B2" s="57">
        <v>1</v>
      </c>
      <c r="C2" s="59" t="s">
        <v>272</v>
      </c>
    </row>
    <row r="3" spans="2:3" x14ac:dyDescent="0.35">
      <c r="B3" s="57">
        <v>2</v>
      </c>
      <c r="C3" s="58" t="s">
        <v>273</v>
      </c>
    </row>
    <row r="4" spans="2:3" x14ac:dyDescent="0.35">
      <c r="B4" s="57">
        <v>3</v>
      </c>
      <c r="C4" s="57" t="s">
        <v>274</v>
      </c>
    </row>
    <row r="5" spans="2:3" x14ac:dyDescent="0.35">
      <c r="B5" s="57">
        <v>4</v>
      </c>
      <c r="C5" s="58" t="s">
        <v>275</v>
      </c>
    </row>
    <row r="6" spans="2:3" x14ac:dyDescent="0.35">
      <c r="B6" s="57">
        <v>5</v>
      </c>
      <c r="C6" s="57" t="s">
        <v>276</v>
      </c>
    </row>
    <row r="7" spans="2:3" ht="29" x14ac:dyDescent="0.35">
      <c r="B7" s="57">
        <v>6</v>
      </c>
      <c r="C7" s="58" t="s">
        <v>277</v>
      </c>
    </row>
    <row r="8" spans="2:3" ht="72.5" x14ac:dyDescent="0.35">
      <c r="B8" s="57">
        <v>7</v>
      </c>
      <c r="C8" s="58" t="s">
        <v>278</v>
      </c>
    </row>
    <row r="9" spans="2:3" x14ac:dyDescent="0.35">
      <c r="B9" s="57">
        <v>8</v>
      </c>
      <c r="C9" s="57" t="s">
        <v>279</v>
      </c>
    </row>
    <row r="10" spans="2:3" x14ac:dyDescent="0.35">
      <c r="B10" s="57">
        <v>9</v>
      </c>
      <c r="C10" s="57" t="s">
        <v>280</v>
      </c>
    </row>
    <row r="11" spans="2:3" x14ac:dyDescent="0.35">
      <c r="B11" s="57">
        <v>10</v>
      </c>
      <c r="C11" s="57" t="s">
        <v>281</v>
      </c>
    </row>
    <row r="12" spans="2:3" x14ac:dyDescent="0.35">
      <c r="B12" s="57">
        <v>11</v>
      </c>
      <c r="C12" s="57" t="s">
        <v>282</v>
      </c>
    </row>
    <row r="13" spans="2:3" x14ac:dyDescent="0.35">
      <c r="B13" s="57">
        <v>12</v>
      </c>
      <c r="C13" s="57" t="s">
        <v>283</v>
      </c>
    </row>
    <row r="14" spans="2:3" x14ac:dyDescent="0.35">
      <c r="B14" s="57">
        <v>13</v>
      </c>
      <c r="C14" s="57" t="s">
        <v>284</v>
      </c>
    </row>
    <row r="15" spans="2:3" x14ac:dyDescent="0.35">
      <c r="B15" s="57">
        <v>14</v>
      </c>
      <c r="C15" s="57" t="s">
        <v>274</v>
      </c>
    </row>
    <row r="16" spans="2:3" x14ac:dyDescent="0.35">
      <c r="B16" s="57">
        <v>15</v>
      </c>
      <c r="C16" s="57" t="s">
        <v>287</v>
      </c>
    </row>
    <row r="17" spans="2:3" ht="31.5" customHeight="1" x14ac:dyDescent="0.35">
      <c r="B17" s="62">
        <v>16</v>
      </c>
      <c r="C17" s="64" t="s">
        <v>288</v>
      </c>
    </row>
    <row r="18" spans="2:3" x14ac:dyDescent="0.35">
      <c r="B18" s="63">
        <v>17</v>
      </c>
      <c r="C18" s="64" t="s">
        <v>289</v>
      </c>
    </row>
    <row r="19" spans="2:3" x14ac:dyDescent="0.35">
      <c r="B19" s="62">
        <v>18</v>
      </c>
      <c r="C19" s="57" t="s">
        <v>290</v>
      </c>
    </row>
    <row r="20" spans="2:3" x14ac:dyDescent="0.35">
      <c r="B20" s="63">
        <v>19</v>
      </c>
      <c r="C20" s="57"/>
    </row>
    <row r="21" spans="2:3" x14ac:dyDescent="0.35">
      <c r="B21" s="57">
        <v>20</v>
      </c>
      <c r="C21" s="57"/>
    </row>
    <row r="22" spans="2:3" x14ac:dyDescent="0.35">
      <c r="B22" s="57"/>
      <c r="C22" s="57"/>
    </row>
    <row r="23" spans="2:3" x14ac:dyDescent="0.35">
      <c r="B23" s="57"/>
      <c r="C23" s="57"/>
    </row>
    <row r="24" spans="2:3" x14ac:dyDescent="0.35">
      <c r="B24" s="57"/>
      <c r="C24" s="57"/>
    </row>
    <row r="25" spans="2:3" x14ac:dyDescent="0.35">
      <c r="B25" s="57"/>
      <c r="C25" s="57"/>
    </row>
    <row r="26" spans="2:3" x14ac:dyDescent="0.35">
      <c r="B26" s="57"/>
      <c r="C26" s="57"/>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Construction %</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2025-08-30T10:36:48Z</cp:lastPrinted>
  <dcterms:created xsi:type="dcterms:W3CDTF">2019-07-16T09:29:46Z</dcterms:created>
  <dcterms:modified xsi:type="dcterms:W3CDTF">2025-08-30T10:38:30Z</dcterms:modified>
</cp:coreProperties>
</file>