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11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D66" i="1" s="1"/>
  <c r="D223" i="1"/>
  <c r="F223" i="1" s="1"/>
  <c r="D222" i="1"/>
  <c r="F222" i="1" s="1"/>
  <c r="D221" i="1"/>
  <c r="F221" i="1" s="1"/>
  <c r="D220" i="1"/>
  <c r="F220" i="1" s="1"/>
  <c r="I219" i="1"/>
  <c r="G219" i="1"/>
  <c r="D219" i="1"/>
  <c r="F219" i="1" s="1"/>
  <c r="E261" i="1"/>
  <c r="E260" i="1"/>
  <c r="E215" i="1"/>
  <c r="E214" i="1"/>
  <c r="E208" i="1"/>
  <c r="D191" i="1"/>
  <c r="D359" i="1"/>
  <c r="D211" i="1"/>
  <c r="D362" i="1"/>
  <c r="D361" i="1"/>
  <c r="D358" i="1"/>
  <c r="D356" i="1"/>
  <c r="D355" i="1"/>
  <c r="D352" i="1"/>
  <c r="D349" i="1"/>
  <c r="D347" i="1"/>
  <c r="D346" i="1"/>
  <c r="D344" i="1"/>
  <c r="D343" i="1"/>
  <c r="D341" i="1"/>
  <c r="D340" i="1"/>
  <c r="D336" i="1"/>
  <c r="D335" i="1"/>
  <c r="D333" i="1"/>
  <c r="D332" i="1"/>
  <c r="D331" i="1"/>
  <c r="D330" i="1"/>
  <c r="D328" i="1"/>
  <c r="D327" i="1"/>
  <c r="D326" i="1"/>
  <c r="D325" i="1"/>
  <c r="D322" i="1"/>
  <c r="D321" i="1"/>
  <c r="D320" i="1"/>
  <c r="D317" i="1"/>
  <c r="D316" i="1"/>
  <c r="D315" i="1"/>
  <c r="D313" i="1"/>
  <c r="D312" i="1"/>
  <c r="D311" i="1"/>
  <c r="D310" i="1"/>
  <c r="D308" i="1"/>
  <c r="D307" i="1"/>
  <c r="D306" i="1"/>
  <c r="D305" i="1"/>
  <c r="D303" i="1"/>
  <c r="D302" i="1"/>
  <c r="D301" i="1"/>
  <c r="D300" i="1"/>
  <c r="D296" i="1"/>
  <c r="D295" i="1"/>
  <c r="D294" i="1"/>
  <c r="D293" i="1"/>
  <c r="D291" i="1"/>
  <c r="D290" i="1"/>
  <c r="D289" i="1"/>
  <c r="D288" i="1"/>
  <c r="D286" i="1"/>
  <c r="D285" i="1"/>
  <c r="D284" i="1"/>
  <c r="D283" i="1"/>
  <c r="D281" i="1"/>
  <c r="D280" i="1"/>
  <c r="D278" i="1"/>
  <c r="D276" i="1"/>
  <c r="D275" i="1"/>
  <c r="D273" i="1"/>
  <c r="D271" i="1"/>
  <c r="D270" i="1"/>
  <c r="D269" i="1"/>
  <c r="D268" i="1"/>
  <c r="D266" i="1"/>
  <c r="D265" i="1"/>
  <c r="D264" i="1"/>
  <c r="D263" i="1"/>
  <c r="D261" i="1"/>
  <c r="D260" i="1"/>
  <c r="D256" i="1"/>
  <c r="D255" i="1"/>
  <c r="D253" i="1"/>
  <c r="D252" i="1"/>
  <c r="D251" i="1"/>
  <c r="D250" i="1"/>
  <c r="D249" i="1"/>
  <c r="D247" i="1"/>
  <c r="D246" i="1"/>
  <c r="D245" i="1"/>
  <c r="D244" i="1"/>
  <c r="D243" i="1"/>
  <c r="D241" i="1"/>
  <c r="D239" i="1"/>
  <c r="D238" i="1"/>
  <c r="D237" i="1"/>
  <c r="D235" i="1"/>
  <c r="D233" i="1"/>
  <c r="D232" i="1"/>
  <c r="D231" i="1"/>
  <c r="D229" i="1"/>
  <c r="D228" i="1"/>
  <c r="D227" i="1"/>
  <c r="D226" i="1"/>
  <c r="D225" i="1"/>
  <c r="D217" i="1"/>
  <c r="D216" i="1"/>
  <c r="D215" i="1"/>
  <c r="D214" i="1"/>
  <c r="D213" i="1"/>
  <c r="D210" i="1"/>
  <c r="D209" i="1"/>
  <c r="D208" i="1"/>
  <c r="D199" i="1"/>
  <c r="F199" i="1" s="1"/>
  <c r="C149" i="1" l="1"/>
  <c r="E151" i="1"/>
  <c r="C150" i="1"/>
  <c r="C148" i="1"/>
  <c r="E148" i="1"/>
  <c r="E149" i="1"/>
  <c r="E150" i="1"/>
  <c r="C151" i="1"/>
  <c r="F362" i="1"/>
  <c r="G361" i="1"/>
  <c r="F361" i="1"/>
  <c r="F336" i="1"/>
  <c r="G335" i="1"/>
  <c r="F335" i="1"/>
  <c r="F296" i="1"/>
  <c r="A296" i="1"/>
  <c r="F295" i="1"/>
  <c r="F294" i="1"/>
  <c r="G293" i="1"/>
  <c r="F293" i="1"/>
  <c r="F256" i="1"/>
  <c r="F255" i="1"/>
  <c r="I255" i="1"/>
  <c r="G255" i="1"/>
  <c r="F359" i="1"/>
  <c r="G358" i="1"/>
  <c r="F358" i="1"/>
  <c r="F331" i="1"/>
  <c r="F333" i="1"/>
  <c r="F332" i="1"/>
  <c r="G330" i="1"/>
  <c r="F330" i="1"/>
  <c r="F289" i="1"/>
  <c r="F291" i="1"/>
  <c r="A291" i="1"/>
  <c r="F290" i="1"/>
  <c r="G288" i="1"/>
  <c r="F288" i="1"/>
  <c r="F252" i="1"/>
  <c r="F253" i="1"/>
  <c r="F251" i="1"/>
  <c r="F250" i="1"/>
  <c r="I249" i="1"/>
  <c r="G249" i="1"/>
  <c r="F249" i="1"/>
  <c r="F356" i="1"/>
  <c r="G355" i="1"/>
  <c r="F355" i="1"/>
  <c r="F328" i="1"/>
  <c r="F327" i="1"/>
  <c r="F326" i="1"/>
  <c r="G325" i="1"/>
  <c r="F325" i="1"/>
  <c r="F286" i="1"/>
  <c r="A286" i="1"/>
  <c r="F285" i="1"/>
  <c r="F284" i="1"/>
  <c r="G283" i="1"/>
  <c r="F283" i="1"/>
  <c r="F247" i="1"/>
  <c r="F246" i="1"/>
  <c r="F245" i="1"/>
  <c r="F244" i="1"/>
  <c r="I243" i="1"/>
  <c r="G243" i="1"/>
  <c r="F243" i="1"/>
  <c r="G352" i="1"/>
  <c r="F352" i="1"/>
  <c r="F322" i="1"/>
  <c r="F321" i="1"/>
  <c r="G320" i="1"/>
  <c r="F320" i="1"/>
  <c r="F281" i="1"/>
  <c r="A281" i="1"/>
  <c r="F280" i="1"/>
  <c r="G278" i="1"/>
  <c r="F278" i="1"/>
  <c r="F241" i="1"/>
  <c r="F239" i="1"/>
  <c r="F238" i="1"/>
  <c r="I237" i="1"/>
  <c r="G237" i="1"/>
  <c r="F237" i="1"/>
  <c r="J237" i="1" s="1"/>
  <c r="F349" i="1"/>
  <c r="G349" i="1"/>
  <c r="F317" i="1"/>
  <c r="F316" i="1"/>
  <c r="G315" i="1"/>
  <c r="F315" i="1"/>
  <c r="F276" i="1"/>
  <c r="A276" i="1"/>
  <c r="F275" i="1"/>
  <c r="G273" i="1"/>
  <c r="F273" i="1"/>
  <c r="F235" i="1"/>
  <c r="F233" i="1"/>
  <c r="F232" i="1"/>
  <c r="I231" i="1"/>
  <c r="G231" i="1"/>
  <c r="F231" i="1"/>
  <c r="F347" i="1"/>
  <c r="G346" i="1"/>
  <c r="F346" i="1"/>
  <c r="F313" i="1"/>
  <c r="F312" i="1"/>
  <c r="F311" i="1"/>
  <c r="G310" i="1"/>
  <c r="F310" i="1"/>
  <c r="F271" i="1"/>
  <c r="A271" i="1"/>
  <c r="F270" i="1"/>
  <c r="F269" i="1"/>
  <c r="G268" i="1"/>
  <c r="F268" i="1"/>
  <c r="F229" i="1"/>
  <c r="F228" i="1"/>
  <c r="F227" i="1"/>
  <c r="F226" i="1"/>
  <c r="I225" i="1"/>
  <c r="G225" i="1"/>
  <c r="F225" i="1"/>
  <c r="F341" i="1"/>
  <c r="F344" i="1"/>
  <c r="G343" i="1"/>
  <c r="F343" i="1"/>
  <c r="F308" i="1"/>
  <c r="F307" i="1"/>
  <c r="F306" i="1"/>
  <c r="G305" i="1"/>
  <c r="F305" i="1"/>
  <c r="A266" i="1"/>
  <c r="G263" i="1"/>
  <c r="F217" i="1"/>
  <c r="F216" i="1"/>
  <c r="I213" i="1"/>
  <c r="G213" i="1"/>
  <c r="F213" i="1"/>
  <c r="F340" i="1"/>
  <c r="G340" i="1"/>
  <c r="F303" i="1"/>
  <c r="F302" i="1"/>
  <c r="A261" i="1"/>
  <c r="G260" i="1"/>
  <c r="G300" i="1"/>
  <c r="I208" i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F193" i="1" s="1"/>
  <c r="D192" i="1"/>
  <c r="F192" i="1" s="1"/>
  <c r="F191" i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D163" i="1"/>
  <c r="F163" i="1" s="1"/>
  <c r="D162" i="1"/>
  <c r="F162" i="1" s="1"/>
  <c r="D161" i="1"/>
  <c r="F161" i="1" s="1"/>
  <c r="D160" i="1"/>
  <c r="C152" i="1" l="1"/>
  <c r="E152" i="1"/>
  <c r="F164" i="1"/>
  <c r="G144" i="1" s="1"/>
  <c r="C144" i="1"/>
  <c r="E144" i="1"/>
  <c r="F160" i="1"/>
  <c r="G143" i="1" s="1"/>
  <c r="C143" i="1"/>
  <c r="E143" i="1"/>
  <c r="G151" i="1"/>
  <c r="F214" i="1"/>
  <c r="F263" i="1"/>
  <c r="F265" i="1"/>
  <c r="F260" i="1"/>
  <c r="F264" i="1"/>
  <c r="F261" i="1"/>
  <c r="F266" i="1"/>
  <c r="F215" i="1"/>
  <c r="F301" i="1"/>
  <c r="F300" i="1"/>
  <c r="I191" i="1"/>
  <c r="C114" i="1"/>
  <c r="J125" i="1"/>
  <c r="C100" i="1"/>
  <c r="E145" i="1" l="1"/>
  <c r="L148" i="1" s="1"/>
  <c r="C145" i="1"/>
  <c r="G150" i="1"/>
  <c r="G145" i="1"/>
  <c r="G149" i="1"/>
  <c r="F209" i="1"/>
  <c r="F208" i="1" l="1"/>
  <c r="B366" i="1" l="1"/>
  <c r="E28" i="1" l="1"/>
  <c r="F210" i="1" l="1"/>
  <c r="F211" i="1"/>
  <c r="A209" i="1"/>
  <c r="A210" i="1" s="1"/>
  <c r="A211" i="1" s="1"/>
  <c r="G208" i="1"/>
  <c r="G148" i="1" l="1"/>
  <c r="G152" i="1" s="1"/>
  <c r="L147" i="1" s="1"/>
  <c r="F140" i="1"/>
  <c r="B365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87" i="1"/>
  <c r="B163" i="1"/>
  <c r="B165" i="1" s="1"/>
  <c r="B166" i="1" s="1"/>
  <c r="B167" i="1" s="1"/>
  <c r="B168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G160" i="1"/>
  <c r="J111" i="1"/>
  <c r="J97" i="1"/>
  <c r="C86" i="1"/>
  <c r="J83" i="1"/>
  <c r="C72" i="1"/>
  <c r="D58" i="1"/>
  <c r="C48" i="1"/>
  <c r="E41" i="1"/>
  <c r="E42" i="1" s="1"/>
  <c r="E25" i="1"/>
  <c r="E23" i="1"/>
  <c r="E7" i="1"/>
  <c r="H101" i="1"/>
  <c r="H73" i="1"/>
  <c r="H87" i="1"/>
  <c r="C78" i="1" l="1"/>
  <c r="J72" i="1" s="1"/>
  <c r="D97" i="1"/>
  <c r="D98" i="1"/>
  <c r="D99" i="1"/>
  <c r="D93" i="1"/>
  <c r="D94" i="1"/>
  <c r="D95" i="1"/>
  <c r="D96" i="1"/>
  <c r="C92" i="1"/>
  <c r="J86" i="1" s="1"/>
  <c r="D85" i="1"/>
  <c r="D83" i="1"/>
  <c r="D82" i="1"/>
  <c r="D81" i="1"/>
  <c r="D79" i="1"/>
  <c r="D84" i="1"/>
  <c r="D80" i="1"/>
  <c r="J76" i="1"/>
  <c r="J77" i="1"/>
  <c r="C76" i="1" s="1"/>
  <c r="J75" i="1"/>
  <c r="J78" i="1"/>
  <c r="J79" i="1" s="1"/>
  <c r="J84" i="1" s="1"/>
  <c r="C106" i="1"/>
  <c r="J100" i="1" s="1"/>
  <c r="J104" i="1"/>
  <c r="D113" i="1"/>
  <c r="D111" i="1"/>
  <c r="D109" i="1"/>
  <c r="D107" i="1"/>
  <c r="J105" i="1"/>
  <c r="C104" i="1" s="1"/>
  <c r="J103" i="1"/>
  <c r="J106" i="1"/>
  <c r="J107" i="1" s="1"/>
  <c r="J112" i="1" s="1"/>
  <c r="D112" i="1"/>
  <c r="D110" i="1"/>
  <c r="D108" i="1"/>
  <c r="J92" i="1"/>
  <c r="J93" i="1" s="1"/>
  <c r="J98" i="1" s="1"/>
  <c r="J90" i="1"/>
  <c r="J91" i="1"/>
  <c r="C90" i="1" s="1"/>
  <c r="J89" i="1"/>
  <c r="J108" i="1" l="1"/>
  <c r="J109" i="1" s="1"/>
  <c r="J110" i="1" s="1"/>
  <c r="J94" i="1"/>
  <c r="J95" i="1" s="1"/>
  <c r="J96" i="1" s="1"/>
  <c r="J80" i="1"/>
  <c r="J81" i="1" s="1"/>
  <c r="J82" i="1" s="1"/>
  <c r="D106" i="1"/>
  <c r="J102" i="1"/>
  <c r="D104" i="1"/>
  <c r="D92" i="1"/>
  <c r="J88" i="1"/>
  <c r="D78" i="1"/>
  <c r="J74" i="1"/>
  <c r="D76" i="1"/>
  <c r="D90" i="1"/>
  <c r="J113" i="1" l="1"/>
  <c r="C105" i="1" s="1"/>
  <c r="J99" i="1"/>
  <c r="C91" i="1" s="1"/>
  <c r="J87" i="1" s="1"/>
  <c r="J85" i="1"/>
  <c r="C77" i="1" s="1"/>
  <c r="F71" i="1"/>
  <c r="D71" i="1"/>
  <c r="H115" i="1"/>
  <c r="E104" i="1" l="1"/>
  <c r="D105" i="1"/>
  <c r="I101" i="1" s="1"/>
  <c r="I102" i="1" s="1"/>
  <c r="I100" i="1" s="1"/>
  <c r="C102" i="1" s="1"/>
  <c r="G104" i="1"/>
  <c r="J101" i="1"/>
  <c r="E90" i="1"/>
  <c r="D91" i="1"/>
  <c r="I87" i="1" s="1"/>
  <c r="I88" i="1" s="1"/>
  <c r="G90" i="1"/>
  <c r="E76" i="1"/>
  <c r="D77" i="1"/>
  <c r="I73" i="1" s="1"/>
  <c r="I74" i="1" s="1"/>
  <c r="G76" i="1"/>
  <c r="J73" i="1"/>
  <c r="C120" i="1"/>
  <c r="J114" i="1" s="1"/>
  <c r="J116" i="1" s="1"/>
  <c r="D124" i="1"/>
  <c r="D127" i="1"/>
  <c r="D123" i="1"/>
  <c r="J119" i="1"/>
  <c r="C118" i="1" s="1"/>
  <c r="D118" i="1" s="1"/>
  <c r="J117" i="1"/>
  <c r="D122" i="1"/>
  <c r="D126" i="1"/>
  <c r="J120" i="1"/>
  <c r="J121" i="1" s="1"/>
  <c r="J126" i="1" s="1"/>
  <c r="J118" i="1"/>
  <c r="D121" i="1"/>
  <c r="D125" i="1"/>
  <c r="I86" i="1"/>
  <c r="C88" i="1" s="1"/>
  <c r="I72" i="1" l="1"/>
  <c r="J122" i="1"/>
  <c r="J123" i="1" s="1"/>
  <c r="J124" i="1" s="1"/>
  <c r="D120" i="1"/>
  <c r="J127" i="1" l="1"/>
  <c r="C119" i="1" s="1"/>
  <c r="E118" i="1" s="1"/>
  <c r="D119" i="1" l="1"/>
  <c r="I115" i="1" s="1"/>
  <c r="I116" i="1" s="1"/>
  <c r="G118" i="1"/>
  <c r="J115" i="1"/>
  <c r="I114" i="1"/>
  <c r="C116" i="1" s="1"/>
</calcChain>
</file>

<file path=xl/sharedStrings.xml><?xml version="1.0" encoding="utf-8"?>
<sst xmlns="http://schemas.openxmlformats.org/spreadsheetml/2006/main" count="630" uniqueCount="256">
  <si>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</si>
  <si>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</si>
  <si>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</si>
  <si>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</si>
  <si>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</si>
  <si>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</si>
  <si>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</si>
  <si>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</si>
  <si>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</si>
  <si>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</si>
  <si>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</si>
  <si>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</si>
  <si>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</si>
  <si>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</si>
  <si>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</si>
  <si>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</si>
  <si>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</si>
  <si>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</si>
  <si>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</si>
  <si>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</si>
  <si>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</si>
  <si>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</si>
  <si>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</si>
  <si>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</si>
  <si>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</si>
  <si>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</si>
  <si>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</si>
  <si>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</si>
  <si>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</si>
  <si>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</si>
  <si>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</si>
  <si>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</si>
  <si>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</si>
  <si>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</si>
  <si>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</si>
  <si>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</si>
  <si>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</si>
  <si>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</si>
  <si>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</si>
  <si>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</si>
  <si>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</si>
  <si>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</si>
  <si>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</si>
  <si>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</si>
  <si>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</si>
  <si>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</si>
  <si>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</si>
  <si>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</si>
  <si>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</si>
  <si>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</si>
  <si>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</si>
  <si>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</si>
  <si>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</si>
  <si>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</si>
  <si>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</si>
  <si>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</si>
  <si>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</si>
  <si>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</si>
  <si>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</si>
  <si>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</si>
  <si>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</si>
  <si>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</si>
  <si>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</si>
  <si>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</si>
  <si>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</si>
  <si>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</si>
  <si>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</si>
  <si>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</si>
  <si>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</si>
  <si>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</si>
  <si>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</si>
  <si>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</si>
  <si>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</si>
  <si>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</si>
  <si>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</si>
  <si>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</si>
  <si>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</si>
  <si>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</si>
  <si>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</si>
  <si>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</si>
  <si>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</si>
  <si>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</si>
  <si>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</si>
  <si>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</si>
  <si>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</si>
  <si>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</si>
  <si>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</si>
  <si>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</si>
  <si>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</si>
  <si>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</si>
  <si>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</si>
  <si>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</si>
  <si>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</si>
  <si>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</si>
  <si>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</si>
  <si>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</si>
  <si>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</si>
  <si>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</si>
  <si>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</si>
  <si>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</si>
  <si>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</si>
  <si>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</si>
  <si>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</si>
  <si>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</si>
  <si>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</si>
  <si>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</si>
  <si>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</si>
  <si>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</si>
  <si>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</si>
  <si>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</si>
  <si>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</si>
  <si>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</si>
  <si>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</si>
  <si>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</si>
  <si>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</si>
  <si>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</si>
  <si>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</si>
  <si>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</si>
  <si>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</si>
  <si>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</si>
  <si>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</si>
  <si>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</si>
  <si>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</si>
  <si>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</si>
  <si>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</si>
  <si>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</si>
  <si>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</si>
  <si>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</si>
  <si>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</si>
  <si>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</si>
  <si>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</si>
  <si>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</si>
  <si>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</si>
  <si>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</si>
  <si>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</si>
  <si>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</si>
  <si>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</si>
  <si>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</si>
  <si>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</si>
  <si>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</si>
  <si>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</si>
  <si>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</si>
  <si>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</si>
  <si>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</si>
  <si>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</si>
  <si>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</si>
  <si>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</si>
  <si>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</si>
  <si>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</si>
  <si>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</si>
  <si>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</si>
  <si>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</si>
  <si>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</si>
  <si>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</si>
  <si>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</si>
  <si>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</si>
  <si>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</si>
  <si>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</si>
  <si>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</si>
  <si>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</si>
  <si>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</si>
  <si>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</si>
  <si>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</si>
  <si>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</si>
  <si>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</si>
  <si>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</si>
  <si>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</si>
  <si>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</si>
  <si>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</si>
  <si>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</si>
  <si>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</si>
  <si>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Goregaon</t>
  </si>
  <si>
    <t>M/s. Pushpa Construction Company</t>
  </si>
  <si>
    <t>Pearl Residency</t>
  </si>
  <si>
    <t>022-2404 0348
Mr. Mahesh Sawant – 99202 66853
Mr. Ajit Sathe – 97695 43907</t>
  </si>
  <si>
    <t>P51900008616</t>
  </si>
  <si>
    <t>Sant Rohidas Marg</t>
  </si>
  <si>
    <t>Sion</t>
  </si>
  <si>
    <t>Mumbai</t>
  </si>
  <si>
    <t>Kalpataru Building</t>
  </si>
  <si>
    <t>Dharavi</t>
  </si>
  <si>
    <t>Development of Proposed Amalgamated &amp; Subdivided Plots For :- Kalpataru, Jaykalimata &amp; Jay-Bajrangbali CHS. Soc. On Plot Bearing C S No. 181(Part) &amp; 509 At: Babu Jagjivanram Nagar &amp; Khamdev Nagar At: Dharvi - Division Dharavi Mumbai.</t>
  </si>
  <si>
    <t>CTS No</t>
  </si>
  <si>
    <t>United Residency</t>
  </si>
  <si>
    <t>Slums</t>
  </si>
  <si>
    <t>SRA</t>
  </si>
  <si>
    <t>SRA/ENG/1721/GN/ML/OCC</t>
  </si>
  <si>
    <t>upto 21st Floor as per amended plans dated 03/07/2019.</t>
  </si>
  <si>
    <t xml:space="preserve">SRA/ENG/1721/GN/ML/AP          </t>
  </si>
  <si>
    <t>Nothing</t>
  </si>
  <si>
    <t>(Sale /Rehab)</t>
  </si>
  <si>
    <t>Sale</t>
  </si>
  <si>
    <t>1A</t>
  </si>
  <si>
    <t>9A</t>
  </si>
  <si>
    <t>Shop</t>
  </si>
  <si>
    <t>Rehab</t>
  </si>
  <si>
    <t>Building No. 1</t>
  </si>
  <si>
    <t>1st Floor For Amenities</t>
  </si>
  <si>
    <t>A Wing</t>
  </si>
  <si>
    <t>2nd Floor For Residential</t>
  </si>
  <si>
    <t>2BHK</t>
  </si>
  <si>
    <t>3BHK</t>
  </si>
  <si>
    <t>1.5BHK</t>
  </si>
  <si>
    <t>B Wing</t>
  </si>
  <si>
    <t>1BHK</t>
  </si>
  <si>
    <t>C Wing</t>
  </si>
  <si>
    <t>3.5BHK</t>
  </si>
  <si>
    <t>D Wing</t>
  </si>
  <si>
    <t>3rd, 4th, 5th Floor For Residential</t>
  </si>
  <si>
    <t>2nd Floor For Residential &amp; Amenities</t>
  </si>
  <si>
    <t>6th, 8th, 9th, 10th, 11th, 12th, 13th, 15th, 16th &amp; 17th Floor</t>
  </si>
  <si>
    <t>7th Floor (Part Refuge Area)</t>
  </si>
  <si>
    <t>Refuge Area</t>
  </si>
  <si>
    <t>14th Floor (Part Refuge Area)</t>
  </si>
  <si>
    <t>4BHK</t>
  </si>
  <si>
    <t>18th, 19th, 20th &amp; 22nd Floor</t>
  </si>
  <si>
    <t>21st Floor (Part Refuge Area)</t>
  </si>
  <si>
    <t>1RK</t>
  </si>
  <si>
    <t>23rd Floor (Part Terrace Area)</t>
  </si>
  <si>
    <t xml:space="preserve">23rd Floor </t>
  </si>
  <si>
    <t>23rd Floor</t>
  </si>
  <si>
    <t>We considered Gross carpet area = Net carpet.</t>
  </si>
  <si>
    <t>On Site, we meet Mr.Kartik (9987531056).</t>
  </si>
  <si>
    <t>1KM from Sion Railway Station</t>
  </si>
  <si>
    <t>Wing A, B, C, D</t>
  </si>
  <si>
    <t>1st to 4th Basement For Parking</t>
  </si>
  <si>
    <t>B Wing = 4Basement + Gr + 1st to 23th Floor</t>
  </si>
  <si>
    <t>C Wing = 4Basement + Gr + 1st to 23th Floor</t>
  </si>
  <si>
    <t>D Wing = 4Basement + Gr + 1st to 23th Floor</t>
  </si>
  <si>
    <t>Ground Floor Commercial &amp; Parking</t>
  </si>
  <si>
    <t>Approved Plans, CC, OC.</t>
  </si>
  <si>
    <t>Building No. 1=( A, B, C &amp; D) Wing</t>
  </si>
  <si>
    <t>Flats -313, Shops -40.</t>
  </si>
  <si>
    <t>181 (Pt) &amp; 509</t>
  </si>
  <si>
    <t>04 Buildings</t>
  </si>
  <si>
    <t>Building No.1 ( Wing A, B, C &amp; D) = Gr + 1st to 18th Floor</t>
  </si>
  <si>
    <t>3rd Floor For Residential</t>
  </si>
  <si>
    <t xml:space="preserve">4th &amp; 5th Floor </t>
  </si>
  <si>
    <t xml:space="preserve">Building No. 1 (A, B, C &amp; D) Wing = 4B + Gr + 1st to 23th Floor
</t>
  </si>
  <si>
    <t>Building No. 1 (A, B, C &amp; D) Wing = 4B + Gr + 1st to 23th Floor</t>
  </si>
  <si>
    <t xml:space="preserve">Airport Authority of India
NOC No.
Valid upto : </t>
  </si>
  <si>
    <t>80.99M</t>
  </si>
  <si>
    <t>AAI/RHQ/WR/NOC/SNCR/WEST/B/011017/190626</t>
  </si>
  <si>
    <t xml:space="preserve">Part O. Certificate No.: 
Approved upto : </t>
  </si>
  <si>
    <t>Building No.1 ( Wing A, B, C &amp; D) = 4B + 1st to 23rd Floor</t>
  </si>
  <si>
    <t xml:space="preserve">1.Vitrified tiles flooring 2. Granite Kitchen Platform  3. Decorative Enternace  etc. 
</t>
  </si>
  <si>
    <t xml:space="preserve">Building No. 1 (A, B, C &amp; D) = All work Completed. OC received. </t>
  </si>
  <si>
    <t>19.047831, 72.8586878</t>
  </si>
  <si>
    <t>https://goo.gl/maps/FfnSFgTr5u2WGKvJA</t>
  </si>
  <si>
    <t>We have updated O.C (on 16/03/2023).</t>
  </si>
  <si>
    <t xml:space="preserve"> </t>
  </si>
  <si>
    <t>As per RERA- Completed.</t>
  </si>
  <si>
    <t>All work Completed. OC received.</t>
  </si>
  <si>
    <t xml:space="preserve">Office No. 1031, Wing J, Akshar Business Park, Plot No. 03 Sector 25, Near APMC Market, Vashi, Navi Mumbai, Maharashtra 400703 TEL: 022-46090378/79/8
Email : vsjcapf@gmail.com. Web site : www.vsjadon.com
</t>
  </si>
  <si>
    <t>Pooja</t>
  </si>
  <si>
    <t>Uday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</si>
</sst>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4" fillId="2" borderId="28" xfId="0" applyFont="1" applyFill="1" applyBorder="1"/>
    <xf numFmtId="0" fontId="25" fillId="0" borderId="29" xfId="0" applyFont="1" applyBorder="1"/>
    <xf numFmtId="0" fontId="25" fillId="0" borderId="1" xfId="0" applyFont="1" applyBorder="1"/>
    <xf numFmtId="0" fontId="25" fillId="0" borderId="4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0" fillId="0" borderId="0" xfId="1" applyFont="1"/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1" fontId="7" fillId="0" borderId="0" xfId="0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7" xfId="1" applyFont="1" applyBorder="1" applyAlignment="1" applyProtection="1">
      <alignment horizontal="center"/>
      <protection locked="0"/>
    </xf>
    <xf numFmtId="0" fontId="7" fillId="0" borderId="20" xfId="1" applyFont="1" applyBorder="1" applyAlignment="1" applyProtection="1">
      <alignment horizontal="center"/>
      <protection locked="0"/>
    </xf>
    <xf numFmtId="0" fontId="7" fillId="0" borderId="8" xfId="1" applyFont="1" applyBorder="1" applyAlignment="1" applyProtection="1">
      <alignment horizontal="center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22" fillId="0" borderId="2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4" fontId="13" fillId="0" borderId="7" xfId="1" applyNumberFormat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horizontal="left" vertical="top" wrapText="1"/>
      <protection locked="0"/>
    </xf>
    <xf numFmtId="1" fontId="8" fillId="0" borderId="20" xfId="0" applyNumberFormat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horizontal="left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1" fontId="10" fillId="0" borderId="7" xfId="0" applyNumberFormat="1" applyFont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24" fillId="2" borderId="14" xfId="0" applyFont="1" applyFill="1" applyBorder="1"/>
    <xf numFmtId="0" fontId="25" fillId="0" borderId="8" xfId="0" applyFont="1" applyBorder="1"/>
    <xf numFmtId="0" fontId="8" fillId="0" borderId="30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31" xfId="1" applyFont="1" applyBorder="1" applyAlignment="1" applyProtection="1">
      <alignment horizontal="left" vertical="top" wrapText="1"/>
      <protection locked="0"/>
    </xf>
    <xf numFmtId="0" fontId="8" fillId="0" borderId="32" xfId="1" applyFont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432</xdr:row>
      <xdr:rowOff>0</xdr:rowOff>
    </xdr:from>
    <xdr:to>
      <xdr:col>7</xdr:col>
      <xdr:colOff>292172</xdr:colOff>
      <xdr:row>450</xdr:row>
      <xdr:rowOff>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9600" y="89382600"/>
          <a:ext cx="574999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609600</xdr:colOff>
      <xdr:row>450</xdr:row>
      <xdr:rowOff>182656</xdr:rowOff>
    </xdr:from>
    <xdr:to>
      <xdr:col>7</xdr:col>
      <xdr:colOff>292172</xdr:colOff>
      <xdr:row>468</xdr:row>
      <xdr:rowOff>182206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9600" y="93165706"/>
          <a:ext cx="574999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1139196</xdr:colOff>
      <xdr:row>388</xdr:row>
      <xdr:rowOff>34436</xdr:rowOff>
    </xdr:from>
    <xdr:to>
      <xdr:col>9</xdr:col>
      <xdr:colOff>592608</xdr:colOff>
      <xdr:row>389</xdr:row>
      <xdr:rowOff>107705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616196" y="71243336"/>
          <a:ext cx="615462" cy="273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B</a:t>
          </a:r>
        </a:p>
      </xdr:txBody>
    </xdr:sp>
    <xdr:clientData/>
  </xdr:twoCellAnchor>
  <xdr:twoCellAnchor>
    <xdr:from>
      <xdr:col>9</xdr:col>
      <xdr:colOff>555973</xdr:colOff>
      <xdr:row>386</xdr:row>
      <xdr:rowOff>43962</xdr:rowOff>
    </xdr:from>
    <xdr:to>
      <xdr:col>10</xdr:col>
      <xdr:colOff>407237</xdr:colOff>
      <xdr:row>387</xdr:row>
      <xdr:rowOff>117231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95023" y="70852812"/>
          <a:ext cx="613264" cy="273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C</a:t>
          </a:r>
        </a:p>
      </xdr:txBody>
    </xdr:sp>
    <xdr:clientData/>
  </xdr:twoCellAnchor>
  <xdr:twoCellAnchor>
    <xdr:from>
      <xdr:col>8</xdr:col>
      <xdr:colOff>219075</xdr:colOff>
      <xdr:row>387</xdr:row>
      <xdr:rowOff>171450</xdr:rowOff>
    </xdr:from>
    <xdr:to>
      <xdr:col>16</xdr:col>
      <xdr:colOff>546883</xdr:colOff>
      <xdr:row>428</xdr:row>
      <xdr:rowOff>134606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F4D99E1-D9EE-0103-01B4-D00C713F434A}"/>
            </a:ext>
          </a:extLst>
        </xdr:cNvPr>
        <xdr:cNvGrpSpPr/>
      </xdr:nvGrpSpPr>
      <xdr:grpSpPr>
        <a:xfrm>
          <a:off x="7419975" y="69532500"/>
          <a:ext cx="7027058" cy="8027656"/>
          <a:chOff x="57150" y="70580250"/>
          <a:chExt cx="6728608" cy="8154656"/>
        </a:xfrm>
      </xdr:grpSpPr>
      <xdr:pic>
        <xdr:nvPicPr>
          <xdr:cNvPr id="12" name="Picture 11" descr="insp-196461-1525.jpg (1239×930)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829206" y="76574906"/>
            <a:ext cx="2877677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 descr="insp-196461-843.jpg (959×1280)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22597" y="73577578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insp-196461-845.jpg (959×1280)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43723" y="70580250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insp-196461-847.jpg (959×1280)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36025" y="73577578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insp-196461-851.jpg (959×1280)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628008" y="70580250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insp-196461-871.jpg (959×1280)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7150" y="70580250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insp-196461-1512.jpg (959×1280)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38894" y="76574906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520700</xdr:colOff>
      <xdr:row>387</xdr:row>
      <xdr:rowOff>101600</xdr:rowOff>
    </xdr:from>
    <xdr:to>
      <xdr:col>7</xdr:col>
      <xdr:colOff>686051</xdr:colOff>
      <xdr:row>421</xdr:row>
      <xdr:rowOff>33148</xdr:rowOff>
    </xdr:to>
    <xdr:grpSp>
      <xdr:nvGrpSpPr>
        <xdr:cNvPr id="16" name="Group 15"/>
        <xdr:cNvGrpSpPr/>
      </xdr:nvGrpSpPr>
      <xdr:grpSpPr>
        <a:xfrm>
          <a:off x="520700" y="69462650"/>
          <a:ext cx="6089901" cy="6618098"/>
          <a:chOff x="520700" y="69462650"/>
          <a:chExt cx="6089901" cy="6618098"/>
        </a:xfrm>
      </xdr:grpSpPr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43694" y="73560748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0700" y="694626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9575" y="73560748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43694" y="694626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fnSFgTr5u2WGKvJ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31"/>
  <sheetViews>
    <sheetView tabSelected="1" view="pageBreakPreview" zoomScaleNormal="100" zoomScaleSheetLayoutView="100" workbookViewId="0">
      <selection activeCell="K5" sqref="K5"/>
    </sheetView>
  </sheetViews>
  <sheetFormatPr defaultColWidth="9.1796875" defaultRowHeight="15.5" x14ac:dyDescent="0.35"/>
  <cols>
    <col min="1" max="1" width="11.453125" style="39" customWidth="1"/>
    <col min="2" max="2" width="11.26953125" style="39" customWidth="1"/>
    <col min="3" max="3" width="12.7265625" style="39" customWidth="1"/>
    <col min="4" max="4" width="14.1796875" style="39" customWidth="1"/>
    <col min="5" max="7" width="11.7265625" style="39" customWidth="1"/>
    <col min="8" max="8" width="18.26953125" style="39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8" ht="46.5" customHeight="1" x14ac:dyDescent="0.35">
      <c r="A1" s="146" t="s">
        <v>253</v>
      </c>
      <c r="B1" s="146"/>
      <c r="C1" s="146"/>
      <c r="D1" s="146"/>
      <c r="E1" s="146"/>
      <c r="F1" s="146"/>
      <c r="G1" s="146"/>
      <c r="H1" s="146"/>
    </row>
    <row r="2" spans="1:8" ht="16.5" customHeight="1" x14ac:dyDescent="0.35">
      <c r="A2" s="147" t="s">
        <v>0</v>
      </c>
      <c r="B2" s="147"/>
      <c r="C2" s="147"/>
      <c r="D2" s="147"/>
      <c r="E2" s="147"/>
      <c r="F2" s="147"/>
      <c r="G2" s="147"/>
      <c r="H2" s="147"/>
    </row>
    <row r="3" spans="1:8" x14ac:dyDescent="0.35">
      <c r="A3" s="90" t="s">
        <v>1</v>
      </c>
      <c r="B3" s="90"/>
      <c r="C3" s="90"/>
      <c r="D3" s="90"/>
      <c r="E3" s="145" t="str">
        <f ca="1">TEXT(TODAY(),"DD/MM/YYYY")</f>
        <v>11/07/2025</v>
      </c>
      <c r="F3" s="90"/>
      <c r="G3" s="90"/>
      <c r="H3" s="90"/>
    </row>
    <row r="4" spans="1:8" ht="15" customHeight="1" x14ac:dyDescent="0.35">
      <c r="A4" s="90" t="s">
        <v>2</v>
      </c>
      <c r="B4" s="90"/>
      <c r="C4" s="90"/>
      <c r="D4" s="90"/>
      <c r="E4" s="90" t="s">
        <v>171</v>
      </c>
      <c r="F4" s="90"/>
      <c r="G4" s="90"/>
      <c r="H4" s="90"/>
    </row>
    <row r="5" spans="1:8" x14ac:dyDescent="0.35">
      <c r="A5" s="90" t="s">
        <v>3</v>
      </c>
      <c r="B5" s="90"/>
      <c r="C5" s="90"/>
      <c r="D5" s="90"/>
      <c r="E5" s="145">
        <v>45849</v>
      </c>
      <c r="F5" s="90"/>
      <c r="G5" s="90"/>
      <c r="H5" s="90"/>
    </row>
    <row r="6" spans="1:8" ht="16.5" customHeight="1" x14ac:dyDescent="0.35">
      <c r="A6" s="90" t="s">
        <v>4</v>
      </c>
      <c r="B6" s="90"/>
      <c r="C6" s="90"/>
      <c r="D6" s="90"/>
      <c r="E6" s="90" t="s">
        <v>172</v>
      </c>
      <c r="F6" s="90"/>
      <c r="G6" s="90"/>
      <c r="H6" s="90"/>
    </row>
    <row r="7" spans="1:8" ht="15" customHeight="1" x14ac:dyDescent="0.35">
      <c r="A7" s="90" t="s">
        <v>5</v>
      </c>
      <c r="B7" s="90"/>
      <c r="C7" s="90"/>
      <c r="D7" s="90"/>
      <c r="E7" s="90" t="str">
        <f>E6</f>
        <v>M/s. Pushpa Construction Company</v>
      </c>
      <c r="F7" s="90"/>
      <c r="G7" s="90"/>
      <c r="H7" s="90"/>
    </row>
    <row r="8" spans="1:8" x14ac:dyDescent="0.35">
      <c r="A8" s="90" t="s">
        <v>6</v>
      </c>
      <c r="B8" s="90"/>
      <c r="C8" s="90"/>
      <c r="D8" s="90"/>
      <c r="E8" s="96" t="s">
        <v>173</v>
      </c>
      <c r="F8" s="96"/>
      <c r="G8" s="96"/>
      <c r="H8" s="96"/>
    </row>
    <row r="9" spans="1:8" ht="50.25" customHeight="1" x14ac:dyDescent="0.35">
      <c r="A9" s="90" t="s">
        <v>124</v>
      </c>
      <c r="B9" s="90"/>
      <c r="C9" s="90"/>
      <c r="D9" s="90"/>
      <c r="E9" s="101" t="s">
        <v>174</v>
      </c>
      <c r="F9" s="90"/>
      <c r="G9" s="90"/>
      <c r="H9" s="90"/>
    </row>
    <row r="10" spans="1:8" x14ac:dyDescent="0.35">
      <c r="A10" s="90" t="s">
        <v>7</v>
      </c>
      <c r="B10" s="90"/>
      <c r="C10" s="90"/>
      <c r="D10" s="90"/>
      <c r="E10" s="90" t="s">
        <v>231</v>
      </c>
      <c r="F10" s="90"/>
      <c r="G10" s="90"/>
      <c r="H10" s="90"/>
    </row>
    <row r="11" spans="1:8" x14ac:dyDescent="0.35">
      <c r="A11" s="90" t="s">
        <v>8</v>
      </c>
      <c r="B11" s="90"/>
      <c r="C11" s="90"/>
      <c r="D11" s="90"/>
      <c r="E11" s="101" t="s">
        <v>230</v>
      </c>
      <c r="F11" s="101"/>
      <c r="G11" s="101"/>
      <c r="H11" s="101"/>
    </row>
    <row r="12" spans="1:8" x14ac:dyDescent="0.35">
      <c r="A12" s="90" t="s">
        <v>9</v>
      </c>
      <c r="B12" s="90"/>
      <c r="C12" s="90"/>
      <c r="D12" s="90"/>
      <c r="E12" s="90" t="s">
        <v>175</v>
      </c>
      <c r="F12" s="90"/>
      <c r="G12" s="90"/>
      <c r="H12" s="90"/>
    </row>
    <row r="13" spans="1:8" ht="49.5" customHeight="1" x14ac:dyDescent="0.35">
      <c r="A13" s="101" t="s">
        <v>10</v>
      </c>
      <c r="B13" s="101"/>
      <c r="C13" s="101" t="s">
        <v>181</v>
      </c>
      <c r="D13" s="101"/>
      <c r="E13" s="101"/>
      <c r="F13" s="101"/>
      <c r="G13" s="101"/>
      <c r="H13" s="101"/>
    </row>
    <row r="14" spans="1:8" x14ac:dyDescent="0.35">
      <c r="A14" s="101" t="s">
        <v>182</v>
      </c>
      <c r="B14" s="101"/>
      <c r="C14" s="101" t="s">
        <v>233</v>
      </c>
      <c r="D14" s="101"/>
      <c r="E14" s="101"/>
      <c r="F14" s="101"/>
      <c r="G14" s="101"/>
      <c r="H14" s="101"/>
    </row>
    <row r="15" spans="1:8" ht="15.75" customHeight="1" x14ac:dyDescent="0.35">
      <c r="A15" s="82" t="s">
        <v>168</v>
      </c>
      <c r="B15" s="83"/>
      <c r="C15" s="82" t="s">
        <v>180</v>
      </c>
      <c r="D15" s="84"/>
      <c r="E15" s="84"/>
      <c r="F15" s="84"/>
      <c r="G15" s="84"/>
      <c r="H15" s="83"/>
    </row>
    <row r="16" spans="1:8" ht="15.75" customHeight="1" x14ac:dyDescent="0.35">
      <c r="A16" s="101" t="s">
        <v>11</v>
      </c>
      <c r="B16" s="101"/>
      <c r="C16" s="90" t="s">
        <v>176</v>
      </c>
      <c r="D16" s="90"/>
      <c r="E16" s="101" t="s">
        <v>169</v>
      </c>
      <c r="F16" s="101"/>
      <c r="G16" s="101" t="s">
        <v>180</v>
      </c>
      <c r="H16" s="101"/>
    </row>
    <row r="17" spans="1:8" x14ac:dyDescent="0.35">
      <c r="A17" s="90" t="s">
        <v>13</v>
      </c>
      <c r="B17" s="90"/>
      <c r="C17" s="101" t="s">
        <v>177</v>
      </c>
      <c r="D17" s="101"/>
      <c r="E17" s="101" t="s">
        <v>12</v>
      </c>
      <c r="F17" s="101"/>
      <c r="G17" s="148" t="s">
        <v>178</v>
      </c>
      <c r="H17" s="148"/>
    </row>
    <row r="18" spans="1:8" x14ac:dyDescent="0.35">
      <c r="A18" s="90" t="s">
        <v>75</v>
      </c>
      <c r="B18" s="90"/>
      <c r="C18" s="101" t="s">
        <v>180</v>
      </c>
      <c r="D18" s="101"/>
      <c r="E18" s="101" t="s">
        <v>14</v>
      </c>
      <c r="F18" s="101"/>
      <c r="G18" s="101">
        <v>400017</v>
      </c>
      <c r="H18" s="101"/>
    </row>
    <row r="19" spans="1:8" ht="32.25" customHeight="1" x14ac:dyDescent="0.35">
      <c r="A19" s="90" t="s">
        <v>126</v>
      </c>
      <c r="B19" s="90"/>
      <c r="C19" s="101" t="s">
        <v>183</v>
      </c>
      <c r="D19" s="101"/>
      <c r="E19" s="101" t="s">
        <v>15</v>
      </c>
      <c r="F19" s="101"/>
      <c r="G19" s="101" t="s">
        <v>223</v>
      </c>
      <c r="H19" s="101"/>
    </row>
    <row r="20" spans="1:8" ht="15" customHeight="1" x14ac:dyDescent="0.35">
      <c r="A20" s="111" t="s">
        <v>78</v>
      </c>
      <c r="B20" s="111"/>
      <c r="C20" s="111"/>
      <c r="D20" s="111"/>
      <c r="E20" s="90" t="s">
        <v>16</v>
      </c>
      <c r="F20" s="90"/>
      <c r="G20" s="90"/>
      <c r="H20" s="90"/>
    </row>
    <row r="21" spans="1:8" ht="18.75" customHeight="1" x14ac:dyDescent="0.35">
      <c r="A21" s="111"/>
      <c r="B21" s="111"/>
      <c r="C21" s="111"/>
      <c r="D21" s="111"/>
      <c r="E21" s="90"/>
      <c r="F21" s="90"/>
      <c r="G21" s="90"/>
      <c r="H21" s="90"/>
    </row>
    <row r="22" spans="1:8" ht="15" customHeight="1" x14ac:dyDescent="0.35">
      <c r="A22" s="111" t="s">
        <v>17</v>
      </c>
      <c r="B22" s="111"/>
      <c r="C22" s="111"/>
      <c r="D22" s="111"/>
      <c r="E22" s="101" t="s">
        <v>18</v>
      </c>
      <c r="F22" s="101"/>
      <c r="G22" s="101"/>
      <c r="H22" s="101"/>
    </row>
    <row r="23" spans="1:8" ht="15" customHeight="1" x14ac:dyDescent="0.35">
      <c r="A23" s="110" t="s">
        <v>19</v>
      </c>
      <c r="B23" s="110"/>
      <c r="C23" s="110"/>
      <c r="D23" s="110"/>
      <c r="E23" s="101" t="str">
        <f>IF(AND(G17="Mumbai"),"Upper Class","Middle Class")</f>
        <v>Upper Class</v>
      </c>
      <c r="F23" s="101"/>
      <c r="G23" s="101"/>
      <c r="H23" s="101"/>
    </row>
    <row r="24" spans="1:8" x14ac:dyDescent="0.35">
      <c r="A24" s="110" t="s">
        <v>20</v>
      </c>
      <c r="B24" s="110"/>
      <c r="C24" s="110"/>
      <c r="D24" s="110"/>
      <c r="E24" s="101" t="s">
        <v>21</v>
      </c>
      <c r="F24" s="101"/>
      <c r="G24" s="101"/>
      <c r="H24" s="101"/>
    </row>
    <row r="25" spans="1:8" ht="15.75" customHeight="1" x14ac:dyDescent="0.35">
      <c r="A25" s="110" t="s">
        <v>22</v>
      </c>
      <c r="B25" s="110"/>
      <c r="C25" s="110"/>
      <c r="D25" s="110"/>
      <c r="E25" s="101" t="str">
        <f>IF(AND(G17="Mumbai"),"Developed","Developing")</f>
        <v>Developed</v>
      </c>
      <c r="F25" s="101"/>
      <c r="G25" s="101"/>
      <c r="H25" s="101"/>
    </row>
    <row r="26" spans="1:8" x14ac:dyDescent="0.35">
      <c r="A26" s="110" t="s">
        <v>23</v>
      </c>
      <c r="B26" s="110"/>
      <c r="C26" s="110"/>
      <c r="D26" s="110"/>
      <c r="E26" s="101" t="s">
        <v>24</v>
      </c>
      <c r="F26" s="101"/>
      <c r="G26" s="101"/>
      <c r="H26" s="101"/>
    </row>
    <row r="27" spans="1:8" ht="15.75" customHeight="1" x14ac:dyDescent="0.35">
      <c r="A27" s="110" t="s">
        <v>83</v>
      </c>
      <c r="B27" s="110"/>
      <c r="C27" s="110"/>
      <c r="D27" s="110"/>
      <c r="E27" s="101" t="s">
        <v>84</v>
      </c>
      <c r="F27" s="101"/>
      <c r="G27" s="101"/>
      <c r="H27" s="101"/>
    </row>
    <row r="28" spans="1:8" ht="15" customHeight="1" x14ac:dyDescent="0.35">
      <c r="A28" s="110" t="s">
        <v>34</v>
      </c>
      <c r="B28" s="110"/>
      <c r="C28" s="110"/>
      <c r="D28" s="110"/>
      <c r="E28" s="101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 + Commercial</v>
      </c>
      <c r="F28" s="101"/>
      <c r="G28" s="101"/>
      <c r="H28" s="101"/>
    </row>
    <row r="29" spans="1:8" ht="15.75" customHeight="1" x14ac:dyDescent="0.35">
      <c r="A29" s="110" t="s">
        <v>95</v>
      </c>
      <c r="B29" s="110"/>
      <c r="C29" s="110"/>
      <c r="D29" s="110"/>
      <c r="E29" s="101" t="s">
        <v>35</v>
      </c>
      <c r="F29" s="101"/>
      <c r="G29" s="101"/>
      <c r="H29" s="101"/>
    </row>
    <row r="30" spans="1:8" s="22" customFormat="1" x14ac:dyDescent="0.35">
      <c r="A30" s="152" t="s">
        <v>96</v>
      </c>
      <c r="B30" s="152"/>
      <c r="C30" s="151" t="s">
        <v>29</v>
      </c>
      <c r="D30" s="151"/>
      <c r="E30" s="151"/>
      <c r="F30" s="151" t="s">
        <v>31</v>
      </c>
      <c r="G30" s="151"/>
      <c r="H30" s="151"/>
    </row>
    <row r="31" spans="1:8" s="22" customFormat="1" x14ac:dyDescent="0.35">
      <c r="A31" s="149" t="s">
        <v>25</v>
      </c>
      <c r="B31" s="149" t="s">
        <v>30</v>
      </c>
      <c r="C31" s="150" t="s">
        <v>30</v>
      </c>
      <c r="D31" s="150"/>
      <c r="E31" s="150"/>
      <c r="F31" s="150" t="s">
        <v>183</v>
      </c>
      <c r="G31" s="150"/>
      <c r="H31" s="150"/>
    </row>
    <row r="32" spans="1:8" x14ac:dyDescent="0.35">
      <c r="A32" s="149" t="s">
        <v>26</v>
      </c>
      <c r="B32" s="149" t="s">
        <v>30</v>
      </c>
      <c r="C32" s="150" t="s">
        <v>30</v>
      </c>
      <c r="D32" s="150"/>
      <c r="E32" s="150"/>
      <c r="F32" s="150" t="s">
        <v>184</v>
      </c>
      <c r="G32" s="150"/>
      <c r="H32" s="150"/>
    </row>
    <row r="33" spans="1:8" s="22" customFormat="1" x14ac:dyDescent="0.35">
      <c r="A33" s="149" t="s">
        <v>28</v>
      </c>
      <c r="B33" s="149" t="s">
        <v>30</v>
      </c>
      <c r="C33" s="150" t="s">
        <v>30</v>
      </c>
      <c r="D33" s="150"/>
      <c r="E33" s="150"/>
      <c r="F33" s="150" t="s">
        <v>176</v>
      </c>
      <c r="G33" s="150"/>
      <c r="H33" s="150"/>
    </row>
    <row r="34" spans="1:8" x14ac:dyDescent="0.35">
      <c r="A34" s="149" t="s">
        <v>27</v>
      </c>
      <c r="B34" s="149" t="s">
        <v>30</v>
      </c>
      <c r="C34" s="150" t="s">
        <v>30</v>
      </c>
      <c r="D34" s="150"/>
      <c r="E34" s="150"/>
      <c r="F34" s="150" t="s">
        <v>179</v>
      </c>
      <c r="G34" s="150"/>
      <c r="H34" s="150"/>
    </row>
    <row r="35" spans="1:8" x14ac:dyDescent="0.35">
      <c r="A35" s="110" t="s">
        <v>32</v>
      </c>
      <c r="B35" s="110"/>
      <c r="C35" s="110"/>
      <c r="D35" s="110"/>
      <c r="E35" s="110"/>
      <c r="F35" s="110"/>
      <c r="G35" s="110"/>
      <c r="H35" s="110"/>
    </row>
    <row r="36" spans="1:8" ht="15.75" customHeight="1" x14ac:dyDescent="0.35">
      <c r="A36" s="147" t="s">
        <v>33</v>
      </c>
      <c r="B36" s="147"/>
      <c r="C36" s="64" t="s">
        <v>247</v>
      </c>
      <c r="D36" s="65"/>
      <c r="E36" s="65"/>
      <c r="F36" s="65"/>
      <c r="G36" s="65"/>
      <c r="H36" s="66"/>
    </row>
    <row r="37" spans="1:8" x14ac:dyDescent="0.35">
      <c r="A37" s="147" t="s">
        <v>167</v>
      </c>
      <c r="B37" s="147"/>
      <c r="C37" s="181" t="s">
        <v>248</v>
      </c>
      <c r="D37" s="101"/>
      <c r="E37" s="101"/>
      <c r="F37" s="101"/>
      <c r="G37" s="101"/>
      <c r="H37" s="101"/>
    </row>
    <row r="38" spans="1:8" x14ac:dyDescent="0.35">
      <c r="A38" s="142" t="s">
        <v>36</v>
      </c>
      <c r="B38" s="142"/>
      <c r="C38" s="142"/>
      <c r="D38" s="142"/>
      <c r="E38" s="142"/>
      <c r="F38" s="142"/>
      <c r="G38" s="142"/>
      <c r="H38" s="142"/>
    </row>
    <row r="39" spans="1:8" x14ac:dyDescent="0.35">
      <c r="A39" s="110" t="s">
        <v>37</v>
      </c>
      <c r="B39" s="110"/>
      <c r="C39" s="110"/>
      <c r="D39" s="110"/>
      <c r="E39" s="153">
        <v>7875.34</v>
      </c>
      <c r="F39" s="153"/>
      <c r="G39" s="153"/>
      <c r="H39" s="153"/>
    </row>
    <row r="40" spans="1:8" x14ac:dyDescent="0.35">
      <c r="A40" s="110" t="s">
        <v>38</v>
      </c>
      <c r="B40" s="110"/>
      <c r="C40" s="110"/>
      <c r="D40" s="110"/>
      <c r="E40" s="155">
        <v>3</v>
      </c>
      <c r="F40" s="155"/>
      <c r="G40" s="155"/>
      <c r="H40" s="155"/>
    </row>
    <row r="41" spans="1:8" x14ac:dyDescent="0.35">
      <c r="A41" s="90" t="s">
        <v>39</v>
      </c>
      <c r="B41" s="90"/>
      <c r="C41" s="90"/>
      <c r="D41" s="90"/>
      <c r="E41" s="91">
        <f>E43/E39-E40</f>
        <v>1.3774833848443366</v>
      </c>
      <c r="F41" s="91"/>
      <c r="G41" s="91"/>
      <c r="H41" s="91"/>
    </row>
    <row r="42" spans="1:8" x14ac:dyDescent="0.35">
      <c r="A42" s="90" t="s">
        <v>40</v>
      </c>
      <c r="B42" s="90"/>
      <c r="C42" s="90"/>
      <c r="D42" s="90"/>
      <c r="E42" s="91">
        <f>E40+E41</f>
        <v>4.3774833848443366</v>
      </c>
      <c r="F42" s="91"/>
      <c r="G42" s="91"/>
      <c r="H42" s="91"/>
    </row>
    <row r="43" spans="1:8" x14ac:dyDescent="0.35">
      <c r="A43" s="90" t="s">
        <v>94</v>
      </c>
      <c r="B43" s="90"/>
      <c r="C43" s="90"/>
      <c r="D43" s="90"/>
      <c r="E43" s="92">
        <v>34474.17</v>
      </c>
      <c r="F43" s="92"/>
      <c r="G43" s="92"/>
      <c r="H43" s="92"/>
    </row>
    <row r="44" spans="1:8" x14ac:dyDescent="0.35">
      <c r="A44" s="90" t="s">
        <v>41</v>
      </c>
      <c r="B44" s="90"/>
      <c r="C44" s="90"/>
      <c r="D44" s="90"/>
      <c r="E44" s="90" t="s">
        <v>234</v>
      </c>
      <c r="F44" s="90"/>
      <c r="G44" s="90"/>
      <c r="H44" s="90"/>
    </row>
    <row r="45" spans="1:8" x14ac:dyDescent="0.35">
      <c r="A45" s="96" t="s">
        <v>42</v>
      </c>
      <c r="B45" s="96"/>
      <c r="C45" s="96"/>
      <c r="D45" s="96"/>
      <c r="E45" s="96"/>
      <c r="F45" s="96"/>
      <c r="G45" s="96"/>
      <c r="H45" s="96"/>
    </row>
    <row r="46" spans="1:8" ht="33.75" customHeight="1" x14ac:dyDescent="0.35">
      <c r="A46" s="82" t="s">
        <v>155</v>
      </c>
      <c r="B46" s="83"/>
      <c r="C46" s="178" t="s">
        <v>185</v>
      </c>
      <c r="D46" s="179"/>
      <c r="E46" s="179"/>
      <c r="F46" s="179"/>
      <c r="G46" s="179"/>
      <c r="H46" s="180"/>
    </row>
    <row r="47" spans="1:8" ht="15.75" customHeight="1" x14ac:dyDescent="0.35">
      <c r="A47" s="82" t="s">
        <v>43</v>
      </c>
      <c r="B47" s="83"/>
      <c r="C47" s="82" t="s">
        <v>186</v>
      </c>
      <c r="D47" s="84"/>
      <c r="E47" s="83"/>
      <c r="F47" s="57" t="s">
        <v>44</v>
      </c>
      <c r="G47" s="85">
        <v>44727</v>
      </c>
      <c r="H47" s="83"/>
    </row>
    <row r="48" spans="1:8" x14ac:dyDescent="0.35">
      <c r="A48" s="82" t="s">
        <v>45</v>
      </c>
      <c r="B48" s="83"/>
      <c r="C48" s="82" t="str">
        <f>C47</f>
        <v>SRA/ENG/1721/GN/ML/OCC</v>
      </c>
      <c r="D48" s="84"/>
      <c r="E48" s="83"/>
      <c r="F48" s="57" t="s">
        <v>44</v>
      </c>
      <c r="G48" s="85">
        <v>44727</v>
      </c>
      <c r="H48" s="83"/>
    </row>
    <row r="49" spans="1:9" s="23" customFormat="1" ht="15.75" customHeight="1" x14ac:dyDescent="0.35">
      <c r="A49" s="86" t="s">
        <v>159</v>
      </c>
      <c r="B49" s="87"/>
      <c r="C49" s="82" t="s">
        <v>188</v>
      </c>
      <c r="D49" s="84"/>
      <c r="E49" s="83"/>
      <c r="F49" s="57" t="s">
        <v>44</v>
      </c>
      <c r="G49" s="85">
        <v>44727</v>
      </c>
      <c r="H49" s="83"/>
    </row>
    <row r="50" spans="1:9" s="23" customFormat="1" ht="33.75" customHeight="1" x14ac:dyDescent="0.35">
      <c r="A50" s="88"/>
      <c r="B50" s="89"/>
      <c r="C50" s="82" t="s">
        <v>187</v>
      </c>
      <c r="D50" s="84"/>
      <c r="E50" s="83"/>
      <c r="F50" s="57" t="s">
        <v>125</v>
      </c>
      <c r="G50" s="85">
        <v>43087</v>
      </c>
      <c r="H50" s="83"/>
    </row>
    <row r="51" spans="1:9" s="56" customFormat="1" x14ac:dyDescent="0.3">
      <c r="A51" s="86" t="s">
        <v>240</v>
      </c>
      <c r="B51" s="87"/>
      <c r="C51" s="82" t="s">
        <v>242</v>
      </c>
      <c r="D51" s="84"/>
      <c r="E51" s="83"/>
      <c r="F51" s="60" t="s">
        <v>44</v>
      </c>
      <c r="G51" s="85">
        <v>43543</v>
      </c>
      <c r="H51" s="83"/>
    </row>
    <row r="52" spans="1:9" ht="32.25" customHeight="1" x14ac:dyDescent="0.35">
      <c r="A52" s="88"/>
      <c r="B52" s="89"/>
      <c r="C52" s="82" t="s">
        <v>241</v>
      </c>
      <c r="D52" s="84"/>
      <c r="E52" s="84"/>
      <c r="F52" s="84"/>
      <c r="G52" s="84"/>
      <c r="H52" s="83"/>
    </row>
    <row r="53" spans="1:9" s="56" customFormat="1" ht="15" x14ac:dyDescent="0.3">
      <c r="A53" s="103" t="s">
        <v>243</v>
      </c>
      <c r="B53" s="104"/>
      <c r="C53" s="97" t="s">
        <v>186</v>
      </c>
      <c r="D53" s="98"/>
      <c r="E53" s="99"/>
      <c r="F53" s="58" t="s">
        <v>44</v>
      </c>
      <c r="G53" s="102">
        <v>44727</v>
      </c>
      <c r="H53" s="99"/>
    </row>
    <row r="54" spans="1:9" ht="31.5" customHeight="1" x14ac:dyDescent="0.35">
      <c r="A54" s="105"/>
      <c r="B54" s="106"/>
      <c r="C54" s="97" t="s">
        <v>235</v>
      </c>
      <c r="D54" s="98"/>
      <c r="E54" s="98"/>
      <c r="F54" s="98"/>
      <c r="G54" s="98"/>
      <c r="H54" s="99"/>
    </row>
    <row r="55" spans="1:9" s="56" customFormat="1" ht="28.5" customHeight="1" x14ac:dyDescent="0.3">
      <c r="A55" s="103" t="s">
        <v>170</v>
      </c>
      <c r="B55" s="104"/>
      <c r="C55" s="97" t="s">
        <v>186</v>
      </c>
      <c r="D55" s="98"/>
      <c r="E55" s="99"/>
      <c r="F55" s="58" t="s">
        <v>44</v>
      </c>
      <c r="G55" s="102">
        <v>44853</v>
      </c>
      <c r="H55" s="99"/>
    </row>
    <row r="56" spans="1:9" x14ac:dyDescent="0.35">
      <c r="A56" s="105"/>
      <c r="B56" s="106"/>
      <c r="C56" s="97" t="s">
        <v>244</v>
      </c>
      <c r="D56" s="98"/>
      <c r="E56" s="98"/>
      <c r="F56" s="98"/>
      <c r="G56" s="98"/>
      <c r="H56" s="99"/>
    </row>
    <row r="57" spans="1:9" x14ac:dyDescent="0.35">
      <c r="A57" s="100" t="s">
        <v>47</v>
      </c>
      <c r="B57" s="100"/>
      <c r="C57" s="100"/>
      <c r="D57" s="100"/>
      <c r="E57" s="100"/>
      <c r="F57" s="100"/>
      <c r="G57" s="100"/>
      <c r="H57" s="100"/>
    </row>
    <row r="58" spans="1:9" ht="17.25" customHeight="1" x14ac:dyDescent="0.35">
      <c r="A58" s="101" t="s">
        <v>93</v>
      </c>
      <c r="B58" s="101"/>
      <c r="C58" s="101"/>
      <c r="D58" s="90">
        <f>E43</f>
        <v>34474.17</v>
      </c>
      <c r="E58" s="90"/>
      <c r="F58" s="90"/>
      <c r="G58" s="90"/>
      <c r="H58" s="90"/>
    </row>
    <row r="59" spans="1:9" x14ac:dyDescent="0.35">
      <c r="A59" s="101" t="s">
        <v>48</v>
      </c>
      <c r="B59" s="90"/>
      <c r="C59" s="90"/>
      <c r="D59" s="90" t="s">
        <v>232</v>
      </c>
      <c r="E59" s="90"/>
      <c r="F59" s="90"/>
      <c r="G59" s="90"/>
      <c r="H59" s="90"/>
      <c r="I59" s="24"/>
    </row>
    <row r="60" spans="1:9" x14ac:dyDescent="0.35">
      <c r="A60" s="101" t="s">
        <v>49</v>
      </c>
      <c r="B60" s="101"/>
      <c r="C60" s="101"/>
      <c r="D60" s="114" t="s">
        <v>238</v>
      </c>
      <c r="E60" s="154"/>
      <c r="F60" s="154"/>
      <c r="G60" s="154"/>
      <c r="H60" s="154"/>
    </row>
    <row r="61" spans="1:9" ht="15.75" customHeight="1" x14ac:dyDescent="0.35">
      <c r="A61" s="101" t="s">
        <v>91</v>
      </c>
      <c r="B61" s="101"/>
      <c r="C61" s="101"/>
      <c r="D61" s="90" t="s">
        <v>239</v>
      </c>
      <c r="E61" s="90"/>
      <c r="F61" s="90"/>
      <c r="G61" s="90"/>
      <c r="H61" s="90"/>
    </row>
    <row r="62" spans="1:9" ht="15.75" hidden="1" customHeight="1" x14ac:dyDescent="0.35">
      <c r="A62" s="101"/>
      <c r="B62" s="101"/>
      <c r="C62" s="101"/>
      <c r="D62" s="90" t="s">
        <v>226</v>
      </c>
      <c r="E62" s="90"/>
      <c r="F62" s="90"/>
      <c r="G62" s="90"/>
      <c r="H62" s="90"/>
    </row>
    <row r="63" spans="1:9" ht="15.75" hidden="1" customHeight="1" x14ac:dyDescent="0.35">
      <c r="A63" s="101"/>
      <c r="B63" s="101"/>
      <c r="C63" s="101"/>
      <c r="D63" s="90" t="s">
        <v>227</v>
      </c>
      <c r="E63" s="90"/>
      <c r="F63" s="90"/>
      <c r="G63" s="90"/>
      <c r="H63" s="90"/>
    </row>
    <row r="64" spans="1:9" ht="12" hidden="1" customHeight="1" x14ac:dyDescent="0.35">
      <c r="A64" s="101"/>
      <c r="B64" s="101"/>
      <c r="C64" s="101"/>
      <c r="D64" s="90" t="s">
        <v>228</v>
      </c>
      <c r="E64" s="90"/>
      <c r="F64" s="90"/>
      <c r="G64" s="90"/>
      <c r="H64" s="90"/>
    </row>
    <row r="65" spans="1:14" ht="15.75" customHeight="1" x14ac:dyDescent="0.35">
      <c r="A65" s="110" t="s">
        <v>46</v>
      </c>
      <c r="B65" s="110"/>
      <c r="C65" s="110"/>
      <c r="D65" s="111" t="s">
        <v>251</v>
      </c>
      <c r="E65" s="111"/>
      <c r="F65" s="111"/>
      <c r="G65" s="111"/>
      <c r="H65" s="111"/>
      <c r="J65" s="25"/>
      <c r="K65" s="24"/>
      <c r="N65" s="24"/>
    </row>
    <row r="66" spans="1:14" ht="15.75" customHeight="1" x14ac:dyDescent="0.35">
      <c r="A66" s="110" t="s">
        <v>89</v>
      </c>
      <c r="B66" s="110"/>
      <c r="C66" s="110"/>
      <c r="D66" s="115" t="str">
        <f ca="1">(IF(G53="NA","60 Years After Completion",IF(G53&lt;&gt;"NA",""&amp;60-ROUNDDOWN((E3-G53)/360,0)&amp;" Years"," ")))</f>
        <v>57 Years</v>
      </c>
      <c r="E66" s="115"/>
      <c r="F66" s="115"/>
      <c r="G66" s="115"/>
      <c r="H66" s="115"/>
      <c r="N66" s="24"/>
    </row>
    <row r="67" spans="1:14" ht="15.75" customHeight="1" x14ac:dyDescent="0.35">
      <c r="A67" s="110" t="s">
        <v>90</v>
      </c>
      <c r="B67" s="110"/>
      <c r="C67" s="110"/>
      <c r="D67" s="111" t="s">
        <v>24</v>
      </c>
      <c r="E67" s="111"/>
      <c r="F67" s="111"/>
      <c r="G67" s="111"/>
      <c r="H67" s="111"/>
      <c r="J67" s="26"/>
      <c r="K67" s="26"/>
    </row>
    <row r="68" spans="1:14" ht="30.75" customHeight="1" x14ac:dyDescent="0.35">
      <c r="A68" s="110" t="s">
        <v>76</v>
      </c>
      <c r="B68" s="110"/>
      <c r="C68" s="110"/>
      <c r="D68" s="101" t="s">
        <v>245</v>
      </c>
      <c r="E68" s="111"/>
      <c r="F68" s="111"/>
      <c r="G68" s="111"/>
      <c r="H68" s="111"/>
    </row>
    <row r="69" spans="1:14" x14ac:dyDescent="0.35">
      <c r="A69" s="111" t="s">
        <v>152</v>
      </c>
      <c r="B69" s="111"/>
      <c r="C69" s="111"/>
      <c r="D69" s="111" t="s">
        <v>30</v>
      </c>
      <c r="E69" s="111"/>
      <c r="F69" s="111"/>
      <c r="G69" s="111"/>
      <c r="H69" s="111"/>
      <c r="I69" s="27"/>
      <c r="J69" s="27"/>
      <c r="K69" s="27"/>
      <c r="L69" s="27"/>
      <c r="M69" s="27"/>
      <c r="N69" s="27"/>
    </row>
    <row r="70" spans="1:14" ht="15.75" customHeight="1" x14ac:dyDescent="0.35">
      <c r="A70" s="110" t="s">
        <v>88</v>
      </c>
      <c r="B70" s="110"/>
      <c r="C70" s="110"/>
      <c r="D70" s="101" t="s">
        <v>189</v>
      </c>
      <c r="E70" s="101"/>
      <c r="F70" s="101"/>
      <c r="G70" s="101"/>
      <c r="H70" s="101"/>
      <c r="J70" s="26"/>
    </row>
    <row r="71" spans="1:14" ht="33.75" customHeight="1" thickBot="1" x14ac:dyDescent="0.4">
      <c r="A71" s="111" t="s">
        <v>120</v>
      </c>
      <c r="B71" s="111"/>
      <c r="C71" s="111"/>
      <c r="D71" s="101" t="str">
        <f>(IF(D70="Nothing","Yes",IF(D70="Cement, Aggregate, Steel, etc","Under Construction",IF(D70="Work not yet Started","Work not yet Started"))))</f>
        <v>Yes</v>
      </c>
      <c r="E71" s="101"/>
      <c r="F71" s="101" t="str">
        <f>(IF(D70="Nothing","Yes",IF(D70="Cement, Aggregate, Steel, etc","Under Construction",IF(D70="Work not yet Started","Work not yet Started"))))</f>
        <v>Yes</v>
      </c>
      <c r="G71" s="101"/>
      <c r="H71" s="101"/>
    </row>
    <row r="72" spans="1:14" ht="15.75" customHeight="1" x14ac:dyDescent="0.35">
      <c r="A72" s="112" t="s">
        <v>144</v>
      </c>
      <c r="B72" s="112"/>
      <c r="C72" s="112" t="str">
        <f>D61</f>
        <v>Building No. 1 (A, B, C &amp; D) Wing = 4B + Gr + 1st to 23th Floor</v>
      </c>
      <c r="D72" s="112"/>
      <c r="E72" s="112"/>
      <c r="F72" s="112"/>
      <c r="G72" s="112"/>
      <c r="H72" s="112"/>
      <c r="I72" s="196" t="str">
        <f ca="1">IF(D85=100%,"All work Completed. Possession granted to the Building.",IF(D84=100%,"All work Completed, Waiting for OC",I73&amp;""&amp;I74&amp;""&amp;J73&amp;""&amp;J72&amp;" "&amp;J74))</f>
        <v>All work Completed. Possession granted to the Building.</v>
      </c>
      <c r="J72" s="48" t="str">
        <f ca="1">(IF(C78=(D73+F73+H73),"",IF(C78&gt;0,", RCC upto "&amp;C78&amp;" Slab","")))&amp;(IF(C79=H73,"",IF(C79&gt;0,", Brickwork upto "&amp;C79&amp;" Floor","")))&amp;(IF(C80=H73,"",IF(C80&gt;0,", Internal Plaster upto "&amp;C80&amp;" Floor","")))&amp;(IF(C81=H73,"",IF(C81&gt;0,", External Plaster upto "&amp;C81&amp;" Floor","")))&amp;(IF(C82=H73,"",IF(C82&gt;0,", Flooring upto "&amp;C82&amp;" Floor","")))&amp;(IF(C83=H73,"",IF(C83&gt;0,", Painting upto "&amp;C83&amp;" Floor","")))&amp;(IF(C84=H73,"",IF(C84&gt;0,", Finishing upto "&amp;C84&amp;" Floor","")))&amp;(IF(C85=H73,"",IF(C85&gt;0,", Possession upto "&amp;C85&amp;" Floor","")))</f>
        <v/>
      </c>
    </row>
    <row r="73" spans="1:14" x14ac:dyDescent="0.35">
      <c r="A73" s="63" t="s">
        <v>146</v>
      </c>
      <c r="B73" s="63">
        <v>4</v>
      </c>
      <c r="C73" s="63" t="s">
        <v>74</v>
      </c>
      <c r="D73" s="63">
        <v>1</v>
      </c>
      <c r="E73" s="63" t="s">
        <v>73</v>
      </c>
      <c r="F73" s="63">
        <v>0</v>
      </c>
      <c r="G73" s="63" t="s">
        <v>82</v>
      </c>
      <c r="H73" s="63">
        <f ca="1">--TRIM(RIGHT(SUBSTITUTE(LEFT(C72,_xlfn.AGGREGATE(16,6,FIND({0,1,2,3,4,5,6,7,8,9},C72,ROW(INDIRECT("1:"&amp;LEN(C72)))),1))," ",REPT(" ",LEN(C72))),LEN(C72)))</f>
        <v>23</v>
      </c>
      <c r="I73" s="197" t="str">
        <f ca="1">IF(D76=100%,"Excavation","")&amp;IF(D77=100%,", Plinth","")&amp;IF(D78=100%,", RCC Slab","")&amp;IF(D79=100%,", Brickwork","")&amp;IF(D80=100%,", Internal Plaster","")&amp;IF(D81=100%,", External Plaster","")&amp;IF(D82=100%,", Flooring","")&amp;IF(D83=100%,", Painting","")&amp;IF(D84=100%,", Building common Amenities","")</f>
        <v>Excavation, Plinth, RCC Slab, Brickwork, Internal Plaster, External Plaster, Flooring, Painting, Building common Amenities</v>
      </c>
      <c r="J73" s="50" t="str">
        <f ca="1">(IF(C76=0,"Work not yet Started.",IF(D76=25%,"Piling work in process",IF(D76=50%,"Excavation work in process",IF(D76=100%,"","0")))))&amp;(IF(C77=0%,"",IF(C77=J78,", Footing work is process",IF(C77=J79,", Footing work Completed",IF(C77=J80,", 1st Basement Completed",IF(C77=J81,", 1st &amp; 2nd Basement Completed",IF(C77=J82,", 1st to 3rd Basement Completed",IF(C77=J83,", 1st to 4th Basement Completed",IF(C77=J84,", Plinth work is process",IF(C77=J85,"","0"))))))))))</f>
        <v/>
      </c>
    </row>
    <row r="74" spans="1:14" x14ac:dyDescent="0.35">
      <c r="A74" s="96" t="s">
        <v>92</v>
      </c>
      <c r="B74" s="96"/>
      <c r="C74" s="112" t="s">
        <v>252</v>
      </c>
      <c r="D74" s="112"/>
      <c r="E74" s="112"/>
      <c r="F74" s="112"/>
      <c r="G74" s="112"/>
      <c r="H74" s="112"/>
      <c r="I74" s="197" t="str">
        <f ca="1">IF(I73&lt;&gt;""," Completed","")</f>
        <v xml:space="preserve"> Completed</v>
      </c>
      <c r="J74" s="50" t="str">
        <f ca="1">IF(J72&lt;&gt;"","Completed","")</f>
        <v/>
      </c>
    </row>
    <row r="75" spans="1:14" ht="15.75" customHeight="1" x14ac:dyDescent="0.35">
      <c r="A75" s="94" t="s">
        <v>50</v>
      </c>
      <c r="B75" s="94"/>
      <c r="C75" s="62" t="s">
        <v>143</v>
      </c>
      <c r="D75" s="62" t="s">
        <v>85</v>
      </c>
      <c r="E75" s="94" t="s">
        <v>87</v>
      </c>
      <c r="F75" s="94"/>
      <c r="G75" s="94" t="s">
        <v>86</v>
      </c>
      <c r="H75" s="94"/>
      <c r="I75" s="14" t="s">
        <v>145</v>
      </c>
      <c r="J75" s="28">
        <f ca="1">H73*25%</f>
        <v>5.75</v>
      </c>
    </row>
    <row r="76" spans="1:14" x14ac:dyDescent="0.35">
      <c r="A76" s="94" t="s">
        <v>132</v>
      </c>
      <c r="B76" s="94"/>
      <c r="C76" s="62">
        <f ca="1">J77</f>
        <v>23</v>
      </c>
      <c r="D76" s="55">
        <f ca="1">((100/H73)*C76)/100</f>
        <v>1</v>
      </c>
      <c r="E76" s="203">
        <f ca="1">(((C77/H73*10)+(40/(D73+F73+H73)*C78)+(7.5/(H73)*C79)+(7.5/(H73)*C80)+(10/H73*C81)+(10/H73*C82)+(5/H73*C83)+(5/H73*C84)+(5/H73*C85))/100)</f>
        <v>1</v>
      </c>
      <c r="F76" s="203"/>
      <c r="G76" s="203">
        <f ca="1">((((C76/H73)*20)+((C77/H73)*25)+(30/(H73+F73+D73)*C78)+(5/H73*C79)+(5/H73*C80)+(5/H73*C81)+(5/H73*C82)+(0/H73*C83)+(0/H73*C84)+(5/H73*C85))/100)</f>
        <v>1</v>
      </c>
      <c r="H76" s="203"/>
      <c r="I76" s="14" t="s">
        <v>103</v>
      </c>
      <c r="J76" s="29">
        <f ca="1">H73*50%</f>
        <v>11.5</v>
      </c>
    </row>
    <row r="77" spans="1:14" x14ac:dyDescent="0.35">
      <c r="A77" s="94" t="s">
        <v>51</v>
      </c>
      <c r="B77" s="94"/>
      <c r="C77" s="62">
        <f ca="1">J85</f>
        <v>23</v>
      </c>
      <c r="D77" s="55">
        <f ca="1">((100/H73)*C77)/100</f>
        <v>1</v>
      </c>
      <c r="E77" s="203"/>
      <c r="F77" s="203"/>
      <c r="G77" s="203"/>
      <c r="H77" s="203"/>
      <c r="I77" s="14" t="s">
        <v>104</v>
      </c>
      <c r="J77" s="29">
        <f ca="1">H73</f>
        <v>23</v>
      </c>
    </row>
    <row r="78" spans="1:14" ht="15.75" customHeight="1" x14ac:dyDescent="0.35">
      <c r="A78" s="94" t="s">
        <v>133</v>
      </c>
      <c r="B78" s="94"/>
      <c r="C78" s="62">
        <f ca="1">D73+H73</f>
        <v>24</v>
      </c>
      <c r="D78" s="55">
        <f ca="1">((100/(D73+F73+H73))*C78)/100</f>
        <v>1</v>
      </c>
      <c r="E78" s="203"/>
      <c r="F78" s="203"/>
      <c r="G78" s="203"/>
      <c r="H78" s="203"/>
      <c r="I78" s="14" t="s">
        <v>105</v>
      </c>
      <c r="J78" s="30">
        <f ca="1">(IF(B73&gt;1,(H73/(B73+2)),H73/4))</f>
        <v>3.8333333333333335</v>
      </c>
    </row>
    <row r="79" spans="1:14" ht="15.75" customHeight="1" x14ac:dyDescent="0.35">
      <c r="A79" s="94" t="s">
        <v>140</v>
      </c>
      <c r="B79" s="94" t="s">
        <v>134</v>
      </c>
      <c r="C79" s="62">
        <v>23</v>
      </c>
      <c r="D79" s="55">
        <f ca="1">((100/H73)*C79)/100</f>
        <v>1</v>
      </c>
      <c r="E79" s="203"/>
      <c r="F79" s="203"/>
      <c r="G79" s="203"/>
      <c r="H79" s="203"/>
      <c r="I79" s="14" t="s">
        <v>106</v>
      </c>
      <c r="J79" s="30">
        <f ca="1">(IF(B73&gt;1,(H73/(B73+2)+J78),H73/4+J78))</f>
        <v>7.666666666666667</v>
      </c>
    </row>
    <row r="80" spans="1:14" ht="15.75" customHeight="1" x14ac:dyDescent="0.35">
      <c r="A80" s="94" t="s">
        <v>141</v>
      </c>
      <c r="B80" s="94" t="s">
        <v>134</v>
      </c>
      <c r="C80" s="62">
        <v>23</v>
      </c>
      <c r="D80" s="55">
        <f ca="1">((100/H73)*C80)/100</f>
        <v>1</v>
      </c>
      <c r="E80" s="203"/>
      <c r="F80" s="203"/>
      <c r="G80" s="203"/>
      <c r="H80" s="203"/>
      <c r="I80" s="14" t="s">
        <v>150</v>
      </c>
      <c r="J80" s="30">
        <f ca="1">(IF(B73&gt;1,(H73/(B73+2)+J79),0))</f>
        <v>11.5</v>
      </c>
    </row>
    <row r="81" spans="1:10" ht="15" customHeight="1" x14ac:dyDescent="0.35">
      <c r="A81" s="94" t="s">
        <v>139</v>
      </c>
      <c r="B81" s="94" t="s">
        <v>136</v>
      </c>
      <c r="C81" s="62">
        <v>23</v>
      </c>
      <c r="D81" s="55">
        <f ca="1">((100/(H73))*C81)/100</f>
        <v>1</v>
      </c>
      <c r="E81" s="203"/>
      <c r="F81" s="203"/>
      <c r="G81" s="203"/>
      <c r="H81" s="203"/>
      <c r="I81" s="14" t="s">
        <v>147</v>
      </c>
      <c r="J81" s="30">
        <f ca="1">(IF(B73&gt;2,(H73/(B73+2)+J80),0))</f>
        <v>15.333333333333334</v>
      </c>
    </row>
    <row r="82" spans="1:10" ht="15.75" customHeight="1" x14ac:dyDescent="0.35">
      <c r="A82" s="94" t="s">
        <v>135</v>
      </c>
      <c r="B82" s="94" t="s">
        <v>135</v>
      </c>
      <c r="C82" s="62">
        <v>23</v>
      </c>
      <c r="D82" s="55">
        <f ca="1">((100/H73)*C82)/100</f>
        <v>1</v>
      </c>
      <c r="E82" s="203"/>
      <c r="F82" s="203"/>
      <c r="G82" s="203"/>
      <c r="H82" s="203"/>
      <c r="I82" s="14" t="s">
        <v>148</v>
      </c>
      <c r="J82" s="31">
        <f ca="1">(IF(B73&gt;3,(H73/(B73+2)+J81),0))</f>
        <v>19.166666666666668</v>
      </c>
    </row>
    <row r="83" spans="1:10" ht="15.75" customHeight="1" x14ac:dyDescent="0.35">
      <c r="A83" s="94" t="s">
        <v>142</v>
      </c>
      <c r="B83" s="94"/>
      <c r="C83" s="62">
        <v>23</v>
      </c>
      <c r="D83" s="55">
        <f ca="1">((100/H73)*C83)/100</f>
        <v>1</v>
      </c>
      <c r="E83" s="203"/>
      <c r="F83" s="203"/>
      <c r="G83" s="203"/>
      <c r="H83" s="203"/>
      <c r="I83" s="14" t="s">
        <v>149</v>
      </c>
      <c r="J83" s="30">
        <f>(IF(B73&gt;4,(H73/(B73+2)+J82),0))</f>
        <v>0</v>
      </c>
    </row>
    <row r="84" spans="1:10" ht="15.75" customHeight="1" x14ac:dyDescent="0.35">
      <c r="A84" s="94" t="s">
        <v>137</v>
      </c>
      <c r="B84" s="94" t="s">
        <v>137</v>
      </c>
      <c r="C84" s="62">
        <v>23</v>
      </c>
      <c r="D84" s="55">
        <f ca="1">((100/(H73))*C84)/100</f>
        <v>1</v>
      </c>
      <c r="E84" s="203"/>
      <c r="F84" s="203"/>
      <c r="G84" s="203"/>
      <c r="H84" s="203"/>
      <c r="I84" s="14" t="s">
        <v>151</v>
      </c>
      <c r="J84" s="30">
        <f>(IF(B73=1,(H73/(B73+3)+J79),IF(B73=0,(H73/4+J79),IF(B73&gt;1,0))))</f>
        <v>0</v>
      </c>
    </row>
    <row r="85" spans="1:10" ht="16" thickBot="1" x14ac:dyDescent="0.4">
      <c r="A85" s="94" t="s">
        <v>138</v>
      </c>
      <c r="B85" s="94"/>
      <c r="C85" s="62">
        <v>23</v>
      </c>
      <c r="D85" s="55">
        <f ca="1">((100/(H73))*C85)/100</f>
        <v>1</v>
      </c>
      <c r="E85" s="203"/>
      <c r="F85" s="203"/>
      <c r="G85" s="203"/>
      <c r="H85" s="203"/>
      <c r="I85" s="16" t="s">
        <v>107</v>
      </c>
      <c r="J85" s="32">
        <f ca="1">(IF(B73&gt;1.5,(H73/(B73+2)+J79+MAX(0,J80-J79)+MAX(0,J81-J80)+MAX(0,J82-J81)+MAX(0,J83-J82)+MAX(0,J84-J83)),IF(B73=1,(H73/(B73+3)+J84),IF(B73=0,H73/4+J84))))</f>
        <v>23</v>
      </c>
    </row>
    <row r="86" spans="1:10" ht="15.75" hidden="1" customHeight="1" x14ac:dyDescent="0.35">
      <c r="A86" s="198" t="s">
        <v>144</v>
      </c>
      <c r="B86" s="199"/>
      <c r="C86" s="200" t="str">
        <f>D62</f>
        <v>B Wing = 4Basement + Gr + 1st to 23th Floor</v>
      </c>
      <c r="D86" s="201"/>
      <c r="E86" s="201"/>
      <c r="F86" s="201"/>
      <c r="G86" s="201"/>
      <c r="H86" s="202"/>
      <c r="I86" s="47" t="str">
        <f ca="1">IF(D99=100%,"All work Completed. Possession granted to the Building.",IF(D98=100%,"All work Completed, Waiting for OC",I87&amp;""&amp;I88&amp;""&amp;J87&amp;""&amp;J86&amp;" "&amp;J88))</f>
        <v>All work Completed. Possession granted to the Building.</v>
      </c>
      <c r="J86" s="48" t="str">
        <f ca="1">(IF(C92=(D87+F87+H87),"",IF(C92&gt;0,", RCC upto "&amp;C92&amp;" Slab","")))&amp;(IF(C93=H87,"",IF(C93&gt;0,", Brickwork upto "&amp;C93&amp;" Floor","")))&amp;(IF(C94=H87,"",IF(C94&gt;0,", Internal Plaster upto "&amp;C94&amp;" Floor","")))&amp;(IF(C95=H87,"",IF(C95&gt;0,", External Plaster upto "&amp;C95&amp;" Floor","")))&amp;(IF(C96=H87,"",IF(C96&gt;0,", Flooring upto "&amp;C96&amp;" Floor","")))&amp;(IF(C97=H87,"",IF(C97&gt;0,", Painting upto "&amp;C97&amp;" Floor","")))&amp;(IF(C98=H87,"",IF(C98&gt;0,", Finishing upto "&amp;C98&amp;" Floor","")))&amp;(IF(C99=H87,"",IF(C99&gt;0,", Possession upto "&amp;C99&amp;" Floor","")))</f>
        <v/>
      </c>
    </row>
    <row r="87" spans="1:10" hidden="1" x14ac:dyDescent="0.35">
      <c r="A87" s="17" t="s">
        <v>146</v>
      </c>
      <c r="B87" s="15">
        <v>4</v>
      </c>
      <c r="C87" s="44" t="s">
        <v>74</v>
      </c>
      <c r="D87" s="44">
        <v>1</v>
      </c>
      <c r="E87" s="44" t="s">
        <v>73</v>
      </c>
      <c r="F87" s="15">
        <v>0</v>
      </c>
      <c r="G87" s="45" t="s">
        <v>82</v>
      </c>
      <c r="H87" s="18">
        <f ca="1">--TRIM(RIGHT(SUBSTITUTE(LEFT(C86,_xlfn.AGGREGATE(16,6,FIND({0,1,2,3,4,5,6,7,8,9},C86,ROW(INDIRECT("1:"&amp;LEN(C86)))),1))," ",REPT(" ",LEN(C86))),LEN(C86)))</f>
        <v>23</v>
      </c>
      <c r="I87" s="49" t="str">
        <f ca="1">IF(D90=100%,"Excavation","")&amp;IF(D91=100%,", Plinth","")&amp;IF(D92=100%,", RCC Slab","")&amp;IF(D93=100%,", Brickwork","")&amp;IF(D94=100%,", Internal Plaster","")&amp;IF(D95=100%,", External Plaster","")&amp;IF(D96=100%,", Flooring","")&amp;IF(D97=100%,", Painting","")&amp;IF(D98=100%,", Building common Amenities","")</f>
        <v>Excavation, Plinth, RCC Slab, Brickwork, Internal Plaster, External Plaster, Flooring, Painting, Building common Amenities</v>
      </c>
      <c r="J87" s="50" t="str">
        <f ca="1">(IF(C90=0,"Work not yet Started.",IF(D90=25%,"Piling work in process",IF(D90=50%,"Excavation work in process",IF(D90=100%,"","0")))))&amp;(IF(C91=0%,"",IF(C91=J92,", Footing work is process",IF(C91=J93,", Footing work Completed",IF(C91=J94,", 1st Basement Completed",IF(C91=J95,", 1st &amp; 2nd Basement Completed",IF(C91=J96,", 1st to 3rd Basement Completed",IF(C91=J97,", 1st to 4th Basement Completed",IF(C91=J98,", Plinth work is process",IF(C91=J99,"","0"))))))))))</f>
        <v/>
      </c>
    </row>
    <row r="88" spans="1:10" ht="33.75" hidden="1" customHeight="1" x14ac:dyDescent="0.35">
      <c r="A88" s="95" t="s">
        <v>92</v>
      </c>
      <c r="B88" s="96"/>
      <c r="C88" s="112" t="str">
        <f ca="1">(IF($C$54=C86,"All work Completed. OC Received.",I86))</f>
        <v>All work Completed. Possession granted to the Building.</v>
      </c>
      <c r="D88" s="112"/>
      <c r="E88" s="112"/>
      <c r="F88" s="112"/>
      <c r="G88" s="112"/>
      <c r="H88" s="113"/>
      <c r="I88" s="49" t="str">
        <f ca="1">IF(I87&lt;&gt;""," Completed","")</f>
        <v xml:space="preserve"> Completed</v>
      </c>
      <c r="J88" s="50" t="str">
        <f ca="1">IF(J86&lt;&gt;"","Completed","")</f>
        <v/>
      </c>
    </row>
    <row r="89" spans="1:10" ht="15.75" hidden="1" customHeight="1" x14ac:dyDescent="0.35">
      <c r="A89" s="122" t="s">
        <v>50</v>
      </c>
      <c r="B89" s="123"/>
      <c r="C89" s="43" t="s">
        <v>143</v>
      </c>
      <c r="D89" s="43" t="s">
        <v>85</v>
      </c>
      <c r="E89" s="123" t="s">
        <v>87</v>
      </c>
      <c r="F89" s="123"/>
      <c r="G89" s="123" t="s">
        <v>86</v>
      </c>
      <c r="H89" s="160"/>
      <c r="I89" s="14" t="s">
        <v>145</v>
      </c>
      <c r="J89" s="28">
        <f ca="1">H87*25%</f>
        <v>5.75</v>
      </c>
    </row>
    <row r="90" spans="1:10" hidden="1" x14ac:dyDescent="0.35">
      <c r="A90" s="122" t="s">
        <v>132</v>
      </c>
      <c r="B90" s="123"/>
      <c r="C90" s="43">
        <f ca="1">J91</f>
        <v>23</v>
      </c>
      <c r="D90" s="19">
        <f ca="1">((100/H87)*C90)/100</f>
        <v>1</v>
      </c>
      <c r="E90" s="133">
        <f ca="1">(((C91/H87*10)+(40/(D87+F87+H87)*C92)+(7.5/(H87)*C93)+(7.5/(H87)*C94)+(10/H87*C95)+(10/H87*C96)+(5/H87*C97)+(5/H87*C98)+(5/H87*C99))/100)</f>
        <v>1</v>
      </c>
      <c r="F90" s="157"/>
      <c r="G90" s="133">
        <f ca="1">((((C90/H87)*20)+((C91/H87)*25)+(30/(H87+F87+D87)*C92)+(5/H87*C93)+(5/H87*C94)+(5/H87*C95)+(5/H87*C96)+(0/H87*C97)+(0/H87*C98)+(5/H87*C99))/100)</f>
        <v>1</v>
      </c>
      <c r="H90" s="134"/>
      <c r="I90" s="14" t="s">
        <v>103</v>
      </c>
      <c r="J90" s="29">
        <f ca="1">H87*50%</f>
        <v>11.5</v>
      </c>
    </row>
    <row r="91" spans="1:10" hidden="1" x14ac:dyDescent="0.35">
      <c r="A91" s="122" t="s">
        <v>51</v>
      </c>
      <c r="B91" s="123"/>
      <c r="C91" s="43">
        <f ca="1">J99</f>
        <v>23</v>
      </c>
      <c r="D91" s="19">
        <f ca="1">((100/H87)*C91)/100</f>
        <v>1</v>
      </c>
      <c r="E91" s="135"/>
      <c r="F91" s="158"/>
      <c r="G91" s="135"/>
      <c r="H91" s="136"/>
      <c r="I91" s="14" t="s">
        <v>104</v>
      </c>
      <c r="J91" s="29">
        <f ca="1">H87</f>
        <v>23</v>
      </c>
    </row>
    <row r="92" spans="1:10" ht="15.75" hidden="1" customHeight="1" x14ac:dyDescent="0.35">
      <c r="A92" s="122" t="s">
        <v>133</v>
      </c>
      <c r="B92" s="123"/>
      <c r="C92" s="43">
        <f ca="1">D87+H87</f>
        <v>24</v>
      </c>
      <c r="D92" s="19">
        <f ca="1">((100/(D87+F87+H87))*C92)/100</f>
        <v>1</v>
      </c>
      <c r="E92" s="135"/>
      <c r="F92" s="158"/>
      <c r="G92" s="135"/>
      <c r="H92" s="136"/>
      <c r="I92" s="14" t="s">
        <v>105</v>
      </c>
      <c r="J92" s="30">
        <f ca="1">(IF(B87&gt;1,(H87/(B87+2)),H87/4))</f>
        <v>3.8333333333333335</v>
      </c>
    </row>
    <row r="93" spans="1:10" ht="15.75" hidden="1" customHeight="1" x14ac:dyDescent="0.35">
      <c r="A93" s="122" t="s">
        <v>140</v>
      </c>
      <c r="B93" s="123" t="s">
        <v>134</v>
      </c>
      <c r="C93" s="43">
        <v>23</v>
      </c>
      <c r="D93" s="19">
        <f ca="1">((100/H87)*C93)/100</f>
        <v>1</v>
      </c>
      <c r="E93" s="135"/>
      <c r="F93" s="158"/>
      <c r="G93" s="135"/>
      <c r="H93" s="136"/>
      <c r="I93" s="14" t="s">
        <v>106</v>
      </c>
      <c r="J93" s="30">
        <f ca="1">(IF(B87&gt;1,(H87/(B87+2)+J92),H87/4+J92))</f>
        <v>7.666666666666667</v>
      </c>
    </row>
    <row r="94" spans="1:10" ht="15.75" hidden="1" customHeight="1" x14ac:dyDescent="0.35">
      <c r="A94" s="122" t="s">
        <v>141</v>
      </c>
      <c r="B94" s="123" t="s">
        <v>134</v>
      </c>
      <c r="C94" s="43">
        <v>23</v>
      </c>
      <c r="D94" s="19">
        <f ca="1">((100/H87)*C94)/100</f>
        <v>1</v>
      </c>
      <c r="E94" s="135"/>
      <c r="F94" s="158"/>
      <c r="G94" s="135"/>
      <c r="H94" s="136"/>
      <c r="I94" s="14" t="s">
        <v>150</v>
      </c>
      <c r="J94" s="30">
        <f ca="1">(IF(B87&gt;1,(H87/(B87+2)+J93),0))</f>
        <v>11.5</v>
      </c>
    </row>
    <row r="95" spans="1:10" ht="15" hidden="1" customHeight="1" x14ac:dyDescent="0.35">
      <c r="A95" s="122" t="s">
        <v>139</v>
      </c>
      <c r="B95" s="123" t="s">
        <v>136</v>
      </c>
      <c r="C95" s="43">
        <v>23</v>
      </c>
      <c r="D95" s="19">
        <f ca="1">((100/(H87))*C95)/100</f>
        <v>1</v>
      </c>
      <c r="E95" s="135"/>
      <c r="F95" s="158"/>
      <c r="G95" s="135"/>
      <c r="H95" s="136"/>
      <c r="I95" s="14" t="s">
        <v>147</v>
      </c>
      <c r="J95" s="30">
        <f ca="1">(IF(B87&gt;2,(H87/(B87+2)+J94),0))</f>
        <v>15.333333333333334</v>
      </c>
    </row>
    <row r="96" spans="1:10" ht="15.75" hidden="1" customHeight="1" x14ac:dyDescent="0.35">
      <c r="A96" s="122" t="s">
        <v>135</v>
      </c>
      <c r="B96" s="123" t="s">
        <v>135</v>
      </c>
      <c r="C96" s="43">
        <v>23</v>
      </c>
      <c r="D96" s="19">
        <f ca="1">((100/H87)*C96)/100</f>
        <v>1</v>
      </c>
      <c r="E96" s="135"/>
      <c r="F96" s="158"/>
      <c r="G96" s="135"/>
      <c r="H96" s="136"/>
      <c r="I96" s="14" t="s">
        <v>148</v>
      </c>
      <c r="J96" s="31">
        <f ca="1">(IF(B87&gt;3,(H87/(B87+2)+J95),0))</f>
        <v>19.166666666666668</v>
      </c>
    </row>
    <row r="97" spans="1:10" ht="15.75" hidden="1" customHeight="1" x14ac:dyDescent="0.35">
      <c r="A97" s="122" t="s">
        <v>142</v>
      </c>
      <c r="B97" s="123"/>
      <c r="C97" s="43">
        <v>23</v>
      </c>
      <c r="D97" s="19">
        <f ca="1">((100/H87)*C97)/100</f>
        <v>1</v>
      </c>
      <c r="E97" s="135"/>
      <c r="F97" s="158"/>
      <c r="G97" s="135"/>
      <c r="H97" s="136"/>
      <c r="I97" s="14" t="s">
        <v>149</v>
      </c>
      <c r="J97" s="30">
        <f>(IF(B87&gt;4,(H87/(B87+2)+J96),0))</f>
        <v>0</v>
      </c>
    </row>
    <row r="98" spans="1:10" ht="15.75" hidden="1" customHeight="1" x14ac:dyDescent="0.35">
      <c r="A98" s="122" t="s">
        <v>137</v>
      </c>
      <c r="B98" s="123" t="s">
        <v>137</v>
      </c>
      <c r="C98" s="43">
        <v>23</v>
      </c>
      <c r="D98" s="19">
        <f ca="1">((100/(H87))*C98)/100</f>
        <v>1</v>
      </c>
      <c r="E98" s="135"/>
      <c r="F98" s="158"/>
      <c r="G98" s="135"/>
      <c r="H98" s="136"/>
      <c r="I98" s="14" t="s">
        <v>151</v>
      </c>
      <c r="J98" s="30">
        <f>(IF(B87=1,(H87/(B87+3)+J93),IF(B87=0,(H87/4+J93),IF(B87&gt;1,0))))</f>
        <v>0</v>
      </c>
    </row>
    <row r="99" spans="1:10" ht="16" hidden="1" thickBot="1" x14ac:dyDescent="0.4">
      <c r="A99" s="126" t="s">
        <v>138</v>
      </c>
      <c r="B99" s="127"/>
      <c r="C99" s="52">
        <v>23</v>
      </c>
      <c r="D99" s="20">
        <f ca="1">((100/(H87))*C99)/100</f>
        <v>1</v>
      </c>
      <c r="E99" s="137"/>
      <c r="F99" s="159"/>
      <c r="G99" s="137"/>
      <c r="H99" s="138"/>
      <c r="I99" s="16" t="s">
        <v>107</v>
      </c>
      <c r="J99" s="32">
        <f ca="1">(IF(B87&gt;1.5,(H87/(B87+2)+J93+MAX(0,J94-J93)+MAX(0,J95-J94)+MAX(0,J96-J95)+MAX(0,J97-J96)+MAX(0,J98-J97)),IF(B87=1,(H87/(B87+3)+J98),IF(B87=0,H87/4+J98))))</f>
        <v>23</v>
      </c>
    </row>
    <row r="100" spans="1:10" ht="15.75" hidden="1" customHeight="1" x14ac:dyDescent="0.35">
      <c r="A100" s="128" t="s">
        <v>144</v>
      </c>
      <c r="B100" s="129"/>
      <c r="C100" s="107" t="str">
        <f>D63</f>
        <v>C Wing = 4Basement + Gr + 1st to 23th Floor</v>
      </c>
      <c r="D100" s="108"/>
      <c r="E100" s="108"/>
      <c r="F100" s="108"/>
      <c r="G100" s="108"/>
      <c r="H100" s="109"/>
      <c r="I100" s="47" t="str">
        <f ca="1">IF(D113=100%,"All work Completed. Possession granted to the Building.",IF(D112=100%,"All work Completed, Waiting for OC",I101&amp;""&amp;I102&amp;""&amp;J101&amp;""&amp;J100&amp;" "&amp;J102))</f>
        <v>All work Completed. Possession granted to the Building.</v>
      </c>
      <c r="J100" s="48" t="str">
        <f ca="1">(IF(C106=(D101+F101+H101),"",IF(C106&gt;0,", RCC upto "&amp;C106&amp;" Slab","")))&amp;(IF(C107=H101,"",IF(C107&gt;0,", Brickwork upto "&amp;C107&amp;" Floor","")))&amp;(IF(C108=H101,"",IF(C108&gt;0,", Internal Plaster upto "&amp;C108&amp;" Floor","")))&amp;(IF(C109=H101,"",IF(C109&gt;0,", External Plaster upto "&amp;C109&amp;" Floor","")))&amp;(IF(C110=H101,"",IF(C110&gt;0,", Flooring upto "&amp;C110&amp;" Floor","")))&amp;(IF(C111=H101,"",IF(C111&gt;0,", Painting upto "&amp;C111&amp;" Floor","")))&amp;(IF(C112=H101,"",IF(C112&gt;0,", Finishing upto "&amp;C112&amp;" Floor","")))&amp;(IF(C113=H101,"",IF(C113&gt;0,", Possession upto "&amp;C113&amp;" Floor","")))</f>
        <v/>
      </c>
    </row>
    <row r="101" spans="1:10" hidden="1" x14ac:dyDescent="0.35">
      <c r="A101" s="17" t="s">
        <v>146</v>
      </c>
      <c r="B101" s="15">
        <v>4</v>
      </c>
      <c r="C101" s="44" t="s">
        <v>74</v>
      </c>
      <c r="D101" s="44">
        <v>1</v>
      </c>
      <c r="E101" s="44" t="s">
        <v>73</v>
      </c>
      <c r="F101" s="15">
        <v>0</v>
      </c>
      <c r="G101" s="45" t="s">
        <v>82</v>
      </c>
      <c r="H101" s="18">
        <f ca="1">--TRIM(RIGHT(SUBSTITUTE(LEFT(C100,_xlfn.AGGREGATE(16,6,FIND({0,1,2,3,4,5,6,7,8,9},C100,ROW(INDIRECT("1:"&amp;LEN(C100)))),1))," ",REPT(" ",LEN(C100))),LEN(C100)))</f>
        <v>23</v>
      </c>
      <c r="I101" s="49" t="str">
        <f ca="1">IF(D104=100%,"Excavation","")&amp;IF(D105=100%,", Plinth","")&amp;IF(D106=100%,", RCC Slab","")&amp;IF(D107=100%,", Brickwork","")&amp;IF(D108=100%,", Internal Plaster","")&amp;IF(D109=100%,", External Plaster","")&amp;IF(D110=100%,", Flooring","")&amp;IF(D111=100%,", Painting","")&amp;IF(D112=100%,", Building common Amenities","")</f>
        <v>Excavation, Plinth, RCC Slab, Brickwork, Internal Plaster, External Plaster, Flooring, Painting, Building common Amenities</v>
      </c>
      <c r="J101" s="50" t="str">
        <f ca="1">(IF(C104=0,"Work not yet Started.",IF(D104=25%,"Piling work in process",IF(D104=50%,"Excavation work in process",IF(D104=100%,"","0")))))&amp;(IF(C105=0%,"",IF(C105=J106,", Footing work is process",IF(C105=J107,", Footing work Completed",IF(C105=J108,", 1st Basement Completed",IF(C105=J109,", 1st &amp; 2nd Basement Completed",IF(C105=J110,", 1st to 3rd Basement Completed",IF(C105=J111,", 1st to 4th Basement Completed",IF(C105=J112,", Plinth work is process",IF(C105=J113,"","0"))))))))))</f>
        <v/>
      </c>
    </row>
    <row r="102" spans="1:10" ht="33" hidden="1" customHeight="1" x14ac:dyDescent="0.35">
      <c r="A102" s="95" t="s">
        <v>92</v>
      </c>
      <c r="B102" s="96"/>
      <c r="C102" s="112" t="str">
        <f ca="1">(IF($C$54=C100,"All work Completed. OC Received.",I100))</f>
        <v>All work Completed. Possession granted to the Building.</v>
      </c>
      <c r="D102" s="112"/>
      <c r="E102" s="112"/>
      <c r="F102" s="112"/>
      <c r="G102" s="112"/>
      <c r="H102" s="113"/>
      <c r="I102" s="49" t="str">
        <f ca="1">IF(I101&lt;&gt;""," Completed","")</f>
        <v xml:space="preserve"> Completed</v>
      </c>
      <c r="J102" s="50" t="str">
        <f ca="1">IF(J100&lt;&gt;"","Completed","")</f>
        <v/>
      </c>
    </row>
    <row r="103" spans="1:10" ht="15.75" hidden="1" customHeight="1" x14ac:dyDescent="0.35">
      <c r="A103" s="122" t="s">
        <v>50</v>
      </c>
      <c r="B103" s="123"/>
      <c r="C103" s="43" t="s">
        <v>143</v>
      </c>
      <c r="D103" s="43" t="s">
        <v>85</v>
      </c>
      <c r="E103" s="123" t="s">
        <v>87</v>
      </c>
      <c r="F103" s="123"/>
      <c r="G103" s="123" t="s">
        <v>86</v>
      </c>
      <c r="H103" s="160"/>
      <c r="I103" s="14" t="s">
        <v>145</v>
      </c>
      <c r="J103" s="28">
        <f ca="1">H101*25%</f>
        <v>5.75</v>
      </c>
    </row>
    <row r="104" spans="1:10" hidden="1" x14ac:dyDescent="0.35">
      <c r="A104" s="122" t="s">
        <v>132</v>
      </c>
      <c r="B104" s="123"/>
      <c r="C104" s="43">
        <f ca="1">J105</f>
        <v>23</v>
      </c>
      <c r="D104" s="19">
        <f ca="1">((100/H101)*C104)/100</f>
        <v>1</v>
      </c>
      <c r="E104" s="133">
        <f ca="1">(((C105/H101*10)+(40/(D101+F101+H101)*C106)+(7.5/(H101)*C107)+(7.5/(H101)*C108)+(10/H101*C109)+(10/H101*C110)+(5/H101*C111)+(5/H101*C112)+(5/H101*C113))/100)</f>
        <v>1</v>
      </c>
      <c r="F104" s="157"/>
      <c r="G104" s="133">
        <f ca="1">((((C104/H101)*20)+((C105/H101)*25)+(30/(H101+F101+D101)*C106)+(5/H101*C107)+(5/H101*C108)+(5/H101*C109)+(5/H101*C110)+(0/H101*C111)+(0/H101*C112)+(5/H101*C113))/100)</f>
        <v>1</v>
      </c>
      <c r="H104" s="134"/>
      <c r="I104" s="14" t="s">
        <v>103</v>
      </c>
      <c r="J104" s="29">
        <f ca="1">H101*50%</f>
        <v>11.5</v>
      </c>
    </row>
    <row r="105" spans="1:10" hidden="1" x14ac:dyDescent="0.35">
      <c r="A105" s="122" t="s">
        <v>51</v>
      </c>
      <c r="B105" s="123"/>
      <c r="C105" s="43">
        <f ca="1">J113</f>
        <v>23</v>
      </c>
      <c r="D105" s="19">
        <f ca="1">((100/H101)*C105)/100</f>
        <v>1</v>
      </c>
      <c r="E105" s="135"/>
      <c r="F105" s="158"/>
      <c r="G105" s="135"/>
      <c r="H105" s="136"/>
      <c r="I105" s="14" t="s">
        <v>104</v>
      </c>
      <c r="J105" s="29">
        <f ca="1">H101</f>
        <v>23</v>
      </c>
    </row>
    <row r="106" spans="1:10" ht="15.75" hidden="1" customHeight="1" x14ac:dyDescent="0.35">
      <c r="A106" s="122" t="s">
        <v>133</v>
      </c>
      <c r="B106" s="123"/>
      <c r="C106" s="43">
        <f ca="1">D101+H101</f>
        <v>24</v>
      </c>
      <c r="D106" s="19">
        <f ca="1">((100/(D101+F101+H101))*C106)/100</f>
        <v>1</v>
      </c>
      <c r="E106" s="135"/>
      <c r="F106" s="158"/>
      <c r="G106" s="135"/>
      <c r="H106" s="136"/>
      <c r="I106" s="14" t="s">
        <v>105</v>
      </c>
      <c r="J106" s="30">
        <f ca="1">(IF(B101&gt;1,(H101/(B101+2)),H101/4))</f>
        <v>3.8333333333333335</v>
      </c>
    </row>
    <row r="107" spans="1:10" ht="15.75" hidden="1" customHeight="1" x14ac:dyDescent="0.35">
      <c r="A107" s="122" t="s">
        <v>140</v>
      </c>
      <c r="B107" s="123" t="s">
        <v>134</v>
      </c>
      <c r="C107" s="43">
        <v>23</v>
      </c>
      <c r="D107" s="19">
        <f ca="1">((100/H101)*C107)/100</f>
        <v>1</v>
      </c>
      <c r="E107" s="135"/>
      <c r="F107" s="158"/>
      <c r="G107" s="135"/>
      <c r="H107" s="136"/>
      <c r="I107" s="14" t="s">
        <v>106</v>
      </c>
      <c r="J107" s="30">
        <f ca="1">(IF(B101&gt;1,(H101/(B101+2)+J106),H101/4+J106))</f>
        <v>7.666666666666667</v>
      </c>
    </row>
    <row r="108" spans="1:10" ht="15.75" hidden="1" customHeight="1" x14ac:dyDescent="0.35">
      <c r="A108" s="122" t="s">
        <v>141</v>
      </c>
      <c r="B108" s="123" t="s">
        <v>134</v>
      </c>
      <c r="C108" s="43">
        <v>23</v>
      </c>
      <c r="D108" s="19">
        <f ca="1">((100/H101)*C108)/100</f>
        <v>1</v>
      </c>
      <c r="E108" s="135"/>
      <c r="F108" s="158"/>
      <c r="G108" s="135"/>
      <c r="H108" s="136"/>
      <c r="I108" s="14" t="s">
        <v>150</v>
      </c>
      <c r="J108" s="30">
        <f ca="1">(IF(B101&gt;1,(H101/(B101+2)+J107),0))</f>
        <v>11.5</v>
      </c>
    </row>
    <row r="109" spans="1:10" ht="15" hidden="1" customHeight="1" x14ac:dyDescent="0.35">
      <c r="A109" s="122" t="s">
        <v>139</v>
      </c>
      <c r="B109" s="123" t="s">
        <v>136</v>
      </c>
      <c r="C109" s="43">
        <v>23</v>
      </c>
      <c r="D109" s="19">
        <f ca="1">((100/(H101))*C109)/100</f>
        <v>1</v>
      </c>
      <c r="E109" s="135"/>
      <c r="F109" s="158"/>
      <c r="G109" s="135"/>
      <c r="H109" s="136"/>
      <c r="I109" s="14" t="s">
        <v>147</v>
      </c>
      <c r="J109" s="30">
        <f ca="1">(IF(B101&gt;2,(H101/(B101+2)+J108),0))</f>
        <v>15.333333333333334</v>
      </c>
    </row>
    <row r="110" spans="1:10" ht="15.75" hidden="1" customHeight="1" x14ac:dyDescent="0.35">
      <c r="A110" s="122" t="s">
        <v>135</v>
      </c>
      <c r="B110" s="123" t="s">
        <v>135</v>
      </c>
      <c r="C110" s="43">
        <v>23</v>
      </c>
      <c r="D110" s="19">
        <f ca="1">((100/H101)*C110)/100</f>
        <v>1</v>
      </c>
      <c r="E110" s="135"/>
      <c r="F110" s="158"/>
      <c r="G110" s="135"/>
      <c r="H110" s="136"/>
      <c r="I110" s="14" t="s">
        <v>148</v>
      </c>
      <c r="J110" s="31">
        <f ca="1">(IF(B101&gt;3,(H101/(B101+2)+J109),0))</f>
        <v>19.166666666666668</v>
      </c>
    </row>
    <row r="111" spans="1:10" ht="15.75" hidden="1" customHeight="1" x14ac:dyDescent="0.35">
      <c r="A111" s="122" t="s">
        <v>142</v>
      </c>
      <c r="B111" s="123"/>
      <c r="C111" s="43">
        <v>23</v>
      </c>
      <c r="D111" s="19">
        <f ca="1">((100/H101)*C111)/100</f>
        <v>1</v>
      </c>
      <c r="E111" s="135"/>
      <c r="F111" s="158"/>
      <c r="G111" s="135"/>
      <c r="H111" s="136"/>
      <c r="I111" s="14" t="s">
        <v>149</v>
      </c>
      <c r="J111" s="30">
        <f>(IF(B101&gt;4,(H101/(B101+2)+J110),0))</f>
        <v>0</v>
      </c>
    </row>
    <row r="112" spans="1:10" ht="15.75" hidden="1" customHeight="1" x14ac:dyDescent="0.35">
      <c r="A112" s="122" t="s">
        <v>137</v>
      </c>
      <c r="B112" s="123" t="s">
        <v>137</v>
      </c>
      <c r="C112" s="43">
        <v>23</v>
      </c>
      <c r="D112" s="19">
        <f ca="1">((100/(H101))*C112)/100</f>
        <v>1</v>
      </c>
      <c r="E112" s="135"/>
      <c r="F112" s="158"/>
      <c r="G112" s="135"/>
      <c r="H112" s="136"/>
      <c r="I112" s="14" t="s">
        <v>151</v>
      </c>
      <c r="J112" s="30">
        <f>(IF(B101=1,(H101/(B101+3)+J107),IF(B101=0,(H101/4+J107),IF(B101&gt;1,0))))</f>
        <v>0</v>
      </c>
    </row>
    <row r="113" spans="1:10" ht="16" hidden="1" thickBot="1" x14ac:dyDescent="0.4">
      <c r="A113" s="126" t="s">
        <v>138</v>
      </c>
      <c r="B113" s="127"/>
      <c r="C113" s="52">
        <v>23</v>
      </c>
      <c r="D113" s="20">
        <f ca="1">((100/(H101))*C113)/100</f>
        <v>1</v>
      </c>
      <c r="E113" s="137"/>
      <c r="F113" s="159"/>
      <c r="G113" s="137"/>
      <c r="H113" s="138"/>
      <c r="I113" s="16" t="s">
        <v>107</v>
      </c>
      <c r="J113" s="32">
        <f ca="1">(IF(B101&gt;1.5,(H101/(B101+2)+J107+MAX(0,J108-J107)+MAX(0,J109-J108)+MAX(0,J110-J109)+MAX(0,J111-J110)+MAX(0,J112-J111)),IF(B101=1,(H101/(B101+3)+J112),IF(B101=0,H101/4+J112))))</f>
        <v>23</v>
      </c>
    </row>
    <row r="114" spans="1:10" ht="15.75" hidden="1" customHeight="1" x14ac:dyDescent="0.35">
      <c r="A114" s="128" t="s">
        <v>144</v>
      </c>
      <c r="B114" s="129"/>
      <c r="C114" s="107" t="str">
        <f>D64</f>
        <v>D Wing = 4Basement + Gr + 1st to 23th Floor</v>
      </c>
      <c r="D114" s="108"/>
      <c r="E114" s="108"/>
      <c r="F114" s="108"/>
      <c r="G114" s="108"/>
      <c r="H114" s="109"/>
      <c r="I114" s="47" t="str">
        <f ca="1">IF(D127=100%,"All work Completed. Possession granted to the Building.",IF(D126=100%,"All work Completed, Waiting for OC",I115&amp;""&amp;I116&amp;""&amp;J115&amp;""&amp;J114&amp;" "&amp;J116))</f>
        <v>All work Completed. Possession granted to the Building.</v>
      </c>
      <c r="J114" s="48" t="str">
        <f ca="1">(IF(C120=(D115+F115+H115),"",IF(C120&gt;0,", RCC upto "&amp;C120&amp;" Slab","")))&amp;(IF(C121=H115,"",IF(C121&gt;0,", Brickwork upto "&amp;C121&amp;" Floor","")))&amp;(IF(C122=H115,"",IF(C122&gt;0,", Internal Plaster upto "&amp;C122&amp;" Floor","")))&amp;(IF(C123=H115,"",IF(C123&gt;0,", External Plaster upto "&amp;C123&amp;" Floor","")))&amp;(IF(C124=H115,"",IF(C124&gt;0,", Flooring upto "&amp;C124&amp;" Floor","")))&amp;(IF(C125=H115,"",IF(C125&gt;0,", Painting upto "&amp;C125&amp;" Floor","")))&amp;(IF(C126=H115,"",IF(C126&gt;0,", Finishing upto "&amp;C126&amp;" Floor","")))&amp;(IF(C127=H115,"",IF(C127&gt;0,", Possession upto "&amp;C127&amp;" Floor","")))</f>
        <v/>
      </c>
    </row>
    <row r="115" spans="1:10" hidden="1" x14ac:dyDescent="0.35">
      <c r="A115" s="17" t="s">
        <v>146</v>
      </c>
      <c r="B115" s="15">
        <v>4</v>
      </c>
      <c r="C115" s="44" t="s">
        <v>74</v>
      </c>
      <c r="D115" s="44">
        <v>1</v>
      </c>
      <c r="E115" s="44" t="s">
        <v>73</v>
      </c>
      <c r="F115" s="15">
        <v>0</v>
      </c>
      <c r="G115" s="45" t="s">
        <v>82</v>
      </c>
      <c r="H115" s="18">
        <f ca="1">--TRIM(RIGHT(SUBSTITUTE(LEFT(C114,_xlfn.AGGREGATE(16,6,FIND({0,1,2,3,4,5,6,7,8,9},C114,ROW(INDIRECT("1:"&amp;LEN(C114)))),1))," ",REPT(" ",LEN(C114))),LEN(C114)))</f>
        <v>23</v>
      </c>
      <c r="I115" s="49" t="str">
        <f ca="1">IF(D118=100%,"Excavation","")&amp;IF(D119=100%,", Plinth","")&amp;IF(D120=100%,", RCC Slab","")&amp;IF(D121=100%,", Brickwork","")&amp;IF(D122=100%,", Internal Plaster","")&amp;IF(D123=100%,", External Plaster","")&amp;IF(D124=100%,", Flooring","")&amp;IF(D125=100%,", Painting","")&amp;IF(D126=100%,", Building common Amenities","")</f>
        <v>Excavation, Plinth, RCC Slab, Brickwork, Internal Plaster, External Plaster, Flooring, Painting, Building common Amenities</v>
      </c>
      <c r="J115" s="50" t="str">
        <f ca="1">(IF(C118=0,"Work not yet Started.",IF(D118=25%,"Piling work in process",IF(D118=50%,"Excavation work in process",IF(D118=100%,"","0")))))&amp;(IF(C119=0%,"",IF(C119=J120,", Footing work is process",IF(C119=J121,", Footing work Completed",IF(C119=J122,", 1st Basement Completed",IF(C119=J123,", 1st &amp; 2nd Basement Completed",IF(C119=J124,", 1st to 3rd Basement Completed",IF(C119=J125,", 1st to 4th Basement Completed",IF(C119=J126,", Plinth work is process",IF(C119=J127,"","0"))))))))))</f>
        <v/>
      </c>
    </row>
    <row r="116" spans="1:10" ht="33" hidden="1" customHeight="1" x14ac:dyDescent="0.35">
      <c r="A116" s="95" t="s">
        <v>92</v>
      </c>
      <c r="B116" s="96"/>
      <c r="C116" s="112" t="str">
        <f ca="1">(IF($C$54=C114,"All work Completed. OC Received.",I114))</f>
        <v>All work Completed. Possession granted to the Building.</v>
      </c>
      <c r="D116" s="112"/>
      <c r="E116" s="112"/>
      <c r="F116" s="112"/>
      <c r="G116" s="112"/>
      <c r="H116" s="113"/>
      <c r="I116" s="49" t="str">
        <f ca="1">IF(I115&lt;&gt;""," Completed","")</f>
        <v xml:space="preserve"> Completed</v>
      </c>
      <c r="J116" s="50" t="str">
        <f ca="1">IF(J114&lt;&gt;"","Completed","")</f>
        <v/>
      </c>
    </row>
    <row r="117" spans="1:10" ht="15.75" hidden="1" customHeight="1" x14ac:dyDescent="0.35">
      <c r="A117" s="122" t="s">
        <v>50</v>
      </c>
      <c r="B117" s="123"/>
      <c r="C117" s="43" t="s">
        <v>143</v>
      </c>
      <c r="D117" s="43" t="s">
        <v>85</v>
      </c>
      <c r="E117" s="123" t="s">
        <v>87</v>
      </c>
      <c r="F117" s="123"/>
      <c r="G117" s="123" t="s">
        <v>86</v>
      </c>
      <c r="H117" s="160"/>
      <c r="I117" s="14" t="s">
        <v>145</v>
      </c>
      <c r="J117" s="28">
        <f ca="1">H115*25%</f>
        <v>5.75</v>
      </c>
    </row>
    <row r="118" spans="1:10" hidden="1" x14ac:dyDescent="0.35">
      <c r="A118" s="122" t="s">
        <v>132</v>
      </c>
      <c r="B118" s="123"/>
      <c r="C118" s="43">
        <f ca="1">J119</f>
        <v>23</v>
      </c>
      <c r="D118" s="19">
        <f ca="1">((100/H115)*C118)/100</f>
        <v>1</v>
      </c>
      <c r="E118" s="133">
        <f ca="1">(((C119/H115*10)+(40/(D115+F115+H115)*C120)+(7.5/(H115)*C121)+(7.5/(H115)*C122)+(10/H115*C123)+(10/H115*C124)+(5/H115*C125)+(5/H115*C126)+(5/H115*C127))/100)</f>
        <v>1</v>
      </c>
      <c r="F118" s="157"/>
      <c r="G118" s="133">
        <f ca="1">((((C118/H115)*20)+((C119/H115)*25)+(30/(H115+F115+D115)*C120)+(5/H115*C121)+(5/H115*C122)+(5/H115*C123)+(5/H115*C124)+(0/H115*C125)+(0/H115*C126)+(5/H115*C127))/100)</f>
        <v>1</v>
      </c>
      <c r="H118" s="134"/>
      <c r="I118" s="14" t="s">
        <v>103</v>
      </c>
      <c r="J118" s="29">
        <f ca="1">H115*50%</f>
        <v>11.5</v>
      </c>
    </row>
    <row r="119" spans="1:10" hidden="1" x14ac:dyDescent="0.35">
      <c r="A119" s="122" t="s">
        <v>51</v>
      </c>
      <c r="B119" s="123"/>
      <c r="C119" s="43">
        <f ca="1">J127</f>
        <v>23</v>
      </c>
      <c r="D119" s="19">
        <f ca="1">((100/H115)*C119)/100</f>
        <v>1</v>
      </c>
      <c r="E119" s="135"/>
      <c r="F119" s="158"/>
      <c r="G119" s="135"/>
      <c r="H119" s="136"/>
      <c r="I119" s="14" t="s">
        <v>104</v>
      </c>
      <c r="J119" s="29">
        <f ca="1">H115</f>
        <v>23</v>
      </c>
    </row>
    <row r="120" spans="1:10" ht="15.75" hidden="1" customHeight="1" x14ac:dyDescent="0.35">
      <c r="A120" s="122" t="s">
        <v>133</v>
      </c>
      <c r="B120" s="123"/>
      <c r="C120" s="43">
        <f ca="1">D115+H115</f>
        <v>24</v>
      </c>
      <c r="D120" s="19">
        <f ca="1">((100/(D115+F115+H115))*C120)/100</f>
        <v>1</v>
      </c>
      <c r="E120" s="135"/>
      <c r="F120" s="158"/>
      <c r="G120" s="135"/>
      <c r="H120" s="136"/>
      <c r="I120" s="14" t="s">
        <v>105</v>
      </c>
      <c r="J120" s="30">
        <f ca="1">(IF(B115&gt;1,(H115/(B115+2)),H115/4))</f>
        <v>3.8333333333333335</v>
      </c>
    </row>
    <row r="121" spans="1:10" ht="15.75" hidden="1" customHeight="1" x14ac:dyDescent="0.35">
      <c r="A121" s="122" t="s">
        <v>140</v>
      </c>
      <c r="B121" s="123" t="s">
        <v>134</v>
      </c>
      <c r="C121" s="43">
        <v>23</v>
      </c>
      <c r="D121" s="19">
        <f ca="1">((100/H115)*C121)/100</f>
        <v>1</v>
      </c>
      <c r="E121" s="135"/>
      <c r="F121" s="158"/>
      <c r="G121" s="135"/>
      <c r="H121" s="136"/>
      <c r="I121" s="14" t="s">
        <v>106</v>
      </c>
      <c r="J121" s="30">
        <f ca="1">(IF(B115&gt;1,(H115/(B115+2)+J120),H115/4+J120))</f>
        <v>7.666666666666667</v>
      </c>
    </row>
    <row r="122" spans="1:10" ht="15.75" hidden="1" customHeight="1" x14ac:dyDescent="0.35">
      <c r="A122" s="122" t="s">
        <v>141</v>
      </c>
      <c r="B122" s="123" t="s">
        <v>134</v>
      </c>
      <c r="C122" s="43">
        <v>23</v>
      </c>
      <c r="D122" s="19">
        <f ca="1">((100/H115)*C122)/100</f>
        <v>1</v>
      </c>
      <c r="E122" s="135"/>
      <c r="F122" s="158"/>
      <c r="G122" s="135"/>
      <c r="H122" s="136"/>
      <c r="I122" s="14" t="s">
        <v>150</v>
      </c>
      <c r="J122" s="30">
        <f ca="1">(IF(B115&gt;1,(H115/(B115+2)+J121),0))</f>
        <v>11.5</v>
      </c>
    </row>
    <row r="123" spans="1:10" ht="15" hidden="1" customHeight="1" x14ac:dyDescent="0.35">
      <c r="A123" s="122" t="s">
        <v>139</v>
      </c>
      <c r="B123" s="123" t="s">
        <v>136</v>
      </c>
      <c r="C123" s="43">
        <v>23</v>
      </c>
      <c r="D123" s="19">
        <f ca="1">((100/(H115))*C123)/100</f>
        <v>1</v>
      </c>
      <c r="E123" s="135"/>
      <c r="F123" s="158"/>
      <c r="G123" s="135"/>
      <c r="H123" s="136"/>
      <c r="I123" s="14" t="s">
        <v>147</v>
      </c>
      <c r="J123" s="30">
        <f ca="1">(IF(B115&gt;2,(H115/(B115+2)+J122),0))</f>
        <v>15.333333333333334</v>
      </c>
    </row>
    <row r="124" spans="1:10" ht="15.75" hidden="1" customHeight="1" x14ac:dyDescent="0.35">
      <c r="A124" s="122" t="s">
        <v>135</v>
      </c>
      <c r="B124" s="123" t="s">
        <v>135</v>
      </c>
      <c r="C124" s="43">
        <v>23</v>
      </c>
      <c r="D124" s="19">
        <f ca="1">((100/H115)*C124)/100</f>
        <v>1</v>
      </c>
      <c r="E124" s="135"/>
      <c r="F124" s="158"/>
      <c r="G124" s="135"/>
      <c r="H124" s="136"/>
      <c r="I124" s="14" t="s">
        <v>148</v>
      </c>
      <c r="J124" s="31">
        <f ca="1">(IF(B115&gt;3,(H115/(B115+2)+J123),0))</f>
        <v>19.166666666666668</v>
      </c>
    </row>
    <row r="125" spans="1:10" ht="15.75" hidden="1" customHeight="1" x14ac:dyDescent="0.35">
      <c r="A125" s="122" t="s">
        <v>142</v>
      </c>
      <c r="B125" s="123"/>
      <c r="C125" s="43">
        <v>23</v>
      </c>
      <c r="D125" s="19">
        <f ca="1">((100/H115)*C125)/100</f>
        <v>1</v>
      </c>
      <c r="E125" s="135"/>
      <c r="F125" s="158"/>
      <c r="G125" s="135"/>
      <c r="H125" s="136"/>
      <c r="I125" s="14" t="s">
        <v>149</v>
      </c>
      <c r="J125" s="30">
        <f>(IF(B115&gt;4,(H115/(B115+2)+J124),0))</f>
        <v>0</v>
      </c>
    </row>
    <row r="126" spans="1:10" ht="15.75" hidden="1" customHeight="1" x14ac:dyDescent="0.35">
      <c r="A126" s="122" t="s">
        <v>137</v>
      </c>
      <c r="B126" s="123" t="s">
        <v>137</v>
      </c>
      <c r="C126" s="43">
        <v>23</v>
      </c>
      <c r="D126" s="19">
        <f ca="1">((100/(H115))*C126)/100</f>
        <v>1</v>
      </c>
      <c r="E126" s="135"/>
      <c r="F126" s="158"/>
      <c r="G126" s="135"/>
      <c r="H126" s="136"/>
      <c r="I126" s="14" t="s">
        <v>151</v>
      </c>
      <c r="J126" s="30">
        <f>(IF(B115=1,(H115/(B115+3)+J121),IF(B115=0,(H115/4+J121),IF(B115&gt;1,0))))</f>
        <v>0</v>
      </c>
    </row>
    <row r="127" spans="1:10" ht="16" hidden="1" thickBot="1" x14ac:dyDescent="0.4">
      <c r="A127" s="126" t="s">
        <v>138</v>
      </c>
      <c r="B127" s="127"/>
      <c r="C127" s="52">
        <v>23</v>
      </c>
      <c r="D127" s="20">
        <f ca="1">((100/(H115))*C127)/100</f>
        <v>1</v>
      </c>
      <c r="E127" s="137"/>
      <c r="F127" s="159"/>
      <c r="G127" s="137"/>
      <c r="H127" s="138"/>
      <c r="I127" s="16" t="s">
        <v>107</v>
      </c>
      <c r="J127" s="32">
        <f ca="1">(IF(B115&gt;1.5,(H115/(B115+2)+J121+MAX(0,J122-J121)+MAX(0,J123-J122)+MAX(0,J124-J123)+MAX(0,J125-J124)+MAX(0,J126-J125)),IF(B115=1,(H115/(B115+3)+J126),IF(B115=0,H115/4+J126))))</f>
        <v>23</v>
      </c>
    </row>
    <row r="128" spans="1:10" x14ac:dyDescent="0.35">
      <c r="A128" s="190" t="s">
        <v>161</v>
      </c>
      <c r="B128" s="190"/>
      <c r="C128" s="190"/>
      <c r="D128" s="190"/>
      <c r="E128" s="190"/>
      <c r="F128" s="167" t="s">
        <v>165</v>
      </c>
      <c r="G128" s="167"/>
      <c r="H128" s="167"/>
    </row>
    <row r="129" spans="1:8" x14ac:dyDescent="0.35">
      <c r="A129" s="110" t="s">
        <v>164</v>
      </c>
      <c r="B129" s="110"/>
      <c r="C129" s="110"/>
      <c r="D129" s="110"/>
      <c r="E129" s="110"/>
      <c r="F129" s="124">
        <v>14500</v>
      </c>
      <c r="G129" s="124"/>
      <c r="H129" s="124"/>
    </row>
    <row r="130" spans="1:8" x14ac:dyDescent="0.35">
      <c r="A130" s="110" t="s">
        <v>163</v>
      </c>
      <c r="B130" s="110"/>
      <c r="C130" s="110"/>
      <c r="D130" s="110"/>
      <c r="E130" s="110"/>
      <c r="F130" s="124">
        <v>20000</v>
      </c>
      <c r="G130" s="124"/>
      <c r="H130" s="124"/>
    </row>
    <row r="131" spans="1:8" s="33" customFormat="1" hidden="1" x14ac:dyDescent="0.3">
      <c r="A131" s="110" t="s">
        <v>162</v>
      </c>
      <c r="B131" s="110"/>
      <c r="C131" s="110"/>
      <c r="D131" s="110"/>
      <c r="E131" s="110"/>
      <c r="F131" s="124"/>
      <c r="G131" s="124"/>
      <c r="H131" s="124"/>
    </row>
    <row r="132" spans="1:8" s="33" customFormat="1" hidden="1" x14ac:dyDescent="0.3">
      <c r="A132" s="110" t="s">
        <v>97</v>
      </c>
      <c r="B132" s="110"/>
      <c r="C132" s="110"/>
      <c r="D132" s="110"/>
      <c r="E132" s="110"/>
      <c r="F132" s="124"/>
      <c r="G132" s="124"/>
      <c r="H132" s="124"/>
    </row>
    <row r="133" spans="1:8" s="33" customFormat="1" hidden="1" x14ac:dyDescent="0.3">
      <c r="A133" s="110" t="s">
        <v>98</v>
      </c>
      <c r="B133" s="110"/>
      <c r="C133" s="110"/>
      <c r="D133" s="110"/>
      <c r="E133" s="110"/>
      <c r="F133" s="124"/>
      <c r="G133" s="124"/>
      <c r="H133" s="124"/>
    </row>
    <row r="134" spans="1:8" s="33" customFormat="1" hidden="1" x14ac:dyDescent="0.3">
      <c r="A134" s="110" t="s">
        <v>166</v>
      </c>
      <c r="B134" s="110"/>
      <c r="C134" s="110"/>
      <c r="D134" s="110"/>
      <c r="E134" s="110"/>
      <c r="F134" s="124"/>
      <c r="G134" s="124"/>
      <c r="H134" s="124"/>
    </row>
    <row r="135" spans="1:8" s="33" customFormat="1" hidden="1" x14ac:dyDescent="0.3">
      <c r="A135" s="110" t="s">
        <v>99</v>
      </c>
      <c r="B135" s="110"/>
      <c r="C135" s="110"/>
      <c r="D135" s="110"/>
      <c r="E135" s="110"/>
      <c r="F135" s="124"/>
      <c r="G135" s="124"/>
      <c r="H135" s="124"/>
    </row>
    <row r="136" spans="1:8" s="33" customFormat="1" hidden="1" x14ac:dyDescent="0.3">
      <c r="A136" s="110" t="s">
        <v>100</v>
      </c>
      <c r="B136" s="110"/>
      <c r="C136" s="110"/>
      <c r="D136" s="110"/>
      <c r="E136" s="110"/>
      <c r="F136" s="124"/>
      <c r="G136" s="124"/>
      <c r="H136" s="124"/>
    </row>
    <row r="137" spans="1:8" s="33" customFormat="1" hidden="1" x14ac:dyDescent="0.3">
      <c r="A137" s="110" t="s">
        <v>101</v>
      </c>
      <c r="B137" s="110"/>
      <c r="C137" s="110"/>
      <c r="D137" s="110"/>
      <c r="E137" s="110"/>
      <c r="F137" s="124"/>
      <c r="G137" s="124"/>
      <c r="H137" s="124"/>
    </row>
    <row r="138" spans="1:8" s="33" customFormat="1" hidden="1" x14ac:dyDescent="0.3">
      <c r="A138" s="110" t="s">
        <v>102</v>
      </c>
      <c r="B138" s="110"/>
      <c r="C138" s="110"/>
      <c r="D138" s="110"/>
      <c r="E138" s="110"/>
      <c r="F138" s="124"/>
      <c r="G138" s="124"/>
      <c r="H138" s="124"/>
    </row>
    <row r="139" spans="1:8" x14ac:dyDescent="0.35">
      <c r="A139" s="110" t="s">
        <v>52</v>
      </c>
      <c r="B139" s="110"/>
      <c r="C139" s="110"/>
      <c r="D139" s="110"/>
      <c r="E139" s="110"/>
      <c r="F139" s="124">
        <v>700000</v>
      </c>
      <c r="G139" s="124"/>
      <c r="H139" s="124"/>
    </row>
    <row r="140" spans="1:8" s="34" customFormat="1" x14ac:dyDescent="0.35">
      <c r="A140" s="142" t="s">
        <v>53</v>
      </c>
      <c r="B140" s="142"/>
      <c r="C140" s="142"/>
      <c r="D140" s="142"/>
      <c r="E140" s="142"/>
      <c r="F140" s="124">
        <f>F129*0.8</f>
        <v>11600</v>
      </c>
      <c r="G140" s="124"/>
      <c r="H140" s="124"/>
    </row>
    <row r="141" spans="1:8" s="35" customFormat="1" ht="15.75" customHeight="1" x14ac:dyDescent="0.35">
      <c r="A141" s="141" t="s">
        <v>77</v>
      </c>
      <c r="B141" s="141"/>
      <c r="C141" s="141"/>
      <c r="D141" s="141"/>
      <c r="E141" s="141"/>
      <c r="F141" s="141"/>
      <c r="G141" s="141"/>
      <c r="H141" s="141"/>
    </row>
    <row r="142" spans="1:8" s="35" customFormat="1" ht="15.75" customHeight="1" x14ac:dyDescent="0.35">
      <c r="A142" s="156" t="s">
        <v>54</v>
      </c>
      <c r="B142" s="156"/>
      <c r="C142" s="77" t="s">
        <v>80</v>
      </c>
      <c r="D142" s="77"/>
      <c r="E142" s="79" t="s">
        <v>55</v>
      </c>
      <c r="F142" s="79"/>
      <c r="G142" s="156" t="s">
        <v>56</v>
      </c>
      <c r="H142" s="156"/>
    </row>
    <row r="143" spans="1:8" s="35" customFormat="1" x14ac:dyDescent="0.35">
      <c r="A143" s="71" t="s">
        <v>191</v>
      </c>
      <c r="B143" s="71"/>
      <c r="C143" s="72">
        <f>COUNT(D160:D163,D169,D191,D195)</f>
        <v>7</v>
      </c>
      <c r="D143" s="191"/>
      <c r="E143" s="70">
        <f>SUM(D160:D163,D169,D191,D195)</f>
        <v>1624.3952399999998</v>
      </c>
      <c r="F143" s="125"/>
      <c r="G143" s="70">
        <f>SUM(F160:F163,F169,F191,F195)</f>
        <v>2599.0323840000001</v>
      </c>
      <c r="H143" s="125"/>
    </row>
    <row r="144" spans="1:8" s="35" customFormat="1" x14ac:dyDescent="0.35">
      <c r="A144" s="161" t="s">
        <v>195</v>
      </c>
      <c r="B144" s="162"/>
      <c r="C144" s="163">
        <f>COUNT(D164:D168,D170:D190,D192:D194,D196:D199)</f>
        <v>33</v>
      </c>
      <c r="D144" s="164"/>
      <c r="E144" s="165">
        <f>SUM(D164:D168,D170:D190,D192:D194,D196:D199)</f>
        <v>7121.0318400000015</v>
      </c>
      <c r="F144" s="166"/>
      <c r="G144" s="165">
        <f>SUM(F164:F168,F170:F190,F192:F194,F196:F199)</f>
        <v>11393.650943999997</v>
      </c>
      <c r="H144" s="166"/>
    </row>
    <row r="145" spans="1:14" s="35" customFormat="1" x14ac:dyDescent="0.35">
      <c r="A145" s="182" t="s">
        <v>154</v>
      </c>
      <c r="B145" s="183"/>
      <c r="C145" s="184">
        <f>SUM(C143:C144)</f>
        <v>40</v>
      </c>
      <c r="D145" s="185"/>
      <c r="E145" s="186">
        <f>SUM(E143:E144)</f>
        <v>8745.4270800000013</v>
      </c>
      <c r="F145" s="187"/>
      <c r="G145" s="188">
        <f>SUM(G143:G144)</f>
        <v>13992.683327999997</v>
      </c>
      <c r="H145" s="189"/>
    </row>
    <row r="146" spans="1:14" s="35" customFormat="1" x14ac:dyDescent="0.35">
      <c r="A146" s="141" t="s">
        <v>72</v>
      </c>
      <c r="B146" s="141"/>
      <c r="C146" s="141"/>
      <c r="D146" s="141"/>
      <c r="E146" s="141"/>
      <c r="F146" s="141"/>
      <c r="G146" s="141"/>
      <c r="H146" s="141"/>
    </row>
    <row r="147" spans="1:14" s="35" customFormat="1" ht="15.75" customHeight="1" x14ac:dyDescent="0.35">
      <c r="A147" s="156" t="s">
        <v>54</v>
      </c>
      <c r="B147" s="156"/>
      <c r="C147" s="77" t="s">
        <v>80</v>
      </c>
      <c r="D147" s="77"/>
      <c r="E147" s="79" t="s">
        <v>55</v>
      </c>
      <c r="F147" s="79"/>
      <c r="G147" s="156" t="s">
        <v>56</v>
      </c>
      <c r="H147" s="156"/>
      <c r="L147" s="61">
        <f>G145+G152</f>
        <v>369833.284782</v>
      </c>
    </row>
    <row r="148" spans="1:14" s="35" customFormat="1" x14ac:dyDescent="0.35">
      <c r="A148" s="71" t="s">
        <v>198</v>
      </c>
      <c r="B148" s="71"/>
      <c r="C148" s="72">
        <f>COUNT(D208:D211)+COUNT(D213:D217)*3+COUNT(D225:D229)*10+COUNT(D231:D233,D235)+COUNT(D237:D239,D241)+COUNT(D243:D247)*4+COUNT(D249:D253)+COUNT(D255:D256)</f>
        <v>104</v>
      </c>
      <c r="D148" s="72"/>
      <c r="E148" s="70">
        <f>SUM(D208:D211)+SUM(D213:D217)*3+SUM(D225:D229)*10+SUM(D231:D233,D235)+SUM(D237:D239,D241)+SUM(D243:D247)*4+SUM(D249:D253)+SUM(D255:D256)</f>
        <v>83978.898119999998</v>
      </c>
      <c r="F148" s="70"/>
      <c r="G148" s="70">
        <f>SUM(F208:F211)+SUM(F213:F217)*3+SUM(F225:F229)*10+SUM(F231:F233,F235)+SUM(F237:F239,F241)+SUM(F243:F247)*4+SUM(F249:F253)+SUM(F255:F256)</f>
        <v>126563.84933399998</v>
      </c>
      <c r="H148" s="70"/>
      <c r="L148" s="61">
        <f>E145+E152</f>
        <v>245492.17992</v>
      </c>
    </row>
    <row r="149" spans="1:14" s="35" customFormat="1" x14ac:dyDescent="0.35">
      <c r="A149" s="71" t="s">
        <v>203</v>
      </c>
      <c r="B149" s="71"/>
      <c r="C149" s="72">
        <f>COUNT(D260:D261)+COUNT(D263:D266)*3+COUNT(D268:D271)*10+COUNT(D273,D275:D276)+COUNT(D278,D280:D281)+COUNT(D283:D286)*4+COUNT(D288:D291)+COUNT(D293:D296)</f>
        <v>84</v>
      </c>
      <c r="D149" s="72"/>
      <c r="E149" s="70">
        <f>SUM(D260:D261)+SUM(D263:D266)*3+SUM(D268:D271)*10+SUM(D273,D275:D276)+SUM(D278,D280:D281)+SUM(D283:D286)*4+SUM(D288:D291)+SUM(D293:D296)</f>
        <v>53227.226519999997</v>
      </c>
      <c r="F149" s="70"/>
      <c r="G149" s="70">
        <f>SUM(F260:F261)+SUM(F263:F266)*3+SUM(F268:F271)*10+SUM(F273,F275:F276)+SUM(F278,F280:F281)+SUM(F283:F286)*4+SUM(F288:F291)+SUM(F293:F296)</f>
        <v>79965.809820000009</v>
      </c>
      <c r="H149" s="70"/>
    </row>
    <row r="150" spans="1:14" s="35" customFormat="1" x14ac:dyDescent="0.35">
      <c r="A150" s="71" t="s">
        <v>205</v>
      </c>
      <c r="B150" s="71"/>
      <c r="C150" s="72">
        <f>COUNT(D300:D303)+COUNT(D305:D308)*3+COUNT(D310:D313)*10+COUNT(D315:D317)+COUNT(D320:D322)+COUNT(D325:D328)*4+COUNT(D330:D331,D332:D333)+COUNT(D335:D336)</f>
        <v>84</v>
      </c>
      <c r="D150" s="72"/>
      <c r="E150" s="70">
        <f>SUM(D300:D303)+SUM(D305:D308)*3+SUM(D310:D313)*10+SUM(D315:D317)+SUM(D320:D322)+SUM(D325:D328)*4+SUM(D330:D331,D332:D333)+SUM(D335:D336)</f>
        <v>65838.544200000004</v>
      </c>
      <c r="F150" s="70"/>
      <c r="G150" s="70">
        <f>SUM(F300:F303)+SUM(F305:F308)*3+SUM(F310:F313)*10+SUM(F315:F317)+SUM(F320:F322)+SUM(F325:F328)*4+SUM(F330:F331,F332:F333)+SUM(F335:F336)</f>
        <v>98757.816300000006</v>
      </c>
      <c r="H150" s="70"/>
    </row>
    <row r="151" spans="1:14" s="35" customFormat="1" x14ac:dyDescent="0.35">
      <c r="A151" s="71" t="s">
        <v>207</v>
      </c>
      <c r="B151" s="71"/>
      <c r="C151" s="72">
        <f>COUNT(D340:D341)+COUNT(D343:D344)*3+COUNT(D346:D347)*10+COUNT(D349)+COUNT(D352)+COUNT(D355:D356)*4+COUNT(D358:D359)+COUNT(D361:D362)</f>
        <v>42</v>
      </c>
      <c r="D151" s="72"/>
      <c r="E151" s="70">
        <f>SUM(D340:D341)+SUM(D343:D344)*3+SUM(D346:D347)*10+SUM(D349)+SUM(D352)+SUM(D355:D356)*4+SUM(D358:D359)+SUM(D361:D362)</f>
        <v>33702.084000000003</v>
      </c>
      <c r="F151" s="70"/>
      <c r="G151" s="70">
        <f>SUM(F340:F341)+SUM(F343:F344)*3+SUM(F346:F347)*10+SUM(F349)+SUM(F352)+SUM(F355:F356)*4+SUM(F358:F359)+SUM(F361:F362)</f>
        <v>50553.125999999989</v>
      </c>
      <c r="H151" s="70"/>
    </row>
    <row r="152" spans="1:14" s="35" customFormat="1" x14ac:dyDescent="0.35">
      <c r="A152" s="141" t="s">
        <v>154</v>
      </c>
      <c r="B152" s="141"/>
      <c r="C152" s="76">
        <f>SUM(C148:C151)</f>
        <v>314</v>
      </c>
      <c r="D152" s="77"/>
      <c r="E152" s="78">
        <f>SUM(E148:E151)</f>
        <v>236746.75284</v>
      </c>
      <c r="F152" s="79"/>
      <c r="G152" s="156">
        <f>SUM(G148:G151)</f>
        <v>355840.60145399999</v>
      </c>
      <c r="H152" s="156"/>
    </row>
    <row r="153" spans="1:14" s="34" customFormat="1" x14ac:dyDescent="0.35">
      <c r="A153" s="147" t="s">
        <v>57</v>
      </c>
      <c r="B153" s="147"/>
      <c r="C153" s="147"/>
      <c r="D153" s="147"/>
      <c r="E153" s="147"/>
      <c r="F153" s="147"/>
      <c r="G153" s="147"/>
      <c r="H153" s="147"/>
    </row>
    <row r="154" spans="1:14" x14ac:dyDescent="0.35">
      <c r="A154" s="147" t="s">
        <v>58</v>
      </c>
      <c r="B154" s="147"/>
      <c r="C154" s="147"/>
      <c r="D154" s="147"/>
      <c r="E154" s="147"/>
      <c r="F154" s="147"/>
      <c r="G154" s="147"/>
      <c r="H154" s="147"/>
    </row>
    <row r="155" spans="1:14" ht="47.25" customHeight="1" x14ac:dyDescent="0.35">
      <c r="A155" s="75" t="s">
        <v>190</v>
      </c>
      <c r="B155" s="73" t="s">
        <v>121</v>
      </c>
      <c r="C155" s="73" t="s">
        <v>59</v>
      </c>
      <c r="D155" s="73" t="s">
        <v>60</v>
      </c>
      <c r="E155" s="116" t="s">
        <v>160</v>
      </c>
      <c r="F155" s="42" t="s">
        <v>153</v>
      </c>
      <c r="G155" s="118" t="s">
        <v>62</v>
      </c>
      <c r="H155" s="119"/>
    </row>
    <row r="156" spans="1:14" s="46" customFormat="1" x14ac:dyDescent="0.35">
      <c r="A156" s="74"/>
      <c r="B156" s="74"/>
      <c r="C156" s="74"/>
      <c r="D156" s="74"/>
      <c r="E156" s="117"/>
      <c r="F156" s="13">
        <v>0.6</v>
      </c>
      <c r="G156" s="120"/>
      <c r="H156" s="121"/>
    </row>
    <row r="157" spans="1:14" s="46" customFormat="1" x14ac:dyDescent="0.35">
      <c r="A157" s="204" t="s">
        <v>196</v>
      </c>
      <c r="B157" s="204"/>
      <c r="C157" s="204"/>
      <c r="D157" s="204"/>
      <c r="E157" s="204"/>
      <c r="F157" s="204"/>
      <c r="G157" s="204"/>
      <c r="H157" s="204"/>
      <c r="J157" s="36"/>
    </row>
    <row r="158" spans="1:14" s="46" customFormat="1" x14ac:dyDescent="0.35">
      <c r="A158" s="204" t="s">
        <v>224</v>
      </c>
      <c r="B158" s="204"/>
      <c r="C158" s="204"/>
      <c r="D158" s="204"/>
      <c r="E158" s="204"/>
      <c r="F158" s="204"/>
      <c r="G158" s="204"/>
      <c r="H158" s="204"/>
      <c r="J158" s="36"/>
    </row>
    <row r="159" spans="1:14" s="46" customFormat="1" x14ac:dyDescent="0.35">
      <c r="A159" s="204" t="s">
        <v>229</v>
      </c>
      <c r="B159" s="204"/>
      <c r="C159" s="204"/>
      <c r="D159" s="204"/>
      <c r="E159" s="204"/>
      <c r="F159" s="204"/>
      <c r="G159" s="204"/>
      <c r="H159" s="204"/>
      <c r="J159" s="36"/>
    </row>
    <row r="160" spans="1:14" s="46" customFormat="1" ht="15.75" customHeight="1" x14ac:dyDescent="0.35">
      <c r="A160" s="53" t="s">
        <v>191</v>
      </c>
      <c r="B160" s="41">
        <v>1</v>
      </c>
      <c r="C160" s="53" t="s">
        <v>194</v>
      </c>
      <c r="D160" s="54">
        <f>(17.08)*10.764</f>
        <v>183.84911999999997</v>
      </c>
      <c r="E160" s="41">
        <v>0</v>
      </c>
      <c r="F160" s="41">
        <f>(D160+E160)*(($F$156)+1)</f>
        <v>294.15859199999994</v>
      </c>
      <c r="G160" s="205" t="str">
        <f>A159</f>
        <v>Ground Floor Commercial &amp; Parking</v>
      </c>
      <c r="H160" s="205"/>
      <c r="I160" s="36"/>
      <c r="L160" s="93"/>
      <c r="M160" s="93"/>
      <c r="N160" s="36"/>
    </row>
    <row r="161" spans="1:14" s="46" customFormat="1" ht="15.75" customHeight="1" x14ac:dyDescent="0.35">
      <c r="A161" s="53" t="s">
        <v>191</v>
      </c>
      <c r="B161" s="41" t="s">
        <v>192</v>
      </c>
      <c r="C161" s="53" t="s">
        <v>194</v>
      </c>
      <c r="D161" s="54">
        <f>(16.98)*10.764</f>
        <v>182.77271999999999</v>
      </c>
      <c r="E161" s="41">
        <v>0</v>
      </c>
      <c r="F161" s="41">
        <f t="shared" ref="F161:F198" si="0">(D161+E161)*(($F$156)+1)</f>
        <v>292.436352</v>
      </c>
      <c r="G161" s="205"/>
      <c r="H161" s="205"/>
      <c r="I161" s="36"/>
      <c r="L161" s="93"/>
      <c r="M161" s="93"/>
      <c r="N161" s="36"/>
    </row>
    <row r="162" spans="1:14" s="46" customFormat="1" ht="15.75" customHeight="1" x14ac:dyDescent="0.35">
      <c r="A162" s="53" t="s">
        <v>191</v>
      </c>
      <c r="B162" s="41">
        <v>2</v>
      </c>
      <c r="C162" s="53" t="s">
        <v>194</v>
      </c>
      <c r="D162" s="54">
        <f>(32.33)*10.764</f>
        <v>348.00011999999998</v>
      </c>
      <c r="E162" s="41">
        <v>0</v>
      </c>
      <c r="F162" s="41">
        <f t="shared" si="0"/>
        <v>556.80019200000004</v>
      </c>
      <c r="G162" s="205"/>
      <c r="H162" s="205"/>
      <c r="I162" s="36"/>
      <c r="L162" s="93"/>
      <c r="M162" s="93"/>
      <c r="N162" s="36"/>
    </row>
    <row r="163" spans="1:14" s="46" customFormat="1" ht="15.75" customHeight="1" x14ac:dyDescent="0.35">
      <c r="A163" s="53" t="s">
        <v>191</v>
      </c>
      <c r="B163" s="41">
        <f t="shared" ref="B163:B199" si="1">B162+1</f>
        <v>3</v>
      </c>
      <c r="C163" s="53" t="s">
        <v>194</v>
      </c>
      <c r="D163" s="54">
        <f>(10.66)*10.764</f>
        <v>114.74423999999999</v>
      </c>
      <c r="E163" s="41">
        <v>0</v>
      </c>
      <c r="F163" s="41">
        <f t="shared" si="0"/>
        <v>183.59078399999999</v>
      </c>
      <c r="G163" s="205"/>
      <c r="H163" s="205"/>
      <c r="I163" s="36"/>
      <c r="L163" s="93"/>
      <c r="M163" s="93"/>
      <c r="N163" s="36"/>
    </row>
    <row r="164" spans="1:14" s="46" customFormat="1" ht="15.75" customHeight="1" x14ac:dyDescent="0.35">
      <c r="A164" s="53" t="s">
        <v>195</v>
      </c>
      <c r="B164" s="41">
        <v>5</v>
      </c>
      <c r="C164" s="53" t="s">
        <v>194</v>
      </c>
      <c r="D164" s="54">
        <f>(19.98)*10.764</f>
        <v>215.06471999999999</v>
      </c>
      <c r="E164" s="41">
        <v>0</v>
      </c>
      <c r="F164" s="41">
        <f t="shared" si="0"/>
        <v>344.10355200000004</v>
      </c>
      <c r="G164" s="205"/>
      <c r="H164" s="205"/>
      <c r="I164" s="36"/>
      <c r="L164" s="93"/>
      <c r="M164" s="93"/>
      <c r="N164" s="36"/>
    </row>
    <row r="165" spans="1:14" s="46" customFormat="1" ht="15.75" customHeight="1" x14ac:dyDescent="0.35">
      <c r="A165" s="53" t="s">
        <v>195</v>
      </c>
      <c r="B165" s="41">
        <f t="shared" si="1"/>
        <v>6</v>
      </c>
      <c r="C165" s="53" t="s">
        <v>194</v>
      </c>
      <c r="D165" s="54">
        <f>(34.18)*10.764</f>
        <v>367.91351999999995</v>
      </c>
      <c r="E165" s="41">
        <v>0</v>
      </c>
      <c r="F165" s="41">
        <f t="shared" si="0"/>
        <v>588.66163199999994</v>
      </c>
      <c r="G165" s="205"/>
      <c r="H165" s="205"/>
      <c r="I165" s="36"/>
      <c r="L165" s="93"/>
      <c r="M165" s="93"/>
      <c r="N165" s="36"/>
    </row>
    <row r="166" spans="1:14" s="46" customFormat="1" ht="15.75" customHeight="1" x14ac:dyDescent="0.35">
      <c r="A166" s="53" t="s">
        <v>195</v>
      </c>
      <c r="B166" s="41">
        <f t="shared" si="1"/>
        <v>7</v>
      </c>
      <c r="C166" s="53" t="s">
        <v>194</v>
      </c>
      <c r="D166" s="54">
        <f>(13.8)*10.764</f>
        <v>148.54319999999998</v>
      </c>
      <c r="E166" s="41">
        <v>0</v>
      </c>
      <c r="F166" s="41">
        <f t="shared" si="0"/>
        <v>237.66911999999999</v>
      </c>
      <c r="G166" s="205"/>
      <c r="H166" s="205"/>
      <c r="I166" s="36"/>
      <c r="L166" s="93"/>
      <c r="M166" s="93"/>
      <c r="N166" s="36"/>
    </row>
    <row r="167" spans="1:14" s="46" customFormat="1" ht="15.75" customHeight="1" x14ac:dyDescent="0.35">
      <c r="A167" s="53" t="s">
        <v>195</v>
      </c>
      <c r="B167" s="41">
        <f t="shared" si="1"/>
        <v>8</v>
      </c>
      <c r="C167" s="53" t="s">
        <v>194</v>
      </c>
      <c r="D167" s="54">
        <f>(14.36)*10.764</f>
        <v>154.57103999999998</v>
      </c>
      <c r="E167" s="41">
        <v>0</v>
      </c>
      <c r="F167" s="41">
        <f t="shared" si="0"/>
        <v>247.31366399999999</v>
      </c>
      <c r="G167" s="205"/>
      <c r="H167" s="205"/>
      <c r="I167" s="36"/>
      <c r="L167" s="93"/>
      <c r="M167" s="93"/>
      <c r="N167" s="36"/>
    </row>
    <row r="168" spans="1:14" s="46" customFormat="1" ht="15.75" customHeight="1" x14ac:dyDescent="0.35">
      <c r="A168" s="53" t="s">
        <v>195</v>
      </c>
      <c r="B168" s="41">
        <f t="shared" si="1"/>
        <v>9</v>
      </c>
      <c r="C168" s="53" t="s">
        <v>194</v>
      </c>
      <c r="D168" s="54">
        <f>(20.31)*10.764</f>
        <v>218.61683999999997</v>
      </c>
      <c r="E168" s="41">
        <v>0</v>
      </c>
      <c r="F168" s="41">
        <f t="shared" si="0"/>
        <v>349.78694399999995</v>
      </c>
      <c r="G168" s="205"/>
      <c r="H168" s="205"/>
      <c r="I168" s="36"/>
      <c r="L168" s="93"/>
      <c r="M168" s="93"/>
      <c r="N168" s="36"/>
    </row>
    <row r="169" spans="1:14" s="46" customFormat="1" ht="15.75" customHeight="1" x14ac:dyDescent="0.35">
      <c r="A169" s="53" t="s">
        <v>191</v>
      </c>
      <c r="B169" s="41" t="s">
        <v>193</v>
      </c>
      <c r="C169" s="53" t="s">
        <v>194</v>
      </c>
      <c r="D169" s="54">
        <f>(16.71)*10.764</f>
        <v>179.86644000000001</v>
      </c>
      <c r="E169" s="41">
        <v>0</v>
      </c>
      <c r="F169" s="41">
        <f t="shared" si="0"/>
        <v>287.78630400000003</v>
      </c>
      <c r="G169" s="205"/>
      <c r="H169" s="205"/>
      <c r="I169" s="36"/>
      <c r="L169" s="93"/>
      <c r="M169" s="93"/>
      <c r="N169" s="36"/>
    </row>
    <row r="170" spans="1:14" s="46" customFormat="1" ht="15.75" customHeight="1" x14ac:dyDescent="0.35">
      <c r="A170" s="53" t="s">
        <v>195</v>
      </c>
      <c r="B170" s="41">
        <v>10</v>
      </c>
      <c r="C170" s="53" t="s">
        <v>194</v>
      </c>
      <c r="D170" s="54">
        <f>(34.3)*10.764</f>
        <v>369.20519999999993</v>
      </c>
      <c r="E170" s="41">
        <v>0</v>
      </c>
      <c r="F170" s="41">
        <f t="shared" si="0"/>
        <v>590.72831999999994</v>
      </c>
      <c r="G170" s="205"/>
      <c r="H170" s="205"/>
      <c r="I170" s="36"/>
      <c r="L170" s="93"/>
      <c r="M170" s="93"/>
      <c r="N170" s="36"/>
    </row>
    <row r="171" spans="1:14" s="46" customFormat="1" ht="15.75" customHeight="1" x14ac:dyDescent="0.35">
      <c r="A171" s="53" t="s">
        <v>195</v>
      </c>
      <c r="B171" s="41">
        <f t="shared" si="1"/>
        <v>11</v>
      </c>
      <c r="C171" s="53" t="s">
        <v>194</v>
      </c>
      <c r="D171" s="54">
        <f>(34.8)*10.764</f>
        <v>374.58719999999994</v>
      </c>
      <c r="E171" s="41">
        <v>0</v>
      </c>
      <c r="F171" s="41">
        <f t="shared" si="0"/>
        <v>599.33951999999988</v>
      </c>
      <c r="G171" s="205"/>
      <c r="H171" s="205"/>
      <c r="I171" s="36"/>
      <c r="L171" s="93"/>
      <c r="M171" s="93"/>
      <c r="N171" s="36"/>
    </row>
    <row r="172" spans="1:14" s="46" customFormat="1" ht="15.75" customHeight="1" x14ac:dyDescent="0.35">
      <c r="A172" s="53" t="s">
        <v>195</v>
      </c>
      <c r="B172" s="41">
        <f t="shared" si="1"/>
        <v>12</v>
      </c>
      <c r="C172" s="53" t="s">
        <v>194</v>
      </c>
      <c r="D172" s="54">
        <f>(18.38)*10.764</f>
        <v>197.84231999999997</v>
      </c>
      <c r="E172" s="41">
        <v>0</v>
      </c>
      <c r="F172" s="41">
        <f t="shared" si="0"/>
        <v>316.54771199999999</v>
      </c>
      <c r="G172" s="205"/>
      <c r="H172" s="205"/>
      <c r="I172" s="36"/>
      <c r="L172" s="93"/>
      <c r="M172" s="93"/>
      <c r="N172" s="36"/>
    </row>
    <row r="173" spans="1:14" s="46" customFormat="1" ht="15.75" customHeight="1" x14ac:dyDescent="0.35">
      <c r="A173" s="53" t="s">
        <v>195</v>
      </c>
      <c r="B173" s="41">
        <f t="shared" si="1"/>
        <v>13</v>
      </c>
      <c r="C173" s="53" t="s">
        <v>194</v>
      </c>
      <c r="D173" s="54">
        <f>(34.31)*10.764</f>
        <v>369.31283999999999</v>
      </c>
      <c r="E173" s="41">
        <v>0</v>
      </c>
      <c r="F173" s="41">
        <f t="shared" si="0"/>
        <v>590.90054399999997</v>
      </c>
      <c r="G173" s="205"/>
      <c r="H173" s="205"/>
      <c r="I173" s="36"/>
      <c r="L173" s="93"/>
      <c r="M173" s="93"/>
      <c r="N173" s="36"/>
    </row>
    <row r="174" spans="1:14" s="46" customFormat="1" ht="15.75" customHeight="1" x14ac:dyDescent="0.35">
      <c r="A174" s="53" t="s">
        <v>195</v>
      </c>
      <c r="B174" s="41">
        <f t="shared" si="1"/>
        <v>14</v>
      </c>
      <c r="C174" s="53" t="s">
        <v>194</v>
      </c>
      <c r="D174" s="54">
        <f>(17.86)*10.764</f>
        <v>192.24503999999999</v>
      </c>
      <c r="E174" s="41">
        <v>0</v>
      </c>
      <c r="F174" s="41">
        <f t="shared" si="0"/>
        <v>307.59206399999999</v>
      </c>
      <c r="G174" s="205"/>
      <c r="H174" s="205"/>
      <c r="I174" s="36"/>
      <c r="L174" s="93"/>
      <c r="M174" s="93"/>
      <c r="N174" s="36"/>
    </row>
    <row r="175" spans="1:14" s="46" customFormat="1" ht="15.75" customHeight="1" x14ac:dyDescent="0.35">
      <c r="A175" s="53" t="s">
        <v>195</v>
      </c>
      <c r="B175" s="41">
        <f t="shared" si="1"/>
        <v>15</v>
      </c>
      <c r="C175" s="53" t="s">
        <v>194</v>
      </c>
      <c r="D175" s="54">
        <f>(34.63)*10.764</f>
        <v>372.75731999999999</v>
      </c>
      <c r="E175" s="41">
        <v>0</v>
      </c>
      <c r="F175" s="41">
        <f t="shared" si="0"/>
        <v>596.41171199999997</v>
      </c>
      <c r="G175" s="205"/>
      <c r="H175" s="205"/>
      <c r="I175" s="36"/>
      <c r="L175" s="93"/>
      <c r="M175" s="93"/>
      <c r="N175" s="36"/>
    </row>
    <row r="176" spans="1:14" s="46" customFormat="1" ht="15.75" customHeight="1" x14ac:dyDescent="0.35">
      <c r="A176" s="53" t="s">
        <v>195</v>
      </c>
      <c r="B176" s="41">
        <f t="shared" si="1"/>
        <v>16</v>
      </c>
      <c r="C176" s="53" t="s">
        <v>194</v>
      </c>
      <c r="D176" s="54">
        <f>(20.3)*10.764</f>
        <v>218.50919999999999</v>
      </c>
      <c r="E176" s="41">
        <v>0</v>
      </c>
      <c r="F176" s="41">
        <f t="shared" si="0"/>
        <v>349.61472000000003</v>
      </c>
      <c r="G176" s="205"/>
      <c r="H176" s="205"/>
      <c r="I176" s="36"/>
      <c r="L176" s="93"/>
      <c r="M176" s="93"/>
      <c r="N176" s="36"/>
    </row>
    <row r="177" spans="1:14" s="46" customFormat="1" ht="15.75" customHeight="1" x14ac:dyDescent="0.35">
      <c r="A177" s="53" t="s">
        <v>195</v>
      </c>
      <c r="B177" s="41">
        <f t="shared" si="1"/>
        <v>17</v>
      </c>
      <c r="C177" s="53" t="s">
        <v>194</v>
      </c>
      <c r="D177" s="54">
        <f>(37.86)*10.764</f>
        <v>407.52503999999999</v>
      </c>
      <c r="E177" s="41">
        <v>0</v>
      </c>
      <c r="F177" s="41">
        <f t="shared" si="0"/>
        <v>652.04006400000003</v>
      </c>
      <c r="G177" s="205"/>
      <c r="H177" s="205"/>
      <c r="I177" s="36"/>
      <c r="L177" s="93"/>
      <c r="M177" s="93"/>
      <c r="N177" s="36"/>
    </row>
    <row r="178" spans="1:14" s="46" customFormat="1" ht="15.75" customHeight="1" x14ac:dyDescent="0.35">
      <c r="A178" s="53" t="s">
        <v>195</v>
      </c>
      <c r="B178" s="41">
        <f t="shared" si="1"/>
        <v>18</v>
      </c>
      <c r="C178" s="53" t="s">
        <v>194</v>
      </c>
      <c r="D178" s="54">
        <f>(23.45)*10.764</f>
        <v>252.41579999999999</v>
      </c>
      <c r="E178" s="41">
        <v>0</v>
      </c>
      <c r="F178" s="41">
        <f t="shared" si="0"/>
        <v>403.86527999999998</v>
      </c>
      <c r="G178" s="205"/>
      <c r="H178" s="205"/>
      <c r="I178" s="36"/>
      <c r="L178" s="93"/>
      <c r="M178" s="93"/>
      <c r="N178" s="36"/>
    </row>
    <row r="179" spans="1:14" s="46" customFormat="1" ht="15.75" customHeight="1" x14ac:dyDescent="0.35">
      <c r="A179" s="53" t="s">
        <v>195</v>
      </c>
      <c r="B179" s="41">
        <f t="shared" si="1"/>
        <v>19</v>
      </c>
      <c r="C179" s="53" t="s">
        <v>194</v>
      </c>
      <c r="D179" s="54">
        <f>(22.3)*10.764</f>
        <v>240.03719999999998</v>
      </c>
      <c r="E179" s="41">
        <v>0</v>
      </c>
      <c r="F179" s="41">
        <f t="shared" si="0"/>
        <v>384.05952000000002</v>
      </c>
      <c r="G179" s="205"/>
      <c r="H179" s="205"/>
      <c r="I179" s="36"/>
      <c r="L179" s="93"/>
      <c r="M179" s="93"/>
      <c r="N179" s="36"/>
    </row>
    <row r="180" spans="1:14" s="46" customFormat="1" ht="15.75" customHeight="1" x14ac:dyDescent="0.35">
      <c r="A180" s="53" t="s">
        <v>195</v>
      </c>
      <c r="B180" s="41">
        <f t="shared" si="1"/>
        <v>20</v>
      </c>
      <c r="C180" s="53" t="s">
        <v>194</v>
      </c>
      <c r="D180" s="54">
        <f>(19.3)*10.764</f>
        <v>207.74519999999998</v>
      </c>
      <c r="E180" s="41">
        <v>0</v>
      </c>
      <c r="F180" s="41">
        <f t="shared" si="0"/>
        <v>332.39231999999998</v>
      </c>
      <c r="G180" s="205"/>
      <c r="H180" s="205"/>
      <c r="I180" s="36"/>
      <c r="L180" s="93"/>
      <c r="M180" s="93"/>
      <c r="N180" s="36"/>
    </row>
    <row r="181" spans="1:14" s="46" customFormat="1" ht="15.75" customHeight="1" x14ac:dyDescent="0.35">
      <c r="A181" s="53" t="s">
        <v>195</v>
      </c>
      <c r="B181" s="41">
        <f t="shared" si="1"/>
        <v>21</v>
      </c>
      <c r="C181" s="53" t="s">
        <v>194</v>
      </c>
      <c r="D181" s="54">
        <f>(19.8)*10.764</f>
        <v>213.12719999999999</v>
      </c>
      <c r="E181" s="41">
        <v>0</v>
      </c>
      <c r="F181" s="41">
        <f t="shared" si="0"/>
        <v>341.00351999999998</v>
      </c>
      <c r="G181" s="205"/>
      <c r="H181" s="205"/>
      <c r="I181" s="36"/>
      <c r="L181" s="93"/>
      <c r="M181" s="93"/>
      <c r="N181" s="36"/>
    </row>
    <row r="182" spans="1:14" s="46" customFormat="1" ht="15.75" customHeight="1" x14ac:dyDescent="0.35">
      <c r="A182" s="53" t="s">
        <v>195</v>
      </c>
      <c r="B182" s="41">
        <f t="shared" si="1"/>
        <v>22</v>
      </c>
      <c r="C182" s="53" t="s">
        <v>194</v>
      </c>
      <c r="D182" s="54">
        <f>(54.02)*10.764</f>
        <v>581.47127999999998</v>
      </c>
      <c r="E182" s="41">
        <v>0</v>
      </c>
      <c r="F182" s="41">
        <f t="shared" si="0"/>
        <v>930.35404800000003</v>
      </c>
      <c r="G182" s="205"/>
      <c r="H182" s="205"/>
      <c r="I182" s="36"/>
      <c r="L182" s="93"/>
      <c r="M182" s="93"/>
      <c r="N182" s="36"/>
    </row>
    <row r="183" spans="1:14" s="46" customFormat="1" ht="15.75" customHeight="1" x14ac:dyDescent="0.35">
      <c r="A183" s="53" t="s">
        <v>195</v>
      </c>
      <c r="B183" s="41">
        <f t="shared" si="1"/>
        <v>23</v>
      </c>
      <c r="C183" s="53" t="s">
        <v>194</v>
      </c>
      <c r="D183" s="54">
        <f>(20.3)*10.764</f>
        <v>218.50919999999999</v>
      </c>
      <c r="E183" s="41">
        <v>0</v>
      </c>
      <c r="F183" s="41">
        <f t="shared" si="0"/>
        <v>349.61472000000003</v>
      </c>
      <c r="G183" s="205"/>
      <c r="H183" s="205"/>
      <c r="I183" s="36"/>
      <c r="L183" s="93"/>
      <c r="M183" s="93"/>
      <c r="N183" s="36"/>
    </row>
    <row r="184" spans="1:14" s="46" customFormat="1" ht="15.75" customHeight="1" x14ac:dyDescent="0.35">
      <c r="A184" s="53" t="s">
        <v>195</v>
      </c>
      <c r="B184" s="41">
        <f t="shared" si="1"/>
        <v>24</v>
      </c>
      <c r="C184" s="53" t="s">
        <v>194</v>
      </c>
      <c r="D184" s="54">
        <f>(9.98)*10.764</f>
        <v>107.42471999999999</v>
      </c>
      <c r="E184" s="41">
        <v>0</v>
      </c>
      <c r="F184" s="41">
        <f t="shared" si="0"/>
        <v>171.87955199999999</v>
      </c>
      <c r="G184" s="205"/>
      <c r="H184" s="205"/>
      <c r="I184" s="36"/>
      <c r="J184" s="36">
        <v>10.763999999999999</v>
      </c>
      <c r="L184" s="93"/>
      <c r="M184" s="93"/>
      <c r="N184" s="36"/>
    </row>
    <row r="185" spans="1:14" s="46" customFormat="1" ht="15.75" customHeight="1" x14ac:dyDescent="0.35">
      <c r="A185" s="53" t="s">
        <v>195</v>
      </c>
      <c r="B185" s="41">
        <f t="shared" si="1"/>
        <v>25</v>
      </c>
      <c r="C185" s="53" t="s">
        <v>194</v>
      </c>
      <c r="D185" s="54">
        <f>(8.54)*10.764</f>
        <v>91.924559999999985</v>
      </c>
      <c r="E185" s="41">
        <v>0</v>
      </c>
      <c r="F185" s="41">
        <f t="shared" si="0"/>
        <v>147.07929599999997</v>
      </c>
      <c r="G185" s="205"/>
      <c r="H185" s="205"/>
      <c r="I185" s="36"/>
      <c r="L185" s="93"/>
      <c r="M185" s="93"/>
      <c r="N185" s="36"/>
    </row>
    <row r="186" spans="1:14" s="46" customFormat="1" ht="15.75" customHeight="1" x14ac:dyDescent="0.35">
      <c r="A186" s="53" t="s">
        <v>195</v>
      </c>
      <c r="B186" s="41">
        <f t="shared" si="1"/>
        <v>26</v>
      </c>
      <c r="C186" s="53" t="s">
        <v>194</v>
      </c>
      <c r="D186" s="54">
        <f>(13)*10.764</f>
        <v>139.93199999999999</v>
      </c>
      <c r="E186" s="41">
        <v>0</v>
      </c>
      <c r="F186" s="41">
        <f t="shared" si="0"/>
        <v>223.8912</v>
      </c>
      <c r="G186" s="205"/>
      <c r="H186" s="205"/>
      <c r="I186" s="36"/>
      <c r="L186" s="93"/>
      <c r="M186" s="93"/>
      <c r="N186" s="36"/>
    </row>
    <row r="187" spans="1:14" s="46" customFormat="1" ht="15.75" customHeight="1" x14ac:dyDescent="0.35">
      <c r="A187" s="53" t="s">
        <v>195</v>
      </c>
      <c r="B187" s="41">
        <f t="shared" si="1"/>
        <v>27</v>
      </c>
      <c r="C187" s="53" t="s">
        <v>194</v>
      </c>
      <c r="D187" s="54">
        <f>(13)*10.764</f>
        <v>139.93199999999999</v>
      </c>
      <c r="E187" s="41">
        <v>0</v>
      </c>
      <c r="F187" s="41">
        <f t="shared" si="0"/>
        <v>223.8912</v>
      </c>
      <c r="G187" s="205"/>
      <c r="H187" s="205"/>
      <c r="I187" s="36"/>
      <c r="L187" s="93"/>
      <c r="M187" s="93"/>
      <c r="N187" s="36"/>
    </row>
    <row r="188" spans="1:14" s="46" customFormat="1" ht="15.75" customHeight="1" x14ac:dyDescent="0.35">
      <c r="A188" s="53" t="s">
        <v>195</v>
      </c>
      <c r="B188" s="41">
        <f t="shared" si="1"/>
        <v>28</v>
      </c>
      <c r="C188" s="53" t="s">
        <v>194</v>
      </c>
      <c r="D188" s="54">
        <f>(6.7)*10.764</f>
        <v>72.118799999999993</v>
      </c>
      <c r="E188" s="41">
        <v>0</v>
      </c>
      <c r="F188" s="41">
        <f t="shared" si="0"/>
        <v>115.39008</v>
      </c>
      <c r="G188" s="205"/>
      <c r="H188" s="205"/>
      <c r="I188" s="36"/>
      <c r="L188" s="93"/>
      <c r="M188" s="93"/>
      <c r="N188" s="36"/>
    </row>
    <row r="189" spans="1:14" s="46" customFormat="1" ht="15.75" customHeight="1" x14ac:dyDescent="0.35">
      <c r="A189" s="53" t="s">
        <v>195</v>
      </c>
      <c r="B189" s="41">
        <f t="shared" si="1"/>
        <v>29</v>
      </c>
      <c r="C189" s="53" t="s">
        <v>194</v>
      </c>
      <c r="D189" s="54">
        <f>(3.04)*10.764</f>
        <v>32.722560000000001</v>
      </c>
      <c r="E189" s="41">
        <v>0</v>
      </c>
      <c r="F189" s="41">
        <f t="shared" si="0"/>
        <v>52.356096000000008</v>
      </c>
      <c r="G189" s="205"/>
      <c r="H189" s="205"/>
      <c r="I189" s="36"/>
      <c r="L189" s="93"/>
      <c r="M189" s="93"/>
      <c r="N189" s="36"/>
    </row>
    <row r="190" spans="1:14" s="46" customFormat="1" ht="15.75" customHeight="1" x14ac:dyDescent="0.35">
      <c r="A190" s="53" t="s">
        <v>195</v>
      </c>
      <c r="B190" s="41">
        <f t="shared" si="1"/>
        <v>30</v>
      </c>
      <c r="C190" s="53" t="s">
        <v>194</v>
      </c>
      <c r="D190" s="54">
        <f>(12.55)*10.764</f>
        <v>135.0882</v>
      </c>
      <c r="E190" s="41">
        <v>0</v>
      </c>
      <c r="F190" s="41">
        <f t="shared" si="0"/>
        <v>216.14112</v>
      </c>
      <c r="G190" s="205"/>
      <c r="H190" s="205"/>
      <c r="I190" s="36"/>
      <c r="L190" s="93"/>
      <c r="M190" s="93"/>
      <c r="N190" s="36"/>
    </row>
    <row r="191" spans="1:14" s="46" customFormat="1" ht="15.75" customHeight="1" x14ac:dyDescent="0.35">
      <c r="A191" s="53" t="s">
        <v>191</v>
      </c>
      <c r="B191" s="41">
        <f t="shared" si="1"/>
        <v>31</v>
      </c>
      <c r="C191" s="53" t="s">
        <v>194</v>
      </c>
      <c r="D191" s="54">
        <f>(43.5)*10.764</f>
        <v>468.23399999999998</v>
      </c>
      <c r="E191" s="41">
        <v>0</v>
      </c>
      <c r="F191" s="41">
        <f t="shared" si="0"/>
        <v>749.17439999999999</v>
      </c>
      <c r="G191" s="205"/>
      <c r="H191" s="205"/>
      <c r="I191" s="36">
        <f>1.82+3.32*0.5*4.44+0.56*4.51+2.09*0.5+2.09*0.7*0.5</f>
        <v>13.492500000000001</v>
      </c>
      <c r="L191" s="93"/>
      <c r="M191" s="93"/>
      <c r="N191" s="36"/>
    </row>
    <row r="192" spans="1:14" s="46" customFormat="1" ht="15.75" customHeight="1" x14ac:dyDescent="0.35">
      <c r="A192" s="53" t="s">
        <v>195</v>
      </c>
      <c r="B192" s="41">
        <f t="shared" si="1"/>
        <v>32</v>
      </c>
      <c r="C192" s="53" t="s">
        <v>194</v>
      </c>
      <c r="D192" s="54">
        <f>(12.76)*10.764</f>
        <v>137.34863999999999</v>
      </c>
      <c r="E192" s="41">
        <v>0</v>
      </c>
      <c r="F192" s="41">
        <f t="shared" si="0"/>
        <v>219.757824</v>
      </c>
      <c r="G192" s="205"/>
      <c r="H192" s="205"/>
      <c r="I192" s="36"/>
      <c r="L192" s="93"/>
      <c r="M192" s="93"/>
      <c r="N192" s="36"/>
    </row>
    <row r="193" spans="1:14" s="46" customFormat="1" ht="15.75" customHeight="1" x14ac:dyDescent="0.35">
      <c r="A193" s="53" t="s">
        <v>195</v>
      </c>
      <c r="B193" s="41">
        <f t="shared" si="1"/>
        <v>33</v>
      </c>
      <c r="C193" s="53" t="s">
        <v>194</v>
      </c>
      <c r="D193" s="54">
        <f>(17.26)*10.764</f>
        <v>185.78664000000001</v>
      </c>
      <c r="E193" s="41">
        <v>0</v>
      </c>
      <c r="F193" s="41">
        <f t="shared" si="0"/>
        <v>297.258624</v>
      </c>
      <c r="G193" s="205"/>
      <c r="H193" s="205"/>
      <c r="I193" s="36"/>
      <c r="L193" s="93"/>
      <c r="M193" s="93"/>
      <c r="N193" s="36"/>
    </row>
    <row r="194" spans="1:14" s="46" customFormat="1" ht="15.75" customHeight="1" x14ac:dyDescent="0.35">
      <c r="A194" s="53" t="s">
        <v>195</v>
      </c>
      <c r="B194" s="41">
        <f t="shared" si="1"/>
        <v>34</v>
      </c>
      <c r="C194" s="53" t="s">
        <v>194</v>
      </c>
      <c r="D194" s="54">
        <f>(6.37)*10.764</f>
        <v>68.566679999999991</v>
      </c>
      <c r="E194" s="41">
        <v>0</v>
      </c>
      <c r="F194" s="41">
        <f t="shared" si="0"/>
        <v>109.70668799999999</v>
      </c>
      <c r="G194" s="205"/>
      <c r="H194" s="205"/>
      <c r="I194" s="36"/>
      <c r="L194" s="93"/>
      <c r="M194" s="93"/>
      <c r="N194" s="36"/>
    </row>
    <row r="195" spans="1:14" s="46" customFormat="1" ht="15.75" customHeight="1" x14ac:dyDescent="0.35">
      <c r="A195" s="53" t="s">
        <v>191</v>
      </c>
      <c r="B195" s="41">
        <f t="shared" si="1"/>
        <v>35</v>
      </c>
      <c r="C195" s="53" t="s">
        <v>194</v>
      </c>
      <c r="D195" s="54">
        <f>(13.65)*10.764</f>
        <v>146.92859999999999</v>
      </c>
      <c r="E195" s="41">
        <v>0</v>
      </c>
      <c r="F195" s="41">
        <f t="shared" si="0"/>
        <v>235.08575999999999</v>
      </c>
      <c r="G195" s="205"/>
      <c r="H195" s="205"/>
      <c r="I195" s="36"/>
      <c r="L195" s="93"/>
      <c r="M195" s="93"/>
      <c r="N195" s="36"/>
    </row>
    <row r="196" spans="1:14" s="46" customFormat="1" ht="15.75" customHeight="1" x14ac:dyDescent="0.35">
      <c r="A196" s="53" t="s">
        <v>195</v>
      </c>
      <c r="B196" s="41">
        <f t="shared" si="1"/>
        <v>36</v>
      </c>
      <c r="C196" s="53" t="s">
        <v>194</v>
      </c>
      <c r="D196" s="54">
        <f>(18.85)*10.764</f>
        <v>202.9014</v>
      </c>
      <c r="E196" s="41">
        <v>0</v>
      </c>
      <c r="F196" s="41">
        <f t="shared" si="0"/>
        <v>324.64224000000002</v>
      </c>
      <c r="G196" s="205"/>
      <c r="H196" s="205"/>
      <c r="I196" s="36"/>
      <c r="L196" s="93"/>
      <c r="M196" s="93"/>
      <c r="N196" s="36"/>
    </row>
    <row r="197" spans="1:14" s="46" customFormat="1" ht="15.75" customHeight="1" x14ac:dyDescent="0.35">
      <c r="A197" s="53" t="s">
        <v>195</v>
      </c>
      <c r="B197" s="41">
        <f t="shared" si="1"/>
        <v>37</v>
      </c>
      <c r="C197" s="53" t="s">
        <v>194</v>
      </c>
      <c r="D197" s="54">
        <f>(12.09)*10.764</f>
        <v>130.13675999999998</v>
      </c>
      <c r="E197" s="41">
        <v>0</v>
      </c>
      <c r="F197" s="41">
        <f t="shared" si="0"/>
        <v>208.21881599999998</v>
      </c>
      <c r="G197" s="205"/>
      <c r="H197" s="205"/>
      <c r="I197" s="36"/>
      <c r="L197" s="93"/>
      <c r="M197" s="93"/>
      <c r="N197" s="36"/>
    </row>
    <row r="198" spans="1:14" s="46" customFormat="1" ht="15.75" customHeight="1" x14ac:dyDescent="0.35">
      <c r="A198" s="53" t="s">
        <v>195</v>
      </c>
      <c r="B198" s="41">
        <f t="shared" si="1"/>
        <v>38</v>
      </c>
      <c r="C198" s="53" t="s">
        <v>194</v>
      </c>
      <c r="D198" s="54">
        <f>(17.32)*10.764</f>
        <v>186.43248</v>
      </c>
      <c r="E198" s="41">
        <v>0</v>
      </c>
      <c r="F198" s="41">
        <f t="shared" si="0"/>
        <v>298.291968</v>
      </c>
      <c r="G198" s="205"/>
      <c r="H198" s="205"/>
      <c r="I198" s="36"/>
      <c r="L198" s="93"/>
      <c r="M198" s="93"/>
      <c r="N198" s="36"/>
    </row>
    <row r="199" spans="1:14" s="46" customFormat="1" ht="15.75" customHeight="1" x14ac:dyDescent="0.35">
      <c r="A199" s="53" t="s">
        <v>195</v>
      </c>
      <c r="B199" s="41">
        <f t="shared" si="1"/>
        <v>39</v>
      </c>
      <c r="C199" s="53" t="s">
        <v>194</v>
      </c>
      <c r="D199" s="54">
        <f>(15.86)*10.764</f>
        <v>170.71704</v>
      </c>
      <c r="E199" s="41">
        <v>0</v>
      </c>
      <c r="F199" s="41">
        <f>(D199+E199)*(($F$156)+1)</f>
        <v>273.14726400000001</v>
      </c>
      <c r="G199" s="205"/>
      <c r="H199" s="205"/>
      <c r="I199" s="36"/>
      <c r="L199" s="93"/>
      <c r="M199" s="93"/>
      <c r="N199" s="36"/>
    </row>
    <row r="200" spans="1:14" s="46" customFormat="1" x14ac:dyDescent="0.35">
      <c r="A200" s="80"/>
      <c r="B200" s="177"/>
      <c r="C200" s="177"/>
      <c r="D200" s="177"/>
      <c r="E200" s="177"/>
      <c r="F200" s="177"/>
      <c r="G200" s="177"/>
      <c r="H200" s="81"/>
      <c r="I200" s="36"/>
      <c r="N200" s="36"/>
    </row>
    <row r="201" spans="1:14" ht="47.25" customHeight="1" x14ac:dyDescent="0.35">
      <c r="A201" s="118" t="s">
        <v>122</v>
      </c>
      <c r="B201" s="118" t="s">
        <v>123</v>
      </c>
      <c r="C201" s="73" t="s">
        <v>59</v>
      </c>
      <c r="D201" s="73" t="s">
        <v>60</v>
      </c>
      <c r="E201" s="116" t="s">
        <v>61</v>
      </c>
      <c r="F201" s="42" t="s">
        <v>153</v>
      </c>
      <c r="G201" s="118" t="s">
        <v>62</v>
      </c>
      <c r="H201" s="119"/>
      <c r="I201" s="36"/>
    </row>
    <row r="202" spans="1:14" s="46" customFormat="1" x14ac:dyDescent="0.35">
      <c r="A202" s="120"/>
      <c r="B202" s="120"/>
      <c r="C202" s="74"/>
      <c r="D202" s="74"/>
      <c r="E202" s="117"/>
      <c r="F202" s="13">
        <v>0.5</v>
      </c>
      <c r="G202" s="120"/>
      <c r="H202" s="121"/>
      <c r="I202" s="36"/>
      <c r="K202" s="54">
        <v>10.763999999999999</v>
      </c>
    </row>
    <row r="203" spans="1:14" s="46" customFormat="1" x14ac:dyDescent="0.35">
      <c r="A203" s="204" t="s">
        <v>196</v>
      </c>
      <c r="B203" s="204"/>
      <c r="C203" s="204"/>
      <c r="D203" s="204"/>
      <c r="E203" s="204"/>
      <c r="F203" s="204"/>
      <c r="G203" s="204"/>
      <c r="H203" s="204"/>
      <c r="J203" s="36"/>
    </row>
    <row r="204" spans="1:14" s="46" customFormat="1" x14ac:dyDescent="0.35">
      <c r="A204" s="204" t="s">
        <v>198</v>
      </c>
      <c r="B204" s="204"/>
      <c r="C204" s="204"/>
      <c r="D204" s="204"/>
      <c r="E204" s="204"/>
      <c r="F204" s="204"/>
      <c r="G204" s="204"/>
      <c r="H204" s="204"/>
      <c r="J204" s="36"/>
    </row>
    <row r="205" spans="1:14" s="46" customFormat="1" x14ac:dyDescent="0.35">
      <c r="A205" s="204" t="s">
        <v>225</v>
      </c>
      <c r="B205" s="204"/>
      <c r="C205" s="204"/>
      <c r="D205" s="204"/>
      <c r="E205" s="204"/>
      <c r="F205" s="204"/>
      <c r="G205" s="204"/>
      <c r="H205" s="204"/>
      <c r="J205" s="36"/>
    </row>
    <row r="206" spans="1:14" s="46" customFormat="1" x14ac:dyDescent="0.35">
      <c r="A206" s="204" t="s">
        <v>197</v>
      </c>
      <c r="B206" s="204"/>
      <c r="C206" s="204"/>
      <c r="D206" s="204"/>
      <c r="E206" s="204"/>
      <c r="F206" s="204"/>
      <c r="G206" s="204"/>
      <c r="H206" s="204"/>
      <c r="J206" s="36"/>
    </row>
    <row r="207" spans="1:14" s="46" customFormat="1" x14ac:dyDescent="0.35">
      <c r="A207" s="204" t="s">
        <v>199</v>
      </c>
      <c r="B207" s="204"/>
      <c r="C207" s="204"/>
      <c r="D207" s="204"/>
      <c r="E207" s="204"/>
      <c r="F207" s="204"/>
      <c r="G207" s="204"/>
      <c r="H207" s="204"/>
      <c r="J207" s="36"/>
    </row>
    <row r="208" spans="1:14" s="46" customFormat="1" ht="15.75" customHeight="1" x14ac:dyDescent="0.35">
      <c r="A208" s="205">
        <v>1</v>
      </c>
      <c r="B208" s="205"/>
      <c r="C208" s="51" t="s">
        <v>200</v>
      </c>
      <c r="D208" s="54">
        <f>(66.4)*10.764</f>
        <v>714.7296</v>
      </c>
      <c r="E208" s="41">
        <f>3.65*2.38*10.764</f>
        <v>93.506867999999983</v>
      </c>
      <c r="F208" s="41">
        <f>D208*(($F$202)+1)+(IF(E208&lt;101,E208,IF(E208&lt;201,E208/2,IF(E208&lt;=301,E208/3,E208/4))))</f>
        <v>1165.6012679999999</v>
      </c>
      <c r="G208" s="205" t="str">
        <f>A207</f>
        <v>2nd Floor For Residential</v>
      </c>
      <c r="H208" s="205"/>
      <c r="I208" s="41">
        <f>(4.72*4.88+3.65*2.5+3.65*3.05+3.2*4.11+2.19*1.37+1.42*2.29)</f>
        <v>62.695200000000007</v>
      </c>
      <c r="L208" s="93"/>
      <c r="M208" s="93"/>
      <c r="N208" s="36"/>
    </row>
    <row r="209" spans="1:14" s="46" customFormat="1" ht="15.75" customHeight="1" x14ac:dyDescent="0.35">
      <c r="A209" s="205">
        <f>A208+1</f>
        <v>2</v>
      </c>
      <c r="B209" s="205"/>
      <c r="C209" s="51" t="s">
        <v>201</v>
      </c>
      <c r="D209" s="54">
        <f>(97.38)*10.764</f>
        <v>1048.19832</v>
      </c>
      <c r="E209" s="41">
        <v>0</v>
      </c>
      <c r="F209" s="41">
        <f>D209*(($F$202)+1)+(IF(E209&lt;101,E209,IF(E209&lt;201,E209/2,IF(E209&lt;=301,E209/3,E209/4))))</f>
        <v>1572.29748</v>
      </c>
      <c r="G209" s="205"/>
      <c r="H209" s="205"/>
      <c r="I209" s="36"/>
      <c r="L209" s="93"/>
      <c r="M209" s="93"/>
      <c r="N209" s="36"/>
    </row>
    <row r="210" spans="1:14" s="46" customFormat="1" ht="15.75" customHeight="1" x14ac:dyDescent="0.35">
      <c r="A210" s="205">
        <f>A209+1</f>
        <v>3</v>
      </c>
      <c r="B210" s="205"/>
      <c r="C210" s="51" t="s">
        <v>200</v>
      </c>
      <c r="D210" s="54">
        <f>(69.2)*10.764</f>
        <v>744.86879999999996</v>
      </c>
      <c r="E210" s="41">
        <v>0</v>
      </c>
      <c r="F210" s="41">
        <f>D210*(($F$202)+1)+(IF(E210&lt;101,E210,IF(E210&lt;201,E210/2,IF(E210&lt;=301,E210/3,E210/4))))</f>
        <v>1117.3031999999998</v>
      </c>
      <c r="G210" s="205"/>
      <c r="H210" s="205"/>
      <c r="I210" s="36"/>
      <c r="L210" s="93"/>
      <c r="M210" s="93"/>
      <c r="N210" s="36"/>
    </row>
    <row r="211" spans="1:14" s="46" customFormat="1" ht="15.75" customHeight="1" x14ac:dyDescent="0.35">
      <c r="A211" s="205">
        <f>A210+1</f>
        <v>4</v>
      </c>
      <c r="B211" s="205"/>
      <c r="C211" s="51" t="s">
        <v>202</v>
      </c>
      <c r="D211" s="54">
        <f>(56.1)*10.764</f>
        <v>603.86040000000003</v>
      </c>
      <c r="E211" s="41">
        <v>0</v>
      </c>
      <c r="F211" s="41">
        <f>D211*(($F$202)+1)+(IF(E211&lt;101,E211,IF(E211&lt;201,E211/2,IF(E211&lt;=301,E211/3,E211/4))))</f>
        <v>905.79060000000004</v>
      </c>
      <c r="G211" s="205"/>
      <c r="H211" s="205"/>
      <c r="I211" s="36"/>
      <c r="L211" s="93"/>
      <c r="M211" s="93"/>
      <c r="N211" s="36"/>
    </row>
    <row r="212" spans="1:14" s="46" customFormat="1" x14ac:dyDescent="0.35">
      <c r="A212" s="204" t="s">
        <v>236</v>
      </c>
      <c r="B212" s="204"/>
      <c r="C212" s="204"/>
      <c r="D212" s="204"/>
      <c r="E212" s="204"/>
      <c r="F212" s="204"/>
      <c r="G212" s="204"/>
      <c r="H212" s="204"/>
      <c r="J212" s="36"/>
    </row>
    <row r="213" spans="1:14" s="46" customFormat="1" ht="15.75" customHeight="1" x14ac:dyDescent="0.35">
      <c r="A213" s="80">
        <v>1</v>
      </c>
      <c r="B213" s="81"/>
      <c r="C213" s="51" t="s">
        <v>200</v>
      </c>
      <c r="D213" s="54">
        <f>(66.4)*10.764</f>
        <v>714.7296</v>
      </c>
      <c r="E213" s="41">
        <v>0</v>
      </c>
      <c r="F213" s="41">
        <f>D213*(($F$202)+1)+(IF(E213&lt;101,E213,IF(E213&lt;201,E213/2,IF(E213&lt;=301,E213/3,E213/4))))</f>
        <v>1072.0944</v>
      </c>
      <c r="G213" s="168" t="str">
        <f>A212</f>
        <v>3rd Floor For Residential</v>
      </c>
      <c r="H213" s="169"/>
      <c r="I213" s="41">
        <f>(4.72*4.88+3.65*2.5+3.65*3.05+3.2*4.11+2.19*1.37+1.42*2.29)</f>
        <v>62.695200000000007</v>
      </c>
      <c r="L213" s="93"/>
      <c r="M213" s="93"/>
      <c r="N213" s="36"/>
    </row>
    <row r="214" spans="1:14" s="46" customFormat="1" ht="15.75" customHeight="1" x14ac:dyDescent="0.35">
      <c r="A214" s="80">
        <v>2</v>
      </c>
      <c r="B214" s="81"/>
      <c r="C214" s="51" t="s">
        <v>201</v>
      </c>
      <c r="D214" s="54">
        <f>(97.38)*10.764</f>
        <v>1048.19832</v>
      </c>
      <c r="E214" s="41">
        <f>(2.75*3.26+2.34*3.65)*10.764</f>
        <v>188.434584</v>
      </c>
      <c r="F214" s="41">
        <f>D214*(($F$202)+1)+(IF(E214&lt;101,E214,IF(E214&lt;201,E214/2,IF(E214&lt;=301,E214/3,E214/4))))</f>
        <v>1666.514772</v>
      </c>
      <c r="G214" s="170"/>
      <c r="H214" s="171"/>
      <c r="I214" s="36"/>
      <c r="L214" s="93"/>
      <c r="M214" s="93"/>
      <c r="N214" s="36"/>
    </row>
    <row r="215" spans="1:14" s="46" customFormat="1" ht="15.75" customHeight="1" x14ac:dyDescent="0.35">
      <c r="A215" s="80">
        <v>3</v>
      </c>
      <c r="B215" s="81"/>
      <c r="C215" s="51" t="s">
        <v>200</v>
      </c>
      <c r="D215" s="54">
        <f>(69.2)*10.764</f>
        <v>744.86879999999996</v>
      </c>
      <c r="E215" s="41">
        <f>(2.47*2.75)*10.764</f>
        <v>73.114469999999997</v>
      </c>
      <c r="F215" s="41">
        <f>D215*(($F$202)+1)+(IF(E215&lt;101,E215,IF(E215&lt;201,E215/2,IF(E215&lt;=301,E215/3,E215/4))))</f>
        <v>1190.4176699999998</v>
      </c>
      <c r="G215" s="170"/>
      <c r="H215" s="171"/>
      <c r="I215" s="36"/>
      <c r="L215" s="93"/>
      <c r="M215" s="93"/>
      <c r="N215" s="36"/>
    </row>
    <row r="216" spans="1:14" s="46" customFormat="1" ht="15.75" customHeight="1" x14ac:dyDescent="0.35">
      <c r="A216" s="80">
        <v>4</v>
      </c>
      <c r="B216" s="81"/>
      <c r="C216" s="51" t="s">
        <v>201</v>
      </c>
      <c r="D216" s="54">
        <f>(93.7)*10.764</f>
        <v>1008.5867999999999</v>
      </c>
      <c r="E216" s="41">
        <v>0</v>
      </c>
      <c r="F216" s="41">
        <f>D216*(($F$202)+1)+(IF(E216&lt;101,E216,IF(E216&lt;201,E216/2,IF(E216&lt;=301,E216/3,E216/4))))</f>
        <v>1512.8801999999998</v>
      </c>
      <c r="G216" s="170"/>
      <c r="H216" s="171"/>
      <c r="I216" s="36"/>
      <c r="L216" s="93"/>
      <c r="M216" s="93"/>
      <c r="N216" s="36"/>
    </row>
    <row r="217" spans="1:14" s="46" customFormat="1" ht="15.75" customHeight="1" x14ac:dyDescent="0.35">
      <c r="A217" s="80">
        <v>5</v>
      </c>
      <c r="B217" s="81"/>
      <c r="C217" s="51" t="s">
        <v>200</v>
      </c>
      <c r="D217" s="54">
        <f>(53.05)*10.764</f>
        <v>571.03019999999992</v>
      </c>
      <c r="E217" s="41">
        <v>0</v>
      </c>
      <c r="F217" s="41">
        <f>D217*(($F$202)+1)+(IF(E217&lt;101,E217,IF(E217&lt;201,E217/2,IF(E217&lt;=301,E217/3,E217/4))))</f>
        <v>856.54529999999988</v>
      </c>
      <c r="G217" s="172"/>
      <c r="H217" s="173"/>
      <c r="I217" s="36"/>
      <c r="L217" s="93"/>
      <c r="M217" s="93"/>
      <c r="N217" s="36"/>
    </row>
    <row r="218" spans="1:14" s="46" customFormat="1" x14ac:dyDescent="0.35">
      <c r="A218" s="130" t="s">
        <v>237</v>
      </c>
      <c r="B218" s="131"/>
      <c r="C218" s="131"/>
      <c r="D218" s="131"/>
      <c r="E218" s="131"/>
      <c r="F218" s="131"/>
      <c r="G218" s="131"/>
      <c r="H218" s="132"/>
      <c r="J218" s="36"/>
    </row>
    <row r="219" spans="1:14" s="46" customFormat="1" ht="15.75" customHeight="1" x14ac:dyDescent="0.35">
      <c r="A219" s="80">
        <v>1</v>
      </c>
      <c r="B219" s="81"/>
      <c r="C219" s="51" t="s">
        <v>200</v>
      </c>
      <c r="D219" s="54">
        <f>(66.4)*10.764</f>
        <v>714.7296</v>
      </c>
      <c r="E219" s="41">
        <v>0</v>
      </c>
      <c r="F219" s="41">
        <f>D219*(($F$202)+1)+(IF(E219&lt;101,E219,IF(E219&lt;201,E219/2,IF(E219&lt;=301,E219/3,E219/4))))</f>
        <v>1072.0944</v>
      </c>
      <c r="G219" s="168" t="str">
        <f>A218</f>
        <v xml:space="preserve">4th &amp; 5th Floor </v>
      </c>
      <c r="H219" s="169"/>
      <c r="I219" s="41">
        <f>(4.72*4.88+3.65*2.5+3.65*3.05+3.2*4.11+2.19*1.37+1.42*2.29)</f>
        <v>62.695200000000007</v>
      </c>
      <c r="L219" s="93"/>
      <c r="M219" s="93"/>
      <c r="N219" s="36"/>
    </row>
    <row r="220" spans="1:14" s="46" customFormat="1" ht="15.75" customHeight="1" x14ac:dyDescent="0.35">
      <c r="A220" s="80">
        <v>2</v>
      </c>
      <c r="B220" s="81"/>
      <c r="C220" s="51" t="s">
        <v>201</v>
      </c>
      <c r="D220" s="54">
        <f>(97.38)*10.764</f>
        <v>1048.19832</v>
      </c>
      <c r="E220" s="41">
        <v>0</v>
      </c>
      <c r="F220" s="41">
        <f>D220*(($F$202)+1)+(IF(E220&lt;101,E220,IF(E220&lt;201,E220/2,IF(E220&lt;=301,E220/3,E220/4))))</f>
        <v>1572.29748</v>
      </c>
      <c r="G220" s="170"/>
      <c r="H220" s="171"/>
      <c r="I220" s="36"/>
      <c r="L220" s="93"/>
      <c r="M220" s="93"/>
      <c r="N220" s="36"/>
    </row>
    <row r="221" spans="1:14" s="46" customFormat="1" ht="15.75" customHeight="1" x14ac:dyDescent="0.35">
      <c r="A221" s="80">
        <v>3</v>
      </c>
      <c r="B221" s="81"/>
      <c r="C221" s="51" t="s">
        <v>200</v>
      </c>
      <c r="D221" s="54">
        <f>(69.2)*10.764</f>
        <v>744.86879999999996</v>
      </c>
      <c r="E221" s="41">
        <v>0</v>
      </c>
      <c r="F221" s="41">
        <f>D221*(($F$202)+1)+(IF(E221&lt;101,E221,IF(E221&lt;201,E221/2,IF(E221&lt;=301,E221/3,E221/4))))</f>
        <v>1117.3031999999998</v>
      </c>
      <c r="G221" s="170"/>
      <c r="H221" s="171"/>
      <c r="I221" s="36"/>
      <c r="L221" s="93"/>
      <c r="M221" s="93"/>
      <c r="N221" s="36"/>
    </row>
    <row r="222" spans="1:14" s="46" customFormat="1" ht="15.75" customHeight="1" x14ac:dyDescent="0.35">
      <c r="A222" s="80">
        <v>4</v>
      </c>
      <c r="B222" s="81"/>
      <c r="C222" s="51" t="s">
        <v>201</v>
      </c>
      <c r="D222" s="54">
        <f>(93.7)*10.764</f>
        <v>1008.5867999999999</v>
      </c>
      <c r="E222" s="41">
        <v>0</v>
      </c>
      <c r="F222" s="41">
        <f>D222*(($F$202)+1)+(IF(E222&lt;101,E222,IF(E222&lt;201,E222/2,IF(E222&lt;=301,E222/3,E222/4))))</f>
        <v>1512.8801999999998</v>
      </c>
      <c r="G222" s="170"/>
      <c r="H222" s="171"/>
      <c r="I222" s="36"/>
      <c r="L222" s="93"/>
      <c r="M222" s="93"/>
      <c r="N222" s="36"/>
    </row>
    <row r="223" spans="1:14" s="46" customFormat="1" ht="15.75" customHeight="1" x14ac:dyDescent="0.35">
      <c r="A223" s="80">
        <v>5</v>
      </c>
      <c r="B223" s="81"/>
      <c r="C223" s="51" t="s">
        <v>200</v>
      </c>
      <c r="D223" s="54">
        <f>(53.05)*10.764</f>
        <v>571.03019999999992</v>
      </c>
      <c r="E223" s="41">
        <v>0</v>
      </c>
      <c r="F223" s="41">
        <f>D223*(($F$202)+1)+(IF(E223&lt;101,E223,IF(E223&lt;201,E223/2,IF(E223&lt;=301,E223/3,E223/4))))</f>
        <v>856.54529999999988</v>
      </c>
      <c r="G223" s="172"/>
      <c r="H223" s="173"/>
      <c r="I223" s="36"/>
      <c r="L223" s="93"/>
      <c r="M223" s="93"/>
      <c r="N223" s="36"/>
    </row>
    <row r="224" spans="1:14" s="46" customFormat="1" x14ac:dyDescent="0.35">
      <c r="A224" s="130" t="s">
        <v>210</v>
      </c>
      <c r="B224" s="131"/>
      <c r="C224" s="131"/>
      <c r="D224" s="131"/>
      <c r="E224" s="131"/>
      <c r="F224" s="131"/>
      <c r="G224" s="131"/>
      <c r="H224" s="132"/>
      <c r="J224" s="36"/>
    </row>
    <row r="225" spans="1:14" s="46" customFormat="1" ht="15.75" customHeight="1" x14ac:dyDescent="0.35">
      <c r="A225" s="80">
        <v>1</v>
      </c>
      <c r="B225" s="81"/>
      <c r="C225" s="51" t="s">
        <v>200</v>
      </c>
      <c r="D225" s="54">
        <f>(66.4)*10.764</f>
        <v>714.7296</v>
      </c>
      <c r="E225" s="41">
        <v>0</v>
      </c>
      <c r="F225" s="41">
        <f>D225*(($F$202)+1)+(IF(E225&lt;101,E225,IF(E225&lt;201,E225/2,IF(E225&lt;=301,E225/3,E225/4))))</f>
        <v>1072.0944</v>
      </c>
      <c r="G225" s="168" t="str">
        <f>A224</f>
        <v>6th, 8th, 9th, 10th, 11th, 12th, 13th, 15th, 16th &amp; 17th Floor</v>
      </c>
      <c r="H225" s="169"/>
      <c r="I225" s="41">
        <f>(4.72*4.88+3.65*2.5+3.65*3.05+3.2*4.11+2.19*1.37+1.42*2.29)</f>
        <v>62.695200000000007</v>
      </c>
      <c r="L225" s="93"/>
      <c r="M225" s="93"/>
      <c r="N225" s="36"/>
    </row>
    <row r="226" spans="1:14" s="46" customFormat="1" ht="15.75" customHeight="1" x14ac:dyDescent="0.35">
      <c r="A226" s="80">
        <v>2</v>
      </c>
      <c r="B226" s="81"/>
      <c r="C226" s="51" t="s">
        <v>201</v>
      </c>
      <c r="D226" s="54">
        <f>(97.38)*10.764</f>
        <v>1048.19832</v>
      </c>
      <c r="E226" s="41">
        <v>0</v>
      </c>
      <c r="F226" s="41">
        <f>D226*(($F$202)+1)+(IF(E226&lt;101,E226,IF(E226&lt;201,E226/2,IF(E226&lt;=301,E226/3,E226/4))))</f>
        <v>1572.29748</v>
      </c>
      <c r="G226" s="170"/>
      <c r="H226" s="171"/>
      <c r="I226" s="36"/>
      <c r="L226" s="93"/>
      <c r="M226" s="93"/>
      <c r="N226" s="36"/>
    </row>
    <row r="227" spans="1:14" s="46" customFormat="1" ht="15.75" customHeight="1" x14ac:dyDescent="0.35">
      <c r="A227" s="80">
        <v>3</v>
      </c>
      <c r="B227" s="81"/>
      <c r="C227" s="51" t="s">
        <v>200</v>
      </c>
      <c r="D227" s="54">
        <f>(69.2)*10.764</f>
        <v>744.86879999999996</v>
      </c>
      <c r="E227" s="41">
        <v>0</v>
      </c>
      <c r="F227" s="41">
        <f>D227*(($F$202)+1)+(IF(E227&lt;101,E227,IF(E227&lt;201,E227/2,IF(E227&lt;=301,E227/3,E227/4))))</f>
        <v>1117.3031999999998</v>
      </c>
      <c r="G227" s="170"/>
      <c r="H227" s="171"/>
      <c r="I227" s="36"/>
      <c r="L227" s="93"/>
      <c r="M227" s="93"/>
      <c r="N227" s="36"/>
    </row>
    <row r="228" spans="1:14" s="46" customFormat="1" ht="15.75" customHeight="1" x14ac:dyDescent="0.35">
      <c r="A228" s="80">
        <v>4</v>
      </c>
      <c r="B228" s="81"/>
      <c r="C228" s="51" t="s">
        <v>201</v>
      </c>
      <c r="D228" s="54">
        <f>(93.7)*10.764</f>
        <v>1008.5867999999999</v>
      </c>
      <c r="E228" s="41">
        <v>0</v>
      </c>
      <c r="F228" s="41">
        <f>D228*(($F$202)+1)+(IF(E228&lt;101,E228,IF(E228&lt;201,E228/2,IF(E228&lt;=301,E228/3,E228/4))))</f>
        <v>1512.8801999999998</v>
      </c>
      <c r="G228" s="170"/>
      <c r="H228" s="171"/>
      <c r="I228" s="36"/>
      <c r="L228" s="93"/>
      <c r="M228" s="93"/>
      <c r="N228" s="36"/>
    </row>
    <row r="229" spans="1:14" s="46" customFormat="1" ht="15.75" customHeight="1" x14ac:dyDescent="0.35">
      <c r="A229" s="80">
        <v>5</v>
      </c>
      <c r="B229" s="81"/>
      <c r="C229" s="51" t="s">
        <v>200</v>
      </c>
      <c r="D229" s="54">
        <f>(53.05)*10.764</f>
        <v>571.03019999999992</v>
      </c>
      <c r="E229" s="41">
        <v>0</v>
      </c>
      <c r="F229" s="41">
        <f>D229*(($F$202)+1)+(IF(E229&lt;101,E229,IF(E229&lt;201,E229/2,IF(E229&lt;=301,E229/3,E229/4))))</f>
        <v>856.54529999999988</v>
      </c>
      <c r="G229" s="172"/>
      <c r="H229" s="173"/>
      <c r="I229" s="36"/>
      <c r="L229" s="93"/>
      <c r="M229" s="93"/>
      <c r="N229" s="36"/>
    </row>
    <row r="230" spans="1:14" s="46" customFormat="1" x14ac:dyDescent="0.35">
      <c r="A230" s="130" t="s">
        <v>211</v>
      </c>
      <c r="B230" s="131"/>
      <c r="C230" s="131"/>
      <c r="D230" s="131"/>
      <c r="E230" s="131"/>
      <c r="F230" s="131"/>
      <c r="G230" s="131"/>
      <c r="H230" s="132"/>
      <c r="J230" s="36"/>
    </row>
    <row r="231" spans="1:14" s="46" customFormat="1" ht="15.75" customHeight="1" x14ac:dyDescent="0.35">
      <c r="A231" s="80">
        <v>1</v>
      </c>
      <c r="B231" s="81"/>
      <c r="C231" s="51" t="s">
        <v>200</v>
      </c>
      <c r="D231" s="54">
        <f>(66.4)*10.764</f>
        <v>714.7296</v>
      </c>
      <c r="E231" s="41">
        <v>0</v>
      </c>
      <c r="F231" s="41">
        <f>D231*(($F$202)+1)+(IF(E231&lt;101,E231,IF(E231&lt;201,E231/2,IF(E231&lt;=301,E231/3,E231/4))))</f>
        <v>1072.0944</v>
      </c>
      <c r="G231" s="168" t="str">
        <f>A230</f>
        <v>7th Floor (Part Refuge Area)</v>
      </c>
      <c r="H231" s="169"/>
      <c r="I231" s="41">
        <f>(4.72*4.88+3.65*2.5+3.65*3.05+3.2*4.11+2.19*1.37+1.42*2.29)</f>
        <v>62.695200000000007</v>
      </c>
      <c r="L231" s="93"/>
      <c r="M231" s="93"/>
      <c r="N231" s="36"/>
    </row>
    <row r="232" spans="1:14" s="46" customFormat="1" ht="15.75" customHeight="1" x14ac:dyDescent="0.35">
      <c r="A232" s="80">
        <v>2</v>
      </c>
      <c r="B232" s="81"/>
      <c r="C232" s="51" t="s">
        <v>201</v>
      </c>
      <c r="D232" s="54">
        <f>(97.38)*10.764</f>
        <v>1048.19832</v>
      </c>
      <c r="E232" s="41">
        <v>0</v>
      </c>
      <c r="F232" s="41">
        <f>D232*(($F$202)+1)+(IF(E232&lt;101,E232,IF(E232&lt;201,E232/2,IF(E232&lt;=301,E232/3,E232/4))))</f>
        <v>1572.29748</v>
      </c>
      <c r="G232" s="170"/>
      <c r="H232" s="171"/>
      <c r="I232" s="36"/>
      <c r="L232" s="93"/>
      <c r="M232" s="93"/>
      <c r="N232" s="36"/>
    </row>
    <row r="233" spans="1:14" s="46" customFormat="1" ht="15.75" customHeight="1" x14ac:dyDescent="0.35">
      <c r="A233" s="80">
        <v>3</v>
      </c>
      <c r="B233" s="81"/>
      <c r="C233" s="51" t="s">
        <v>200</v>
      </c>
      <c r="D233" s="54">
        <f>(69.2)*10.764</f>
        <v>744.86879999999996</v>
      </c>
      <c r="E233" s="41">
        <v>0</v>
      </c>
      <c r="F233" s="41">
        <f>D233*(($F$202)+1)+(IF(E233&lt;101,E233,IF(E233&lt;201,E233/2,IF(E233&lt;=301,E233/3,E233/4))))</f>
        <v>1117.3031999999998</v>
      </c>
      <c r="G233" s="170"/>
      <c r="H233" s="171"/>
      <c r="I233" s="36"/>
      <c r="L233" s="93"/>
      <c r="M233" s="93"/>
      <c r="N233" s="36"/>
    </row>
    <row r="234" spans="1:14" s="46" customFormat="1" ht="15.75" customHeight="1" x14ac:dyDescent="0.35">
      <c r="A234" s="80">
        <v>4</v>
      </c>
      <c r="B234" s="81"/>
      <c r="C234" s="192" t="s">
        <v>212</v>
      </c>
      <c r="D234" s="193"/>
      <c r="E234" s="193"/>
      <c r="F234" s="194"/>
      <c r="G234" s="170"/>
      <c r="H234" s="171"/>
      <c r="I234" s="36"/>
      <c r="L234" s="93"/>
      <c r="M234" s="93"/>
      <c r="N234" s="36"/>
    </row>
    <row r="235" spans="1:14" s="46" customFormat="1" ht="15.75" customHeight="1" x14ac:dyDescent="0.35">
      <c r="A235" s="80">
        <v>5</v>
      </c>
      <c r="B235" s="81"/>
      <c r="C235" s="51" t="s">
        <v>200</v>
      </c>
      <c r="D235" s="54">
        <f>(53.05)*10.764</f>
        <v>571.03019999999992</v>
      </c>
      <c r="E235" s="41">
        <v>0</v>
      </c>
      <c r="F235" s="41">
        <f>D235*(($F$202)+1)+(IF(E235&lt;101,E235,IF(E235&lt;201,E235/2,IF(E235&lt;=301,E235/3,E235/4))))</f>
        <v>856.54529999999988</v>
      </c>
      <c r="G235" s="172"/>
      <c r="H235" s="173"/>
      <c r="I235" s="36"/>
      <c r="L235" s="93"/>
      <c r="M235" s="93"/>
      <c r="N235" s="36"/>
    </row>
    <row r="236" spans="1:14" s="46" customFormat="1" x14ac:dyDescent="0.35">
      <c r="A236" s="130" t="s">
        <v>213</v>
      </c>
      <c r="B236" s="131"/>
      <c r="C236" s="131"/>
      <c r="D236" s="131"/>
      <c r="E236" s="131"/>
      <c r="F236" s="131"/>
      <c r="G236" s="131"/>
      <c r="H236" s="132"/>
      <c r="J236" s="36"/>
    </row>
    <row r="237" spans="1:14" s="46" customFormat="1" ht="15.75" customHeight="1" x14ac:dyDescent="0.35">
      <c r="A237" s="80">
        <v>1</v>
      </c>
      <c r="B237" s="81"/>
      <c r="C237" s="51" t="s">
        <v>200</v>
      </c>
      <c r="D237" s="54">
        <f>(66.4)*10.764</f>
        <v>714.7296</v>
      </c>
      <c r="E237" s="41">
        <v>0</v>
      </c>
      <c r="F237" s="41">
        <f>D237*(($F$202)+1)+(IF(E237&lt;101,E237,IF(E237&lt;201,E237/2,IF(E237&lt;=301,E237/3,E237/4))))</f>
        <v>1072.0944</v>
      </c>
      <c r="G237" s="168" t="str">
        <f>A236</f>
        <v>14th Floor (Part Refuge Area)</v>
      </c>
      <c r="H237" s="169"/>
      <c r="I237" s="41">
        <f>(4.72*4.88+3.65*2.5+3.65*3.05+3.2*4.11+2.19*1.37+1.42*2.29)</f>
        <v>62.695200000000007</v>
      </c>
      <c r="J237" s="46">
        <f>12000000/F237</f>
        <v>11193.044194615699</v>
      </c>
      <c r="L237" s="93"/>
      <c r="M237" s="93"/>
      <c r="N237" s="36"/>
    </row>
    <row r="238" spans="1:14" s="46" customFormat="1" ht="15.75" customHeight="1" x14ac:dyDescent="0.35">
      <c r="A238" s="80">
        <v>2</v>
      </c>
      <c r="B238" s="81"/>
      <c r="C238" s="51" t="s">
        <v>201</v>
      </c>
      <c r="D238" s="54">
        <f>(97.38)*10.764</f>
        <v>1048.19832</v>
      </c>
      <c r="E238" s="41">
        <v>0</v>
      </c>
      <c r="F238" s="41">
        <f>D238*(($F$202)+1)+(IF(E238&lt;101,E238,IF(E238&lt;201,E238/2,IF(E238&lt;=301,E238/3,E238/4))))</f>
        <v>1572.29748</v>
      </c>
      <c r="G238" s="170"/>
      <c r="H238" s="171"/>
      <c r="I238" s="36"/>
      <c r="L238" s="93"/>
      <c r="M238" s="93"/>
      <c r="N238" s="36"/>
    </row>
    <row r="239" spans="1:14" s="46" customFormat="1" ht="15.75" customHeight="1" x14ac:dyDescent="0.35">
      <c r="A239" s="80">
        <v>3</v>
      </c>
      <c r="B239" s="81"/>
      <c r="C239" s="51" t="s">
        <v>200</v>
      </c>
      <c r="D239" s="54">
        <f>(69.2)*10.764</f>
        <v>744.86879999999996</v>
      </c>
      <c r="E239" s="41">
        <v>0</v>
      </c>
      <c r="F239" s="41">
        <f>D239*(($F$202)+1)+(IF(E239&lt;101,E239,IF(E239&lt;201,E239/2,IF(E239&lt;=301,E239/3,E239/4))))</f>
        <v>1117.3031999999998</v>
      </c>
      <c r="G239" s="170"/>
      <c r="H239" s="171"/>
      <c r="I239" s="36"/>
      <c r="L239" s="93"/>
      <c r="M239" s="93"/>
      <c r="N239" s="36"/>
    </row>
    <row r="240" spans="1:14" s="46" customFormat="1" ht="15.75" customHeight="1" x14ac:dyDescent="0.35">
      <c r="A240" s="80">
        <v>4</v>
      </c>
      <c r="B240" s="81"/>
      <c r="C240" s="192" t="s">
        <v>212</v>
      </c>
      <c r="D240" s="193"/>
      <c r="E240" s="193"/>
      <c r="F240" s="194"/>
      <c r="G240" s="170"/>
      <c r="H240" s="171"/>
      <c r="I240" s="36"/>
      <c r="L240" s="93"/>
      <c r="M240" s="93"/>
      <c r="N240" s="36"/>
    </row>
    <row r="241" spans="1:14" s="46" customFormat="1" ht="15.75" customHeight="1" x14ac:dyDescent="0.35">
      <c r="A241" s="80">
        <v>5</v>
      </c>
      <c r="B241" s="81"/>
      <c r="C241" s="51" t="s">
        <v>200</v>
      </c>
      <c r="D241" s="54">
        <f>(53.05)*10.764</f>
        <v>571.03019999999992</v>
      </c>
      <c r="E241" s="41">
        <v>0</v>
      </c>
      <c r="F241" s="41">
        <f>D241*(($F$202)+1)+(IF(E241&lt;101,E241,IF(E241&lt;201,E241/2,IF(E241&lt;=301,E241/3,E241/4))))</f>
        <v>856.54529999999988</v>
      </c>
      <c r="G241" s="172"/>
      <c r="H241" s="173"/>
      <c r="I241" s="36"/>
      <c r="L241" s="93"/>
      <c r="M241" s="93"/>
      <c r="N241" s="36"/>
    </row>
    <row r="242" spans="1:14" s="46" customFormat="1" x14ac:dyDescent="0.35">
      <c r="A242" s="130" t="s">
        <v>215</v>
      </c>
      <c r="B242" s="131"/>
      <c r="C242" s="131"/>
      <c r="D242" s="131"/>
      <c r="E242" s="131"/>
      <c r="F242" s="131"/>
      <c r="G242" s="131"/>
      <c r="H242" s="132"/>
      <c r="J242" s="36"/>
    </row>
    <row r="243" spans="1:14" s="46" customFormat="1" ht="15.75" customHeight="1" x14ac:dyDescent="0.35">
      <c r="A243" s="80">
        <v>1</v>
      </c>
      <c r="B243" s="81"/>
      <c r="C243" s="51" t="s">
        <v>200</v>
      </c>
      <c r="D243" s="54">
        <f>(66.4)*10.764</f>
        <v>714.7296</v>
      </c>
      <c r="E243" s="41">
        <v>0</v>
      </c>
      <c r="F243" s="41">
        <f>D243*(($F$202)+1)+(IF(E243&lt;101,E243,IF(E243&lt;201,E243/2,IF(E243&lt;=301,E243/3,E243/4))))</f>
        <v>1072.0944</v>
      </c>
      <c r="G243" s="168" t="str">
        <f>A242</f>
        <v>18th, 19th, 20th &amp; 22nd Floor</v>
      </c>
      <c r="H243" s="169"/>
      <c r="I243" s="41">
        <f>(4.72*4.88+3.65*2.5+3.65*3.05+3.2*4.11+2.19*1.37+1.42*2.29)</f>
        <v>62.695200000000007</v>
      </c>
      <c r="L243" s="93"/>
      <c r="M243" s="93"/>
      <c r="N243" s="36"/>
    </row>
    <row r="244" spans="1:14" s="46" customFormat="1" ht="15.75" customHeight="1" x14ac:dyDescent="0.35">
      <c r="A244" s="80">
        <v>2</v>
      </c>
      <c r="B244" s="81"/>
      <c r="C244" s="51" t="s">
        <v>201</v>
      </c>
      <c r="D244" s="54">
        <f>(97.38)*10.764</f>
        <v>1048.19832</v>
      </c>
      <c r="E244" s="41">
        <v>0</v>
      </c>
      <c r="F244" s="41">
        <f>D244*(($F$202)+1)+(IF(E244&lt;101,E244,IF(E244&lt;201,E244/2,IF(E244&lt;=301,E244/3,E244/4))))</f>
        <v>1572.29748</v>
      </c>
      <c r="G244" s="170"/>
      <c r="H244" s="171"/>
      <c r="I244" s="36"/>
      <c r="L244" s="93"/>
      <c r="M244" s="93"/>
      <c r="N244" s="36"/>
    </row>
    <row r="245" spans="1:14" s="46" customFormat="1" ht="15.75" customHeight="1" x14ac:dyDescent="0.35">
      <c r="A245" s="80">
        <v>3</v>
      </c>
      <c r="B245" s="81"/>
      <c r="C245" s="51" t="s">
        <v>200</v>
      </c>
      <c r="D245" s="54">
        <f>(69.2)*10.764</f>
        <v>744.86879999999996</v>
      </c>
      <c r="E245" s="41">
        <v>0</v>
      </c>
      <c r="F245" s="41">
        <f>D245*(($F$202)+1)+(IF(E245&lt;101,E245,IF(E245&lt;201,E245/2,IF(E245&lt;=301,E245/3,E245/4))))</f>
        <v>1117.3031999999998</v>
      </c>
      <c r="G245" s="170"/>
      <c r="H245" s="171"/>
      <c r="I245" s="36"/>
      <c r="L245" s="93"/>
      <c r="M245" s="93"/>
      <c r="N245" s="36"/>
    </row>
    <row r="246" spans="1:14" s="46" customFormat="1" ht="15.75" customHeight="1" x14ac:dyDescent="0.35">
      <c r="A246" s="80">
        <v>4</v>
      </c>
      <c r="B246" s="81"/>
      <c r="C246" s="51" t="s">
        <v>201</v>
      </c>
      <c r="D246" s="54">
        <f>(93.7)*10.764</f>
        <v>1008.5867999999999</v>
      </c>
      <c r="E246" s="41">
        <v>0</v>
      </c>
      <c r="F246" s="41">
        <f>D246*(($F$202)+1)+(IF(E246&lt;101,E246,IF(E246&lt;201,E246/2,IF(E246&lt;=301,E246/3,E246/4))))</f>
        <v>1512.8801999999998</v>
      </c>
      <c r="G246" s="170"/>
      <c r="H246" s="171"/>
      <c r="I246" s="36"/>
      <c r="L246" s="93"/>
      <c r="M246" s="93"/>
      <c r="N246" s="36"/>
    </row>
    <row r="247" spans="1:14" s="46" customFormat="1" ht="15.75" customHeight="1" x14ac:dyDescent="0.35">
      <c r="A247" s="80">
        <v>5</v>
      </c>
      <c r="B247" s="81"/>
      <c r="C247" s="51" t="s">
        <v>200</v>
      </c>
      <c r="D247" s="54">
        <f>(53.05)*10.764</f>
        <v>571.03019999999992</v>
      </c>
      <c r="E247" s="41">
        <v>0</v>
      </c>
      <c r="F247" s="41">
        <f>D247*(($F$202)+1)+(IF(E247&lt;101,E247,IF(E247&lt;201,E247/2,IF(E247&lt;=301,E247/3,E247/4))))</f>
        <v>856.54529999999988</v>
      </c>
      <c r="G247" s="172"/>
      <c r="H247" s="173"/>
      <c r="I247" s="36"/>
      <c r="L247" s="93"/>
      <c r="M247" s="93"/>
      <c r="N247" s="36"/>
    </row>
    <row r="248" spans="1:14" s="46" customFormat="1" x14ac:dyDescent="0.35">
      <c r="A248" s="204" t="s">
        <v>216</v>
      </c>
      <c r="B248" s="204"/>
      <c r="C248" s="204"/>
      <c r="D248" s="204"/>
      <c r="E248" s="204"/>
      <c r="F248" s="204"/>
      <c r="G248" s="204"/>
      <c r="H248" s="204"/>
      <c r="J248" s="36"/>
    </row>
    <row r="249" spans="1:14" s="46" customFormat="1" ht="15.75" customHeight="1" x14ac:dyDescent="0.35">
      <c r="A249" s="205">
        <v>1</v>
      </c>
      <c r="B249" s="205"/>
      <c r="C249" s="51" t="s">
        <v>200</v>
      </c>
      <c r="D249" s="54">
        <f>(66.4)*10.764</f>
        <v>714.7296</v>
      </c>
      <c r="E249" s="41">
        <v>0</v>
      </c>
      <c r="F249" s="41">
        <f>D249*(($F$202)+1)+(IF(E249&lt;101,E249,IF(E249&lt;201,E249/2,IF(E249&lt;=301,E249/3,E249/4))))</f>
        <v>1072.0944</v>
      </c>
      <c r="G249" s="205" t="str">
        <f>A248</f>
        <v>21st Floor (Part Refuge Area)</v>
      </c>
      <c r="H249" s="205"/>
      <c r="I249" s="41">
        <f>(4.72*4.88+3.65*2.5+3.65*3.05+3.2*4.11+2.19*1.37+1.42*2.29)</f>
        <v>62.695200000000007</v>
      </c>
      <c r="L249" s="93"/>
      <c r="M249" s="93"/>
      <c r="N249" s="36"/>
    </row>
    <row r="250" spans="1:14" s="46" customFormat="1" ht="15.75" customHeight="1" x14ac:dyDescent="0.35">
      <c r="A250" s="205">
        <v>2</v>
      </c>
      <c r="B250" s="205"/>
      <c r="C250" s="51" t="s">
        <v>201</v>
      </c>
      <c r="D250" s="54">
        <f>(97.38)*10.764</f>
        <v>1048.19832</v>
      </c>
      <c r="E250" s="41">
        <v>0</v>
      </c>
      <c r="F250" s="41">
        <f>D250*(($F$202)+1)+(IF(E250&lt;101,E250,IF(E250&lt;201,E250/2,IF(E250&lt;=301,E250/3,E250/4))))</f>
        <v>1572.29748</v>
      </c>
      <c r="G250" s="205"/>
      <c r="H250" s="205"/>
      <c r="I250" s="36"/>
      <c r="L250" s="93"/>
      <c r="M250" s="93"/>
      <c r="N250" s="36"/>
    </row>
    <row r="251" spans="1:14" s="46" customFormat="1" ht="15.75" customHeight="1" x14ac:dyDescent="0.35">
      <c r="A251" s="205">
        <v>3</v>
      </c>
      <c r="B251" s="205"/>
      <c r="C251" s="51" t="s">
        <v>200</v>
      </c>
      <c r="D251" s="54">
        <f>(69.2)*10.764</f>
        <v>744.86879999999996</v>
      </c>
      <c r="E251" s="41">
        <v>0</v>
      </c>
      <c r="F251" s="41">
        <f>D251*(($F$202)+1)+(IF(E251&lt;101,E251,IF(E251&lt;201,E251/2,IF(E251&lt;=301,E251/3,E251/4))))</f>
        <v>1117.3031999999998</v>
      </c>
      <c r="G251" s="205"/>
      <c r="H251" s="205"/>
      <c r="I251" s="36"/>
      <c r="L251" s="93"/>
      <c r="M251" s="93"/>
      <c r="N251" s="36"/>
    </row>
    <row r="252" spans="1:14" s="46" customFormat="1" ht="15.75" customHeight="1" x14ac:dyDescent="0.35">
      <c r="A252" s="205">
        <v>4</v>
      </c>
      <c r="B252" s="205"/>
      <c r="C252" s="51" t="s">
        <v>200</v>
      </c>
      <c r="D252" s="54">
        <f>(56.75)*10.764</f>
        <v>610.85699999999997</v>
      </c>
      <c r="E252" s="41">
        <v>0</v>
      </c>
      <c r="F252" s="41">
        <f>D252*(($F$202)+1)+(IF(E252&lt;101,E252,IF(E252&lt;201,E252/2,IF(E252&lt;=301,E252/3,E252/4))))</f>
        <v>916.28549999999996</v>
      </c>
      <c r="G252" s="205"/>
      <c r="H252" s="205"/>
      <c r="I252" s="36"/>
      <c r="L252" s="93"/>
      <c r="M252" s="93"/>
      <c r="N252" s="36"/>
    </row>
    <row r="253" spans="1:14" s="46" customFormat="1" ht="15.75" customHeight="1" x14ac:dyDescent="0.35">
      <c r="A253" s="205">
        <v>5</v>
      </c>
      <c r="B253" s="205"/>
      <c r="C253" s="51" t="s">
        <v>200</v>
      </c>
      <c r="D253" s="54">
        <f>(53.05)*10.764</f>
        <v>571.03019999999992</v>
      </c>
      <c r="E253" s="41">
        <v>0</v>
      </c>
      <c r="F253" s="41">
        <f>D253*(($F$202)+1)+(IF(E253&lt;101,E253,IF(E253&lt;201,E253/2,IF(E253&lt;=301,E253/3,E253/4))))</f>
        <v>856.54529999999988</v>
      </c>
      <c r="G253" s="205"/>
      <c r="H253" s="205"/>
      <c r="I253" s="36"/>
      <c r="L253" s="93"/>
      <c r="M253" s="93"/>
      <c r="N253" s="36"/>
    </row>
    <row r="254" spans="1:14" s="46" customFormat="1" x14ac:dyDescent="0.35">
      <c r="A254" s="204" t="s">
        <v>218</v>
      </c>
      <c r="B254" s="204"/>
      <c r="C254" s="204"/>
      <c r="D254" s="204"/>
      <c r="E254" s="204"/>
      <c r="F254" s="204"/>
      <c r="G254" s="204"/>
      <c r="H254" s="204"/>
      <c r="J254" s="36"/>
    </row>
    <row r="255" spans="1:14" s="46" customFormat="1" ht="15.75" customHeight="1" x14ac:dyDescent="0.35">
      <c r="A255" s="205">
        <v>1</v>
      </c>
      <c r="B255" s="205"/>
      <c r="C255" s="51" t="s">
        <v>201</v>
      </c>
      <c r="D255" s="54">
        <f>(89.95)*10.764</f>
        <v>968.22179999999992</v>
      </c>
      <c r="E255" s="41">
        <v>0</v>
      </c>
      <c r="F255" s="41">
        <f>D255*(($F$202)+1)+(IF(E255&lt;101,E255,IF(E255&lt;201,E255/2,IF(E255&lt;=301,E255/3,E255/4))))</f>
        <v>1452.3326999999999</v>
      </c>
      <c r="G255" s="205" t="str">
        <f>A254</f>
        <v>23rd Floor (Part Terrace Area)</v>
      </c>
      <c r="H255" s="205"/>
      <c r="I255" s="41">
        <f>(4.72*4.88+3.65*2.5+3.65*3.05+3.2*4.11+2.19*1.37+1.42*2.29)</f>
        <v>62.695200000000007</v>
      </c>
      <c r="L255" s="93"/>
      <c r="M255" s="93"/>
      <c r="N255" s="36"/>
    </row>
    <row r="256" spans="1:14" s="46" customFormat="1" ht="15.75" customHeight="1" x14ac:dyDescent="0.35">
      <c r="A256" s="205">
        <v>2</v>
      </c>
      <c r="B256" s="205"/>
      <c r="C256" s="51" t="s">
        <v>200</v>
      </c>
      <c r="D256" s="54">
        <f>(52.55)*10.764</f>
        <v>565.64819999999997</v>
      </c>
      <c r="E256" s="41">
        <v>0</v>
      </c>
      <c r="F256" s="41">
        <f>D256*(($F$202)+1)+(IF(E256&lt;101,E256,IF(E256&lt;201,E256/2,IF(E256&lt;=301,E256/3,E256/4))))</f>
        <v>848.4722999999999</v>
      </c>
      <c r="G256" s="205"/>
      <c r="H256" s="205"/>
      <c r="I256" s="36"/>
      <c r="L256" s="93"/>
      <c r="M256" s="93"/>
      <c r="N256" s="36"/>
    </row>
    <row r="257" spans="1:14" s="46" customFormat="1" x14ac:dyDescent="0.35">
      <c r="A257" s="204" t="s">
        <v>203</v>
      </c>
      <c r="B257" s="204"/>
      <c r="C257" s="204"/>
      <c r="D257" s="204"/>
      <c r="E257" s="204"/>
      <c r="F257" s="204"/>
      <c r="G257" s="204"/>
      <c r="H257" s="204"/>
      <c r="J257" s="36"/>
    </row>
    <row r="258" spans="1:14" s="46" customFormat="1" x14ac:dyDescent="0.35">
      <c r="A258" s="204" t="s">
        <v>197</v>
      </c>
      <c r="B258" s="204"/>
      <c r="C258" s="204"/>
      <c r="D258" s="204"/>
      <c r="E258" s="204"/>
      <c r="F258" s="204"/>
      <c r="G258" s="204"/>
      <c r="H258" s="204"/>
      <c r="J258" s="36"/>
    </row>
    <row r="259" spans="1:14" s="46" customFormat="1" x14ac:dyDescent="0.35">
      <c r="A259" s="130" t="s">
        <v>209</v>
      </c>
      <c r="B259" s="131"/>
      <c r="C259" s="131"/>
      <c r="D259" s="131"/>
      <c r="E259" s="131"/>
      <c r="F259" s="131"/>
      <c r="G259" s="131"/>
      <c r="H259" s="132"/>
      <c r="J259" s="36"/>
    </row>
    <row r="260" spans="1:14" s="46" customFormat="1" ht="15.75" customHeight="1" x14ac:dyDescent="0.35">
      <c r="A260" s="80">
        <v>1</v>
      </c>
      <c r="B260" s="81"/>
      <c r="C260" s="51" t="s">
        <v>200</v>
      </c>
      <c r="D260" s="54">
        <f>(66.82)*10.764</f>
        <v>719.25047999999992</v>
      </c>
      <c r="E260" s="54">
        <f>(0.5*5*2.3)*10.764</f>
        <v>61.892999999999994</v>
      </c>
      <c r="F260" s="41">
        <f>D260*(($F$202)+1)+(IF(E260&lt;101,E260,IF(E260&lt;201,E260/2,IF(E260&lt;=301,E260/3,E260/4))))</f>
        <v>1140.76872</v>
      </c>
      <c r="G260" s="168" t="str">
        <f>A259</f>
        <v>2nd Floor For Residential &amp; Amenities</v>
      </c>
      <c r="H260" s="169"/>
      <c r="I260" s="36"/>
      <c r="L260" s="93"/>
      <c r="M260" s="93"/>
      <c r="N260" s="36"/>
    </row>
    <row r="261" spans="1:14" s="46" customFormat="1" ht="15.75" customHeight="1" x14ac:dyDescent="0.35">
      <c r="A261" s="80">
        <f>A260+1</f>
        <v>2</v>
      </c>
      <c r="B261" s="81"/>
      <c r="C261" s="51" t="s">
        <v>200</v>
      </c>
      <c r="D261" s="54">
        <f>(55.85)*10.764</f>
        <v>601.1694</v>
      </c>
      <c r="E261" s="54">
        <f>(2*3.2+2.66*2)*10.764</f>
        <v>126.15407999999999</v>
      </c>
      <c r="F261" s="41">
        <f>D261*(($F$202)+1)+(IF(E261&lt;101,E261,IF(E261&lt;201,E261/2,IF(E261&lt;=301,E261/3,E261/4))))</f>
        <v>964.83114</v>
      </c>
      <c r="G261" s="172"/>
      <c r="H261" s="173"/>
      <c r="I261" s="36"/>
      <c r="K261" s="36">
        <v>10.763999999999999</v>
      </c>
      <c r="L261" s="93"/>
      <c r="M261" s="93"/>
      <c r="N261" s="36"/>
    </row>
    <row r="262" spans="1:14" s="46" customFormat="1" ht="15.75" customHeight="1" x14ac:dyDescent="0.35">
      <c r="A262" s="130" t="s">
        <v>208</v>
      </c>
      <c r="B262" s="131"/>
      <c r="C262" s="131"/>
      <c r="D262" s="131"/>
      <c r="E262" s="131"/>
      <c r="F262" s="131"/>
      <c r="G262" s="131"/>
      <c r="H262" s="132"/>
      <c r="J262" s="36"/>
    </row>
    <row r="263" spans="1:14" s="46" customFormat="1" ht="15.75" customHeight="1" x14ac:dyDescent="0.35">
      <c r="A263" s="80">
        <v>1</v>
      </c>
      <c r="B263" s="81"/>
      <c r="C263" s="51" t="s">
        <v>200</v>
      </c>
      <c r="D263" s="54">
        <f>(66.82)*10.764</f>
        <v>719.25047999999992</v>
      </c>
      <c r="E263" s="41">
        <v>0</v>
      </c>
      <c r="F263" s="41">
        <f>D263*(($F$202)+1)+(IF(E263&lt;101,E263,IF(E263&lt;201,E263/2,IF(E263&lt;=301,E263/3,E263/4))))</f>
        <v>1078.87572</v>
      </c>
      <c r="G263" s="168" t="str">
        <f>A262</f>
        <v>3rd, 4th, 5th Floor For Residential</v>
      </c>
      <c r="H263" s="169"/>
      <c r="I263" s="36"/>
      <c r="L263" s="93"/>
      <c r="M263" s="93"/>
      <c r="N263" s="36"/>
    </row>
    <row r="264" spans="1:14" s="46" customFormat="1" ht="15.75" customHeight="1" x14ac:dyDescent="0.35">
      <c r="A264" s="80">
        <v>2</v>
      </c>
      <c r="B264" s="81"/>
      <c r="C264" s="51" t="s">
        <v>200</v>
      </c>
      <c r="D264" s="54">
        <f>(55.85)*10.764</f>
        <v>601.1694</v>
      </c>
      <c r="E264" s="41">
        <v>0</v>
      </c>
      <c r="F264" s="41">
        <f>D264*(($F$202)+1)+(IF(E264&lt;101,E264,IF(E264&lt;201,E264/2,IF(E264&lt;=301,E264/3,E264/4))))</f>
        <v>901.75409999999999</v>
      </c>
      <c r="G264" s="170"/>
      <c r="H264" s="171"/>
      <c r="I264" s="36"/>
      <c r="L264" s="93"/>
      <c r="M264" s="93"/>
      <c r="N264" s="36"/>
    </row>
    <row r="265" spans="1:14" s="46" customFormat="1" ht="15.75" customHeight="1" x14ac:dyDescent="0.35">
      <c r="A265" s="80">
        <v>3</v>
      </c>
      <c r="B265" s="81"/>
      <c r="C265" s="51" t="s">
        <v>200</v>
      </c>
      <c r="D265" s="54">
        <f>(66.82)*10.764</f>
        <v>719.25047999999992</v>
      </c>
      <c r="E265" s="41">
        <v>0</v>
      </c>
      <c r="F265" s="41">
        <f>D265*(($F$202)+1)+(IF(E265&lt;101,E265,IF(E265&lt;201,E265/2,IF(E265&lt;=301,E265/3,E265/4))))</f>
        <v>1078.87572</v>
      </c>
      <c r="G265" s="170"/>
      <c r="H265" s="171"/>
      <c r="I265" s="36"/>
      <c r="L265" s="93"/>
      <c r="M265" s="93"/>
      <c r="N265" s="36"/>
    </row>
    <row r="266" spans="1:14" s="46" customFormat="1" ht="15.75" customHeight="1" x14ac:dyDescent="0.35">
      <c r="A266" s="80">
        <f>A265+1</f>
        <v>4</v>
      </c>
      <c r="B266" s="81"/>
      <c r="C266" s="51" t="s">
        <v>204</v>
      </c>
      <c r="D266" s="54">
        <f>(46.57)*10.764</f>
        <v>501.27947999999998</v>
      </c>
      <c r="E266" s="41">
        <v>0</v>
      </c>
      <c r="F266" s="41">
        <f>D266*(($F$202)+1)+(IF(E266&lt;101,E266,IF(E266&lt;201,E266/2,IF(E266&lt;=301,E266/3,E266/4))))</f>
        <v>751.91922</v>
      </c>
      <c r="G266" s="172"/>
      <c r="H266" s="173"/>
      <c r="I266" s="36"/>
      <c r="L266" s="93"/>
      <c r="M266" s="93"/>
      <c r="N266" s="36"/>
    </row>
    <row r="267" spans="1:14" s="46" customFormat="1" ht="15.75" customHeight="1" x14ac:dyDescent="0.35">
      <c r="A267" s="130" t="s">
        <v>210</v>
      </c>
      <c r="B267" s="131"/>
      <c r="C267" s="131"/>
      <c r="D267" s="131"/>
      <c r="E267" s="131"/>
      <c r="F267" s="131"/>
      <c r="G267" s="131"/>
      <c r="H267" s="132"/>
      <c r="J267" s="36"/>
    </row>
    <row r="268" spans="1:14" s="46" customFormat="1" ht="15.75" customHeight="1" x14ac:dyDescent="0.35">
      <c r="A268" s="80">
        <v>1</v>
      </c>
      <c r="B268" s="81"/>
      <c r="C268" s="51" t="s">
        <v>200</v>
      </c>
      <c r="D268" s="54">
        <f>(66.82)*10.764</f>
        <v>719.25047999999992</v>
      </c>
      <c r="E268" s="41">
        <v>0</v>
      </c>
      <c r="F268" s="41">
        <f>D268*(($F$202)+1)+(IF(E268&lt;101,E268,IF(E268&lt;201,E268/2,IF(E268&lt;=301,E268/3,E268/4))))</f>
        <v>1078.87572</v>
      </c>
      <c r="G268" s="168" t="str">
        <f>A267</f>
        <v>6th, 8th, 9th, 10th, 11th, 12th, 13th, 15th, 16th &amp; 17th Floor</v>
      </c>
      <c r="H268" s="169"/>
      <c r="I268" s="36"/>
      <c r="L268" s="93"/>
      <c r="M268" s="93"/>
      <c r="N268" s="36"/>
    </row>
    <row r="269" spans="1:14" s="46" customFormat="1" ht="15.75" customHeight="1" x14ac:dyDescent="0.35">
      <c r="A269" s="80">
        <v>2</v>
      </c>
      <c r="B269" s="81"/>
      <c r="C269" s="51" t="s">
        <v>200</v>
      </c>
      <c r="D269" s="54">
        <f>(55.85)*10.764</f>
        <v>601.1694</v>
      </c>
      <c r="E269" s="41">
        <v>0</v>
      </c>
      <c r="F269" s="41">
        <f>D269*(($F$202)+1)+(IF(E269&lt;101,E269,IF(E269&lt;201,E269/2,IF(E269&lt;=301,E269/3,E269/4))))</f>
        <v>901.75409999999999</v>
      </c>
      <c r="G269" s="170"/>
      <c r="H269" s="171"/>
      <c r="I269" s="36"/>
      <c r="L269" s="93"/>
      <c r="M269" s="93"/>
      <c r="N269" s="36"/>
    </row>
    <row r="270" spans="1:14" s="46" customFormat="1" ht="15.75" customHeight="1" x14ac:dyDescent="0.35">
      <c r="A270" s="80">
        <v>3</v>
      </c>
      <c r="B270" s="81"/>
      <c r="C270" s="51" t="s">
        <v>200</v>
      </c>
      <c r="D270" s="54">
        <f>(66.82)*10.764</f>
        <v>719.25047999999992</v>
      </c>
      <c r="E270" s="41">
        <v>0</v>
      </c>
      <c r="F270" s="41">
        <f>D270*(($F$202)+1)+(IF(E270&lt;101,E270,IF(E270&lt;201,E270/2,IF(E270&lt;=301,E270/3,E270/4))))</f>
        <v>1078.87572</v>
      </c>
      <c r="G270" s="170"/>
      <c r="H270" s="171"/>
      <c r="I270" s="36"/>
      <c r="L270" s="93"/>
      <c r="M270" s="93"/>
      <c r="N270" s="36"/>
    </row>
    <row r="271" spans="1:14" s="46" customFormat="1" ht="15.75" customHeight="1" x14ac:dyDescent="0.35">
      <c r="A271" s="80">
        <f>A270+1</f>
        <v>4</v>
      </c>
      <c r="B271" s="81"/>
      <c r="C271" s="51" t="s">
        <v>204</v>
      </c>
      <c r="D271" s="54">
        <f>(46.57)*10.764</f>
        <v>501.27947999999998</v>
      </c>
      <c r="E271" s="41">
        <v>0</v>
      </c>
      <c r="F271" s="41">
        <f>D271*(($F$202)+1)+(IF(E271&lt;101,E271,IF(E271&lt;201,E271/2,IF(E271&lt;=301,E271/3,E271/4))))</f>
        <v>751.91922</v>
      </c>
      <c r="G271" s="172"/>
      <c r="H271" s="173"/>
      <c r="I271" s="36"/>
      <c r="L271" s="93"/>
      <c r="M271" s="93"/>
      <c r="N271" s="36"/>
    </row>
    <row r="272" spans="1:14" s="46" customFormat="1" ht="15.75" customHeight="1" x14ac:dyDescent="0.35">
      <c r="A272" s="130" t="s">
        <v>211</v>
      </c>
      <c r="B272" s="131"/>
      <c r="C272" s="131"/>
      <c r="D272" s="131"/>
      <c r="E272" s="131"/>
      <c r="F272" s="131"/>
      <c r="G272" s="131"/>
      <c r="H272" s="132"/>
      <c r="J272" s="36"/>
    </row>
    <row r="273" spans="1:14" s="46" customFormat="1" ht="15.75" customHeight="1" x14ac:dyDescent="0.35">
      <c r="A273" s="80">
        <v>1</v>
      </c>
      <c r="B273" s="81"/>
      <c r="C273" s="51" t="s">
        <v>200</v>
      </c>
      <c r="D273" s="36">
        <f>(66.82)*10.764</f>
        <v>719.25047999999992</v>
      </c>
      <c r="E273" s="41">
        <v>0</v>
      </c>
      <c r="F273" s="41">
        <f>D273*(($F$202)+1)+(IF(E273&lt;101,E273,IF(E273&lt;201,E273/2,IF(E273&lt;=301,E273/3,E273/4))))</f>
        <v>1078.87572</v>
      </c>
      <c r="G273" s="168" t="str">
        <f>A272</f>
        <v>7th Floor (Part Refuge Area)</v>
      </c>
      <c r="H273" s="169"/>
      <c r="I273" s="36"/>
      <c r="L273" s="93"/>
      <c r="M273" s="93"/>
      <c r="N273" s="36"/>
    </row>
    <row r="274" spans="1:14" s="46" customFormat="1" ht="15.75" customHeight="1" x14ac:dyDescent="0.35">
      <c r="A274" s="80">
        <v>2</v>
      </c>
      <c r="B274" s="81"/>
      <c r="C274" s="192" t="s">
        <v>212</v>
      </c>
      <c r="D274" s="193"/>
      <c r="E274" s="193"/>
      <c r="F274" s="194"/>
      <c r="G274" s="170"/>
      <c r="H274" s="171"/>
      <c r="I274" s="36"/>
      <c r="L274" s="93"/>
      <c r="M274" s="93"/>
      <c r="N274" s="36"/>
    </row>
    <row r="275" spans="1:14" s="46" customFormat="1" ht="15.75" customHeight="1" x14ac:dyDescent="0.35">
      <c r="A275" s="80">
        <v>3</v>
      </c>
      <c r="B275" s="81"/>
      <c r="C275" s="51" t="s">
        <v>200</v>
      </c>
      <c r="D275" s="54">
        <f>(66.82)*10.764</f>
        <v>719.25047999999992</v>
      </c>
      <c r="E275" s="41">
        <v>0</v>
      </c>
      <c r="F275" s="41">
        <f>D275*(($F$202)+1)+(IF(E275&lt;101,E275,IF(E275&lt;201,E275/2,IF(E275&lt;=301,E275/3,E275/4))))</f>
        <v>1078.87572</v>
      </c>
      <c r="G275" s="170"/>
      <c r="H275" s="171"/>
      <c r="I275" s="36"/>
      <c r="L275" s="93"/>
      <c r="M275" s="93"/>
      <c r="N275" s="36"/>
    </row>
    <row r="276" spans="1:14" s="46" customFormat="1" ht="15.75" customHeight="1" x14ac:dyDescent="0.35">
      <c r="A276" s="80">
        <f>A275+1</f>
        <v>4</v>
      </c>
      <c r="B276" s="81"/>
      <c r="C276" s="51" t="s">
        <v>204</v>
      </c>
      <c r="D276" s="54">
        <f>(46.57)*10.764</f>
        <v>501.27947999999998</v>
      </c>
      <c r="E276" s="41">
        <v>0</v>
      </c>
      <c r="F276" s="41">
        <f>D276*(($F$202)+1)+(IF(E276&lt;101,E276,IF(E276&lt;201,E276/2,IF(E276&lt;=301,E276/3,E276/4))))</f>
        <v>751.91922</v>
      </c>
      <c r="G276" s="172"/>
      <c r="H276" s="173"/>
      <c r="I276" s="36"/>
      <c r="L276" s="93"/>
      <c r="M276" s="93"/>
      <c r="N276" s="36"/>
    </row>
    <row r="277" spans="1:14" s="46" customFormat="1" ht="15.75" customHeight="1" x14ac:dyDescent="0.35">
      <c r="A277" s="130" t="s">
        <v>213</v>
      </c>
      <c r="B277" s="131"/>
      <c r="C277" s="131"/>
      <c r="D277" s="131"/>
      <c r="E277" s="131"/>
      <c r="F277" s="131"/>
      <c r="G277" s="131"/>
      <c r="H277" s="132"/>
      <c r="J277" s="36"/>
    </row>
    <row r="278" spans="1:14" s="46" customFormat="1" ht="15.75" customHeight="1" x14ac:dyDescent="0.35">
      <c r="A278" s="80">
        <v>1</v>
      </c>
      <c r="B278" s="81"/>
      <c r="C278" s="51" t="s">
        <v>200</v>
      </c>
      <c r="D278" s="36">
        <f>(66.82)*10.764</f>
        <v>719.25047999999992</v>
      </c>
      <c r="E278" s="41">
        <v>0</v>
      </c>
      <c r="F278" s="41">
        <f>D278*(($F$202)+1)+(IF(E278&lt;101,E278,IF(E278&lt;201,E278/2,IF(E278&lt;=301,E278/3,E278/4))))</f>
        <v>1078.87572</v>
      </c>
      <c r="G278" s="168" t="str">
        <f>A277</f>
        <v>14th Floor (Part Refuge Area)</v>
      </c>
      <c r="H278" s="169"/>
      <c r="I278" s="36"/>
      <c r="L278" s="93"/>
      <c r="M278" s="93"/>
      <c r="N278" s="36"/>
    </row>
    <row r="279" spans="1:14" s="46" customFormat="1" ht="15.75" customHeight="1" x14ac:dyDescent="0.35">
      <c r="A279" s="80">
        <v>2</v>
      </c>
      <c r="B279" s="81"/>
      <c r="C279" s="192" t="s">
        <v>212</v>
      </c>
      <c r="D279" s="193"/>
      <c r="E279" s="193"/>
      <c r="F279" s="194"/>
      <c r="G279" s="170"/>
      <c r="H279" s="171"/>
      <c r="I279" s="36"/>
      <c r="L279" s="93"/>
      <c r="M279" s="93"/>
      <c r="N279" s="36"/>
    </row>
    <row r="280" spans="1:14" s="46" customFormat="1" ht="15.75" customHeight="1" x14ac:dyDescent="0.35">
      <c r="A280" s="80">
        <v>3</v>
      </c>
      <c r="B280" s="81"/>
      <c r="C280" s="51" t="s">
        <v>200</v>
      </c>
      <c r="D280" s="54">
        <f>(66.82)*10.764</f>
        <v>719.25047999999992</v>
      </c>
      <c r="E280" s="41">
        <v>0</v>
      </c>
      <c r="F280" s="41">
        <f>D280*(($F$202)+1)+(IF(E280&lt;101,E280,IF(E280&lt;201,E280/2,IF(E280&lt;=301,E280/3,E280/4))))</f>
        <v>1078.87572</v>
      </c>
      <c r="G280" s="170"/>
      <c r="H280" s="171"/>
      <c r="I280" s="36"/>
      <c r="L280" s="93"/>
      <c r="M280" s="93"/>
      <c r="N280" s="36"/>
    </row>
    <row r="281" spans="1:14" s="46" customFormat="1" ht="15.75" customHeight="1" x14ac:dyDescent="0.35">
      <c r="A281" s="80">
        <f>A280+1</f>
        <v>4</v>
      </c>
      <c r="B281" s="81"/>
      <c r="C281" s="51" t="s">
        <v>204</v>
      </c>
      <c r="D281" s="54">
        <f>(46.57)*10.764</f>
        <v>501.27947999999998</v>
      </c>
      <c r="E281" s="41">
        <v>0</v>
      </c>
      <c r="F281" s="41">
        <f>D281*(($F$202)+1)+(IF(E281&lt;101,E281,IF(E281&lt;201,E281/2,IF(E281&lt;=301,E281/3,E281/4))))</f>
        <v>751.91922</v>
      </c>
      <c r="G281" s="172"/>
      <c r="H281" s="173"/>
      <c r="I281" s="36"/>
      <c r="L281" s="93"/>
      <c r="M281" s="93"/>
      <c r="N281" s="36"/>
    </row>
    <row r="282" spans="1:14" s="46" customFormat="1" ht="15.75" customHeight="1" x14ac:dyDescent="0.35">
      <c r="A282" s="130" t="s">
        <v>215</v>
      </c>
      <c r="B282" s="131"/>
      <c r="C282" s="131"/>
      <c r="D282" s="131"/>
      <c r="E282" s="131"/>
      <c r="F282" s="131"/>
      <c r="G282" s="131"/>
      <c r="H282" s="132"/>
      <c r="J282" s="36"/>
    </row>
    <row r="283" spans="1:14" s="46" customFormat="1" ht="15.75" customHeight="1" x14ac:dyDescent="0.35">
      <c r="A283" s="80">
        <v>1</v>
      </c>
      <c r="B283" s="81"/>
      <c r="C283" s="51" t="s">
        <v>200</v>
      </c>
      <c r="D283" s="54">
        <f>(66.82)*10.764</f>
        <v>719.25047999999992</v>
      </c>
      <c r="E283" s="41">
        <v>0</v>
      </c>
      <c r="F283" s="41">
        <f>D283*(($F$202)+1)+(IF(E283&lt;101,E283,IF(E283&lt;201,E283/2,IF(E283&lt;=301,E283/3,E283/4))))</f>
        <v>1078.87572</v>
      </c>
      <c r="G283" s="168" t="str">
        <f>A282</f>
        <v>18th, 19th, 20th &amp; 22nd Floor</v>
      </c>
      <c r="H283" s="169"/>
      <c r="I283" s="36"/>
      <c r="L283" s="93"/>
      <c r="M283" s="93"/>
      <c r="N283" s="36"/>
    </row>
    <row r="284" spans="1:14" s="46" customFormat="1" ht="15.75" customHeight="1" x14ac:dyDescent="0.35">
      <c r="A284" s="80">
        <v>2</v>
      </c>
      <c r="B284" s="81"/>
      <c r="C284" s="51" t="s">
        <v>200</v>
      </c>
      <c r="D284" s="54">
        <f>(55.85)*10.764</f>
        <v>601.1694</v>
      </c>
      <c r="E284" s="41">
        <v>0</v>
      </c>
      <c r="F284" s="41">
        <f>D284*(($F$202)+1)+(IF(E284&lt;101,E284,IF(E284&lt;201,E284/2,IF(E284&lt;=301,E284/3,E284/4))))</f>
        <v>901.75409999999999</v>
      </c>
      <c r="G284" s="170"/>
      <c r="H284" s="171"/>
      <c r="I284" s="36"/>
      <c r="L284" s="93"/>
      <c r="M284" s="93"/>
      <c r="N284" s="36"/>
    </row>
    <row r="285" spans="1:14" s="46" customFormat="1" ht="15.75" customHeight="1" x14ac:dyDescent="0.35">
      <c r="A285" s="80">
        <v>3</v>
      </c>
      <c r="B285" s="81"/>
      <c r="C285" s="51" t="s">
        <v>200</v>
      </c>
      <c r="D285" s="54">
        <f>(66.82)*10.764</f>
        <v>719.25047999999992</v>
      </c>
      <c r="E285" s="41">
        <v>0</v>
      </c>
      <c r="F285" s="41">
        <f>D285*(($F$202)+1)+(IF(E285&lt;101,E285,IF(E285&lt;201,E285/2,IF(E285&lt;=301,E285/3,E285/4))))</f>
        <v>1078.87572</v>
      </c>
      <c r="G285" s="170"/>
      <c r="H285" s="171"/>
      <c r="I285" s="36"/>
      <c r="L285" s="93"/>
      <c r="M285" s="93"/>
      <c r="N285" s="36"/>
    </row>
    <row r="286" spans="1:14" s="46" customFormat="1" ht="15.75" customHeight="1" x14ac:dyDescent="0.35">
      <c r="A286" s="80">
        <f>A285+1</f>
        <v>4</v>
      </c>
      <c r="B286" s="81"/>
      <c r="C286" s="51" t="s">
        <v>204</v>
      </c>
      <c r="D286" s="54">
        <f>(46.57)*10.764</f>
        <v>501.27947999999998</v>
      </c>
      <c r="E286" s="41">
        <v>0</v>
      </c>
      <c r="F286" s="41">
        <f>D286*(($F$202)+1)+(IF(E286&lt;101,E286,IF(E286&lt;201,E286/2,IF(E286&lt;=301,E286/3,E286/4))))</f>
        <v>751.91922</v>
      </c>
      <c r="G286" s="172"/>
      <c r="H286" s="173"/>
      <c r="I286" s="36"/>
      <c r="L286" s="93"/>
      <c r="M286" s="93"/>
      <c r="N286" s="36"/>
    </row>
    <row r="287" spans="1:14" s="46" customFormat="1" ht="15.75" customHeight="1" x14ac:dyDescent="0.35">
      <c r="A287" s="130" t="s">
        <v>216</v>
      </c>
      <c r="B287" s="131"/>
      <c r="C287" s="131"/>
      <c r="D287" s="131"/>
      <c r="E287" s="131"/>
      <c r="F287" s="131"/>
      <c r="G287" s="131"/>
      <c r="H287" s="132"/>
      <c r="J287" s="36"/>
    </row>
    <row r="288" spans="1:14" s="46" customFormat="1" ht="15.75" customHeight="1" x14ac:dyDescent="0.35">
      <c r="A288" s="80">
        <v>1</v>
      </c>
      <c r="B288" s="81"/>
      <c r="C288" s="51" t="s">
        <v>200</v>
      </c>
      <c r="D288" s="54">
        <f>(66.82)*10.764</f>
        <v>719.25047999999992</v>
      </c>
      <c r="E288" s="41">
        <v>0</v>
      </c>
      <c r="F288" s="41">
        <f>D288*(($F$202)+1)+(IF(E288&lt;101,E288,IF(E288&lt;201,E288/2,IF(E288&lt;=301,E288/3,E288/4))))</f>
        <v>1078.87572</v>
      </c>
      <c r="G288" s="168" t="str">
        <f>A287</f>
        <v>21st Floor (Part Refuge Area)</v>
      </c>
      <c r="H288" s="169"/>
      <c r="I288" s="36"/>
      <c r="L288" s="93"/>
      <c r="M288" s="93"/>
      <c r="N288" s="36"/>
    </row>
    <row r="289" spans="1:14" s="46" customFormat="1" ht="15.75" customHeight="1" x14ac:dyDescent="0.35">
      <c r="A289" s="80">
        <v>2</v>
      </c>
      <c r="B289" s="81"/>
      <c r="C289" s="51" t="s">
        <v>217</v>
      </c>
      <c r="D289" s="54">
        <f>(32.55)*10.764</f>
        <v>350.36819999999994</v>
      </c>
      <c r="E289" s="41">
        <v>0</v>
      </c>
      <c r="F289" s="41">
        <f>D289*(($F$202)+1)+(IF(E289&lt;101,E289,IF(E289&lt;201,E289/2,IF(E289&lt;=301,E289/3,E289/4))))</f>
        <v>525.55229999999995</v>
      </c>
      <c r="G289" s="170"/>
      <c r="H289" s="171"/>
      <c r="I289" s="36"/>
      <c r="L289" s="93"/>
      <c r="M289" s="93"/>
      <c r="N289" s="36"/>
    </row>
    <row r="290" spans="1:14" s="46" customFormat="1" ht="15.75" customHeight="1" x14ac:dyDescent="0.35">
      <c r="A290" s="80">
        <v>3</v>
      </c>
      <c r="B290" s="81"/>
      <c r="C290" s="51" t="s">
        <v>200</v>
      </c>
      <c r="D290" s="54">
        <f>(66.82)*10.764</f>
        <v>719.25047999999992</v>
      </c>
      <c r="E290" s="41">
        <v>0</v>
      </c>
      <c r="F290" s="41">
        <f>D290*(($F$202)+1)+(IF(E290&lt;101,E290,IF(E290&lt;201,E290/2,IF(E290&lt;=301,E290/3,E290/4))))</f>
        <v>1078.87572</v>
      </c>
      <c r="G290" s="170"/>
      <c r="H290" s="171"/>
      <c r="I290" s="36"/>
      <c r="L290" s="93"/>
      <c r="M290" s="93"/>
      <c r="N290" s="36"/>
    </row>
    <row r="291" spans="1:14" s="46" customFormat="1" ht="15.75" customHeight="1" x14ac:dyDescent="0.35">
      <c r="A291" s="80">
        <f>A290+1</f>
        <v>4</v>
      </c>
      <c r="B291" s="81"/>
      <c r="C291" s="51" t="s">
        <v>204</v>
      </c>
      <c r="D291" s="54">
        <f>(46.57)*10.764</f>
        <v>501.27947999999998</v>
      </c>
      <c r="E291" s="41">
        <v>0</v>
      </c>
      <c r="F291" s="41">
        <f>D291*(($F$202)+1)+(IF(E291&lt;101,E291,IF(E291&lt;201,E291/2,IF(E291&lt;=301,E291/3,E291/4))))</f>
        <v>751.91922</v>
      </c>
      <c r="G291" s="172"/>
      <c r="H291" s="173"/>
      <c r="I291" s="36"/>
      <c r="L291" s="93"/>
      <c r="M291" s="93"/>
      <c r="N291" s="36"/>
    </row>
    <row r="292" spans="1:14" s="46" customFormat="1" ht="15.75" customHeight="1" x14ac:dyDescent="0.35">
      <c r="A292" s="204" t="s">
        <v>219</v>
      </c>
      <c r="B292" s="204"/>
      <c r="C292" s="204"/>
      <c r="D292" s="204"/>
      <c r="E292" s="204"/>
      <c r="F292" s="204"/>
      <c r="G292" s="204"/>
      <c r="H292" s="204"/>
      <c r="J292" s="36"/>
    </row>
    <row r="293" spans="1:14" s="46" customFormat="1" x14ac:dyDescent="0.35">
      <c r="A293" s="205">
        <v>1</v>
      </c>
      <c r="B293" s="205"/>
      <c r="C293" s="51" t="s">
        <v>200</v>
      </c>
      <c r="D293" s="54">
        <f>(66.82)*10.764</f>
        <v>719.25047999999992</v>
      </c>
      <c r="E293" s="41">
        <v>0</v>
      </c>
      <c r="F293" s="41">
        <f>D293*(($F$202)+1)+(IF(E293&lt;101,E293,IF(E293&lt;201,E293/2,IF(E293&lt;=301,E293/3,E293/4))))</f>
        <v>1078.87572</v>
      </c>
      <c r="G293" s="205" t="str">
        <f>A292</f>
        <v xml:space="preserve">23rd Floor </v>
      </c>
      <c r="H293" s="205"/>
      <c r="I293" s="36"/>
      <c r="L293" s="93"/>
      <c r="M293" s="93"/>
      <c r="N293" s="36"/>
    </row>
    <row r="294" spans="1:14" s="46" customFormat="1" x14ac:dyDescent="0.35">
      <c r="A294" s="205">
        <v>2</v>
      </c>
      <c r="B294" s="205"/>
      <c r="C294" s="51" t="s">
        <v>200</v>
      </c>
      <c r="D294" s="54">
        <f>(55.85)*10.764</f>
        <v>601.1694</v>
      </c>
      <c r="E294" s="41">
        <v>0</v>
      </c>
      <c r="F294" s="41">
        <f>D294*(($F$202)+1)+(IF(E294&lt;101,E294,IF(E294&lt;201,E294/2,IF(E294&lt;=301,E294/3,E294/4))))</f>
        <v>901.75409999999999</v>
      </c>
      <c r="G294" s="205"/>
      <c r="H294" s="205"/>
      <c r="I294" s="36"/>
      <c r="L294" s="93"/>
      <c r="M294" s="93"/>
      <c r="N294" s="36"/>
    </row>
    <row r="295" spans="1:14" s="46" customFormat="1" x14ac:dyDescent="0.35">
      <c r="A295" s="205">
        <v>3</v>
      </c>
      <c r="B295" s="205"/>
      <c r="C295" s="51" t="s">
        <v>200</v>
      </c>
      <c r="D295" s="54">
        <f>(66.82)*10.764</f>
        <v>719.25047999999992</v>
      </c>
      <c r="E295" s="41">
        <v>0</v>
      </c>
      <c r="F295" s="41">
        <f>D295*(($F$202)+1)+(IF(E295&lt;101,E295,IF(E295&lt;201,E295/2,IF(E295&lt;=301,E295/3,E295/4))))</f>
        <v>1078.87572</v>
      </c>
      <c r="G295" s="205"/>
      <c r="H295" s="205"/>
      <c r="I295" s="36"/>
      <c r="L295" s="93"/>
      <c r="M295" s="93"/>
      <c r="N295" s="36"/>
    </row>
    <row r="296" spans="1:14" s="46" customFormat="1" x14ac:dyDescent="0.35">
      <c r="A296" s="205">
        <f>A295+1</f>
        <v>4</v>
      </c>
      <c r="B296" s="205"/>
      <c r="C296" s="51" t="s">
        <v>204</v>
      </c>
      <c r="D296" s="54">
        <f>(46.57)*10.764</f>
        <v>501.27947999999998</v>
      </c>
      <c r="E296" s="41">
        <v>0</v>
      </c>
      <c r="F296" s="41">
        <f>D296*(($F$202)+1)+(IF(E296&lt;101,E296,IF(E296&lt;201,E296/2,IF(E296&lt;=301,E296/3,E296/4))))</f>
        <v>751.91922</v>
      </c>
      <c r="G296" s="205"/>
      <c r="H296" s="205"/>
      <c r="I296" s="36"/>
      <c r="L296" s="93"/>
      <c r="M296" s="93"/>
      <c r="N296" s="36"/>
    </row>
    <row r="297" spans="1:14" s="46" customFormat="1" x14ac:dyDescent="0.35">
      <c r="A297" s="204" t="s">
        <v>205</v>
      </c>
      <c r="B297" s="204"/>
      <c r="C297" s="204"/>
      <c r="D297" s="204"/>
      <c r="E297" s="204"/>
      <c r="F297" s="204"/>
      <c r="G297" s="204"/>
      <c r="H297" s="204"/>
      <c r="J297" s="36"/>
    </row>
    <row r="298" spans="1:14" s="46" customFormat="1" x14ac:dyDescent="0.35">
      <c r="A298" s="204" t="s">
        <v>197</v>
      </c>
      <c r="B298" s="204"/>
      <c r="C298" s="204"/>
      <c r="D298" s="204"/>
      <c r="E298" s="204"/>
      <c r="F298" s="204"/>
      <c r="G298" s="204"/>
      <c r="H298" s="204"/>
      <c r="J298" s="36"/>
    </row>
    <row r="299" spans="1:14" s="46" customFormat="1" x14ac:dyDescent="0.35">
      <c r="A299" s="204" t="s">
        <v>199</v>
      </c>
      <c r="B299" s="204"/>
      <c r="C299" s="204"/>
      <c r="D299" s="204"/>
      <c r="E299" s="204"/>
      <c r="F299" s="204"/>
      <c r="G299" s="204"/>
      <c r="H299" s="204"/>
      <c r="J299" s="36"/>
    </row>
    <row r="300" spans="1:14" s="46" customFormat="1" ht="15.75" customHeight="1" x14ac:dyDescent="0.35">
      <c r="A300" s="205">
        <v>1</v>
      </c>
      <c r="B300" s="205"/>
      <c r="C300" s="51" t="s">
        <v>204</v>
      </c>
      <c r="D300" s="54">
        <f>(46.45)*10.764</f>
        <v>499.98779999999999</v>
      </c>
      <c r="E300" s="41">
        <v>0</v>
      </c>
      <c r="F300" s="41">
        <f>D300*(($F$202)+1)+(IF(E300&lt;101,E300,IF(E300&lt;201,E300/2,IF(E300&lt;=301,E300/3,E300/4))))</f>
        <v>749.98170000000005</v>
      </c>
      <c r="G300" s="205" t="str">
        <f>A299</f>
        <v>2nd Floor For Residential</v>
      </c>
      <c r="H300" s="205"/>
      <c r="I300" s="36"/>
      <c r="L300" s="93"/>
      <c r="M300" s="93"/>
      <c r="N300" s="36"/>
    </row>
    <row r="301" spans="1:14" s="46" customFormat="1" ht="15.75" customHeight="1" x14ac:dyDescent="0.35">
      <c r="A301" s="205">
        <v>2</v>
      </c>
      <c r="B301" s="205"/>
      <c r="C301" s="51" t="s">
        <v>206</v>
      </c>
      <c r="D301" s="54">
        <f>(102.75)*10.764</f>
        <v>1106.001</v>
      </c>
      <c r="E301" s="41">
        <v>0</v>
      </c>
      <c r="F301" s="41">
        <f>D301*(($F$202)+1)+(IF(E301&lt;101,E301,IF(E301&lt;201,E301/2,IF(E301&lt;=301,E301/3,E301/4))))</f>
        <v>1659.0014999999999</v>
      </c>
      <c r="G301" s="205"/>
      <c r="H301" s="205"/>
      <c r="I301" s="36"/>
      <c r="L301" s="93"/>
      <c r="M301" s="93"/>
      <c r="N301" s="36"/>
    </row>
    <row r="302" spans="1:14" s="46" customFormat="1" ht="15.75" customHeight="1" x14ac:dyDescent="0.35">
      <c r="A302" s="205">
        <v>3</v>
      </c>
      <c r="B302" s="205"/>
      <c r="C302" s="51" t="s">
        <v>200</v>
      </c>
      <c r="D302" s="54">
        <f>(72.25)*10.764</f>
        <v>777.69899999999996</v>
      </c>
      <c r="E302" s="41">
        <v>0</v>
      </c>
      <c r="F302" s="41">
        <f>D302*(($F$202)+1)+(IF(E302&lt;101,E302,IF(E302&lt;201,E302/2,IF(E302&lt;=301,E302/3,E302/4))))</f>
        <v>1166.5484999999999</v>
      </c>
      <c r="G302" s="205"/>
      <c r="H302" s="205"/>
      <c r="I302" s="36"/>
      <c r="L302" s="93"/>
      <c r="M302" s="93"/>
      <c r="N302" s="36"/>
    </row>
    <row r="303" spans="1:14" s="46" customFormat="1" ht="15.75" customHeight="1" x14ac:dyDescent="0.35">
      <c r="A303" s="205">
        <v>4</v>
      </c>
      <c r="B303" s="205"/>
      <c r="C303" s="51" t="s">
        <v>200</v>
      </c>
      <c r="D303" s="54">
        <f>(72.25)*10.764</f>
        <v>777.69899999999996</v>
      </c>
      <c r="E303" s="41">
        <v>0</v>
      </c>
      <c r="F303" s="41">
        <f>D303*(($F$202)+1)+(IF(E303&lt;101,E303,IF(E303&lt;201,E303/2,IF(E303&lt;=301,E303/3,E303/4))))</f>
        <v>1166.5484999999999</v>
      </c>
      <c r="G303" s="205"/>
      <c r="H303" s="205"/>
      <c r="I303" s="36"/>
      <c r="L303" s="93"/>
      <c r="M303" s="93"/>
      <c r="N303" s="36"/>
    </row>
    <row r="304" spans="1:14" s="46" customFormat="1" ht="15.75" customHeight="1" x14ac:dyDescent="0.35">
      <c r="A304" s="130" t="s">
        <v>208</v>
      </c>
      <c r="B304" s="131"/>
      <c r="C304" s="131"/>
      <c r="D304" s="131"/>
      <c r="E304" s="131"/>
      <c r="F304" s="131"/>
      <c r="G304" s="131"/>
      <c r="H304" s="132"/>
      <c r="J304" s="36"/>
    </row>
    <row r="305" spans="1:14" s="46" customFormat="1" ht="15.75" customHeight="1" x14ac:dyDescent="0.35">
      <c r="A305" s="80">
        <v>1</v>
      </c>
      <c r="B305" s="81"/>
      <c r="C305" s="51" t="s">
        <v>204</v>
      </c>
      <c r="D305" s="54">
        <f>(46.45)*10.764</f>
        <v>499.98779999999999</v>
      </c>
      <c r="E305" s="41">
        <v>0</v>
      </c>
      <c r="F305" s="41">
        <f>D305*(($F$202)+1)+(IF(E305&lt;101,E305,IF(E305&lt;201,E305/2,IF(E305&lt;=301,E305/3,E305/4))))</f>
        <v>749.98170000000005</v>
      </c>
      <c r="G305" s="168" t="str">
        <f>A304</f>
        <v>3rd, 4th, 5th Floor For Residential</v>
      </c>
      <c r="H305" s="169"/>
      <c r="I305" s="36"/>
      <c r="L305" s="93"/>
      <c r="M305" s="93"/>
      <c r="N305" s="36"/>
    </row>
    <row r="306" spans="1:14" s="46" customFormat="1" ht="15.75" customHeight="1" x14ac:dyDescent="0.35">
      <c r="A306" s="80">
        <v>2</v>
      </c>
      <c r="B306" s="81"/>
      <c r="C306" s="51" t="s">
        <v>206</v>
      </c>
      <c r="D306" s="54">
        <f>(102.75)*10.764</f>
        <v>1106.001</v>
      </c>
      <c r="E306" s="41">
        <v>0</v>
      </c>
      <c r="F306" s="41">
        <f>D306*(($F$202)+1)+(IF(E306&lt;101,E306,IF(E306&lt;201,E306/2,IF(E306&lt;=301,E306/3,E306/4))))</f>
        <v>1659.0014999999999</v>
      </c>
      <c r="G306" s="170"/>
      <c r="H306" s="171"/>
      <c r="I306" s="36"/>
      <c r="L306" s="93"/>
      <c r="M306" s="93"/>
      <c r="N306" s="36"/>
    </row>
    <row r="307" spans="1:14" s="46" customFormat="1" ht="15.75" customHeight="1" x14ac:dyDescent="0.35">
      <c r="A307" s="80">
        <v>3</v>
      </c>
      <c r="B307" s="81"/>
      <c r="C307" s="51" t="s">
        <v>200</v>
      </c>
      <c r="D307" s="54">
        <f>(72.25)*10.764</f>
        <v>777.69899999999996</v>
      </c>
      <c r="E307" s="41">
        <v>0</v>
      </c>
      <c r="F307" s="41">
        <f>D307*(($F$202)+1)+(IF(E307&lt;101,E307,IF(E307&lt;201,E307/2,IF(E307&lt;=301,E307/3,E307/4))))</f>
        <v>1166.5484999999999</v>
      </c>
      <c r="G307" s="170"/>
      <c r="H307" s="171"/>
      <c r="I307" s="36"/>
      <c r="L307" s="93"/>
      <c r="M307" s="93"/>
      <c r="N307" s="36"/>
    </row>
    <row r="308" spans="1:14" s="46" customFormat="1" ht="15.75" customHeight="1" x14ac:dyDescent="0.35">
      <c r="A308" s="80">
        <v>4</v>
      </c>
      <c r="B308" s="81"/>
      <c r="C308" s="51" t="s">
        <v>200</v>
      </c>
      <c r="D308" s="54">
        <f>(72.25)*10.764</f>
        <v>777.69899999999996</v>
      </c>
      <c r="E308" s="41">
        <v>0</v>
      </c>
      <c r="F308" s="41">
        <f>D308*(($F$202)+1)+(IF(E308&lt;101,E308,IF(E308&lt;201,E308/2,IF(E308&lt;=301,E308/3,E308/4))))</f>
        <v>1166.5484999999999</v>
      </c>
      <c r="G308" s="172"/>
      <c r="H308" s="173"/>
      <c r="I308" s="36"/>
      <c r="L308" s="93"/>
      <c r="M308" s="93"/>
      <c r="N308" s="36"/>
    </row>
    <row r="309" spans="1:14" s="46" customFormat="1" ht="15.75" customHeight="1" x14ac:dyDescent="0.35">
      <c r="A309" s="130" t="s">
        <v>210</v>
      </c>
      <c r="B309" s="131"/>
      <c r="C309" s="131"/>
      <c r="D309" s="131"/>
      <c r="E309" s="131"/>
      <c r="F309" s="131"/>
      <c r="G309" s="131"/>
      <c r="H309" s="132"/>
      <c r="J309" s="36"/>
    </row>
    <row r="310" spans="1:14" s="46" customFormat="1" ht="15.75" customHeight="1" x14ac:dyDescent="0.35">
      <c r="A310" s="80">
        <v>1</v>
      </c>
      <c r="B310" s="81"/>
      <c r="C310" s="51" t="s">
        <v>204</v>
      </c>
      <c r="D310" s="54">
        <f>(46.45)*10.764</f>
        <v>499.98779999999999</v>
      </c>
      <c r="E310" s="41">
        <v>0</v>
      </c>
      <c r="F310" s="41">
        <f>D310*(($F$202)+1)+(IF(E310&lt;101,E310,IF(E310&lt;201,E310/2,IF(E310&lt;=301,E310/3,E310/4))))</f>
        <v>749.98170000000005</v>
      </c>
      <c r="G310" s="168" t="str">
        <f>A309</f>
        <v>6th, 8th, 9th, 10th, 11th, 12th, 13th, 15th, 16th &amp; 17th Floor</v>
      </c>
      <c r="H310" s="169"/>
      <c r="I310" s="36"/>
      <c r="L310" s="93"/>
      <c r="M310" s="93"/>
      <c r="N310" s="36"/>
    </row>
    <row r="311" spans="1:14" s="46" customFormat="1" ht="15.75" customHeight="1" x14ac:dyDescent="0.35">
      <c r="A311" s="80">
        <v>2</v>
      </c>
      <c r="B311" s="81"/>
      <c r="C311" s="51" t="s">
        <v>206</v>
      </c>
      <c r="D311" s="54">
        <f>(102.75)*10.764</f>
        <v>1106.001</v>
      </c>
      <c r="E311" s="41">
        <v>0</v>
      </c>
      <c r="F311" s="41">
        <f>D311*(($F$202)+1)+(IF(E311&lt;101,E311,IF(E311&lt;201,E311/2,IF(E311&lt;=301,E311/3,E311/4))))</f>
        <v>1659.0014999999999</v>
      </c>
      <c r="G311" s="170"/>
      <c r="H311" s="171"/>
      <c r="I311" s="36"/>
      <c r="L311" s="93"/>
      <c r="M311" s="93"/>
      <c r="N311" s="36"/>
    </row>
    <row r="312" spans="1:14" s="46" customFormat="1" ht="15.75" customHeight="1" x14ac:dyDescent="0.35">
      <c r="A312" s="80">
        <v>3</v>
      </c>
      <c r="B312" s="81"/>
      <c r="C312" s="51" t="s">
        <v>200</v>
      </c>
      <c r="D312" s="54">
        <f>(72.25)*10.764</f>
        <v>777.69899999999996</v>
      </c>
      <c r="E312" s="41">
        <v>0</v>
      </c>
      <c r="F312" s="41">
        <f>D312*(($F$202)+1)+(IF(E312&lt;101,E312,IF(E312&lt;201,E312/2,IF(E312&lt;=301,E312/3,E312/4))))</f>
        <v>1166.5484999999999</v>
      </c>
      <c r="G312" s="170"/>
      <c r="H312" s="171"/>
      <c r="I312" s="36"/>
      <c r="L312" s="93"/>
      <c r="M312" s="93"/>
      <c r="N312" s="36"/>
    </row>
    <row r="313" spans="1:14" s="46" customFormat="1" ht="15.75" customHeight="1" x14ac:dyDescent="0.35">
      <c r="A313" s="80">
        <v>4</v>
      </c>
      <c r="B313" s="81"/>
      <c r="C313" s="51" t="s">
        <v>200</v>
      </c>
      <c r="D313" s="54">
        <f>(72.25)*10.764</f>
        <v>777.69899999999996</v>
      </c>
      <c r="E313" s="41">
        <v>0</v>
      </c>
      <c r="F313" s="41">
        <f>D313*(($F$202)+1)+(IF(E313&lt;101,E313,IF(E313&lt;201,E313/2,IF(E313&lt;=301,E313/3,E313/4))))</f>
        <v>1166.5484999999999</v>
      </c>
      <c r="G313" s="172"/>
      <c r="H313" s="173"/>
      <c r="I313" s="36"/>
      <c r="L313" s="93"/>
      <c r="M313" s="93"/>
      <c r="N313" s="36"/>
    </row>
    <row r="314" spans="1:14" s="46" customFormat="1" ht="15.75" customHeight="1" x14ac:dyDescent="0.35">
      <c r="A314" s="130" t="s">
        <v>211</v>
      </c>
      <c r="B314" s="131"/>
      <c r="C314" s="131"/>
      <c r="D314" s="131"/>
      <c r="E314" s="131"/>
      <c r="F314" s="131"/>
      <c r="G314" s="131"/>
      <c r="H314" s="132"/>
      <c r="J314" s="36"/>
    </row>
    <row r="315" spans="1:14" s="46" customFormat="1" ht="15.75" customHeight="1" x14ac:dyDescent="0.35">
      <c r="A315" s="80">
        <v>1</v>
      </c>
      <c r="B315" s="81"/>
      <c r="C315" s="51" t="s">
        <v>204</v>
      </c>
      <c r="D315" s="54">
        <f>(46.45)*10.764</f>
        <v>499.98779999999999</v>
      </c>
      <c r="E315" s="41">
        <v>0</v>
      </c>
      <c r="F315" s="41">
        <f>D315*(($F$202)+1)+(IF(E315&lt;101,E315,IF(E315&lt;201,E315/2,IF(E315&lt;=301,E315/3,E315/4))))</f>
        <v>749.98170000000005</v>
      </c>
      <c r="G315" s="168" t="str">
        <f>A314</f>
        <v>7th Floor (Part Refuge Area)</v>
      </c>
      <c r="H315" s="169"/>
      <c r="I315" s="36"/>
      <c r="L315" s="93"/>
      <c r="M315" s="93"/>
      <c r="N315" s="36"/>
    </row>
    <row r="316" spans="1:14" s="46" customFormat="1" ht="15.75" customHeight="1" x14ac:dyDescent="0.35">
      <c r="A316" s="80">
        <v>2</v>
      </c>
      <c r="B316" s="81"/>
      <c r="C316" s="51" t="s">
        <v>206</v>
      </c>
      <c r="D316" s="54">
        <f>(102.75)*10.764</f>
        <v>1106.001</v>
      </c>
      <c r="E316" s="41">
        <v>0</v>
      </c>
      <c r="F316" s="41">
        <f>D316*(($F$202)+1)+(IF(E316&lt;101,E316,IF(E316&lt;201,E316/2,IF(E316&lt;=301,E316/3,E316/4))))</f>
        <v>1659.0014999999999</v>
      </c>
      <c r="G316" s="170"/>
      <c r="H316" s="171"/>
      <c r="I316" s="36"/>
      <c r="L316" s="93"/>
      <c r="M316" s="93"/>
      <c r="N316" s="36"/>
    </row>
    <row r="317" spans="1:14" s="46" customFormat="1" ht="15.75" customHeight="1" x14ac:dyDescent="0.35">
      <c r="A317" s="80">
        <v>3</v>
      </c>
      <c r="B317" s="81"/>
      <c r="C317" s="51" t="s">
        <v>200</v>
      </c>
      <c r="D317" s="54">
        <f>(72.25)*10.764</f>
        <v>777.69899999999996</v>
      </c>
      <c r="E317" s="41">
        <v>0</v>
      </c>
      <c r="F317" s="41">
        <f>D317*(($F$202)+1)+(IF(E317&lt;101,E317,IF(E317&lt;201,E317/2,IF(E317&lt;=301,E317/3,E317/4))))</f>
        <v>1166.5484999999999</v>
      </c>
      <c r="G317" s="170"/>
      <c r="H317" s="171"/>
      <c r="I317" s="36"/>
      <c r="L317" s="93"/>
      <c r="M317" s="93"/>
      <c r="N317" s="36"/>
    </row>
    <row r="318" spans="1:14" s="46" customFormat="1" ht="15.75" customHeight="1" x14ac:dyDescent="0.35">
      <c r="A318" s="80">
        <v>4</v>
      </c>
      <c r="B318" s="81"/>
      <c r="C318" s="192" t="s">
        <v>212</v>
      </c>
      <c r="D318" s="193"/>
      <c r="E318" s="193"/>
      <c r="F318" s="194"/>
      <c r="G318" s="172"/>
      <c r="H318" s="173"/>
      <c r="I318" s="36"/>
      <c r="L318" s="93"/>
      <c r="M318" s="93"/>
      <c r="N318" s="36"/>
    </row>
    <row r="319" spans="1:14" s="46" customFormat="1" ht="15.75" customHeight="1" x14ac:dyDescent="0.35">
      <c r="A319" s="130" t="s">
        <v>213</v>
      </c>
      <c r="B319" s="131"/>
      <c r="C319" s="131"/>
      <c r="D319" s="131"/>
      <c r="E319" s="131"/>
      <c r="F319" s="131"/>
      <c r="G319" s="131"/>
      <c r="H319" s="132"/>
      <c r="J319" s="36"/>
    </row>
    <row r="320" spans="1:14" s="46" customFormat="1" ht="15.75" customHeight="1" x14ac:dyDescent="0.35">
      <c r="A320" s="80">
        <v>1</v>
      </c>
      <c r="B320" s="81"/>
      <c r="C320" s="51" t="s">
        <v>204</v>
      </c>
      <c r="D320" s="54">
        <f>(46.45)*10.764</f>
        <v>499.98779999999999</v>
      </c>
      <c r="E320" s="41">
        <v>0</v>
      </c>
      <c r="F320" s="41">
        <f>D320*(($F$202)+1)+(IF(E320&lt;101,E320,IF(E320&lt;201,E320/2,IF(E320&lt;=301,E320/3,E320/4))))</f>
        <v>749.98170000000005</v>
      </c>
      <c r="G320" s="168" t="str">
        <f>A319</f>
        <v>14th Floor (Part Refuge Area)</v>
      </c>
      <c r="H320" s="169"/>
      <c r="I320" s="36"/>
      <c r="L320" s="93"/>
      <c r="M320" s="93"/>
      <c r="N320" s="36"/>
    </row>
    <row r="321" spans="1:14" s="46" customFormat="1" ht="15.75" customHeight="1" x14ac:dyDescent="0.35">
      <c r="A321" s="80">
        <v>2</v>
      </c>
      <c r="B321" s="81"/>
      <c r="C321" s="51" t="s">
        <v>206</v>
      </c>
      <c r="D321" s="54">
        <f>(102.75)*10.764</f>
        <v>1106.001</v>
      </c>
      <c r="E321" s="41">
        <v>0</v>
      </c>
      <c r="F321" s="41">
        <f>D321*(($F$202)+1)+(IF(E321&lt;101,E321,IF(E321&lt;201,E321/2,IF(E321&lt;=301,E321/3,E321/4))))</f>
        <v>1659.0014999999999</v>
      </c>
      <c r="G321" s="170"/>
      <c r="H321" s="171"/>
      <c r="I321" s="36"/>
      <c r="L321" s="93"/>
      <c r="M321" s="93"/>
      <c r="N321" s="36"/>
    </row>
    <row r="322" spans="1:14" s="46" customFormat="1" ht="15.75" customHeight="1" x14ac:dyDescent="0.35">
      <c r="A322" s="80">
        <v>3</v>
      </c>
      <c r="B322" s="81"/>
      <c r="C322" s="51" t="s">
        <v>200</v>
      </c>
      <c r="D322" s="54">
        <f>(72.25)*10.764</f>
        <v>777.69899999999996</v>
      </c>
      <c r="E322" s="41">
        <v>0</v>
      </c>
      <c r="F322" s="41">
        <f>D322*(($F$202)+1)+(IF(E322&lt;101,E322,IF(E322&lt;201,E322/2,IF(E322&lt;=301,E322/3,E322/4))))</f>
        <v>1166.5484999999999</v>
      </c>
      <c r="G322" s="170"/>
      <c r="H322" s="171"/>
      <c r="I322" s="36"/>
      <c r="L322" s="93"/>
      <c r="M322" s="93"/>
      <c r="N322" s="36"/>
    </row>
    <row r="323" spans="1:14" s="46" customFormat="1" ht="15.75" customHeight="1" x14ac:dyDescent="0.35">
      <c r="A323" s="80">
        <v>4</v>
      </c>
      <c r="B323" s="81"/>
      <c r="C323" s="192" t="s">
        <v>212</v>
      </c>
      <c r="D323" s="193"/>
      <c r="E323" s="193"/>
      <c r="F323" s="194"/>
      <c r="G323" s="172"/>
      <c r="H323" s="173"/>
      <c r="I323" s="36"/>
      <c r="L323" s="93"/>
      <c r="M323" s="93"/>
      <c r="N323" s="36"/>
    </row>
    <row r="324" spans="1:14" s="46" customFormat="1" ht="15.75" customHeight="1" x14ac:dyDescent="0.35">
      <c r="A324" s="130" t="s">
        <v>215</v>
      </c>
      <c r="B324" s="131"/>
      <c r="C324" s="131"/>
      <c r="D324" s="131"/>
      <c r="E324" s="131"/>
      <c r="F324" s="131"/>
      <c r="G324" s="131"/>
      <c r="H324" s="132"/>
      <c r="J324" s="36"/>
    </row>
    <row r="325" spans="1:14" s="46" customFormat="1" ht="15.75" customHeight="1" x14ac:dyDescent="0.35">
      <c r="A325" s="80">
        <v>1</v>
      </c>
      <c r="B325" s="81"/>
      <c r="C325" s="51" t="s">
        <v>204</v>
      </c>
      <c r="D325" s="54">
        <f>(46.45)*10.764</f>
        <v>499.98779999999999</v>
      </c>
      <c r="E325" s="41">
        <v>0</v>
      </c>
      <c r="F325" s="41">
        <f>D325*(($F$202)+1)+(IF(E325&lt;101,E325,IF(E325&lt;201,E325/2,IF(E325&lt;=301,E325/3,E325/4))))</f>
        <v>749.98170000000005</v>
      </c>
      <c r="G325" s="168" t="str">
        <f>A324</f>
        <v>18th, 19th, 20th &amp; 22nd Floor</v>
      </c>
      <c r="H325" s="169"/>
      <c r="I325" s="36"/>
      <c r="L325" s="93"/>
      <c r="M325" s="93"/>
      <c r="N325" s="36"/>
    </row>
    <row r="326" spans="1:14" s="46" customFormat="1" ht="15.75" customHeight="1" x14ac:dyDescent="0.35">
      <c r="A326" s="80">
        <v>2</v>
      </c>
      <c r="B326" s="81"/>
      <c r="C326" s="51" t="s">
        <v>206</v>
      </c>
      <c r="D326" s="54">
        <f>(102.75)*10.764</f>
        <v>1106.001</v>
      </c>
      <c r="E326" s="41">
        <v>0</v>
      </c>
      <c r="F326" s="41">
        <f>D326*(($F$202)+1)+(IF(E326&lt;101,E326,IF(E326&lt;201,E326/2,IF(E326&lt;=301,E326/3,E326/4))))</f>
        <v>1659.0014999999999</v>
      </c>
      <c r="G326" s="170"/>
      <c r="H326" s="171"/>
      <c r="I326" s="36"/>
      <c r="L326" s="93"/>
      <c r="M326" s="93"/>
      <c r="N326" s="36"/>
    </row>
    <row r="327" spans="1:14" s="46" customFormat="1" ht="15.75" customHeight="1" x14ac:dyDescent="0.35">
      <c r="A327" s="80">
        <v>3</v>
      </c>
      <c r="B327" s="81"/>
      <c r="C327" s="51" t="s">
        <v>200</v>
      </c>
      <c r="D327" s="54">
        <f>(72.25)*10.764</f>
        <v>777.69899999999996</v>
      </c>
      <c r="E327" s="41">
        <v>0</v>
      </c>
      <c r="F327" s="41">
        <f>D327*(($F$202)+1)+(IF(E327&lt;101,E327,IF(E327&lt;201,E327/2,IF(E327&lt;=301,E327/3,E327/4))))</f>
        <v>1166.5484999999999</v>
      </c>
      <c r="G327" s="170"/>
      <c r="H327" s="171"/>
      <c r="I327" s="36"/>
      <c r="L327" s="93"/>
      <c r="M327" s="93"/>
      <c r="N327" s="36"/>
    </row>
    <row r="328" spans="1:14" s="46" customFormat="1" ht="15.75" customHeight="1" x14ac:dyDescent="0.35">
      <c r="A328" s="80">
        <v>4</v>
      </c>
      <c r="B328" s="81"/>
      <c r="C328" s="51" t="s">
        <v>200</v>
      </c>
      <c r="D328" s="54">
        <f>(72.25)*10.764</f>
        <v>777.69899999999996</v>
      </c>
      <c r="E328" s="41">
        <v>0</v>
      </c>
      <c r="F328" s="41">
        <f>D328*(($F$202)+1)+(IF(E328&lt;101,E328,IF(E328&lt;201,E328/2,IF(E328&lt;=301,E328/3,E328/4))))</f>
        <v>1166.5484999999999</v>
      </c>
      <c r="G328" s="172"/>
      <c r="H328" s="173"/>
      <c r="I328" s="36"/>
      <c r="L328" s="93"/>
      <c r="M328" s="93"/>
      <c r="N328" s="36"/>
    </row>
    <row r="329" spans="1:14" s="46" customFormat="1" ht="15.75" customHeight="1" x14ac:dyDescent="0.35">
      <c r="A329" s="130" t="s">
        <v>216</v>
      </c>
      <c r="B329" s="131"/>
      <c r="C329" s="131"/>
      <c r="D329" s="131"/>
      <c r="E329" s="131"/>
      <c r="F329" s="131"/>
      <c r="G329" s="131"/>
      <c r="H329" s="132"/>
      <c r="J329" s="36"/>
    </row>
    <row r="330" spans="1:14" s="46" customFormat="1" ht="15.75" customHeight="1" x14ac:dyDescent="0.35">
      <c r="A330" s="80">
        <v>1</v>
      </c>
      <c r="B330" s="81"/>
      <c r="C330" s="51" t="s">
        <v>204</v>
      </c>
      <c r="D330" s="54">
        <f>(46.45)*10.764</f>
        <v>499.98779999999999</v>
      </c>
      <c r="E330" s="41">
        <v>0</v>
      </c>
      <c r="F330" s="41">
        <f>D330*(($F$202)+1)+(IF(E330&lt;101,E330,IF(E330&lt;201,E330/2,IF(E330&lt;=301,E330/3,E330/4))))</f>
        <v>749.98170000000005</v>
      </c>
      <c r="G330" s="168" t="str">
        <f>A329</f>
        <v>21st Floor (Part Refuge Area)</v>
      </c>
      <c r="H330" s="169"/>
      <c r="I330" s="36"/>
      <c r="L330" s="93"/>
      <c r="M330" s="93"/>
      <c r="N330" s="36"/>
    </row>
    <row r="331" spans="1:14" s="46" customFormat="1" ht="15.75" customHeight="1" x14ac:dyDescent="0.35">
      <c r="A331" s="80">
        <v>2</v>
      </c>
      <c r="B331" s="81"/>
      <c r="C331" s="51" t="s">
        <v>204</v>
      </c>
      <c r="D331" s="54">
        <f>(46.9)*10.764</f>
        <v>504.83159999999998</v>
      </c>
      <c r="E331" s="41">
        <v>0</v>
      </c>
      <c r="F331" s="41">
        <f>D331*(($F$202)+1)+(IF(E331&lt;101,E331,IF(E331&lt;201,E331/2,IF(E331&lt;=301,E331/3,E331/4))))</f>
        <v>757.24739999999997</v>
      </c>
      <c r="G331" s="170"/>
      <c r="H331" s="171"/>
      <c r="I331" s="36"/>
      <c r="L331" s="93"/>
      <c r="M331" s="93"/>
      <c r="N331" s="36"/>
    </row>
    <row r="332" spans="1:14" s="46" customFormat="1" ht="15.75" customHeight="1" x14ac:dyDescent="0.35">
      <c r="A332" s="80">
        <v>3</v>
      </c>
      <c r="B332" s="81"/>
      <c r="C332" s="51" t="s">
        <v>200</v>
      </c>
      <c r="D332" s="54">
        <f>(72.25)*10.764</f>
        <v>777.69899999999996</v>
      </c>
      <c r="E332" s="41">
        <v>0</v>
      </c>
      <c r="F332" s="41">
        <f>D332*(($F$202)+1)+(IF(E332&lt;101,E332,IF(E332&lt;201,E332/2,IF(E332&lt;=301,E332/3,E332/4))))</f>
        <v>1166.5484999999999</v>
      </c>
      <c r="G332" s="170"/>
      <c r="H332" s="171"/>
      <c r="I332" s="36"/>
      <c r="L332" s="93"/>
      <c r="M332" s="93"/>
      <c r="N332" s="36"/>
    </row>
    <row r="333" spans="1:14" s="46" customFormat="1" ht="15.75" customHeight="1" x14ac:dyDescent="0.35">
      <c r="A333" s="80">
        <v>4</v>
      </c>
      <c r="B333" s="81"/>
      <c r="C333" s="51" t="s">
        <v>200</v>
      </c>
      <c r="D333" s="54">
        <f>(72.25)*10.764</f>
        <v>777.69899999999996</v>
      </c>
      <c r="E333" s="41">
        <v>0</v>
      </c>
      <c r="F333" s="41">
        <f>D333*(($F$202)+1)+(IF(E333&lt;101,E333,IF(E333&lt;201,E333/2,IF(E333&lt;=301,E333/3,E333/4))))</f>
        <v>1166.5484999999999</v>
      </c>
      <c r="G333" s="172"/>
      <c r="H333" s="173"/>
      <c r="I333" s="36"/>
      <c r="L333" s="93"/>
      <c r="M333" s="93"/>
      <c r="N333" s="36"/>
    </row>
    <row r="334" spans="1:14" s="46" customFormat="1" ht="15.75" customHeight="1" x14ac:dyDescent="0.35">
      <c r="A334" s="130" t="s">
        <v>218</v>
      </c>
      <c r="B334" s="131"/>
      <c r="C334" s="131"/>
      <c r="D334" s="131"/>
      <c r="E334" s="131"/>
      <c r="F334" s="131"/>
      <c r="G334" s="131"/>
      <c r="H334" s="132"/>
      <c r="J334" s="36"/>
    </row>
    <row r="335" spans="1:14" s="46" customFormat="1" ht="15.75" customHeight="1" x14ac:dyDescent="0.35">
      <c r="A335" s="80">
        <v>1</v>
      </c>
      <c r="B335" s="81"/>
      <c r="C335" s="51" t="s">
        <v>204</v>
      </c>
      <c r="D335" s="54">
        <f>(46.45)*10.764</f>
        <v>499.98779999999999</v>
      </c>
      <c r="E335" s="41">
        <v>0</v>
      </c>
      <c r="F335" s="41">
        <f>D335*(($F$202)+1)+(IF(E335&lt;101,E335,IF(E335&lt;201,E335/2,IF(E335&lt;=301,E335/3,E335/4))))</f>
        <v>749.98170000000005</v>
      </c>
      <c r="G335" s="168" t="str">
        <f>A334</f>
        <v>23rd Floor (Part Terrace Area)</v>
      </c>
      <c r="H335" s="169"/>
      <c r="I335" s="36"/>
      <c r="L335" s="93"/>
      <c r="M335" s="93"/>
      <c r="N335" s="36"/>
    </row>
    <row r="336" spans="1:14" s="46" customFormat="1" ht="15.75" customHeight="1" x14ac:dyDescent="0.35">
      <c r="A336" s="80">
        <v>2</v>
      </c>
      <c r="B336" s="81"/>
      <c r="C336" s="51" t="s">
        <v>206</v>
      </c>
      <c r="D336" s="54">
        <f>(102.75)*10.764</f>
        <v>1106.001</v>
      </c>
      <c r="E336" s="41">
        <v>0</v>
      </c>
      <c r="F336" s="41">
        <f>D336*(($F$202)+1)+(IF(E336&lt;101,E336,IF(E336&lt;201,E336/2,IF(E336&lt;=301,E336/3,E336/4))))</f>
        <v>1659.0014999999999</v>
      </c>
      <c r="G336" s="172"/>
      <c r="H336" s="173"/>
      <c r="I336" s="36"/>
      <c r="L336" s="93"/>
      <c r="M336" s="93"/>
      <c r="N336" s="36"/>
    </row>
    <row r="337" spans="1:14" s="46" customFormat="1" x14ac:dyDescent="0.35">
      <c r="A337" s="130" t="s">
        <v>207</v>
      </c>
      <c r="B337" s="131"/>
      <c r="C337" s="131"/>
      <c r="D337" s="131"/>
      <c r="E337" s="131"/>
      <c r="F337" s="131"/>
      <c r="G337" s="131"/>
      <c r="H337" s="132"/>
      <c r="J337" s="36"/>
    </row>
    <row r="338" spans="1:14" s="46" customFormat="1" x14ac:dyDescent="0.35">
      <c r="A338" s="130" t="s">
        <v>197</v>
      </c>
      <c r="B338" s="131"/>
      <c r="C338" s="131"/>
      <c r="D338" s="131"/>
      <c r="E338" s="131"/>
      <c r="F338" s="131"/>
      <c r="G338" s="131"/>
      <c r="H338" s="132"/>
      <c r="J338" s="36"/>
    </row>
    <row r="339" spans="1:14" s="46" customFormat="1" x14ac:dyDescent="0.35">
      <c r="A339" s="130" t="s">
        <v>199</v>
      </c>
      <c r="B339" s="131"/>
      <c r="C339" s="131"/>
      <c r="D339" s="131"/>
      <c r="E339" s="131"/>
      <c r="F339" s="131"/>
      <c r="G339" s="131"/>
      <c r="H339" s="132"/>
      <c r="J339" s="36"/>
    </row>
    <row r="340" spans="1:14" s="46" customFormat="1" ht="15.75" customHeight="1" x14ac:dyDescent="0.35">
      <c r="A340" s="80">
        <v>1</v>
      </c>
      <c r="B340" s="81"/>
      <c r="C340" s="51" t="s">
        <v>200</v>
      </c>
      <c r="D340" s="54">
        <f>(73.15)*10.764</f>
        <v>787.38660000000004</v>
      </c>
      <c r="E340" s="41">
        <v>0</v>
      </c>
      <c r="F340" s="41">
        <f>D340*(($F$202)+1)+(IF(E340&lt;101,E340,IF(E340&lt;201,E340/2,IF(E340&lt;=301,E340/3,E340/4))))</f>
        <v>1181.0799000000002</v>
      </c>
      <c r="G340" s="168" t="str">
        <f>A339</f>
        <v>2nd Floor For Residential</v>
      </c>
      <c r="H340" s="169"/>
      <c r="I340" s="36"/>
      <c r="L340" s="93"/>
      <c r="M340" s="93"/>
      <c r="N340" s="36"/>
    </row>
    <row r="341" spans="1:14" s="46" customFormat="1" ht="15.75" customHeight="1" x14ac:dyDescent="0.35">
      <c r="A341" s="80">
        <v>2</v>
      </c>
      <c r="B341" s="81"/>
      <c r="C341" s="51" t="s">
        <v>200</v>
      </c>
      <c r="D341" s="54">
        <f>(73.8)*10.764</f>
        <v>794.38319999999987</v>
      </c>
      <c r="E341" s="41">
        <v>0</v>
      </c>
      <c r="F341" s="41">
        <f>D341*(($F$202)+1)+(IF(E341&lt;101,E341,IF(E341&lt;201,E341/2,IF(E341&lt;=301,E341/3,E341/4))))</f>
        <v>1191.5747999999999</v>
      </c>
      <c r="G341" s="172"/>
      <c r="H341" s="173"/>
      <c r="L341" s="93"/>
      <c r="M341" s="93"/>
      <c r="N341" s="36"/>
    </row>
    <row r="342" spans="1:14" s="46" customFormat="1" ht="15.75" customHeight="1" x14ac:dyDescent="0.35">
      <c r="A342" s="130" t="s">
        <v>208</v>
      </c>
      <c r="B342" s="131"/>
      <c r="C342" s="131"/>
      <c r="D342" s="131"/>
      <c r="E342" s="131"/>
      <c r="F342" s="131"/>
      <c r="G342" s="131"/>
      <c r="H342" s="132"/>
      <c r="J342" s="36"/>
    </row>
    <row r="343" spans="1:14" s="46" customFormat="1" ht="15.75" customHeight="1" x14ac:dyDescent="0.35">
      <c r="A343" s="80">
        <v>1</v>
      </c>
      <c r="B343" s="81"/>
      <c r="C343" s="51" t="s">
        <v>200</v>
      </c>
      <c r="D343" s="54">
        <f>(73.15)*10.764</f>
        <v>787.38660000000004</v>
      </c>
      <c r="E343" s="41">
        <v>0</v>
      </c>
      <c r="F343" s="41">
        <f>D343*(($F$202)+1)+(IF(E343&lt;101,E343,IF(E343&lt;201,E343/2,IF(E343&lt;=301,E343/3,E343/4))))</f>
        <v>1181.0799000000002</v>
      </c>
      <c r="G343" s="168" t="str">
        <f>A342</f>
        <v>3rd, 4th, 5th Floor For Residential</v>
      </c>
      <c r="H343" s="169"/>
      <c r="I343" s="36"/>
      <c r="L343" s="93"/>
      <c r="M343" s="93"/>
      <c r="N343" s="36"/>
    </row>
    <row r="344" spans="1:14" s="46" customFormat="1" ht="15.75" customHeight="1" x14ac:dyDescent="0.35">
      <c r="A344" s="80">
        <v>2</v>
      </c>
      <c r="B344" s="81"/>
      <c r="C344" s="51" t="s">
        <v>200</v>
      </c>
      <c r="D344" s="54">
        <f>(73.8)*10.764</f>
        <v>794.38319999999987</v>
      </c>
      <c r="E344" s="41">
        <v>0</v>
      </c>
      <c r="F344" s="41">
        <f>D344*(($F$202)+1)+(IF(E344&lt;101,E344,IF(E344&lt;201,E344/2,IF(E344&lt;=301,E344/3,E344/4))))</f>
        <v>1191.5747999999999</v>
      </c>
      <c r="G344" s="172"/>
      <c r="H344" s="173"/>
      <c r="I344" s="36"/>
      <c r="L344" s="93"/>
      <c r="M344" s="93"/>
      <c r="N344" s="36"/>
    </row>
    <row r="345" spans="1:14" s="46" customFormat="1" ht="15.75" customHeight="1" x14ac:dyDescent="0.35">
      <c r="A345" s="130" t="s">
        <v>210</v>
      </c>
      <c r="B345" s="131"/>
      <c r="C345" s="131"/>
      <c r="D345" s="131"/>
      <c r="E345" s="131"/>
      <c r="F345" s="131"/>
      <c r="G345" s="131"/>
      <c r="H345" s="132"/>
      <c r="J345" s="36"/>
    </row>
    <row r="346" spans="1:14" s="46" customFormat="1" ht="15.75" customHeight="1" x14ac:dyDescent="0.35">
      <c r="A346" s="80">
        <v>1</v>
      </c>
      <c r="B346" s="81"/>
      <c r="C346" s="51" t="s">
        <v>200</v>
      </c>
      <c r="D346" s="54">
        <f>(73.15)*10.764</f>
        <v>787.38660000000004</v>
      </c>
      <c r="E346" s="41">
        <v>0</v>
      </c>
      <c r="F346" s="41">
        <f>D346*(($F$202)+1)+(IF(E346&lt;101,E346,IF(E346&lt;201,E346/2,IF(E346&lt;=301,E346/3,E346/4))))</f>
        <v>1181.0799000000002</v>
      </c>
      <c r="G346" s="168" t="str">
        <f>A345</f>
        <v>6th, 8th, 9th, 10th, 11th, 12th, 13th, 15th, 16th &amp; 17th Floor</v>
      </c>
      <c r="H346" s="169"/>
      <c r="I346" s="36"/>
      <c r="L346" s="93"/>
      <c r="M346" s="93"/>
      <c r="N346" s="36"/>
    </row>
    <row r="347" spans="1:14" s="46" customFormat="1" ht="15.75" customHeight="1" x14ac:dyDescent="0.35">
      <c r="A347" s="80">
        <v>2</v>
      </c>
      <c r="B347" s="81"/>
      <c r="C347" s="51" t="s">
        <v>200</v>
      </c>
      <c r="D347" s="54">
        <f>(73.8)*10.764</f>
        <v>794.38319999999987</v>
      </c>
      <c r="E347" s="41">
        <v>0</v>
      </c>
      <c r="F347" s="41">
        <f>D347*(($F$202)+1)+(IF(E347&lt;101,E347,IF(E347&lt;201,E347/2,IF(E347&lt;=301,E347/3,E347/4))))</f>
        <v>1191.5747999999999</v>
      </c>
      <c r="G347" s="172"/>
      <c r="H347" s="173"/>
      <c r="I347" s="36"/>
      <c r="L347" s="93"/>
      <c r="M347" s="93"/>
      <c r="N347" s="36"/>
    </row>
    <row r="348" spans="1:14" s="46" customFormat="1" ht="15.75" customHeight="1" x14ac:dyDescent="0.35">
      <c r="A348" s="130" t="s">
        <v>211</v>
      </c>
      <c r="B348" s="131"/>
      <c r="C348" s="131"/>
      <c r="D348" s="131"/>
      <c r="E348" s="131"/>
      <c r="F348" s="131"/>
      <c r="G348" s="131"/>
      <c r="H348" s="132"/>
      <c r="J348" s="36"/>
    </row>
    <row r="349" spans="1:14" s="46" customFormat="1" ht="15.75" customHeight="1" x14ac:dyDescent="0.35">
      <c r="A349" s="80">
        <v>1</v>
      </c>
      <c r="B349" s="81"/>
      <c r="C349" s="51" t="s">
        <v>214</v>
      </c>
      <c r="D349" s="36">
        <f>(106.35)*10.764</f>
        <v>1144.7513999999999</v>
      </c>
      <c r="E349" s="41">
        <v>0</v>
      </c>
      <c r="F349" s="41">
        <f>D349*(($F$202)+1)+(IF(E349&lt;101,E349,IF(E349&lt;201,E349/2,IF(E349&lt;=301,E349/3,E349/4))))</f>
        <v>1717.1270999999997</v>
      </c>
      <c r="G349" s="168" t="str">
        <f>A348</f>
        <v>7th Floor (Part Refuge Area)</v>
      </c>
      <c r="H349" s="169"/>
      <c r="I349" s="36"/>
      <c r="L349" s="93"/>
      <c r="M349" s="93"/>
      <c r="N349" s="36"/>
    </row>
    <row r="350" spans="1:14" s="46" customFormat="1" ht="15.75" customHeight="1" x14ac:dyDescent="0.35">
      <c r="A350" s="80">
        <v>2</v>
      </c>
      <c r="B350" s="81"/>
      <c r="C350" s="192" t="s">
        <v>212</v>
      </c>
      <c r="D350" s="193"/>
      <c r="E350" s="193"/>
      <c r="F350" s="194"/>
      <c r="G350" s="172"/>
      <c r="H350" s="173"/>
      <c r="I350" s="36"/>
      <c r="L350" s="93"/>
      <c r="M350" s="93"/>
      <c r="N350" s="36"/>
    </row>
    <row r="351" spans="1:14" s="46" customFormat="1" ht="15.75" customHeight="1" x14ac:dyDescent="0.35">
      <c r="A351" s="130" t="s">
        <v>213</v>
      </c>
      <c r="B351" s="131"/>
      <c r="C351" s="131"/>
      <c r="D351" s="131"/>
      <c r="E351" s="131"/>
      <c r="F351" s="131"/>
      <c r="G351" s="131"/>
      <c r="H351" s="132"/>
      <c r="J351" s="36"/>
    </row>
    <row r="352" spans="1:14" s="46" customFormat="1" ht="15.75" customHeight="1" x14ac:dyDescent="0.35">
      <c r="A352" s="80">
        <v>1</v>
      </c>
      <c r="B352" s="81"/>
      <c r="C352" s="51" t="s">
        <v>214</v>
      </c>
      <c r="D352" s="36">
        <f>(106.35)*10.764</f>
        <v>1144.7513999999999</v>
      </c>
      <c r="E352" s="41">
        <v>0</v>
      </c>
      <c r="F352" s="41">
        <f>D352*(($F$202)+1)+(IF(E352&lt;101,E352,IF(E352&lt;201,E352/2,IF(E352&lt;=301,E352/3,E352/4))))</f>
        <v>1717.1270999999997</v>
      </c>
      <c r="G352" s="168" t="str">
        <f>A351</f>
        <v>14th Floor (Part Refuge Area)</v>
      </c>
      <c r="H352" s="169"/>
      <c r="I352" s="36"/>
      <c r="L352" s="93"/>
      <c r="M352" s="93"/>
      <c r="N352" s="36"/>
    </row>
    <row r="353" spans="1:14" s="46" customFormat="1" ht="15.75" customHeight="1" x14ac:dyDescent="0.35">
      <c r="A353" s="80">
        <v>2</v>
      </c>
      <c r="B353" s="81"/>
      <c r="C353" s="192" t="s">
        <v>212</v>
      </c>
      <c r="D353" s="193"/>
      <c r="E353" s="193"/>
      <c r="F353" s="194"/>
      <c r="G353" s="172"/>
      <c r="H353" s="173"/>
      <c r="I353" s="36"/>
      <c r="L353" s="93"/>
      <c r="M353" s="93"/>
      <c r="N353" s="36"/>
    </row>
    <row r="354" spans="1:14" s="46" customFormat="1" ht="15.75" customHeight="1" x14ac:dyDescent="0.35">
      <c r="A354" s="130" t="s">
        <v>215</v>
      </c>
      <c r="B354" s="131"/>
      <c r="C354" s="131"/>
      <c r="D354" s="131"/>
      <c r="E354" s="131"/>
      <c r="F354" s="131"/>
      <c r="G354" s="131"/>
      <c r="H354" s="132"/>
      <c r="J354" s="36"/>
    </row>
    <row r="355" spans="1:14" s="46" customFormat="1" ht="15.75" customHeight="1" x14ac:dyDescent="0.35">
      <c r="A355" s="80">
        <v>1</v>
      </c>
      <c r="B355" s="81"/>
      <c r="C355" s="51" t="s">
        <v>200</v>
      </c>
      <c r="D355" s="54">
        <f>(73.15)*10.764</f>
        <v>787.38660000000004</v>
      </c>
      <c r="E355" s="41">
        <v>0</v>
      </c>
      <c r="F355" s="41">
        <f>D355*(($F$202)+1)+(IF(E355&lt;101,E355,IF(E355&lt;201,E355/2,IF(E355&lt;=301,E355/3,E355/4))))</f>
        <v>1181.0799000000002</v>
      </c>
      <c r="G355" s="168" t="str">
        <f>A354</f>
        <v>18th, 19th, 20th &amp; 22nd Floor</v>
      </c>
      <c r="H355" s="169"/>
      <c r="I355" s="36"/>
      <c r="L355" s="93"/>
      <c r="M355" s="93"/>
      <c r="N355" s="36"/>
    </row>
    <row r="356" spans="1:14" s="46" customFormat="1" ht="15.75" customHeight="1" x14ac:dyDescent="0.35">
      <c r="A356" s="80">
        <v>2</v>
      </c>
      <c r="B356" s="81"/>
      <c r="C356" s="51" t="s">
        <v>200</v>
      </c>
      <c r="D356" s="54">
        <f>(73.8)*10.764</f>
        <v>794.38319999999987</v>
      </c>
      <c r="E356" s="41">
        <v>0</v>
      </c>
      <c r="F356" s="41">
        <f>D356*(($F$202)+1)+(IF(E356&lt;101,E356,IF(E356&lt;201,E356/2,IF(E356&lt;=301,E356/3,E356/4))))</f>
        <v>1191.5747999999999</v>
      </c>
      <c r="G356" s="172"/>
      <c r="H356" s="173"/>
      <c r="I356" s="36"/>
      <c r="L356" s="93"/>
      <c r="M356" s="93"/>
      <c r="N356" s="36"/>
    </row>
    <row r="357" spans="1:14" s="46" customFormat="1" ht="15.75" customHeight="1" x14ac:dyDescent="0.35">
      <c r="A357" s="130" t="s">
        <v>216</v>
      </c>
      <c r="B357" s="131"/>
      <c r="C357" s="131"/>
      <c r="D357" s="131"/>
      <c r="E357" s="131"/>
      <c r="F357" s="131"/>
      <c r="G357" s="131"/>
      <c r="H357" s="132"/>
      <c r="J357" s="36"/>
    </row>
    <row r="358" spans="1:14" s="46" customFormat="1" ht="15.75" customHeight="1" x14ac:dyDescent="0.35">
      <c r="A358" s="80">
        <v>1</v>
      </c>
      <c r="B358" s="81"/>
      <c r="C358" s="51" t="s">
        <v>200</v>
      </c>
      <c r="D358" s="54">
        <f>(73.15)*10.764</f>
        <v>787.38660000000004</v>
      </c>
      <c r="E358" s="41">
        <v>0</v>
      </c>
      <c r="F358" s="41">
        <f>D358*(($F$202)+1)+(IF(E358&lt;101,E358,IF(E358&lt;201,E358/2,IF(E358&lt;=301,E358/3,E358/4))))</f>
        <v>1181.0799000000002</v>
      </c>
      <c r="G358" s="168" t="str">
        <f>A357</f>
        <v>21st Floor (Part Refuge Area)</v>
      </c>
      <c r="H358" s="169"/>
      <c r="I358" s="36">
        <v>10.763999999999999</v>
      </c>
      <c r="L358" s="93"/>
      <c r="M358" s="93"/>
      <c r="N358" s="36"/>
    </row>
    <row r="359" spans="1:14" s="46" customFormat="1" ht="15.75" customHeight="1" x14ac:dyDescent="0.35">
      <c r="A359" s="80">
        <v>2</v>
      </c>
      <c r="B359" s="81"/>
      <c r="C359" s="51" t="s">
        <v>200</v>
      </c>
      <c r="D359" s="54">
        <f>(58.05)*10.764</f>
        <v>624.85019999999997</v>
      </c>
      <c r="E359" s="41">
        <v>0</v>
      </c>
      <c r="F359" s="41">
        <f>D359*(($F$202)+1)+(IF(E359&lt;101,E359,IF(E359&lt;201,E359/2,IF(E359&lt;=301,E359/3,E359/4))))</f>
        <v>937.27530000000002</v>
      </c>
      <c r="G359" s="172"/>
      <c r="H359" s="173"/>
      <c r="I359" s="36"/>
      <c r="L359" s="93"/>
      <c r="M359" s="93"/>
      <c r="N359" s="36"/>
    </row>
    <row r="360" spans="1:14" s="46" customFormat="1" ht="15.75" customHeight="1" x14ac:dyDescent="0.35">
      <c r="A360" s="130" t="s">
        <v>220</v>
      </c>
      <c r="B360" s="131"/>
      <c r="C360" s="131"/>
      <c r="D360" s="131"/>
      <c r="E360" s="131"/>
      <c r="F360" s="131"/>
      <c r="G360" s="131"/>
      <c r="H360" s="132"/>
      <c r="J360" s="36"/>
    </row>
    <row r="361" spans="1:14" s="46" customFormat="1" x14ac:dyDescent="0.35">
      <c r="A361" s="80">
        <v>1</v>
      </c>
      <c r="B361" s="81"/>
      <c r="C361" s="51" t="s">
        <v>200</v>
      </c>
      <c r="D361" s="54">
        <f>(71.05)*10.764</f>
        <v>764.78219999999988</v>
      </c>
      <c r="E361" s="41">
        <v>0</v>
      </c>
      <c r="F361" s="41">
        <f>D361*(($F$202)+1)+(IF(E361&lt;101,E361,IF(E361&lt;201,E361/2,IF(E361&lt;=301,E361/3,E361/4))))</f>
        <v>1147.1732999999999</v>
      </c>
      <c r="G361" s="168" t="str">
        <f>A360</f>
        <v>23rd Floor</v>
      </c>
      <c r="H361" s="169"/>
      <c r="I361" s="36"/>
      <c r="L361" s="93"/>
      <c r="M361" s="93"/>
      <c r="N361" s="36"/>
    </row>
    <row r="362" spans="1:14" s="46" customFormat="1" x14ac:dyDescent="0.35">
      <c r="A362" s="80">
        <v>2</v>
      </c>
      <c r="B362" s="81"/>
      <c r="C362" s="51" t="s">
        <v>200</v>
      </c>
      <c r="D362" s="54">
        <f>(70.95)*10.764</f>
        <v>763.70579999999995</v>
      </c>
      <c r="E362" s="41">
        <v>0</v>
      </c>
      <c r="F362" s="41">
        <f>D362*(($F$202)+1)+(IF(E362&lt;101,E362,IF(E362&lt;201,E362/2,IF(E362&lt;=301,E362/3,E362/4))))</f>
        <v>1145.5587</v>
      </c>
      <c r="G362" s="172"/>
      <c r="H362" s="173"/>
      <c r="I362" s="36"/>
      <c r="L362" s="93"/>
      <c r="M362" s="93"/>
      <c r="N362" s="36"/>
    </row>
    <row r="363" spans="1:14" s="35" customFormat="1" x14ac:dyDescent="0.35">
      <c r="A363" s="174" t="s">
        <v>70</v>
      </c>
      <c r="B363" s="175"/>
      <c r="C363" s="175"/>
      <c r="D363" s="175"/>
      <c r="E363" s="175"/>
      <c r="F363" s="175"/>
      <c r="G363" s="175"/>
      <c r="H363" s="176"/>
    </row>
    <row r="364" spans="1:14" s="35" customFormat="1" x14ac:dyDescent="0.35">
      <c r="A364" s="59" t="s">
        <v>157</v>
      </c>
      <c r="B364" s="67" t="s">
        <v>246</v>
      </c>
      <c r="C364" s="68"/>
      <c r="D364" s="68"/>
      <c r="E364" s="68"/>
      <c r="F364" s="68"/>
      <c r="G364" s="68"/>
      <c r="H364" s="69"/>
    </row>
    <row r="365" spans="1:14" s="35" customFormat="1" x14ac:dyDescent="0.35">
      <c r="A365" s="59" t="s">
        <v>157</v>
      </c>
      <c r="B365" s="67" t="str">
        <f>(IF(F201="Saleable area Loading :","We have considered Saleable area of Flats as per our Calculation.","We considered Saleable area of Flat as per Builder area Sheet."))</f>
        <v>We have considered Saleable area of Flats as per our Calculation.</v>
      </c>
      <c r="C365" s="68"/>
      <c r="D365" s="68"/>
      <c r="E365" s="68"/>
      <c r="F365" s="68"/>
      <c r="G365" s="68"/>
      <c r="H365" s="69"/>
    </row>
    <row r="366" spans="1:14" s="35" customFormat="1" x14ac:dyDescent="0.35">
      <c r="A366" s="59" t="s">
        <v>157</v>
      </c>
      <c r="B366" s="67" t="str">
        <f>(IF(F155="Saleable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66" s="68"/>
      <c r="D366" s="68"/>
      <c r="E366" s="68"/>
      <c r="F366" s="68"/>
      <c r="G366" s="68"/>
      <c r="H366" s="69"/>
    </row>
    <row r="367" spans="1:14" s="35" customFormat="1" x14ac:dyDescent="0.35">
      <c r="A367" s="59" t="s">
        <v>157</v>
      </c>
      <c r="B367" s="67" t="s">
        <v>127</v>
      </c>
      <c r="C367" s="68"/>
      <c r="D367" s="68"/>
      <c r="E367" s="68"/>
      <c r="F367" s="68"/>
      <c r="G367" s="68"/>
      <c r="H367" s="69"/>
    </row>
    <row r="368" spans="1:14" s="35" customFormat="1" x14ac:dyDescent="0.35">
      <c r="A368" s="59" t="s">
        <v>157</v>
      </c>
      <c r="B368" s="67" t="s">
        <v>221</v>
      </c>
      <c r="C368" s="68"/>
      <c r="D368" s="68"/>
      <c r="E368" s="68"/>
      <c r="F368" s="68"/>
      <c r="G368" s="68"/>
      <c r="H368" s="69"/>
    </row>
    <row r="369" spans="1:8" s="35" customFormat="1" x14ac:dyDescent="0.35">
      <c r="A369" s="59" t="s">
        <v>157</v>
      </c>
      <c r="B369" s="67" t="s">
        <v>156</v>
      </c>
      <c r="C369" s="68"/>
      <c r="D369" s="68"/>
      <c r="E369" s="68"/>
      <c r="F369" s="68"/>
      <c r="G369" s="68"/>
      <c r="H369" s="69"/>
    </row>
    <row r="370" spans="1:8" s="35" customFormat="1" x14ac:dyDescent="0.35">
      <c r="A370" s="59" t="s">
        <v>157</v>
      </c>
      <c r="B370" s="67" t="s">
        <v>128</v>
      </c>
      <c r="C370" s="68"/>
      <c r="D370" s="68"/>
      <c r="E370" s="68"/>
      <c r="F370" s="68"/>
      <c r="G370" s="68"/>
      <c r="H370" s="69"/>
    </row>
    <row r="371" spans="1:8" s="35" customFormat="1" ht="34.5" customHeight="1" x14ac:dyDescent="0.35">
      <c r="A371" s="59" t="s">
        <v>157</v>
      </c>
      <c r="B371" s="67" t="s">
        <v>158</v>
      </c>
      <c r="C371" s="68"/>
      <c r="D371" s="68"/>
      <c r="E371" s="68"/>
      <c r="F371" s="68"/>
      <c r="G371" s="68"/>
      <c r="H371" s="69"/>
    </row>
    <row r="372" spans="1:8" s="35" customFormat="1" x14ac:dyDescent="0.35">
      <c r="A372" s="59" t="s">
        <v>157</v>
      </c>
      <c r="B372" s="67" t="s">
        <v>129</v>
      </c>
      <c r="C372" s="68"/>
      <c r="D372" s="68"/>
      <c r="E372" s="68"/>
      <c r="F372" s="68"/>
      <c r="G372" s="68"/>
      <c r="H372" s="69"/>
    </row>
    <row r="373" spans="1:8" s="35" customFormat="1" hidden="1" x14ac:dyDescent="0.35">
      <c r="A373" s="59" t="s">
        <v>157</v>
      </c>
      <c r="B373" s="67" t="s">
        <v>222</v>
      </c>
      <c r="C373" s="68"/>
      <c r="D373" s="68"/>
      <c r="E373" s="68"/>
      <c r="F373" s="68"/>
      <c r="G373" s="68"/>
      <c r="H373" s="69"/>
    </row>
    <row r="374" spans="1:8" s="35" customFormat="1" x14ac:dyDescent="0.35">
      <c r="A374" s="59" t="s">
        <v>157</v>
      </c>
      <c r="B374" s="67" t="s">
        <v>249</v>
      </c>
      <c r="C374" s="68"/>
      <c r="D374" s="68"/>
      <c r="E374" s="68"/>
      <c r="F374" s="68"/>
      <c r="G374" s="68"/>
      <c r="H374" s="69"/>
    </row>
    <row r="375" spans="1:8" x14ac:dyDescent="0.35">
      <c r="A375" s="143" t="s">
        <v>63</v>
      </c>
      <c r="B375" s="143"/>
      <c r="C375" s="143"/>
      <c r="D375" s="143"/>
      <c r="E375" s="143"/>
      <c r="F375" s="143"/>
      <c r="G375" s="143"/>
      <c r="H375" s="143"/>
    </row>
    <row r="376" spans="1:8" x14ac:dyDescent="0.35">
      <c r="A376" s="110" t="s">
        <v>64</v>
      </c>
      <c r="B376" s="110"/>
      <c r="C376" s="110"/>
      <c r="D376" s="110"/>
      <c r="E376" s="110"/>
      <c r="F376" s="110"/>
      <c r="G376" s="110"/>
      <c r="H376" s="110"/>
    </row>
    <row r="377" spans="1:8" ht="15.75" customHeight="1" x14ac:dyDescent="0.35">
      <c r="A377" s="144" t="s">
        <v>65</v>
      </c>
      <c r="B377" s="144"/>
      <c r="C377" s="144"/>
      <c r="D377" s="144"/>
      <c r="E377" s="144"/>
      <c r="F377" s="144"/>
      <c r="G377" s="144"/>
      <c r="H377" s="144"/>
    </row>
    <row r="378" spans="1:8" x14ac:dyDescent="0.35">
      <c r="A378" s="110" t="s">
        <v>66</v>
      </c>
      <c r="B378" s="110"/>
      <c r="C378" s="110"/>
      <c r="D378" s="110"/>
      <c r="E378" s="110"/>
      <c r="F378" s="110"/>
      <c r="G378" s="110"/>
      <c r="H378" s="110"/>
    </row>
    <row r="379" spans="1:8" x14ac:dyDescent="0.35">
      <c r="A379" s="110" t="s">
        <v>67</v>
      </c>
      <c r="B379" s="110"/>
      <c r="C379" s="110"/>
      <c r="D379" s="110"/>
      <c r="E379" s="110"/>
      <c r="F379" s="110"/>
      <c r="G379" s="110"/>
      <c r="H379" s="110"/>
    </row>
    <row r="380" spans="1:8" x14ac:dyDescent="0.35">
      <c r="A380" s="110" t="s">
        <v>130</v>
      </c>
      <c r="B380" s="110"/>
      <c r="C380" s="110"/>
      <c r="D380" s="110"/>
      <c r="E380" s="110"/>
      <c r="F380" s="110"/>
      <c r="G380" s="110"/>
      <c r="H380" s="110"/>
    </row>
    <row r="381" spans="1:8" ht="35.25" hidden="1" customHeight="1" x14ac:dyDescent="0.35">
      <c r="A381" s="111" t="s">
        <v>131</v>
      </c>
      <c r="B381" s="111"/>
      <c r="C381" s="111"/>
      <c r="D381" s="111"/>
      <c r="E381" s="111"/>
      <c r="F381" s="111"/>
      <c r="G381" s="111"/>
      <c r="H381" s="111"/>
    </row>
    <row r="382" spans="1:8" x14ac:dyDescent="0.35">
      <c r="A382" s="140" t="s">
        <v>79</v>
      </c>
      <c r="B382" s="140"/>
      <c r="C382" s="140" t="s">
        <v>255</v>
      </c>
      <c r="D382" s="140"/>
      <c r="E382" s="140" t="s">
        <v>108</v>
      </c>
      <c r="F382" s="140"/>
      <c r="G382" s="140" t="s">
        <v>254</v>
      </c>
      <c r="H382" s="140"/>
    </row>
    <row r="383" spans="1:8" x14ac:dyDescent="0.35">
      <c r="A383" s="139" t="s">
        <v>81</v>
      </c>
      <c r="B383" s="139"/>
      <c r="C383" s="139"/>
      <c r="D383" s="139"/>
      <c r="E383" s="139"/>
      <c r="F383" s="139"/>
      <c r="G383" s="139"/>
      <c r="H383" s="139"/>
    </row>
    <row r="384" spans="1:8" x14ac:dyDescent="0.35">
      <c r="A384" s="139"/>
      <c r="B384" s="139"/>
      <c r="C384" s="139"/>
      <c r="D384" s="139"/>
      <c r="E384" s="139"/>
      <c r="F384" s="139"/>
      <c r="G384" s="139"/>
      <c r="H384" s="139"/>
    </row>
    <row r="385" spans="1:9" x14ac:dyDescent="0.35">
      <c r="A385" s="139"/>
      <c r="B385" s="139"/>
      <c r="C385" s="139"/>
      <c r="D385" s="139"/>
      <c r="E385" s="139"/>
      <c r="F385" s="139"/>
      <c r="G385" s="139"/>
      <c r="H385" s="139"/>
    </row>
    <row r="386" spans="1:9" x14ac:dyDescent="0.35">
      <c r="A386" s="139"/>
      <c r="B386" s="139"/>
      <c r="C386" s="139"/>
      <c r="D386" s="139"/>
      <c r="E386" s="139"/>
      <c r="F386" s="139"/>
      <c r="G386" s="139"/>
      <c r="H386" s="139"/>
    </row>
    <row r="387" spans="1:9" x14ac:dyDescent="0.35">
      <c r="A387" s="37" t="s">
        <v>68</v>
      </c>
      <c r="B387" s="38"/>
      <c r="C387" s="38"/>
      <c r="D387" s="37" t="str">
        <f>E8</f>
        <v>Pearl Residency</v>
      </c>
      <c r="F387" s="38"/>
      <c r="G387" s="38"/>
      <c r="H387" s="38"/>
    </row>
    <row r="388" spans="1:9" x14ac:dyDescent="0.35">
      <c r="A388" s="38"/>
      <c r="B388" s="38"/>
      <c r="C388" s="38"/>
      <c r="D388" s="38"/>
      <c r="E388" s="38"/>
      <c r="F388" s="38"/>
      <c r="G388" s="38"/>
      <c r="H388" s="38"/>
    </row>
    <row r="389" spans="1:9" x14ac:dyDescent="0.35">
      <c r="A389" s="38"/>
      <c r="B389" s="38"/>
      <c r="C389" s="38"/>
      <c r="D389" s="38"/>
      <c r="E389" s="38"/>
      <c r="F389" s="38"/>
      <c r="G389" s="38"/>
      <c r="H389" s="38"/>
    </row>
    <row r="390" spans="1:9" ht="15" customHeight="1" x14ac:dyDescent="0.35"/>
    <row r="391" spans="1:9" x14ac:dyDescent="0.35">
      <c r="I391" s="21" t="s">
        <v>250</v>
      </c>
    </row>
    <row r="431" spans="1:1" x14ac:dyDescent="0.35">
      <c r="A431" s="40" t="s">
        <v>69</v>
      </c>
    </row>
  </sheetData>
  <mergeCells count="692">
    <mergeCell ref="A241:B241"/>
    <mergeCell ref="A235:B235"/>
    <mergeCell ref="G349:H350"/>
    <mergeCell ref="G352:H353"/>
    <mergeCell ref="G355:H356"/>
    <mergeCell ref="G358:H359"/>
    <mergeCell ref="G361:H362"/>
    <mergeCell ref="G305:H308"/>
    <mergeCell ref="G310:H313"/>
    <mergeCell ref="G315:H318"/>
    <mergeCell ref="G320:H323"/>
    <mergeCell ref="G325:H328"/>
    <mergeCell ref="G330:H333"/>
    <mergeCell ref="G335:H336"/>
    <mergeCell ref="G340:H341"/>
    <mergeCell ref="G343:H344"/>
    <mergeCell ref="A324:H324"/>
    <mergeCell ref="A325:B325"/>
    <mergeCell ref="A353:B353"/>
    <mergeCell ref="C353:F353"/>
    <mergeCell ref="A351:H351"/>
    <mergeCell ref="A352:B352"/>
    <mergeCell ref="A342:H342"/>
    <mergeCell ref="A343:B343"/>
    <mergeCell ref="L356:M356"/>
    <mergeCell ref="G255:H256"/>
    <mergeCell ref="A254:H254"/>
    <mergeCell ref="A255:B255"/>
    <mergeCell ref="A248:H248"/>
    <mergeCell ref="A249:B249"/>
    <mergeCell ref="A345:H345"/>
    <mergeCell ref="A346:B346"/>
    <mergeCell ref="L268:M268"/>
    <mergeCell ref="A269:B269"/>
    <mergeCell ref="L269:M269"/>
    <mergeCell ref="A276:B276"/>
    <mergeCell ref="L302:M302"/>
    <mergeCell ref="A303:B303"/>
    <mergeCell ref="L303:M303"/>
    <mergeCell ref="A308:B308"/>
    <mergeCell ref="L308:M308"/>
    <mergeCell ref="L305:M305"/>
    <mergeCell ref="A306:B306"/>
    <mergeCell ref="L306:M306"/>
    <mergeCell ref="A307:B307"/>
    <mergeCell ref="B373:H373"/>
    <mergeCell ref="A360:H360"/>
    <mergeCell ref="A361:B361"/>
    <mergeCell ref="L361:M361"/>
    <mergeCell ref="A362:B362"/>
    <mergeCell ref="L362:M362"/>
    <mergeCell ref="L295:M295"/>
    <mergeCell ref="A296:B296"/>
    <mergeCell ref="L296:M296"/>
    <mergeCell ref="A334:H334"/>
    <mergeCell ref="L335:M335"/>
    <mergeCell ref="A336:B336"/>
    <mergeCell ref="L336:M336"/>
    <mergeCell ref="L358:M358"/>
    <mergeCell ref="L359:M359"/>
    <mergeCell ref="A354:H354"/>
    <mergeCell ref="A355:B355"/>
    <mergeCell ref="L355:M355"/>
    <mergeCell ref="A356:B356"/>
    <mergeCell ref="L331:M331"/>
    <mergeCell ref="L320:M320"/>
    <mergeCell ref="C318:F318"/>
    <mergeCell ref="A319:H319"/>
    <mergeCell ref="A302:B302"/>
    <mergeCell ref="L307:M307"/>
    <mergeCell ref="L318:M318"/>
    <mergeCell ref="L249:M249"/>
    <mergeCell ref="A250:B250"/>
    <mergeCell ref="L250:M250"/>
    <mergeCell ref="A251:B251"/>
    <mergeCell ref="L251:M251"/>
    <mergeCell ref="A252:B252"/>
    <mergeCell ref="L252:M252"/>
    <mergeCell ref="A253:B253"/>
    <mergeCell ref="L253:M253"/>
    <mergeCell ref="G249:H253"/>
    <mergeCell ref="L255:M255"/>
    <mergeCell ref="A256:B256"/>
    <mergeCell ref="L256:M256"/>
    <mergeCell ref="A292:H292"/>
    <mergeCell ref="A293:B293"/>
    <mergeCell ref="L293:M293"/>
    <mergeCell ref="A288:B288"/>
    <mergeCell ref="L288:M288"/>
    <mergeCell ref="A289:B289"/>
    <mergeCell ref="L289:M289"/>
    <mergeCell ref="A290:B290"/>
    <mergeCell ref="L290:M290"/>
    <mergeCell ref="A291:B291"/>
    <mergeCell ref="L317:M317"/>
    <mergeCell ref="L352:M352"/>
    <mergeCell ref="A278:B278"/>
    <mergeCell ref="L316:M316"/>
    <mergeCell ref="A317:B317"/>
    <mergeCell ref="L280:M280"/>
    <mergeCell ref="A281:B281"/>
    <mergeCell ref="L281:M281"/>
    <mergeCell ref="A294:B294"/>
    <mergeCell ref="L285:M285"/>
    <mergeCell ref="A282:H282"/>
    <mergeCell ref="A283:B283"/>
    <mergeCell ref="L283:M283"/>
    <mergeCell ref="A284:B284"/>
    <mergeCell ref="L284:M284"/>
    <mergeCell ref="A280:B280"/>
    <mergeCell ref="L294:M294"/>
    <mergeCell ref="A295:B295"/>
    <mergeCell ref="A323:B323"/>
    <mergeCell ref="C323:F323"/>
    <mergeCell ref="L323:M323"/>
    <mergeCell ref="A316:B316"/>
    <mergeCell ref="L301:M301"/>
    <mergeCell ref="L353:M353"/>
    <mergeCell ref="A327:B327"/>
    <mergeCell ref="L327:M327"/>
    <mergeCell ref="A328:B328"/>
    <mergeCell ref="L328:M328"/>
    <mergeCell ref="A329:H329"/>
    <mergeCell ref="A330:B330"/>
    <mergeCell ref="L330:M330"/>
    <mergeCell ref="A348:H348"/>
    <mergeCell ref="A349:B349"/>
    <mergeCell ref="L349:M349"/>
    <mergeCell ref="A332:B332"/>
    <mergeCell ref="A350:B350"/>
    <mergeCell ref="L350:M350"/>
    <mergeCell ref="C350:F350"/>
    <mergeCell ref="A340:B340"/>
    <mergeCell ref="L340:M340"/>
    <mergeCell ref="A341:B341"/>
    <mergeCell ref="L341:M341"/>
    <mergeCell ref="L343:M343"/>
    <mergeCell ref="A338:H338"/>
    <mergeCell ref="A339:H339"/>
    <mergeCell ref="A309:H309"/>
    <mergeCell ref="A310:B310"/>
    <mergeCell ref="L310:M310"/>
    <mergeCell ref="A311:B311"/>
    <mergeCell ref="A314:H314"/>
    <mergeCell ref="A315:B315"/>
    <mergeCell ref="L315:M315"/>
    <mergeCell ref="A321:B321"/>
    <mergeCell ref="L321:M321"/>
    <mergeCell ref="A318:B318"/>
    <mergeCell ref="L322:M322"/>
    <mergeCell ref="L332:M332"/>
    <mergeCell ref="A333:B333"/>
    <mergeCell ref="L333:M333"/>
    <mergeCell ref="A331:B331"/>
    <mergeCell ref="A337:H337"/>
    <mergeCell ref="L311:M311"/>
    <mergeCell ref="A312:B312"/>
    <mergeCell ref="L312:M312"/>
    <mergeCell ref="A313:B313"/>
    <mergeCell ref="L313:M313"/>
    <mergeCell ref="A322:B322"/>
    <mergeCell ref="L325:M325"/>
    <mergeCell ref="A326:B326"/>
    <mergeCell ref="L326:M326"/>
    <mergeCell ref="L346:M346"/>
    <mergeCell ref="A347:B347"/>
    <mergeCell ref="L347:M347"/>
    <mergeCell ref="A344:B344"/>
    <mergeCell ref="L344:M344"/>
    <mergeCell ref="G346:H347"/>
    <mergeCell ref="A335:B335"/>
    <mergeCell ref="L231:M231"/>
    <mergeCell ref="A232:B232"/>
    <mergeCell ref="L232:M232"/>
    <mergeCell ref="A233:B233"/>
    <mergeCell ref="L233:M233"/>
    <mergeCell ref="A298:H298"/>
    <mergeCell ref="A299:H299"/>
    <mergeCell ref="A300:B300"/>
    <mergeCell ref="L300:M300"/>
    <mergeCell ref="L275:M275"/>
    <mergeCell ref="L247:M247"/>
    <mergeCell ref="A262:H262"/>
    <mergeCell ref="A263:B263"/>
    <mergeCell ref="L263:M263"/>
    <mergeCell ref="A264:B264"/>
    <mergeCell ref="G260:H261"/>
    <mergeCell ref="A285:B285"/>
    <mergeCell ref="L246:M246"/>
    <mergeCell ref="A247:B247"/>
    <mergeCell ref="A242:H242"/>
    <mergeCell ref="A243:B243"/>
    <mergeCell ref="L243:M243"/>
    <mergeCell ref="A244:B244"/>
    <mergeCell ref="L244:M244"/>
    <mergeCell ref="A245:B245"/>
    <mergeCell ref="L245:M245"/>
    <mergeCell ref="G243:H247"/>
    <mergeCell ref="L237:M237"/>
    <mergeCell ref="A238:B238"/>
    <mergeCell ref="L238:M238"/>
    <mergeCell ref="A240:B240"/>
    <mergeCell ref="L240:M240"/>
    <mergeCell ref="L219:M219"/>
    <mergeCell ref="L220:M220"/>
    <mergeCell ref="L221:M221"/>
    <mergeCell ref="L222:M222"/>
    <mergeCell ref="L223:M223"/>
    <mergeCell ref="A234:B234"/>
    <mergeCell ref="L234:M234"/>
    <mergeCell ref="G219:H223"/>
    <mergeCell ref="G225:H229"/>
    <mergeCell ref="G231:H235"/>
    <mergeCell ref="G237:H241"/>
    <mergeCell ref="A228:B228"/>
    <mergeCell ref="L228:M228"/>
    <mergeCell ref="L235:M235"/>
    <mergeCell ref="C234:F234"/>
    <mergeCell ref="A229:B229"/>
    <mergeCell ref="L229:M229"/>
    <mergeCell ref="L241:M241"/>
    <mergeCell ref="C240:F240"/>
    <mergeCell ref="L214:M214"/>
    <mergeCell ref="A215:B215"/>
    <mergeCell ref="L215:M215"/>
    <mergeCell ref="A217:B217"/>
    <mergeCell ref="L217:M217"/>
    <mergeCell ref="A216:B216"/>
    <mergeCell ref="L216:M216"/>
    <mergeCell ref="L226:M226"/>
    <mergeCell ref="A227:B227"/>
    <mergeCell ref="L227:M227"/>
    <mergeCell ref="G213:H217"/>
    <mergeCell ref="L213:M213"/>
    <mergeCell ref="A218:H218"/>
    <mergeCell ref="A219:B219"/>
    <mergeCell ref="A220:B220"/>
    <mergeCell ref="A221:B221"/>
    <mergeCell ref="L278:M278"/>
    <mergeCell ref="A279:B279"/>
    <mergeCell ref="L279:M279"/>
    <mergeCell ref="G268:H271"/>
    <mergeCell ref="G273:H276"/>
    <mergeCell ref="G283:H286"/>
    <mergeCell ref="G288:H291"/>
    <mergeCell ref="G293:H296"/>
    <mergeCell ref="G300:H303"/>
    <mergeCell ref="A272:H272"/>
    <mergeCell ref="A273:B273"/>
    <mergeCell ref="L273:M273"/>
    <mergeCell ref="A274:B274"/>
    <mergeCell ref="L274:M274"/>
    <mergeCell ref="A275:B275"/>
    <mergeCell ref="C274:F274"/>
    <mergeCell ref="A277:H277"/>
    <mergeCell ref="L276:M276"/>
    <mergeCell ref="L291:M291"/>
    <mergeCell ref="A287:H287"/>
    <mergeCell ref="A286:B286"/>
    <mergeCell ref="L286:M286"/>
    <mergeCell ref="C279:F279"/>
    <mergeCell ref="A268:B268"/>
    <mergeCell ref="L209:M209"/>
    <mergeCell ref="A257:H257"/>
    <mergeCell ref="A258:H258"/>
    <mergeCell ref="A270:B270"/>
    <mergeCell ref="L270:M270"/>
    <mergeCell ref="A271:B271"/>
    <mergeCell ref="L271:M271"/>
    <mergeCell ref="A259:H259"/>
    <mergeCell ref="A260:B260"/>
    <mergeCell ref="L260:M260"/>
    <mergeCell ref="A261:B261"/>
    <mergeCell ref="L261:M261"/>
    <mergeCell ref="L264:M264"/>
    <mergeCell ref="A239:B239"/>
    <mergeCell ref="L239:M239"/>
    <mergeCell ref="A212:H212"/>
    <mergeCell ref="A214:B214"/>
    <mergeCell ref="A224:H224"/>
    <mergeCell ref="A225:B225"/>
    <mergeCell ref="L225:M225"/>
    <mergeCell ref="A226:B226"/>
    <mergeCell ref="L265:M265"/>
    <mergeCell ref="A266:B266"/>
    <mergeCell ref="L266:M266"/>
    <mergeCell ref="L193:M193"/>
    <mergeCell ref="L194:M194"/>
    <mergeCell ref="L183:M183"/>
    <mergeCell ref="L184:M184"/>
    <mergeCell ref="L185:M185"/>
    <mergeCell ref="L186:M186"/>
    <mergeCell ref="L187:M187"/>
    <mergeCell ref="L188:M188"/>
    <mergeCell ref="L177:M177"/>
    <mergeCell ref="L178:M178"/>
    <mergeCell ref="L179:M179"/>
    <mergeCell ref="L180:M180"/>
    <mergeCell ref="L181:M181"/>
    <mergeCell ref="L169:M169"/>
    <mergeCell ref="E142:F142"/>
    <mergeCell ref="A142:B142"/>
    <mergeCell ref="C142:D142"/>
    <mergeCell ref="F138:H138"/>
    <mergeCell ref="G142:H142"/>
    <mergeCell ref="A137:E137"/>
    <mergeCell ref="C143:D143"/>
    <mergeCell ref="E143:F143"/>
    <mergeCell ref="E147:F147"/>
    <mergeCell ref="A153:H153"/>
    <mergeCell ref="A154:H154"/>
    <mergeCell ref="A152:B152"/>
    <mergeCell ref="L160:M160"/>
    <mergeCell ref="L164:M164"/>
    <mergeCell ref="L165:M165"/>
    <mergeCell ref="L166:M166"/>
    <mergeCell ref="L167:M167"/>
    <mergeCell ref="L168:M168"/>
    <mergeCell ref="G160:H199"/>
    <mergeCell ref="L189:M189"/>
    <mergeCell ref="L190:M190"/>
    <mergeCell ref="L191:M191"/>
    <mergeCell ref="L192:M192"/>
    <mergeCell ref="L170:M170"/>
    <mergeCell ref="L171:M171"/>
    <mergeCell ref="L172:M172"/>
    <mergeCell ref="L173:M173"/>
    <mergeCell ref="L174:M174"/>
    <mergeCell ref="A208:B208"/>
    <mergeCell ref="A207:H207"/>
    <mergeCell ref="L211:M211"/>
    <mergeCell ref="L208:M208"/>
    <mergeCell ref="A209:B209"/>
    <mergeCell ref="L175:M175"/>
    <mergeCell ref="A211:B211"/>
    <mergeCell ref="A203:H203"/>
    <mergeCell ref="A205:H205"/>
    <mergeCell ref="A201:A202"/>
    <mergeCell ref="B201:B202"/>
    <mergeCell ref="L182:M182"/>
    <mergeCell ref="L176:M176"/>
    <mergeCell ref="L195:M195"/>
    <mergeCell ref="L196:M196"/>
    <mergeCell ref="L197:M197"/>
    <mergeCell ref="L198:M198"/>
    <mergeCell ref="L199:M199"/>
    <mergeCell ref="D201:D202"/>
    <mergeCell ref="A15:B15"/>
    <mergeCell ref="C15:H15"/>
    <mergeCell ref="A37:B37"/>
    <mergeCell ref="C37:H37"/>
    <mergeCell ref="A145:B145"/>
    <mergeCell ref="C145:D145"/>
    <mergeCell ref="E145:F145"/>
    <mergeCell ref="G145:H145"/>
    <mergeCell ref="A151:B151"/>
    <mergeCell ref="C151:D151"/>
    <mergeCell ref="E151:F151"/>
    <mergeCell ref="G151:H151"/>
    <mergeCell ref="C147:D147"/>
    <mergeCell ref="G147:H147"/>
    <mergeCell ref="A128:E128"/>
    <mergeCell ref="A88:B88"/>
    <mergeCell ref="A114:B114"/>
    <mergeCell ref="A102:B102"/>
    <mergeCell ref="C102:H102"/>
    <mergeCell ref="A103:B103"/>
    <mergeCell ref="E103:F103"/>
    <mergeCell ref="F135:H135"/>
    <mergeCell ref="F136:H136"/>
    <mergeCell ref="A104:B104"/>
    <mergeCell ref="B371:H371"/>
    <mergeCell ref="A46:B46"/>
    <mergeCell ref="C46:H46"/>
    <mergeCell ref="B369:H369"/>
    <mergeCell ref="A105:B105"/>
    <mergeCell ref="A106:B106"/>
    <mergeCell ref="G90:H99"/>
    <mergeCell ref="A91:B91"/>
    <mergeCell ref="A92:B92"/>
    <mergeCell ref="A93:B93"/>
    <mergeCell ref="F130:H130"/>
    <mergeCell ref="A130:E130"/>
    <mergeCell ref="D155:D156"/>
    <mergeCell ref="A131:E131"/>
    <mergeCell ref="F131:H131"/>
    <mergeCell ref="G103:H103"/>
    <mergeCell ref="F137:H137"/>
    <mergeCell ref="A135:E135"/>
    <mergeCell ref="A107:B107"/>
    <mergeCell ref="A108:B108"/>
    <mergeCell ref="A109:B109"/>
    <mergeCell ref="A111:B111"/>
    <mergeCell ref="A112:B112"/>
    <mergeCell ref="A132:E132"/>
    <mergeCell ref="B368:H368"/>
    <mergeCell ref="A363:H363"/>
    <mergeCell ref="A357:H357"/>
    <mergeCell ref="A358:B358"/>
    <mergeCell ref="B366:H366"/>
    <mergeCell ref="A359:B359"/>
    <mergeCell ref="A204:H204"/>
    <mergeCell ref="A148:B148"/>
    <mergeCell ref="C148:D148"/>
    <mergeCell ref="A223:B223"/>
    <mergeCell ref="A222:B222"/>
    <mergeCell ref="B364:H364"/>
    <mergeCell ref="A206:H206"/>
    <mergeCell ref="A213:B213"/>
    <mergeCell ref="G152:H152"/>
    <mergeCell ref="A200:H200"/>
    <mergeCell ref="G278:H281"/>
    <mergeCell ref="A301:B301"/>
    <mergeCell ref="A297:H297"/>
    <mergeCell ref="A304:H304"/>
    <mergeCell ref="A305:B305"/>
    <mergeCell ref="A246:B246"/>
    <mergeCell ref="A320:B320"/>
    <mergeCell ref="G208:H211"/>
    <mergeCell ref="B365:H365"/>
    <mergeCell ref="B367:H367"/>
    <mergeCell ref="A120:B120"/>
    <mergeCell ref="A121:B121"/>
    <mergeCell ref="A122:B122"/>
    <mergeCell ref="C88:H88"/>
    <mergeCell ref="A144:B144"/>
    <mergeCell ref="A138:E138"/>
    <mergeCell ref="C144:D144"/>
    <mergeCell ref="E144:F144"/>
    <mergeCell ref="G144:H144"/>
    <mergeCell ref="E104:F113"/>
    <mergeCell ref="F128:H128"/>
    <mergeCell ref="F132:H132"/>
    <mergeCell ref="A123:B123"/>
    <mergeCell ref="A124:B124"/>
    <mergeCell ref="A125:B125"/>
    <mergeCell ref="A265:B265"/>
    <mergeCell ref="G263:H266"/>
    <mergeCell ref="A267:H267"/>
    <mergeCell ref="A236:H236"/>
    <mergeCell ref="A237:B237"/>
    <mergeCell ref="A230:H230"/>
    <mergeCell ref="A231:B231"/>
    <mergeCell ref="A127:B127"/>
    <mergeCell ref="A86:B86"/>
    <mergeCell ref="C114:H114"/>
    <mergeCell ref="A116:B116"/>
    <mergeCell ref="C116:H116"/>
    <mergeCell ref="A117:B117"/>
    <mergeCell ref="E117:F117"/>
    <mergeCell ref="G117:H117"/>
    <mergeCell ref="E118:F127"/>
    <mergeCell ref="G118:H127"/>
    <mergeCell ref="A119:B119"/>
    <mergeCell ref="A147:B147"/>
    <mergeCell ref="A90:B90"/>
    <mergeCell ref="E90:F99"/>
    <mergeCell ref="A97:B97"/>
    <mergeCell ref="A98:B98"/>
    <mergeCell ref="A99:B99"/>
    <mergeCell ref="A79:B79"/>
    <mergeCell ref="E75:F75"/>
    <mergeCell ref="A68:C68"/>
    <mergeCell ref="D68:H68"/>
    <mergeCell ref="A71:C71"/>
    <mergeCell ref="D71:H71"/>
    <mergeCell ref="A69:C69"/>
    <mergeCell ref="D69:H69"/>
    <mergeCell ref="A83:B83"/>
    <mergeCell ref="A82:B82"/>
    <mergeCell ref="E76:F85"/>
    <mergeCell ref="G76:H85"/>
    <mergeCell ref="A89:B89"/>
    <mergeCell ref="E89:F89"/>
    <mergeCell ref="G89:H89"/>
    <mergeCell ref="A133:E133"/>
    <mergeCell ref="F133:H133"/>
    <mergeCell ref="A126:B126"/>
    <mergeCell ref="A35:H35"/>
    <mergeCell ref="A34:B34"/>
    <mergeCell ref="C34:E34"/>
    <mergeCell ref="A39:D39"/>
    <mergeCell ref="E39:H39"/>
    <mergeCell ref="F31:H31"/>
    <mergeCell ref="F32:H32"/>
    <mergeCell ref="A38:H38"/>
    <mergeCell ref="A65:C65"/>
    <mergeCell ref="F34:H34"/>
    <mergeCell ref="A36:B36"/>
    <mergeCell ref="A43:D43"/>
    <mergeCell ref="A44:D44"/>
    <mergeCell ref="A45:H45"/>
    <mergeCell ref="D60:H60"/>
    <mergeCell ref="A60:C60"/>
    <mergeCell ref="G48:H48"/>
    <mergeCell ref="A49:B50"/>
    <mergeCell ref="C54:H54"/>
    <mergeCell ref="D63:H63"/>
    <mergeCell ref="A61:C64"/>
    <mergeCell ref="A48:B48"/>
    <mergeCell ref="E40:H40"/>
    <mergeCell ref="A40:D40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383:H386"/>
    <mergeCell ref="A382:B382"/>
    <mergeCell ref="E382:F382"/>
    <mergeCell ref="C382:D382"/>
    <mergeCell ref="G382:H382"/>
    <mergeCell ref="A141:H141"/>
    <mergeCell ref="A139:E139"/>
    <mergeCell ref="F139:H139"/>
    <mergeCell ref="A140:E140"/>
    <mergeCell ref="F140:H140"/>
    <mergeCell ref="A150:B150"/>
    <mergeCell ref="A143:B143"/>
    <mergeCell ref="A378:H378"/>
    <mergeCell ref="A146:H146"/>
    <mergeCell ref="A381:H381"/>
    <mergeCell ref="A379:H379"/>
    <mergeCell ref="A375:H375"/>
    <mergeCell ref="A376:H376"/>
    <mergeCell ref="B372:H372"/>
    <mergeCell ref="B370:H370"/>
    <mergeCell ref="A380:H380"/>
    <mergeCell ref="A377:H377"/>
    <mergeCell ref="A158:H158"/>
    <mergeCell ref="A157:H157"/>
    <mergeCell ref="E201:E202"/>
    <mergeCell ref="G201:H202"/>
    <mergeCell ref="A94:B94"/>
    <mergeCell ref="A95:B95"/>
    <mergeCell ref="A96:B96"/>
    <mergeCell ref="A110:B110"/>
    <mergeCell ref="F129:H129"/>
    <mergeCell ref="G143:H143"/>
    <mergeCell ref="A113:B113"/>
    <mergeCell ref="C150:D150"/>
    <mergeCell ref="E150:F150"/>
    <mergeCell ref="G150:H150"/>
    <mergeCell ref="F134:H134"/>
    <mergeCell ref="A129:E129"/>
    <mergeCell ref="A100:B100"/>
    <mergeCell ref="C100:H100"/>
    <mergeCell ref="A159:H159"/>
    <mergeCell ref="E155:E156"/>
    <mergeCell ref="G155:H156"/>
    <mergeCell ref="A134:E134"/>
    <mergeCell ref="A136:E136"/>
    <mergeCell ref="C155:C156"/>
    <mergeCell ref="G104:H113"/>
    <mergeCell ref="A118:B118"/>
    <mergeCell ref="A53:B54"/>
    <mergeCell ref="G49:H49"/>
    <mergeCell ref="A55:B56"/>
    <mergeCell ref="C55:E55"/>
    <mergeCell ref="G55:H55"/>
    <mergeCell ref="C56:H56"/>
    <mergeCell ref="G51:H51"/>
    <mergeCell ref="C52:H52"/>
    <mergeCell ref="C86:H86"/>
    <mergeCell ref="A81:B81"/>
    <mergeCell ref="A80:B80"/>
    <mergeCell ref="A67:C67"/>
    <mergeCell ref="D67:H67"/>
    <mergeCell ref="C74:H74"/>
    <mergeCell ref="A77:B77"/>
    <mergeCell ref="D70:H70"/>
    <mergeCell ref="A76:B76"/>
    <mergeCell ref="G75:H75"/>
    <mergeCell ref="D64:H64"/>
    <mergeCell ref="A66:C66"/>
    <mergeCell ref="D65:H65"/>
    <mergeCell ref="A84:B84"/>
    <mergeCell ref="A85:B85"/>
    <mergeCell ref="D66:H66"/>
    <mergeCell ref="E44:H44"/>
    <mergeCell ref="A42:D42"/>
    <mergeCell ref="G47:H47"/>
    <mergeCell ref="C48:E48"/>
    <mergeCell ref="L210:M210"/>
    <mergeCell ref="L163:M163"/>
    <mergeCell ref="L162:M162"/>
    <mergeCell ref="L161:M161"/>
    <mergeCell ref="A70:C70"/>
    <mergeCell ref="A75:B75"/>
    <mergeCell ref="A78:B78"/>
    <mergeCell ref="A74:B74"/>
    <mergeCell ref="A72:B72"/>
    <mergeCell ref="C72:H72"/>
    <mergeCell ref="D58:H58"/>
    <mergeCell ref="C49:E49"/>
    <mergeCell ref="D61:H61"/>
    <mergeCell ref="D62:H62"/>
    <mergeCell ref="C53:E53"/>
    <mergeCell ref="A57:H57"/>
    <mergeCell ref="A58:C58"/>
    <mergeCell ref="A59:C59"/>
    <mergeCell ref="D59:H59"/>
    <mergeCell ref="G53:H53"/>
    <mergeCell ref="C36:H36"/>
    <mergeCell ref="B374:H374"/>
    <mergeCell ref="E148:F148"/>
    <mergeCell ref="G148:H148"/>
    <mergeCell ref="A149:B149"/>
    <mergeCell ref="C149:D149"/>
    <mergeCell ref="E149:F149"/>
    <mergeCell ref="G149:H149"/>
    <mergeCell ref="B155:B156"/>
    <mergeCell ref="A155:A156"/>
    <mergeCell ref="C152:D152"/>
    <mergeCell ref="E152:F152"/>
    <mergeCell ref="A210:B210"/>
    <mergeCell ref="C201:C202"/>
    <mergeCell ref="A47:B47"/>
    <mergeCell ref="C47:E47"/>
    <mergeCell ref="C50:E50"/>
    <mergeCell ref="G50:H50"/>
    <mergeCell ref="A51:B52"/>
    <mergeCell ref="C51:E51"/>
    <mergeCell ref="A41:D41"/>
    <mergeCell ref="E41:H41"/>
    <mergeCell ref="E42:H42"/>
    <mergeCell ref="E43:H43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71" max="16383" man="1"/>
    <brk id="386" max="16383" man="1"/>
    <brk id="43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5" t="s">
        <v>109</v>
      </c>
      <c r="C3" s="195"/>
      <c r="D3" s="195"/>
      <c r="E3" s="195"/>
      <c r="F3" s="195"/>
      <c r="G3" s="195"/>
      <c r="H3" s="195"/>
    </row>
    <row r="4" spans="1:9" x14ac:dyDescent="0.3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2025-07-11T13:17:32Z</cp:lastPrinted>
  <dcterms:created xsi:type="dcterms:W3CDTF">2019-07-16T09:29:46Z</dcterms:created>
  <dcterms:modified xsi:type="dcterms:W3CDTF">2025-07-11T13:18:32Z</dcterms:modified>
</cp:coreProperties>
</file>