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July 2025\PNB\14208 - Kohinoor Gardens\"/>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9" i="1" l="1"/>
  <c r="L130" i="1"/>
  <c r="L131" i="1"/>
  <c r="L132" i="1"/>
  <c r="L133" i="1"/>
  <c r="L134" i="1"/>
  <c r="L135" i="1"/>
  <c r="L136" i="1"/>
  <c r="L128" i="1"/>
  <c r="J133" i="1"/>
  <c r="J134" i="1"/>
  <c r="J135" i="1"/>
  <c r="C120" i="1"/>
  <c r="E120" i="1"/>
  <c r="G120" i="1"/>
  <c r="G119" i="1"/>
  <c r="G118" i="1"/>
  <c r="I205" i="1" l="1"/>
  <c r="I194" i="1"/>
  <c r="I183" i="1"/>
  <c r="I160" i="1"/>
  <c r="I149" i="1"/>
  <c r="I138" i="1"/>
  <c r="I172" i="1"/>
  <c r="I127" i="1"/>
  <c r="E209" i="1"/>
  <c r="D209" i="1"/>
  <c r="E205" i="1"/>
  <c r="D205" i="1"/>
  <c r="E204" i="1"/>
  <c r="D204" i="1"/>
  <c r="E202" i="1"/>
  <c r="D202" i="1"/>
  <c r="E201" i="1"/>
  <c r="D201" i="1"/>
  <c r="F201" i="1" s="1"/>
  <c r="H201" i="1" s="1"/>
  <c r="E200" i="1"/>
  <c r="D200" i="1"/>
  <c r="E199" i="1"/>
  <c r="D199" i="1"/>
  <c r="E198" i="1"/>
  <c r="D198" i="1"/>
  <c r="E197" i="1"/>
  <c r="D197" i="1"/>
  <c r="E196" i="1"/>
  <c r="D196" i="1"/>
  <c r="E194" i="1"/>
  <c r="D194" i="1"/>
  <c r="E193" i="1"/>
  <c r="D193" i="1"/>
  <c r="E192" i="1"/>
  <c r="D192" i="1"/>
  <c r="E191" i="1"/>
  <c r="D191" i="1"/>
  <c r="E190" i="1"/>
  <c r="D190" i="1"/>
  <c r="E189" i="1"/>
  <c r="D189" i="1"/>
  <c r="E188" i="1"/>
  <c r="D188" i="1"/>
  <c r="E187" i="1"/>
  <c r="D187" i="1"/>
  <c r="E186" i="1"/>
  <c r="D186" i="1"/>
  <c r="E185" i="1"/>
  <c r="D185" i="1"/>
  <c r="E183" i="1"/>
  <c r="D183" i="1"/>
  <c r="E182" i="1"/>
  <c r="D182" i="1"/>
  <c r="E181" i="1"/>
  <c r="D181" i="1"/>
  <c r="E180" i="1"/>
  <c r="D180" i="1"/>
  <c r="E179" i="1"/>
  <c r="D179" i="1"/>
  <c r="E178" i="1"/>
  <c r="D178" i="1"/>
  <c r="E177" i="1"/>
  <c r="D177" i="1"/>
  <c r="F177" i="1" s="1"/>
  <c r="H177" i="1" s="1"/>
  <c r="E176" i="1"/>
  <c r="D176" i="1"/>
  <c r="E175" i="1"/>
  <c r="D175" i="1"/>
  <c r="E174" i="1"/>
  <c r="D174" i="1"/>
  <c r="E170" i="1"/>
  <c r="D170" i="1"/>
  <c r="E169" i="1"/>
  <c r="D169" i="1"/>
  <c r="E168" i="1"/>
  <c r="D168" i="1"/>
  <c r="E167" i="1"/>
  <c r="D167" i="1"/>
  <c r="E166" i="1"/>
  <c r="D166" i="1"/>
  <c r="E165" i="1"/>
  <c r="D165" i="1"/>
  <c r="E164" i="1"/>
  <c r="D164" i="1"/>
  <c r="E163" i="1"/>
  <c r="D163" i="1"/>
  <c r="E162" i="1"/>
  <c r="D162" i="1"/>
  <c r="E161" i="1"/>
  <c r="D161" i="1"/>
  <c r="E159" i="1"/>
  <c r="D159" i="1"/>
  <c r="E158" i="1"/>
  <c r="D158" i="1"/>
  <c r="E157" i="1"/>
  <c r="D157" i="1"/>
  <c r="E156" i="1"/>
  <c r="D156" i="1"/>
  <c r="E155" i="1"/>
  <c r="D155" i="1"/>
  <c r="E154" i="1"/>
  <c r="D154" i="1"/>
  <c r="E153" i="1"/>
  <c r="D153" i="1"/>
  <c r="E152" i="1"/>
  <c r="D152" i="1"/>
  <c r="E151" i="1"/>
  <c r="D151" i="1"/>
  <c r="E150" i="1"/>
  <c r="D150" i="1"/>
  <c r="E148" i="1"/>
  <c r="D148" i="1"/>
  <c r="E147" i="1"/>
  <c r="D147" i="1"/>
  <c r="E146" i="1"/>
  <c r="D146" i="1"/>
  <c r="E144" i="1"/>
  <c r="D144" i="1"/>
  <c r="E143" i="1"/>
  <c r="D143" i="1"/>
  <c r="E142" i="1"/>
  <c r="D142" i="1"/>
  <c r="E141" i="1"/>
  <c r="D141" i="1"/>
  <c r="E140" i="1"/>
  <c r="D140" i="1"/>
  <c r="E139" i="1"/>
  <c r="D139" i="1"/>
  <c r="E137" i="1"/>
  <c r="D137" i="1"/>
  <c r="E136" i="1"/>
  <c r="D136" i="1"/>
  <c r="E135" i="1"/>
  <c r="D135" i="1"/>
  <c r="E134" i="1"/>
  <c r="D134" i="1"/>
  <c r="E133" i="1"/>
  <c r="D133" i="1"/>
  <c r="E132" i="1"/>
  <c r="D132" i="1"/>
  <c r="E131" i="1"/>
  <c r="D131" i="1"/>
  <c r="E130" i="1"/>
  <c r="D130" i="1"/>
  <c r="E129" i="1"/>
  <c r="D129" i="1"/>
  <c r="E128" i="1"/>
  <c r="D128" i="1"/>
  <c r="A208" i="1"/>
  <c r="A209" i="1" s="1"/>
  <c r="A210" i="1" s="1"/>
  <c r="A211" i="1" s="1"/>
  <c r="A212" i="1" s="1"/>
  <c r="A213" i="1" s="1"/>
  <c r="A215" i="1" s="1"/>
  <c r="A162" i="1"/>
  <c r="A163" i="1" s="1"/>
  <c r="A164" i="1" s="1"/>
  <c r="A165" i="1" s="1"/>
  <c r="A166" i="1" s="1"/>
  <c r="A167" i="1" s="1"/>
  <c r="A168" i="1" s="1"/>
  <c r="A169" i="1" s="1"/>
  <c r="A170" i="1" s="1"/>
  <c r="A197" i="1"/>
  <c r="A198" i="1" s="1"/>
  <c r="A199" i="1" s="1"/>
  <c r="A200" i="1" s="1"/>
  <c r="A201" i="1" s="1"/>
  <c r="A202" i="1" s="1"/>
  <c r="A203" i="1" s="1"/>
  <c r="A204" i="1" s="1"/>
  <c r="A205" i="1" s="1"/>
  <c r="A151" i="1"/>
  <c r="A152" i="1" s="1"/>
  <c r="A153" i="1" s="1"/>
  <c r="A154" i="1" s="1"/>
  <c r="A155" i="1" s="1"/>
  <c r="A156" i="1" s="1"/>
  <c r="A157" i="1" s="1"/>
  <c r="A158" i="1" s="1"/>
  <c r="A159" i="1" s="1"/>
  <c r="A186" i="1"/>
  <c r="A187" i="1" s="1"/>
  <c r="A188" i="1" s="1"/>
  <c r="A189" i="1" s="1"/>
  <c r="A190" i="1" s="1"/>
  <c r="A191" i="1" s="1"/>
  <c r="A192" i="1" s="1"/>
  <c r="A193" i="1" s="1"/>
  <c r="A194" i="1" s="1"/>
  <c r="A140" i="1"/>
  <c r="A141" i="1" s="1"/>
  <c r="A142" i="1" s="1"/>
  <c r="A143" i="1" s="1"/>
  <c r="A144" i="1" s="1"/>
  <c r="A145" i="1" s="1"/>
  <c r="A146" i="1" s="1"/>
  <c r="A147" i="1" s="1"/>
  <c r="A148" i="1" s="1"/>
  <c r="I123" i="1"/>
  <c r="I131" i="1"/>
  <c r="J131" i="1"/>
  <c r="I128" i="1"/>
  <c r="A175" i="1"/>
  <c r="A176" i="1" s="1"/>
  <c r="A177" i="1" s="1"/>
  <c r="A178" i="1" s="1"/>
  <c r="A179" i="1" s="1"/>
  <c r="A180" i="1" s="1"/>
  <c r="A181" i="1" s="1"/>
  <c r="A182" i="1" s="1"/>
  <c r="A183" i="1" s="1"/>
  <c r="E46" i="1"/>
  <c r="E42" i="1"/>
  <c r="E43" i="1" s="1"/>
  <c r="F143" i="1" l="1"/>
  <c r="H143" i="1" s="1"/>
  <c r="F183" i="1"/>
  <c r="H183" i="1" s="1"/>
  <c r="C119" i="1"/>
  <c r="F194" i="1"/>
  <c r="H194" i="1" s="1"/>
  <c r="F187" i="1"/>
  <c r="H187" i="1" s="1"/>
  <c r="C118" i="1"/>
  <c r="F134" i="1"/>
  <c r="H134" i="1" s="1"/>
  <c r="F153" i="1"/>
  <c r="H153" i="1" s="1"/>
  <c r="F157" i="1"/>
  <c r="H157" i="1" s="1"/>
  <c r="F168" i="1"/>
  <c r="H168" i="1" s="1"/>
  <c r="F175" i="1"/>
  <c r="H175" i="1" s="1"/>
  <c r="F192" i="1"/>
  <c r="H192" i="1" s="1"/>
  <c r="F139" i="1"/>
  <c r="H139" i="1" s="1"/>
  <c r="F159" i="1"/>
  <c r="H159" i="1" s="1"/>
  <c r="F162" i="1"/>
  <c r="H162" i="1" s="1"/>
  <c r="F166" i="1"/>
  <c r="H166" i="1" s="1"/>
  <c r="F170" i="1"/>
  <c r="H170" i="1" s="1"/>
  <c r="F179" i="1"/>
  <c r="H179" i="1" s="1"/>
  <c r="F188" i="1"/>
  <c r="H188" i="1" s="1"/>
  <c r="F142" i="1"/>
  <c r="H142" i="1" s="1"/>
  <c r="F144" i="1"/>
  <c r="H144" i="1" s="1"/>
  <c r="F150" i="1"/>
  <c r="H150" i="1" s="1"/>
  <c r="F156" i="1"/>
  <c r="H156" i="1" s="1"/>
  <c r="F169" i="1"/>
  <c r="H169" i="1" s="1"/>
  <c r="F174" i="1"/>
  <c r="F185" i="1"/>
  <c r="H185" i="1" s="1"/>
  <c r="F198" i="1"/>
  <c r="H198" i="1" s="1"/>
  <c r="F200" i="1"/>
  <c r="H200" i="1" s="1"/>
  <c r="F202" i="1"/>
  <c r="H202" i="1" s="1"/>
  <c r="F163" i="1"/>
  <c r="H163" i="1" s="1"/>
  <c r="F181" i="1"/>
  <c r="H181" i="1" s="1"/>
  <c r="F176" i="1"/>
  <c r="H176" i="1" s="1"/>
  <c r="F155" i="1"/>
  <c r="H155" i="1" s="1"/>
  <c r="F136" i="1"/>
  <c r="H136" i="1" s="1"/>
  <c r="F140" i="1"/>
  <c r="H140" i="1" s="1"/>
  <c r="F148" i="1"/>
  <c r="H148" i="1" s="1"/>
  <c r="F189" i="1"/>
  <c r="H189" i="1" s="1"/>
  <c r="F152" i="1"/>
  <c r="H152" i="1" s="1"/>
  <c r="F158" i="1"/>
  <c r="H158" i="1" s="1"/>
  <c r="F196" i="1"/>
  <c r="H196" i="1" s="1"/>
  <c r="F182" i="1"/>
  <c r="H182" i="1" s="1"/>
  <c r="F146" i="1"/>
  <c r="H146" i="1" s="1"/>
  <c r="F190" i="1"/>
  <c r="H190" i="1" s="1"/>
  <c r="F193" i="1"/>
  <c r="H193" i="1" s="1"/>
  <c r="F151" i="1"/>
  <c r="H151" i="1" s="1"/>
  <c r="F199" i="1"/>
  <c r="H199" i="1" s="1"/>
  <c r="F204" i="1"/>
  <c r="H204" i="1" s="1"/>
  <c r="F161" i="1"/>
  <c r="H161" i="1" s="1"/>
  <c r="F164" i="1"/>
  <c r="H164" i="1" s="1"/>
  <c r="F167" i="1"/>
  <c r="H167" i="1" s="1"/>
  <c r="F137" i="1"/>
  <c r="H137" i="1" s="1"/>
  <c r="F133" i="1"/>
  <c r="H133" i="1" s="1"/>
  <c r="F178" i="1"/>
  <c r="H178" i="1" s="1"/>
  <c r="F180" i="1"/>
  <c r="H180" i="1" s="1"/>
  <c r="F141" i="1"/>
  <c r="H141" i="1" s="1"/>
  <c r="F147" i="1"/>
  <c r="H147" i="1" s="1"/>
  <c r="F186" i="1"/>
  <c r="H186" i="1" s="1"/>
  <c r="F191" i="1"/>
  <c r="H191" i="1" s="1"/>
  <c r="F154" i="1"/>
  <c r="H154" i="1" s="1"/>
  <c r="F197" i="1"/>
  <c r="H197" i="1" s="1"/>
  <c r="F205" i="1"/>
  <c r="H205" i="1" s="1"/>
  <c r="F165" i="1"/>
  <c r="H165" i="1" s="1"/>
  <c r="F209" i="1"/>
  <c r="H209" i="1" s="1"/>
  <c r="F135" i="1"/>
  <c r="H135" i="1" s="1"/>
  <c r="F132" i="1"/>
  <c r="H132" i="1" s="1"/>
  <c r="B54" i="6"/>
  <c r="H174" i="1" l="1"/>
  <c r="E119" i="1"/>
  <c r="C75" i="1"/>
  <c r="B38" i="6" l="1"/>
  <c r="B39" i="6" s="1"/>
  <c r="B40" i="6" s="1"/>
  <c r="B41" i="6" s="1"/>
  <c r="B42" i="6" s="1"/>
  <c r="B43" i="6" s="1"/>
  <c r="B44" i="6" s="1"/>
  <c r="B45" i="6" s="1"/>
  <c r="B46" i="6" s="1"/>
  <c r="B47" i="6" s="1"/>
  <c r="B48" i="6" s="1"/>
  <c r="B49" i="6" s="1"/>
  <c r="B50" i="6" s="1"/>
  <c r="B51" i="6" s="1"/>
  <c r="B52" i="6" s="1"/>
  <c r="B53"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1" i="1"/>
  <c r="B218" i="1"/>
  <c r="F131" i="1"/>
  <c r="H131" i="1" s="1"/>
  <c r="F130" i="1"/>
  <c r="H130" i="1" s="1"/>
  <c r="F129" i="1"/>
  <c r="H129" i="1" s="1"/>
  <c r="A129" i="1"/>
  <c r="A130" i="1" s="1"/>
  <c r="A131" i="1" s="1"/>
  <c r="A132" i="1" s="1"/>
  <c r="A133" i="1" s="1"/>
  <c r="A134" i="1" s="1"/>
  <c r="A135" i="1" s="1"/>
  <c r="A136" i="1" s="1"/>
  <c r="A137" i="1" s="1"/>
  <c r="F128" i="1"/>
  <c r="F115" i="1"/>
  <c r="C89" i="1"/>
  <c r="B76" i="1"/>
  <c r="D69" i="1"/>
  <c r="D63" i="1"/>
  <c r="K54" i="1"/>
  <c r="G51" i="1"/>
  <c r="C51" i="1"/>
  <c r="C52" i="1" s="1"/>
  <c r="E44" i="1"/>
  <c r="E45" i="1" s="1"/>
  <c r="S33" i="1"/>
  <c r="E31" i="1"/>
  <c r="E28" i="1"/>
  <c r="E26" i="1"/>
  <c r="C16" i="1"/>
  <c r="I15" i="1"/>
  <c r="Z13" i="1"/>
  <c r="E3" i="1"/>
  <c r="B227" i="1" s="1"/>
  <c r="H90" i="1"/>
  <c r="H128" i="1" l="1"/>
  <c r="E118" i="1"/>
  <c r="E42" i="7"/>
  <c r="J83" i="1"/>
  <c r="J84" i="1"/>
  <c r="I42" i="7"/>
  <c r="H42" i="7" s="1"/>
  <c r="L42" i="7"/>
  <c r="K42" i="7" s="1"/>
  <c r="J89" i="1"/>
  <c r="J91" i="1" s="1"/>
  <c r="D98" i="1"/>
  <c r="D97" i="1"/>
  <c r="D102" i="1"/>
  <c r="D96" i="1"/>
  <c r="J92" i="1"/>
  <c r="D101" i="1"/>
  <c r="J94" i="1"/>
  <c r="C93" i="1" s="1"/>
  <c r="D95" i="1"/>
  <c r="D100" i="1"/>
  <c r="J93" i="1"/>
  <c r="D99" i="1"/>
  <c r="D42" i="7"/>
  <c r="L54" i="1"/>
  <c r="B90" i="1"/>
  <c r="J85" i="1"/>
  <c r="J86" i="1"/>
  <c r="I52" i="1"/>
  <c r="H76" i="1"/>
  <c r="D87" i="1" l="1"/>
  <c r="D81" i="1"/>
  <c r="J81" i="1"/>
  <c r="J82" i="1" s="1"/>
  <c r="J87" i="1" s="1"/>
  <c r="J88" i="1" s="1"/>
  <c r="C80" i="1" s="1"/>
  <c r="E79" i="1" s="1"/>
  <c r="J80" i="1"/>
  <c r="C79" i="1" s="1"/>
  <c r="D79" i="1" s="1"/>
  <c r="D86" i="1"/>
  <c r="D85" i="1"/>
  <c r="J75" i="1"/>
  <c r="J77" i="1" s="1"/>
  <c r="D84" i="1"/>
  <c r="D88" i="1"/>
  <c r="D82" i="1"/>
  <c r="J79" i="1"/>
  <c r="J78" i="1"/>
  <c r="D83" i="1"/>
  <c r="D44" i="7"/>
  <c r="E44" i="7"/>
  <c r="D93" i="1"/>
  <c r="J98" i="1"/>
  <c r="J95" i="1"/>
  <c r="J96" i="1" s="1"/>
  <c r="J101" i="1" s="1"/>
  <c r="J102" i="1" s="1"/>
  <c r="C94" i="1" s="1"/>
  <c r="J100" i="1"/>
  <c r="J97" i="1"/>
  <c r="J99" i="1"/>
  <c r="G79" i="1" l="1"/>
  <c r="D73" i="1" s="1"/>
  <c r="D74" i="1" s="1"/>
  <c r="D80" i="1"/>
  <c r="I76" i="1" s="1"/>
  <c r="I77" i="1" s="1"/>
  <c r="J76" i="1"/>
  <c r="E93" i="1"/>
  <c r="D94" i="1"/>
  <c r="I90" i="1" s="1"/>
  <c r="J90" i="1"/>
  <c r="G93" i="1"/>
  <c r="F74" i="1" l="1"/>
  <c r="I75" i="1"/>
  <c r="C77" i="1" s="1"/>
  <c r="I91" i="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<sst xmlns="http://schemas.openxmlformats.org/spreadsheetml/2006/main" count="733" uniqueCount="434">
  <si>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</si>
  <si>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</si>
  <si>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</si>
  <si>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</si>
  <si>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</si>
  <si>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</si>
  <si>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</si>
  <si>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</si>
  <si>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</si>
  <si>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</si>
  <si>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</si>
  <si>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</si>
  <si>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</si>
  <si>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</si>
  <si>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</si>
  <si>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</si>
  <si>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</si>
  <si>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</si>
  <si>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</si>
  <si>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</si>
  <si>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</si>
  <si>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</si>
  <si>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</si>
  <si>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</si>
  <si>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</si>
  <si>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</si>
  <si>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</si>
  <si>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</si>
  <si>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</si>
  <si>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</si>
  <si>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</si>
  <si>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</si>
  <si>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</si>
  <si>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</si>
  <si>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</si>
  <si>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</si>
  <si>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</si>
  <si>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</si>
  <si>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</si>
  <si>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</si>
  <si>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</si>
  <si>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</si>
  <si>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</si>
  <si>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</si>
  <si>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</si>
  <si>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</si>
  <si>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</si>
  <si>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</si>
  <si>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</si>
  <si>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</si>
  <si>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</si>
  <si>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</si>
  <si>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</si>
  <si>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</si>
  <si>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</si>
  <si>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</si>
  <si>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</si>
  <si>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</si>
  <si>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</si>
  <si>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</si>
  <si>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</si>
  <si>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</si>
  <si>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</si>
  <si>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</si>
  <si>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</si>
  <si>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</si>
  <si>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</si>
  <si>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</si>
  <si>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</si>
  <si>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</si>
  <si>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</si>
  <si>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</si>
  <si>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</si>
  <si>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</si>
  <si>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</si>
  <si>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</si>
  <si>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</si>
  <si>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</si>
  <si>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</si>
  <si>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</si>
  <si>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</si>
  <si>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</si>
  <si>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</si>
  <si>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</si>
  <si>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</si>
  <si>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</si>
  <si>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</si>
  <si>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</si>
  <si>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</si>
  <si>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</si>
  <si>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</si>
  <si>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</si>
  <si>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</si>
  <si>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</si>
  <si>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</si>
  <si>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</si>
  <si>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</si>
  <si>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</si>
  <si>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</si>
  <si>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</si>
  <si>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</si>
  <si>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</si>
  <si>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</si>
  <si>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</si>
  <si>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</si>
  <si>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</si>
  <si>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</si>
  <si>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</si>
  <si>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</si>
  <si>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</si>
  <si>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</si>
  <si>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</si>
  <si>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</si>
  <si>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</si>
  <si>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</si>
  <si>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</si>
  <si>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</si>
  <si>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</si>
  <si>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</si>
  <si>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</si>
  <si>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</si>
  <si>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</si>
  <si>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</si>
  <si>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</si>
  <si>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</si>
  <si>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</si>
  <si>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</si>
  <si>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</si>
  <si>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</si>
  <si>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</si>
  <si>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</si>
  <si>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</si>
  <si>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</si>
  <si>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</si>
  <si>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</si>
  <si>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</si>
  <si>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</si>
  <si>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</si>
  <si>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</si>
  <si>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</si>
  <si>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</si>
  <si>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</si>
  <si>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</si>
  <si>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</si>
  <si>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</si>
  <si>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</si>
  <si>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</si>
  <si>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</si>
  <si>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</si>
  <si>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</si>
  <si>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</si>
  <si>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</si>
  <si>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</si>
  <si>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</si>
  <si>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</si>
  <si>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</si>
  <si>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</si>
  <si>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</si>
  <si>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</si>
  <si>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</si>
  <si>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</si>
  <si>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</si>
  <si>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</si>
  <si>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</si>
  <si>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</si>
  <si>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</si>
  <si>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</si>
  <si>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</si>
  <si>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</si>
  <si>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</si>
  <si>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</si>
  <si>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</si>
  <si>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</si>
  <si>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</si>
  <si>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</si>
  <si>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</si>
  <si>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</si>
  <si>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</si>
  <si>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</si>
  <si>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</si>
  <si>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</si>
  <si>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</si>
  <si>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</si>
  <si>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</si>
  <si>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</si>
  <si>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</si>
  <si>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</si>
  <si>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</si>
  <si>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</si>
  <si>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</si>
  <si>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</si>
  <si>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</si>
  <si>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</si>
  <si>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</si>
  <si>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</si>
  <si>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</si>
  <si>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</si>
  <si>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</si>
  <si>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</si>
  <si>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</si>
  <si>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</si>
  <si>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</si>
  <si>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</si>
  <si>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</si>
  <si>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</si>
  <si>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</si>
  <si>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</si>
  <si>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</si>
  <si>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</si>
  <si>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</si>
  <si>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</si>
  <si>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</si>
  <si>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</si>
  <si>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</si>
  <si>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</si>
  <si>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</si>
  <si>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</si>
  <si>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</si>
  <si>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</si>
  <si>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</si>
  <si>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</si>
  <si>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</si>
  <si>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</si>
  <si>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</si>
  <si>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</si>
  <si>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</si>
  <si>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</si>
  <si>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</si>
  <si>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</si>
  <si>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</si>
  <si>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</si>
  <si>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</si>
  <si>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</si>
  <si>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</si>
  <si>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</si>
  <si>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</si>
  <si>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</si>
  <si>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</si>
  <si>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</si>
  <si>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</si>
  <si>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</si>
  <si>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</si>
  <si>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</si>
  <si>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</si>
  <si>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</si>
  <si>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</si>
  <si>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</si>
  <si>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</si>
  <si>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</si>
  <si>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</si>
  <si>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</si>
  <si>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</si>
  <si>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</si>
  <si>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</si>
  <si>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</si>
  <si>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</si>
  <si>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</si>
  <si>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</si>
  <si>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</si>
  <si>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</si>
  <si>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</si>
  <si>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</si>
  <si>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</si>
  <si>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</si>
  <si>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</si>
  <si>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</si>
  <si>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</si>
  <si>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</si>
  <si>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</si>
  <si>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</si>
  <si>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</si>
  <si>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</si>
  <si>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</si>
  <si>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</si>
  <si>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</si>
  <si>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</si>
  <si>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</si>
  <si>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</si>
  <si>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</si>
  <si>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</si>
  <si>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</si>
  <si>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</si>
  <si>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</si>
  <si>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</si>
  <si>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</si>
  <si>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</si>
  <si>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</si>
  <si>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</si>
  <si>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</si>
  <si>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</si>
  <si>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</si>
  <si>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</si>
  <si>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</si>
  <si>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</si>
  <si>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</si>
  <si>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</si>
  <si>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</si>
  <si>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</si>
  <si>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</si>
  <si>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</si>
  <si>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</si>
  <si>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</si>
  <si>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</si>
  <si>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</si>
  <si>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</si>
  <si>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</si>
  <si>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</si>
  <si>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</si>
  <si>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</si>
  <si>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</si>
  <si>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</si>
  <si>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</si>
  <si>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</si>
  <si>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</si>
  <si>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</si>
  <si>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</si>
  <si>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</si>
  <si>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</si>
  <si>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</si>
  <si>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</si>
  <si>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</si>
  <si>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</si>
  <si>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</si>
  <si>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</si>
  <si>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</si>
  <si>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</si>
  <si>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</si>
  <si>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</si>
  <si>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</si>
  <si>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</si>
  <si>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</si>
  <si>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</si>
  <si>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</si>
  <si>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</si>
  <si>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</si>
  <si>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</si>
  <si>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</si>
  <si>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</si>
  <si>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</si>
  <si>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</si>
  <si>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</si>
  <si>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</si>
  <si>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</si>
  <si>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</si>
  <si>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</si>
  <si>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</si>
  <si>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</si>
  <si>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</si>
  <si>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</si>
  <si>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</si>
  <si>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</si>
  <si>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</si>
  <si>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</si>
  <si>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</si>
  <si>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</si>
  <si>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</si>
  <si>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</si>
  <si>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</si>
  <si>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</si>
  <si>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</si>
  <si>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</si>
  <si>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</si>
  <si>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</si>
  <si>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</si>
  <si>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</si>
  <si>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</si>
  <si>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</si>
  <si>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</si>
  <si>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</si>
  <si>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</si>
  <si>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</si>
  <si>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</si>
  <si>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</si>
  <si>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Kohinoor Gardens</t>
  </si>
  <si>
    <t>M/s. KGI Realty Private Limited</t>
  </si>
  <si>
    <t>Ms. Geeta 8208731133</t>
  </si>
  <si>
    <t>Wing A &amp; B</t>
  </si>
  <si>
    <t>P51700076841</t>
  </si>
  <si>
    <t>Ms. Roshni 7744030608</t>
  </si>
  <si>
    <t>19.239838,73.158508</t>
  </si>
  <si>
    <t>https://maps.app.goo.gl/qcnA1LiBk5LhTkUL7</t>
  </si>
  <si>
    <t>Siddhivinayak Nagar</t>
  </si>
  <si>
    <t>Internal Road</t>
  </si>
  <si>
    <t>Kohinoor Prime</t>
  </si>
  <si>
    <t>0.40 KM from Shahad Railway Station</t>
  </si>
  <si>
    <t>18 Mtr Wide Road</t>
  </si>
  <si>
    <t>Other Plot</t>
  </si>
  <si>
    <t>Open Plot</t>
  </si>
  <si>
    <t>02 Wings</t>
  </si>
  <si>
    <t xml:space="preserve">DDUMC/AR/2025/APL/00002 </t>
  </si>
  <si>
    <t>G + 1st to 19th Floor</t>
  </si>
  <si>
    <t>Wing A = G + 1st to 19th Floor</t>
  </si>
  <si>
    <t>Wing A = G + 1st to 19th Floor
Wing B = G + 1st to 19th Floor</t>
  </si>
  <si>
    <t>Wing B = G + 1st to 19th Floor</t>
  </si>
  <si>
    <t>As per RERA - 30/11/2027</t>
  </si>
  <si>
    <t>https://www.kohinoor-group.in/project-kohinoor-garden.html</t>
  </si>
  <si>
    <r>
      <t xml:space="preserve">Proposed Amenities :                                                                                                                                                                                                                         </t>
    </r>
    <r>
      <rPr>
        <b/>
        <sz val="12"/>
        <rFont val="Times New Roman"/>
        <family val="1"/>
      </rPr>
      <t xml:space="preserve">                                               </t>
    </r>
  </si>
  <si>
    <t>Proposed Building is G + 18</t>
  </si>
  <si>
    <t>Ground Floor For Parking, Entrance Lobby, Society Office, Driver's Room, Driveway &amp; Porch</t>
  </si>
  <si>
    <t>Wing A</t>
  </si>
  <si>
    <t>1st to 7th, 9th to 12th &amp; 14th to 17th Floor For Residential</t>
  </si>
  <si>
    <t>Wing B</t>
  </si>
  <si>
    <t>2BHK</t>
  </si>
  <si>
    <t>1BHK</t>
  </si>
  <si>
    <t>8th &amp; 13th Floor For Residential (Part Refuge Area)</t>
  </si>
  <si>
    <t xml:space="preserve"> - </t>
  </si>
  <si>
    <t>Refuge Area</t>
  </si>
  <si>
    <t xml:space="preserve">8th &amp; 13th Floor </t>
  </si>
  <si>
    <t xml:space="preserve">18th Floor </t>
  </si>
  <si>
    <t>18th Floor For Residential (Part Refuge Area)</t>
  </si>
  <si>
    <t>19th Floor</t>
  </si>
  <si>
    <t>19th Floor For Residential (Part Club House, Swimming Pool &amp; Open Terrace Area)</t>
  </si>
  <si>
    <t>Swimming Pool</t>
  </si>
  <si>
    <t>Club House</t>
  </si>
  <si>
    <t>Open Terrace Area</t>
  </si>
  <si>
    <t xml:space="preserve">Details of Residential in Building   </t>
  </si>
  <si>
    <r>
      <t xml:space="preserve">Flat No.
</t>
    </r>
    <r>
      <rPr>
        <b/>
        <sz val="11"/>
        <rFont val="Times New Roman"/>
        <family val="1"/>
      </rPr>
      <t>(Approved Plan)</t>
    </r>
  </si>
  <si>
    <t xml:space="preserve">Wing B </t>
  </si>
  <si>
    <t>OK</t>
  </si>
  <si>
    <t>Construction work is in process at the time of Visit (labour found).</t>
  </si>
  <si>
    <t xml:space="preserve">Please check for Environment Clearance Certificate, Fire NOC.
</t>
  </si>
  <si>
    <t>Saurav Panse</t>
  </si>
  <si>
    <t>Refered Rate via Kohinoor Prime</t>
  </si>
  <si>
    <t>Kohinoor Group</t>
  </si>
  <si>
    <t>2447(P), U.No. 198, Sheet No.83A, Section - 7B, UNR-01</t>
  </si>
  <si>
    <t>Shivaji Road</t>
  </si>
  <si>
    <t xml:space="preserve">House </t>
  </si>
  <si>
    <t>Flat - 368</t>
  </si>
  <si>
    <t xml:space="preserve">Krishna Kambali </t>
  </si>
  <si>
    <t>We considered Gross carpet area = Net carpet +  E.P. Area.</t>
  </si>
  <si>
    <t>EP Area</t>
  </si>
  <si>
    <t xml:space="preserve">Gymnasium, Jogging track, Yoga, Aerobics, Table Tennis, Football, Co-Working Space With Cafeteria, CCTV in entrance Lobby, Fire fighting system etc. </t>
  </si>
  <si>
    <t>hs</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</si>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</sst>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1" xfId="0" applyFill="1" applyBorder="1" applyAlignment="1">
      <alignmen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5" fillId="0" borderId="0" xfId="10"/>
    <xf numFmtId="2" fontId="6" fillId="0" borderId="0" xfId="1" applyNumberFormat="1" applyFont="1" applyAlignment="1">
      <alignment horizontal="center" vertical="center"/>
    </xf>
    <xf numFmtId="168"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4" fillId="0" borderId="0" xfId="0" applyFont="1" applyAlignment="1">
      <alignment horizontal="center" vertical="center"/>
    </xf>
    <xf numFmtId="0" fontId="11" fillId="0" borderId="1" xfId="1" applyFont="1" applyBorder="1" applyAlignment="1" applyProtection="1">
      <alignment horizontal="center" vertical="top" wrapText="1"/>
      <protection locked="0"/>
    </xf>
    <xf numFmtId="0" fontId="14" fillId="0" borderId="0" xfId="1" applyFont="1" applyAlignment="1">
      <alignment horizontal="left"/>
    </xf>
    <xf numFmtId="0" fontId="6" fillId="0" borderId="0" xfId="1" applyFont="1" applyAlignment="1">
      <alignment horizontal="center" vertical="center"/>
    </xf>
    <xf numFmtId="0" fontId="6" fillId="0" borderId="0" xfId="1" applyFont="1" applyAlignment="1">
      <alignment vertical="center"/>
    </xf>
    <xf numFmtId="1" fontId="9" fillId="0" borderId="0" xfId="1" applyNumberFormat="1" applyFont="1" applyAlignment="1">
      <alignment horizontal="center" vertical="center"/>
    </xf>
    <xf numFmtId="0" fontId="9" fillId="0" borderId="0" xfId="1" applyFont="1" applyAlignment="1">
      <alignment horizontal="center" vertical="center"/>
    </xf>
    <xf numFmtId="1" fontId="6" fillId="0" borderId="0" xfId="1" applyNumberFormat="1" applyFont="1" applyAlignment="1">
      <alignment vertical="center"/>
    </xf>
    <xf numFmtId="1" fontId="9" fillId="0" borderId="0" xfId="1" applyNumberFormat="1" applyFont="1" applyAlignment="1">
      <alignment vertical="center"/>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2" fillId="0" borderId="16"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5" fillId="0" borderId="3"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0" fontId="6" fillId="0" borderId="0" xfId="1" applyFont="1" applyAlignment="1">
      <alignment horizontal="center" vertical="center"/>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314325</xdr:colOff>
      <xdr:row>18</xdr:row>
      <xdr:rowOff>133350</xdr:rowOff>
    </xdr:from>
    <xdr:to>
      <xdr:col>16</xdr:col>
      <xdr:colOff>18234</xdr:colOff>
      <xdr:row>21</xdr:row>
      <xdr:rowOff>296860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6629400" y="4533900"/>
          <a:ext cx="6523809" cy="761905"/>
        </a:xfrm>
        <a:prstGeom prst="rect">
          <a:avLst/>
        </a:prstGeom>
      </xdr:spPr>
    </xdr:pic>
    <xdr:clientData/>
  </xdr:twoCellAnchor>
  <xdr:twoCellAnchor>
    <xdr:from>
      <xdr:col>1</xdr:col>
      <xdr:colOff>87457</xdr:colOff>
      <xdr:row>329</xdr:row>
      <xdr:rowOff>89188</xdr:rowOff>
    </xdr:from>
    <xdr:to>
      <xdr:col>6</xdr:col>
      <xdr:colOff>675171</xdr:colOff>
      <xdr:row>369</xdr:row>
      <xdr:rowOff>174246</xdr:rowOff>
    </xdr:to>
    <xdr:grpSp>
      <xdr:nvGrpSpPr>
        <xdr:cNvPr id="4" name="Group 3"/>
        <xdr:cNvGrpSpPr/>
      </xdr:nvGrpSpPr>
      <xdr:grpSpPr>
        <a:xfrm>
          <a:off x="849457" y="66315152"/>
          <a:ext cx="4669857" cy="8249344"/>
          <a:chOff x="1413933" y="0"/>
          <a:chExt cx="4680000" cy="8078265"/>
        </a:xfrm>
      </xdr:grpSpPr>
      <xdr:pic>
        <xdr:nvPicPr>
          <xdr:cNvPr id="5" name="Picture 4"/>
          <xdr:cNvPicPr>
            <a:picLocks noChangeAspect="1"/>
          </xdr:cNvPicPr>
        </xdr:nvPicPr>
        <xdr:blipFill rotWithShape="1">
          <a:blip xmlns:r="http://schemas.openxmlformats.org/officeDocument/2006/relationships" r:embed="rId2"/>
          <a:srcRect l="25267" t="18990" r="28241" b="13221"/>
          <a:stretch/>
        </xdr:blipFill>
        <xdr:spPr>
          <a:xfrm>
            <a:off x="1413933" y="0"/>
            <a:ext cx="4680000" cy="3960000"/>
          </a:xfrm>
          <a:prstGeom prst="rect">
            <a:avLst/>
          </a:prstGeom>
          <a:ln>
            <a:solidFill>
              <a:schemeClr val="tx1"/>
            </a:solidFill>
          </a:ln>
        </xdr:spPr>
      </xdr:pic>
      <xdr:grpSp>
        <xdr:nvGrpSpPr>
          <xdr:cNvPr id="6" name="Group 5"/>
          <xdr:cNvGrpSpPr/>
        </xdr:nvGrpSpPr>
        <xdr:grpSpPr>
          <a:xfrm>
            <a:off x="1413933" y="4118265"/>
            <a:ext cx="4680000" cy="3960000"/>
            <a:chOff x="1089000" y="263769"/>
            <a:chExt cx="4680000" cy="3960000"/>
          </a:xfrm>
        </xdr:grpSpPr>
        <xdr:pic>
          <xdr:nvPicPr>
            <xdr:cNvPr id="7" name="Picture 6"/>
            <xdr:cNvPicPr>
              <a:picLocks noChangeAspect="1"/>
            </xdr:cNvPicPr>
          </xdr:nvPicPr>
          <xdr:blipFill rotWithShape="1">
            <a:blip xmlns:r="http://schemas.openxmlformats.org/officeDocument/2006/relationships" r:embed="rId3"/>
            <a:srcRect l="30944" t="18990" r="19321" b="16106"/>
            <a:stretch/>
          </xdr:blipFill>
          <xdr:spPr>
            <a:xfrm>
              <a:off x="1089000" y="263769"/>
              <a:ext cx="4680000" cy="3960000"/>
            </a:xfrm>
            <a:prstGeom prst="rect">
              <a:avLst/>
            </a:prstGeom>
            <a:ln>
              <a:solidFill>
                <a:schemeClr val="tx1"/>
              </a:solidFill>
            </a:ln>
          </xdr:spPr>
        </xdr:pic>
        <xdr:sp macro="" textlink="">
          <xdr:nvSpPr>
            <xdr:cNvPr id="8" name="L-Shape 7"/>
            <xdr:cNvSpPr/>
          </xdr:nvSpPr>
          <xdr:spPr>
            <a:xfrm rot="7423983">
              <a:off x="2404336" y="2274701"/>
              <a:ext cx="1325103" cy="1447199"/>
            </a:xfrm>
            <a:prstGeom prst="corner">
              <a:avLst>
                <a:gd name="adj1" fmla="val 50000"/>
                <a:gd name="adj2" fmla="val 52234"/>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4"/>
            <xdr:cNvSpPr txBox="1"/>
          </xdr:nvSpPr>
          <xdr:spPr>
            <a:xfrm rot="1670426">
              <a:off x="2635019" y="2093251"/>
              <a:ext cx="196226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Kohinoor Gardens </a:t>
              </a:r>
              <a:endParaRPr lang="en-IN" b="1">
                <a:solidFill>
                  <a:srgbClr val="FFFF00"/>
                </a:solidFill>
              </a:endParaRPr>
            </a:p>
          </xdr:txBody>
        </xdr:sp>
      </xdr:grpSp>
    </xdr:grpSp>
    <xdr:clientData/>
  </xdr:twoCellAnchor>
  <xdr:twoCellAnchor editAs="oneCell">
    <xdr:from>
      <xdr:col>8</xdr:col>
      <xdr:colOff>400050</xdr:colOff>
      <xdr:row>48</xdr:row>
      <xdr:rowOff>47625</xdr:rowOff>
    </xdr:from>
    <xdr:to>
      <xdr:col>10</xdr:col>
      <xdr:colOff>431801</xdr:colOff>
      <xdr:row>60</xdr:row>
      <xdr:rowOff>50799</xdr:rowOff>
    </xdr:to>
    <xdr:pic>
      <xdr:nvPicPr>
        <xdr:cNvPr id="10" name="Picture 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5484" t="29479" r="15997" b="37089"/>
        <a:stretch/>
      </xdr:blipFill>
      <xdr:spPr>
        <a:xfrm>
          <a:off x="6715125" y="10858500"/>
          <a:ext cx="1955801" cy="1289050"/>
        </a:xfrm>
        <a:prstGeom prst="rect">
          <a:avLst/>
        </a:prstGeom>
      </xdr:spPr>
    </xdr:pic>
    <xdr:clientData/>
  </xdr:twoCellAnchor>
  <xdr:twoCellAnchor editAs="oneCell">
    <xdr:from>
      <xdr:col>11</xdr:col>
      <xdr:colOff>57152</xdr:colOff>
      <xdr:row>92</xdr:row>
      <xdr:rowOff>127909</xdr:rowOff>
    </xdr:from>
    <xdr:to>
      <xdr:col>29</xdr:col>
      <xdr:colOff>136856</xdr:colOff>
      <xdr:row>122</xdr:row>
      <xdr:rowOff>113661</xdr:rowOff>
    </xdr:to>
    <xdr:pic>
      <xdr:nvPicPr>
        <xdr:cNvPr id="11" name="Picture 10"/>
        <xdr:cNvPicPr>
          <a:picLocks noChangeAspect="1"/>
        </xdr:cNvPicPr>
      </xdr:nvPicPr>
      <xdr:blipFill>
        <a:blip xmlns:r="http://schemas.openxmlformats.org/officeDocument/2006/relationships" r:embed="rId5"/>
        <a:stretch>
          <a:fillRect/>
        </a:stretch>
      </xdr:blipFill>
      <xdr:spPr>
        <a:xfrm>
          <a:off x="9037866" y="19831052"/>
          <a:ext cx="12407776" cy="4258395"/>
        </a:xfrm>
        <a:prstGeom prst="rect">
          <a:avLst/>
        </a:prstGeom>
      </xdr:spPr>
    </xdr:pic>
    <xdr:clientData/>
  </xdr:twoCellAnchor>
  <xdr:twoCellAnchor>
    <xdr:from>
      <xdr:col>0</xdr:col>
      <xdr:colOff>364548</xdr:colOff>
      <xdr:row>286</xdr:row>
      <xdr:rowOff>9524</xdr:rowOff>
    </xdr:from>
    <xdr:to>
      <xdr:col>7</xdr:col>
      <xdr:colOff>259773</xdr:colOff>
      <xdr:row>326</xdr:row>
      <xdr:rowOff>17318</xdr:rowOff>
    </xdr:to>
    <xdr:grpSp>
      <xdr:nvGrpSpPr>
        <xdr:cNvPr id="12" name="Group 11"/>
        <xdr:cNvGrpSpPr/>
      </xdr:nvGrpSpPr>
      <xdr:grpSpPr>
        <a:xfrm>
          <a:off x="364548" y="57458881"/>
          <a:ext cx="5474154" cy="8172080"/>
          <a:chOff x="369000" y="17585"/>
          <a:chExt cx="6120000" cy="11276586"/>
        </a:xfrm>
      </xdr:grpSpPr>
      <xdr:grpSp>
        <xdr:nvGrpSpPr>
          <xdr:cNvPr id="13" name="Group 12"/>
          <xdr:cNvGrpSpPr/>
        </xdr:nvGrpSpPr>
        <xdr:grpSpPr>
          <a:xfrm>
            <a:off x="369000" y="17585"/>
            <a:ext cx="6120000" cy="7200000"/>
            <a:chOff x="0" y="615583"/>
            <a:chExt cx="6858000" cy="7912833"/>
          </a:xfrm>
        </xdr:grpSpPr>
        <xdr:pic>
          <xdr:nvPicPr>
            <xdr:cNvPr id="15" name="Picture 1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615583"/>
              <a:ext cx="6858000" cy="7912833"/>
            </a:xfrm>
            <a:prstGeom prst="rect">
              <a:avLst/>
            </a:prstGeom>
            <a:ln>
              <a:solidFill>
                <a:schemeClr val="tx1"/>
              </a:solidFill>
            </a:ln>
          </xdr:spPr>
        </xdr:pic>
        <xdr:sp macro="" textlink="">
          <xdr:nvSpPr>
            <xdr:cNvPr id="16" name="Rectangle 4"/>
            <xdr:cNvSpPr/>
          </xdr:nvSpPr>
          <xdr:spPr>
            <a:xfrm rot="2321989">
              <a:off x="1556943" y="4816013"/>
              <a:ext cx="696536" cy="1680196"/>
            </a:xfrm>
            <a:custGeom>
              <a:avLst/>
              <a:gdLst>
                <a:gd name="connsiteX0" fmla="*/ 0 w 614403"/>
                <a:gd name="connsiteY0" fmla="*/ 0 h 1550553"/>
                <a:gd name="connsiteX1" fmla="*/ 614403 w 614403"/>
                <a:gd name="connsiteY1" fmla="*/ 0 h 1550553"/>
                <a:gd name="connsiteX2" fmla="*/ 614403 w 614403"/>
                <a:gd name="connsiteY2" fmla="*/ 1550553 h 1550553"/>
                <a:gd name="connsiteX3" fmla="*/ 0 w 614403"/>
                <a:gd name="connsiteY3" fmla="*/ 1550553 h 1550553"/>
                <a:gd name="connsiteX4" fmla="*/ 0 w 614403"/>
                <a:gd name="connsiteY4" fmla="*/ 0 h 1550553"/>
                <a:gd name="connsiteX0" fmla="*/ 0 w 614403"/>
                <a:gd name="connsiteY0" fmla="*/ 0 h 1618498"/>
                <a:gd name="connsiteX1" fmla="*/ 614403 w 614403"/>
                <a:gd name="connsiteY1" fmla="*/ 0 h 1618498"/>
                <a:gd name="connsiteX2" fmla="*/ 595608 w 614403"/>
                <a:gd name="connsiteY2" fmla="*/ 1618498 h 1618498"/>
                <a:gd name="connsiteX3" fmla="*/ 0 w 614403"/>
                <a:gd name="connsiteY3" fmla="*/ 1550553 h 1618498"/>
                <a:gd name="connsiteX4" fmla="*/ 0 w 614403"/>
                <a:gd name="connsiteY4" fmla="*/ 0 h 1618498"/>
                <a:gd name="connsiteX0" fmla="*/ 43 w 614403"/>
                <a:gd name="connsiteY0" fmla="*/ 60989 h 1618498"/>
                <a:gd name="connsiteX1" fmla="*/ 614403 w 614403"/>
                <a:gd name="connsiteY1" fmla="*/ 0 h 1618498"/>
                <a:gd name="connsiteX2" fmla="*/ 595608 w 614403"/>
                <a:gd name="connsiteY2" fmla="*/ 1618498 h 1618498"/>
                <a:gd name="connsiteX3" fmla="*/ 0 w 614403"/>
                <a:gd name="connsiteY3" fmla="*/ 1550553 h 1618498"/>
                <a:gd name="connsiteX4" fmla="*/ 43 w 614403"/>
                <a:gd name="connsiteY4" fmla="*/ 60989 h 1618498"/>
                <a:gd name="connsiteX0" fmla="*/ 43 w 608448"/>
                <a:gd name="connsiteY0" fmla="*/ 68423 h 1625932"/>
                <a:gd name="connsiteX1" fmla="*/ 608448 w 608448"/>
                <a:gd name="connsiteY1" fmla="*/ 0 h 1625932"/>
                <a:gd name="connsiteX2" fmla="*/ 595608 w 608448"/>
                <a:gd name="connsiteY2" fmla="*/ 1625932 h 1625932"/>
                <a:gd name="connsiteX3" fmla="*/ 0 w 608448"/>
                <a:gd name="connsiteY3" fmla="*/ 1557987 h 1625932"/>
                <a:gd name="connsiteX4" fmla="*/ 43 w 608448"/>
                <a:gd name="connsiteY4" fmla="*/ 68423 h 1625932"/>
                <a:gd name="connsiteX0" fmla="*/ 0 w 628242"/>
                <a:gd name="connsiteY0" fmla="*/ 63974 h 1625932"/>
                <a:gd name="connsiteX1" fmla="*/ 628242 w 628242"/>
                <a:gd name="connsiteY1" fmla="*/ 0 h 1625932"/>
                <a:gd name="connsiteX2" fmla="*/ 615402 w 628242"/>
                <a:gd name="connsiteY2" fmla="*/ 1625932 h 1625932"/>
                <a:gd name="connsiteX3" fmla="*/ 19794 w 628242"/>
                <a:gd name="connsiteY3" fmla="*/ 1557987 h 1625932"/>
                <a:gd name="connsiteX4" fmla="*/ 0 w 628242"/>
                <a:gd name="connsiteY4" fmla="*/ 63974 h 162593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8242" h="1625932">
                  <a:moveTo>
                    <a:pt x="0" y="63974"/>
                  </a:moveTo>
                  <a:lnTo>
                    <a:pt x="628242" y="0"/>
                  </a:lnTo>
                  <a:lnTo>
                    <a:pt x="615402" y="1625932"/>
                  </a:lnTo>
                  <a:lnTo>
                    <a:pt x="19794" y="1557987"/>
                  </a:lnTo>
                  <a:cubicBezTo>
                    <a:pt x="19808" y="1061466"/>
                    <a:pt x="-14" y="560495"/>
                    <a:pt x="0" y="63974"/>
                  </a:cubicBez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Rectangle 4"/>
            <xdr:cNvSpPr/>
          </xdr:nvSpPr>
          <xdr:spPr>
            <a:xfrm rot="1941981">
              <a:off x="2424431" y="5459257"/>
              <a:ext cx="1204146" cy="688485"/>
            </a:xfrm>
            <a:custGeom>
              <a:avLst/>
              <a:gdLst>
                <a:gd name="connsiteX0" fmla="*/ 0 w 614403"/>
                <a:gd name="connsiteY0" fmla="*/ 0 h 1550553"/>
                <a:gd name="connsiteX1" fmla="*/ 614403 w 614403"/>
                <a:gd name="connsiteY1" fmla="*/ 0 h 1550553"/>
                <a:gd name="connsiteX2" fmla="*/ 614403 w 614403"/>
                <a:gd name="connsiteY2" fmla="*/ 1550553 h 1550553"/>
                <a:gd name="connsiteX3" fmla="*/ 0 w 614403"/>
                <a:gd name="connsiteY3" fmla="*/ 1550553 h 1550553"/>
                <a:gd name="connsiteX4" fmla="*/ 0 w 614403"/>
                <a:gd name="connsiteY4" fmla="*/ 0 h 1550553"/>
                <a:gd name="connsiteX0" fmla="*/ 0 w 614403"/>
                <a:gd name="connsiteY0" fmla="*/ 0 h 1618498"/>
                <a:gd name="connsiteX1" fmla="*/ 614403 w 614403"/>
                <a:gd name="connsiteY1" fmla="*/ 0 h 1618498"/>
                <a:gd name="connsiteX2" fmla="*/ 595608 w 614403"/>
                <a:gd name="connsiteY2" fmla="*/ 1618498 h 1618498"/>
                <a:gd name="connsiteX3" fmla="*/ 0 w 614403"/>
                <a:gd name="connsiteY3" fmla="*/ 1550553 h 1618498"/>
                <a:gd name="connsiteX4" fmla="*/ 0 w 614403"/>
                <a:gd name="connsiteY4" fmla="*/ 0 h 1618498"/>
                <a:gd name="connsiteX0" fmla="*/ 43 w 614403"/>
                <a:gd name="connsiteY0" fmla="*/ 60989 h 1618498"/>
                <a:gd name="connsiteX1" fmla="*/ 614403 w 614403"/>
                <a:gd name="connsiteY1" fmla="*/ 0 h 1618498"/>
                <a:gd name="connsiteX2" fmla="*/ 595608 w 614403"/>
                <a:gd name="connsiteY2" fmla="*/ 1618498 h 1618498"/>
                <a:gd name="connsiteX3" fmla="*/ 0 w 614403"/>
                <a:gd name="connsiteY3" fmla="*/ 1550553 h 1618498"/>
                <a:gd name="connsiteX4" fmla="*/ 43 w 614403"/>
                <a:gd name="connsiteY4" fmla="*/ 60989 h 1618498"/>
                <a:gd name="connsiteX0" fmla="*/ 43 w 608448"/>
                <a:gd name="connsiteY0" fmla="*/ 68423 h 1625932"/>
                <a:gd name="connsiteX1" fmla="*/ 608448 w 608448"/>
                <a:gd name="connsiteY1" fmla="*/ 0 h 1625932"/>
                <a:gd name="connsiteX2" fmla="*/ 595608 w 608448"/>
                <a:gd name="connsiteY2" fmla="*/ 1625932 h 1625932"/>
                <a:gd name="connsiteX3" fmla="*/ 0 w 608448"/>
                <a:gd name="connsiteY3" fmla="*/ 1557987 h 1625932"/>
                <a:gd name="connsiteX4" fmla="*/ 43 w 608448"/>
                <a:gd name="connsiteY4" fmla="*/ 68423 h 1625932"/>
                <a:gd name="connsiteX0" fmla="*/ 0 w 628242"/>
                <a:gd name="connsiteY0" fmla="*/ 63974 h 1625932"/>
                <a:gd name="connsiteX1" fmla="*/ 628242 w 628242"/>
                <a:gd name="connsiteY1" fmla="*/ 0 h 1625932"/>
                <a:gd name="connsiteX2" fmla="*/ 615402 w 628242"/>
                <a:gd name="connsiteY2" fmla="*/ 1625932 h 1625932"/>
                <a:gd name="connsiteX3" fmla="*/ 19794 w 628242"/>
                <a:gd name="connsiteY3" fmla="*/ 1557987 h 1625932"/>
                <a:gd name="connsiteX4" fmla="*/ 0 w 628242"/>
                <a:gd name="connsiteY4" fmla="*/ 63974 h 1625932"/>
                <a:gd name="connsiteX0" fmla="*/ 1978 w 608448"/>
                <a:gd name="connsiteY0" fmla="*/ 16617 h 1625932"/>
                <a:gd name="connsiteX1" fmla="*/ 608448 w 608448"/>
                <a:gd name="connsiteY1" fmla="*/ 0 h 1625932"/>
                <a:gd name="connsiteX2" fmla="*/ 595608 w 608448"/>
                <a:gd name="connsiteY2" fmla="*/ 1625932 h 1625932"/>
                <a:gd name="connsiteX3" fmla="*/ 0 w 608448"/>
                <a:gd name="connsiteY3" fmla="*/ 1557987 h 1625932"/>
                <a:gd name="connsiteX4" fmla="*/ 1978 w 608448"/>
                <a:gd name="connsiteY4" fmla="*/ 16617 h 1625932"/>
                <a:gd name="connsiteX0" fmla="*/ 2699 w 608448"/>
                <a:gd name="connsiteY0" fmla="*/ 70595 h 1625932"/>
                <a:gd name="connsiteX1" fmla="*/ 608448 w 608448"/>
                <a:gd name="connsiteY1" fmla="*/ 0 h 1625932"/>
                <a:gd name="connsiteX2" fmla="*/ 595608 w 608448"/>
                <a:gd name="connsiteY2" fmla="*/ 1625932 h 1625932"/>
                <a:gd name="connsiteX3" fmla="*/ 0 w 608448"/>
                <a:gd name="connsiteY3" fmla="*/ 1557987 h 1625932"/>
                <a:gd name="connsiteX4" fmla="*/ 2699 w 608448"/>
                <a:gd name="connsiteY4" fmla="*/ 70595 h 1625932"/>
                <a:gd name="connsiteX0" fmla="*/ 7140 w 612889"/>
                <a:gd name="connsiteY0" fmla="*/ 70595 h 1625932"/>
                <a:gd name="connsiteX1" fmla="*/ 612889 w 612889"/>
                <a:gd name="connsiteY1" fmla="*/ 0 h 1625932"/>
                <a:gd name="connsiteX2" fmla="*/ 600049 w 612889"/>
                <a:gd name="connsiteY2" fmla="*/ 1625932 h 1625932"/>
                <a:gd name="connsiteX3" fmla="*/ 0 w 612889"/>
                <a:gd name="connsiteY3" fmla="*/ 1508005 h 1625932"/>
                <a:gd name="connsiteX4" fmla="*/ 7140 w 612889"/>
                <a:gd name="connsiteY4" fmla="*/ 70595 h 1625932"/>
                <a:gd name="connsiteX0" fmla="*/ 7140 w 612889"/>
                <a:gd name="connsiteY0" fmla="*/ 70595 h 1518408"/>
                <a:gd name="connsiteX1" fmla="*/ 612889 w 612889"/>
                <a:gd name="connsiteY1" fmla="*/ 0 h 1518408"/>
                <a:gd name="connsiteX2" fmla="*/ 602976 w 612889"/>
                <a:gd name="connsiteY2" fmla="*/ 1518409 h 1518408"/>
                <a:gd name="connsiteX3" fmla="*/ 0 w 612889"/>
                <a:gd name="connsiteY3" fmla="*/ 1508005 h 1518408"/>
                <a:gd name="connsiteX4" fmla="*/ 7140 w 612889"/>
                <a:gd name="connsiteY4" fmla="*/ 70595 h 151840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12889" h="1518408">
                  <a:moveTo>
                    <a:pt x="7140" y="70595"/>
                  </a:moveTo>
                  <a:lnTo>
                    <a:pt x="612889" y="0"/>
                  </a:lnTo>
                  <a:cubicBezTo>
                    <a:pt x="609585" y="506136"/>
                    <a:pt x="606280" y="1012273"/>
                    <a:pt x="602976" y="1518409"/>
                  </a:cubicBezTo>
                  <a:lnTo>
                    <a:pt x="0" y="1508005"/>
                  </a:lnTo>
                  <a:cubicBezTo>
                    <a:pt x="14" y="1011484"/>
                    <a:pt x="7126" y="567116"/>
                    <a:pt x="7140" y="70595"/>
                  </a:cubicBezTo>
                  <a:close/>
                </a:path>
              </a:pathLst>
            </a:cu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TextBox 5"/>
            <xdr:cNvSpPr txBox="1"/>
          </xdr:nvSpPr>
          <xdr:spPr>
            <a:xfrm rot="18529917">
              <a:off x="649010" y="4897743"/>
              <a:ext cx="1653284" cy="4685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19" name="TextBox 13"/>
            <xdr:cNvSpPr txBox="1"/>
          </xdr:nvSpPr>
          <xdr:spPr>
            <a:xfrm rot="1852122">
              <a:off x="2743666" y="5162343"/>
              <a:ext cx="1406035" cy="557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F0"/>
                  </a:solidFill>
                </a:rPr>
                <a:t>Wing B</a:t>
              </a:r>
              <a:endParaRPr lang="en-IN" b="1">
                <a:solidFill>
                  <a:srgbClr val="00B0F0"/>
                </a:solidFill>
              </a:endParaRPr>
            </a:p>
          </xdr:txBody>
        </xdr:sp>
      </xdr:grpSp>
      <xdr:pic>
        <xdr:nvPicPr>
          <xdr:cNvPr id="14" name="Picture 13"/>
          <xdr:cNvPicPr>
            <a:picLocks noChangeAspect="1"/>
          </xdr:cNvPicPr>
        </xdr:nvPicPr>
        <xdr:blipFill>
          <a:blip xmlns:r="http://schemas.openxmlformats.org/officeDocument/2006/relationships" r:embed="rId7"/>
          <a:stretch>
            <a:fillRect/>
          </a:stretch>
        </xdr:blipFill>
        <xdr:spPr>
          <a:xfrm>
            <a:off x="1466898" y="7373678"/>
            <a:ext cx="4109628" cy="3920493"/>
          </a:xfrm>
          <a:prstGeom prst="rect">
            <a:avLst/>
          </a:prstGeom>
          <a:ln>
            <a:solidFill>
              <a:schemeClr val="tx1"/>
            </a:solidFill>
          </a:ln>
        </xdr:spPr>
      </xdr:pic>
    </xdr:grpSp>
    <xdr:clientData/>
  </xdr:twoCellAnchor>
  <xdr:twoCellAnchor editAs="oneCell">
    <xdr:from>
      <xdr:col>8</xdr:col>
      <xdr:colOff>576543</xdr:colOff>
      <xdr:row>15</xdr:row>
      <xdr:rowOff>607358</xdr:rowOff>
    </xdr:from>
    <xdr:to>
      <xdr:col>18</xdr:col>
      <xdr:colOff>35785</xdr:colOff>
      <xdr:row>26</xdr:row>
      <xdr:rowOff>197567</xdr:rowOff>
    </xdr:to>
    <xdr:pic>
      <xdr:nvPicPr>
        <xdr:cNvPr id="3" name="Picture 2"/>
        <xdr:cNvPicPr>
          <a:picLocks noChangeAspect="1"/>
        </xdr:cNvPicPr>
      </xdr:nvPicPr>
      <xdr:blipFill>
        <a:blip xmlns:r="http://schemas.openxmlformats.org/officeDocument/2006/relationships" r:embed="rId8"/>
        <a:stretch>
          <a:fillRect/>
        </a:stretch>
      </xdr:blipFill>
      <xdr:spPr>
        <a:xfrm>
          <a:off x="6885455" y="4013946"/>
          <a:ext cx="7493859" cy="2481327"/>
        </a:xfrm>
        <a:prstGeom prst="rect">
          <a:avLst/>
        </a:prstGeom>
      </xdr:spPr>
    </xdr:pic>
    <xdr:clientData/>
  </xdr:twoCellAnchor>
  <xdr:twoCellAnchor editAs="oneCell">
    <xdr:from>
      <xdr:col>8</xdr:col>
      <xdr:colOff>776568</xdr:colOff>
      <xdr:row>10</xdr:row>
      <xdr:rowOff>89087</xdr:rowOff>
    </xdr:from>
    <xdr:to>
      <xdr:col>15</xdr:col>
      <xdr:colOff>701200</xdr:colOff>
      <xdr:row>19</xdr:row>
      <xdr:rowOff>184104</xdr:rowOff>
    </xdr:to>
    <xdr:pic>
      <xdr:nvPicPr>
        <xdr:cNvPr id="37" name="Picture 36"/>
        <xdr:cNvPicPr>
          <a:picLocks noChangeAspect="1"/>
        </xdr:cNvPicPr>
      </xdr:nvPicPr>
      <xdr:blipFill>
        <a:blip xmlns:r="http://schemas.openxmlformats.org/officeDocument/2006/relationships" r:embed="rId9"/>
        <a:stretch>
          <a:fillRect/>
        </a:stretch>
      </xdr:blipFill>
      <xdr:spPr>
        <a:xfrm>
          <a:off x="7085480" y="2487146"/>
          <a:ext cx="5964602" cy="2369811"/>
        </a:xfrm>
        <a:prstGeom prst="rect">
          <a:avLst/>
        </a:prstGeom>
      </xdr:spPr>
    </xdr:pic>
    <xdr:clientData/>
  </xdr:twoCellAnchor>
  <xdr:twoCellAnchor editAs="oneCell">
    <xdr:from>
      <xdr:col>10</xdr:col>
      <xdr:colOff>121023</xdr:colOff>
      <xdr:row>0</xdr:row>
      <xdr:rowOff>0</xdr:rowOff>
    </xdr:from>
    <xdr:to>
      <xdr:col>20</xdr:col>
      <xdr:colOff>499208</xdr:colOff>
      <xdr:row>14</xdr:row>
      <xdr:rowOff>196015</xdr:rowOff>
    </xdr:to>
    <xdr:pic>
      <xdr:nvPicPr>
        <xdr:cNvPr id="38" name="Picture 37"/>
        <xdr:cNvPicPr>
          <a:picLocks noChangeAspect="1"/>
        </xdr:cNvPicPr>
      </xdr:nvPicPr>
      <xdr:blipFill>
        <a:blip xmlns:r="http://schemas.openxmlformats.org/officeDocument/2006/relationships" r:embed="rId10"/>
        <a:stretch>
          <a:fillRect/>
        </a:stretch>
      </xdr:blipFill>
      <xdr:spPr>
        <a:xfrm>
          <a:off x="8357347" y="0"/>
          <a:ext cx="7930949" cy="3400897"/>
        </a:xfrm>
        <a:prstGeom prst="rect">
          <a:avLst/>
        </a:prstGeom>
      </xdr:spPr>
    </xdr:pic>
    <xdr:clientData/>
  </xdr:twoCellAnchor>
  <xdr:twoCellAnchor>
    <xdr:from>
      <xdr:col>0</xdr:col>
      <xdr:colOff>123825</xdr:colOff>
      <xdr:row>241</xdr:row>
      <xdr:rowOff>153064</xdr:rowOff>
    </xdr:from>
    <xdr:to>
      <xdr:col>7</xdr:col>
      <xdr:colOff>561975</xdr:colOff>
      <xdr:row>278</xdr:row>
      <xdr:rowOff>27454</xdr:rowOff>
    </xdr:to>
    <xdr:grpSp>
      <xdr:nvGrpSpPr>
        <xdr:cNvPr id="44" name="Group 43"/>
        <xdr:cNvGrpSpPr/>
      </xdr:nvGrpSpPr>
      <xdr:grpSpPr>
        <a:xfrm>
          <a:off x="123825" y="48431207"/>
          <a:ext cx="6017079" cy="7412747"/>
          <a:chOff x="123825" y="50422652"/>
          <a:chExt cx="6018679" cy="7326302"/>
        </a:xfrm>
      </xdr:grpSpPr>
      <xdr:grpSp>
        <xdr:nvGrpSpPr>
          <xdr:cNvPr id="40" name="Group 39"/>
          <xdr:cNvGrpSpPr/>
        </xdr:nvGrpSpPr>
        <xdr:grpSpPr>
          <a:xfrm>
            <a:off x="123825" y="50422652"/>
            <a:ext cx="6018679" cy="7326302"/>
            <a:chOff x="91168" y="51067607"/>
            <a:chExt cx="6117279" cy="7504010"/>
          </a:xfrm>
        </xdr:grpSpPr>
        <xdr:grpSp>
          <xdr:nvGrpSpPr>
            <xdr:cNvPr id="20" name="Group 19"/>
            <xdr:cNvGrpSpPr/>
          </xdr:nvGrpSpPr>
          <xdr:grpSpPr>
            <a:xfrm>
              <a:off x="91168" y="51067607"/>
              <a:ext cx="6117279" cy="7504010"/>
              <a:chOff x="-286829" y="176698"/>
              <a:chExt cx="7398744" cy="7356784"/>
            </a:xfrm>
          </xdr:grpSpPr>
          <xdr:grpSp>
            <xdr:nvGrpSpPr>
              <xdr:cNvPr id="21" name="Group 20"/>
              <xdr:cNvGrpSpPr/>
            </xdr:nvGrpSpPr>
            <xdr:grpSpPr>
              <a:xfrm>
                <a:off x="-286829" y="5733482"/>
                <a:ext cx="7398744" cy="1800000"/>
                <a:chOff x="-16458" y="7597463"/>
                <a:chExt cx="7398744" cy="1800000"/>
              </a:xfrm>
            </xdr:grpSpPr>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84507" y="7597463"/>
                  <a:ext cx="2397779"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458" y="7597463"/>
                  <a:ext cx="2397778" cy="180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84025" y="7597463"/>
                  <a:ext cx="2397778" cy="1800000"/>
                </a:xfrm>
                <a:prstGeom prst="rect">
                  <a:avLst/>
                </a:prstGeom>
                <a:ln>
                  <a:solidFill>
                    <a:schemeClr val="tx1"/>
                  </a:solidFill>
                </a:ln>
              </xdr:spPr>
            </xdr:pic>
          </xdr:grpSp>
          <xdr:grpSp>
            <xdr:nvGrpSpPr>
              <xdr:cNvPr id="22" name="Group 21"/>
              <xdr:cNvGrpSpPr/>
            </xdr:nvGrpSpPr>
            <xdr:grpSpPr>
              <a:xfrm>
                <a:off x="565609" y="176698"/>
                <a:ext cx="6344472" cy="5456668"/>
                <a:chOff x="565609" y="176698"/>
                <a:chExt cx="6344472" cy="5456668"/>
              </a:xfrm>
            </xdr:grpSpPr>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637131" y="3515744"/>
                  <a:ext cx="3272950" cy="2117622"/>
                </a:xfrm>
                <a:prstGeom prst="rect">
                  <a:avLst/>
                </a:prstGeom>
                <a:ln>
                  <a:solidFill>
                    <a:schemeClr val="tx1"/>
                  </a:solidFill>
                </a:ln>
              </xdr:spPr>
            </xdr:pic>
            <xdr:grpSp>
              <xdr:nvGrpSpPr>
                <xdr:cNvPr id="24" name="Group 23"/>
                <xdr:cNvGrpSpPr/>
              </xdr:nvGrpSpPr>
              <xdr:grpSpPr>
                <a:xfrm>
                  <a:off x="565609" y="176698"/>
                  <a:ext cx="5719085" cy="3874700"/>
                  <a:chOff x="-881777" y="389954"/>
                  <a:chExt cx="5719085" cy="3874700"/>
                </a:xfrm>
              </xdr:grpSpPr>
              <xdr:pic>
                <xdr:nvPicPr>
                  <xdr:cNvPr id="25" name="Picture 2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81777" y="389954"/>
                    <a:ext cx="5719085" cy="3148283"/>
                  </a:xfrm>
                  <a:prstGeom prst="rect">
                    <a:avLst/>
                  </a:prstGeom>
                  <a:ln>
                    <a:solidFill>
                      <a:schemeClr val="tx1"/>
                    </a:solidFill>
                  </a:ln>
                </xdr:spPr>
              </xdr:pic>
              <xdr:sp macro="" textlink="">
                <xdr:nvSpPr>
                  <xdr:cNvPr id="26" name="TextBox 32"/>
                  <xdr:cNvSpPr txBox="1"/>
                </xdr:nvSpPr>
                <xdr:spPr>
                  <a:xfrm>
                    <a:off x="1247236" y="582150"/>
                    <a:ext cx="112968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42" name="TextBox 32"/>
                  <xdr:cNvSpPr txBox="1"/>
                </xdr:nvSpPr>
                <xdr:spPr>
                  <a:xfrm>
                    <a:off x="276238" y="3890513"/>
                    <a:ext cx="112968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grpSp>
        <xdr:pic>
          <xdr:nvPicPr>
            <xdr:cNvPr id="39" name="Picture 38" descr="https://vsjcllp.vsjadon.com/upload/insp-240541-84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81001" y="54469393"/>
              <a:ext cx="2828838" cy="216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sp macro="" textlink="">
        <xdr:nvSpPr>
          <xdr:cNvPr id="43" name="TextBox 32"/>
          <xdr:cNvSpPr txBox="1"/>
        </xdr:nvSpPr>
        <xdr:spPr>
          <a:xfrm>
            <a:off x="1757644" y="53984337"/>
            <a:ext cx="942023" cy="3768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clientData/>
  </xdr:twoCellAnchor>
  <xdr:twoCellAnchor editAs="oneCell">
    <xdr:from>
      <xdr:col>12</xdr:col>
      <xdr:colOff>461477</xdr:colOff>
      <xdr:row>122</xdr:row>
      <xdr:rowOff>363682</xdr:rowOff>
    </xdr:from>
    <xdr:to>
      <xdr:col>24</xdr:col>
      <xdr:colOff>22592</xdr:colOff>
      <xdr:row>138</xdr:row>
      <xdr:rowOff>137290</xdr:rowOff>
    </xdr:to>
    <xdr:pic>
      <xdr:nvPicPr>
        <xdr:cNvPr id="45" name="Picture 44"/>
        <xdr:cNvPicPr>
          <a:picLocks noChangeAspect="1"/>
        </xdr:cNvPicPr>
      </xdr:nvPicPr>
      <xdr:blipFill>
        <a:blip xmlns:r="http://schemas.openxmlformats.org/officeDocument/2006/relationships" r:embed="rId17"/>
        <a:stretch>
          <a:fillRect/>
        </a:stretch>
      </xdr:blipFill>
      <xdr:spPr>
        <a:xfrm>
          <a:off x="10350159" y="26462182"/>
          <a:ext cx="7856524" cy="3497017"/>
        </a:xfrm>
        <a:prstGeom prst="rect">
          <a:avLst/>
        </a:prstGeom>
      </xdr:spPr>
    </xdr:pic>
    <xdr:clientData/>
  </xdr:twoCellAnchor>
  <xdr:twoCellAnchor editAs="oneCell">
    <xdr:from>
      <xdr:col>14</xdr:col>
      <xdr:colOff>30562</xdr:colOff>
      <xdr:row>128</xdr:row>
      <xdr:rowOff>149751</xdr:rowOff>
    </xdr:from>
    <xdr:to>
      <xdr:col>22</xdr:col>
      <xdr:colOff>194850</xdr:colOff>
      <xdr:row>146</xdr:row>
      <xdr:rowOff>129524</xdr:rowOff>
    </xdr:to>
    <xdr:pic>
      <xdr:nvPicPr>
        <xdr:cNvPr id="46" name="Picture 45"/>
        <xdr:cNvPicPr>
          <a:picLocks noChangeAspect="1"/>
        </xdr:cNvPicPr>
      </xdr:nvPicPr>
      <xdr:blipFill>
        <a:blip xmlns:r="http://schemas.openxmlformats.org/officeDocument/2006/relationships" r:embed="rId18"/>
        <a:stretch>
          <a:fillRect/>
        </a:stretch>
      </xdr:blipFill>
      <xdr:spPr>
        <a:xfrm>
          <a:off x="11572621" y="27301604"/>
          <a:ext cx="5621553" cy="3610479"/>
        </a:xfrm>
        <a:prstGeom prst="rect">
          <a:avLst/>
        </a:prstGeom>
      </xdr:spPr>
    </xdr:pic>
    <xdr:clientData/>
  </xdr:twoCellAnchor>
  <xdr:twoCellAnchor editAs="oneCell">
    <xdr:from>
      <xdr:col>13</xdr:col>
      <xdr:colOff>350292</xdr:colOff>
      <xdr:row>84</xdr:row>
      <xdr:rowOff>1</xdr:rowOff>
    </xdr:from>
    <xdr:to>
      <xdr:col>25</xdr:col>
      <xdr:colOff>436626</xdr:colOff>
      <xdr:row>113</xdr:row>
      <xdr:rowOff>82939</xdr:rowOff>
    </xdr:to>
    <xdr:pic>
      <xdr:nvPicPr>
        <xdr:cNvPr id="47" name="Picture 46"/>
        <xdr:cNvPicPr>
          <a:picLocks noChangeAspect="1"/>
        </xdr:cNvPicPr>
      </xdr:nvPicPr>
      <xdr:blipFill>
        <a:blip xmlns:r="http://schemas.openxmlformats.org/officeDocument/2006/relationships" r:embed="rId19"/>
        <a:stretch>
          <a:fillRect/>
        </a:stretch>
      </xdr:blipFill>
      <xdr:spPr>
        <a:xfrm>
          <a:off x="11045506" y="18070287"/>
          <a:ext cx="8250620" cy="4151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kohinoor-group.in/project-kohinoor-garden.html" TargetMode="External"/><Relationship Id="rId7" Type="http://schemas.openxmlformats.org/officeDocument/2006/relationships/vmlDrawing" Target="../drawings/vmlDrawing2.vml"/><Relationship Id="rId2" Type="http://schemas.openxmlformats.org/officeDocument/2006/relationships/hyperlink" Target="https://www.kohinoor-group.in/project-kohinoor-garden.html" TargetMode="External"/><Relationship Id="rId1" Type="http://schemas.openxmlformats.org/officeDocument/2006/relationships/hyperlink" Target="https://maps.app.goo.gl/qcnA1LiBk5LhTkUL7"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9"/>
  <sheetViews>
    <sheetView tabSelected="1" showWhiteSpace="0" view="pageBreakPreview" topLeftCell="D120" zoomScale="70" zoomScaleNormal="100" zoomScaleSheetLayoutView="70" zoomScalePageLayoutView="85" workbookViewId="0">
      <selection activeCell="K137" sqref="K137"/>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24" t="s">
        <v>366</v>
      </c>
      <c r="B1" s="224"/>
      <c r="C1" s="224"/>
      <c r="D1" s="224"/>
      <c r="E1" s="224"/>
      <c r="F1" s="224"/>
      <c r="G1" s="224"/>
      <c r="H1" s="224"/>
    </row>
    <row r="2" spans="1:26" ht="16.5" customHeight="1" x14ac:dyDescent="0.25">
      <c r="A2" s="225" t="s">
        <v>0</v>
      </c>
      <c r="B2" s="225"/>
      <c r="C2" s="225"/>
      <c r="D2" s="225"/>
      <c r="E2" s="225"/>
      <c r="F2" s="225"/>
      <c r="G2" s="225"/>
      <c r="H2" s="225"/>
    </row>
    <row r="3" spans="1:26" x14ac:dyDescent="0.25">
      <c r="A3" s="113" t="s">
        <v>1</v>
      </c>
      <c r="B3" s="113"/>
      <c r="C3" s="113"/>
      <c r="D3" s="113"/>
      <c r="E3" s="113" t="str">
        <f ca="1">TEXT(TODAY(),"DD/MM/YYYY")</f>
        <v>17/07/2025</v>
      </c>
      <c r="F3" s="113"/>
      <c r="G3" s="113"/>
      <c r="H3" s="113"/>
      <c r="K3" s="54" t="s">
        <v>224</v>
      </c>
      <c r="L3" s="53" t="s">
        <v>222</v>
      </c>
      <c r="M3" s="53" t="s">
        <v>227</v>
      </c>
      <c r="N3" s="53" t="s">
        <v>225</v>
      </c>
      <c r="O3" s="53" t="s">
        <v>343</v>
      </c>
      <c r="P3" s="53" t="s">
        <v>369</v>
      </c>
    </row>
    <row r="4" spans="1:26" ht="15" customHeight="1" x14ac:dyDescent="0.25">
      <c r="A4" s="113" t="s">
        <v>221</v>
      </c>
      <c r="B4" s="113"/>
      <c r="C4" s="113"/>
      <c r="D4" s="113"/>
      <c r="E4" s="223" t="s">
        <v>227</v>
      </c>
      <c r="F4" s="223"/>
      <c r="G4" s="223"/>
      <c r="H4" s="223"/>
      <c r="K4" s="52" t="s">
        <v>223</v>
      </c>
      <c r="L4" s="53" t="s">
        <v>161</v>
      </c>
      <c r="M4" s="53" t="s">
        <v>232</v>
      </c>
      <c r="N4" s="53" t="s">
        <v>234</v>
      </c>
      <c r="O4" s="53" t="s">
        <v>329</v>
      </c>
      <c r="P4" s="53" t="s">
        <v>370</v>
      </c>
    </row>
    <row r="5" spans="1:26" ht="15" customHeight="1" x14ac:dyDescent="0.25">
      <c r="A5" s="113" t="s">
        <v>2</v>
      </c>
      <c r="B5" s="113"/>
      <c r="C5" s="113"/>
      <c r="D5" s="113"/>
      <c r="E5" s="223" t="s">
        <v>232</v>
      </c>
      <c r="F5" s="223"/>
      <c r="G5" s="223"/>
      <c r="H5" s="223"/>
      <c r="K5" s="52"/>
      <c r="L5" s="53" t="s">
        <v>229</v>
      </c>
      <c r="M5" s="53" t="s">
        <v>233</v>
      </c>
      <c r="N5" s="53" t="s">
        <v>235</v>
      </c>
      <c r="O5" s="53" t="s">
        <v>330</v>
      </c>
      <c r="P5" s="53"/>
    </row>
    <row r="6" spans="1:26" x14ac:dyDescent="0.25">
      <c r="A6" s="113" t="s">
        <v>3</v>
      </c>
      <c r="B6" s="113"/>
      <c r="C6" s="113"/>
      <c r="D6" s="113"/>
      <c r="E6" s="226">
        <v>45850</v>
      </c>
      <c r="F6" s="113"/>
      <c r="G6" s="113"/>
      <c r="H6" s="113"/>
      <c r="K6" s="52"/>
      <c r="L6" s="53" t="s">
        <v>230</v>
      </c>
      <c r="M6" s="53" t="s">
        <v>341</v>
      </c>
      <c r="N6" s="53"/>
      <c r="O6" s="53" t="s">
        <v>331</v>
      </c>
      <c r="P6" s="53"/>
    </row>
    <row r="7" spans="1:26" ht="16.5" customHeight="1" x14ac:dyDescent="0.25">
      <c r="A7" s="113" t="s">
        <v>4</v>
      </c>
      <c r="B7" s="113"/>
      <c r="C7" s="113"/>
      <c r="D7" s="113"/>
      <c r="E7" s="153" t="s">
        <v>423</v>
      </c>
      <c r="F7" s="113"/>
      <c r="G7" s="113"/>
      <c r="H7" s="113"/>
      <c r="K7" s="52"/>
      <c r="L7" s="53" t="s">
        <v>231</v>
      </c>
      <c r="M7" s="53"/>
      <c r="N7" s="53"/>
      <c r="O7" s="53" t="s">
        <v>331</v>
      </c>
      <c r="P7" s="53"/>
    </row>
    <row r="8" spans="1:26" ht="15" customHeight="1" x14ac:dyDescent="0.25">
      <c r="A8" s="113" t="s">
        <v>5</v>
      </c>
      <c r="B8" s="113"/>
      <c r="C8" s="113"/>
      <c r="D8" s="113"/>
      <c r="E8" s="113" t="s">
        <v>374</v>
      </c>
      <c r="F8" s="113"/>
      <c r="G8" s="113"/>
      <c r="H8" s="113"/>
      <c r="K8" s="52"/>
      <c r="L8" s="53"/>
      <c r="M8" s="53"/>
      <c r="N8" s="53"/>
      <c r="O8" s="53" t="s">
        <v>332</v>
      </c>
      <c r="P8" s="53"/>
    </row>
    <row r="9" spans="1:26" x14ac:dyDescent="0.25">
      <c r="A9" s="113" t="s">
        <v>6</v>
      </c>
      <c r="B9" s="113"/>
      <c r="C9" s="113"/>
      <c r="D9" s="113"/>
      <c r="E9" s="175" t="s">
        <v>373</v>
      </c>
      <c r="F9" s="175"/>
      <c r="G9" s="175"/>
      <c r="H9" s="175"/>
      <c r="K9" s="52"/>
      <c r="L9" s="53"/>
      <c r="M9" s="53"/>
      <c r="N9" s="53"/>
      <c r="O9" s="53" t="s">
        <v>333</v>
      </c>
      <c r="P9" s="53"/>
    </row>
    <row r="10" spans="1:26" x14ac:dyDescent="0.25">
      <c r="A10" s="113" t="s">
        <v>158</v>
      </c>
      <c r="B10" s="113"/>
      <c r="C10" s="113"/>
      <c r="D10" s="113"/>
      <c r="E10" s="113" t="s">
        <v>375</v>
      </c>
      <c r="F10" s="113"/>
      <c r="G10" s="113"/>
      <c r="H10" s="113"/>
      <c r="K10" s="52"/>
      <c r="L10" s="53"/>
      <c r="M10" s="53"/>
      <c r="N10" s="53"/>
      <c r="O10" s="53" t="s">
        <v>334</v>
      </c>
      <c r="P10" s="53"/>
    </row>
    <row r="11" spans="1:26" x14ac:dyDescent="0.25">
      <c r="A11" s="113" t="s">
        <v>159</v>
      </c>
      <c r="B11" s="113"/>
      <c r="C11" s="113"/>
      <c r="D11" s="113"/>
      <c r="E11" s="113" t="s">
        <v>378</v>
      </c>
      <c r="F11" s="113"/>
      <c r="G11" s="113"/>
      <c r="H11" s="113"/>
      <c r="O11" s="53" t="s">
        <v>335</v>
      </c>
    </row>
    <row r="12" spans="1:26" x14ac:dyDescent="0.25">
      <c r="A12" s="113" t="s">
        <v>7</v>
      </c>
      <c r="B12" s="113"/>
      <c r="C12" s="113"/>
      <c r="D12" s="113"/>
      <c r="E12" s="113" t="s">
        <v>376</v>
      </c>
      <c r="F12" s="113"/>
      <c r="G12" s="113"/>
      <c r="H12" s="113"/>
    </row>
    <row r="13" spans="1:26" x14ac:dyDescent="0.25">
      <c r="A13" s="223" t="s">
        <v>162</v>
      </c>
      <c r="B13" s="223"/>
      <c r="C13" s="223"/>
      <c r="D13" s="223"/>
      <c r="E13" s="113" t="s">
        <v>28</v>
      </c>
      <c r="F13" s="113"/>
      <c r="G13" s="113"/>
      <c r="H13" s="113"/>
      <c r="S13" s="53" t="s">
        <v>169</v>
      </c>
      <c r="T13" s="53" t="s">
        <v>178</v>
      </c>
      <c r="U13" s="53" t="s">
        <v>163</v>
      </c>
      <c r="V13" s="53" t="s">
        <v>183</v>
      </c>
      <c r="W13" s="53" t="s">
        <v>201</v>
      </c>
      <c r="X13"/>
      <c r="Y13" t="s">
        <v>183</v>
      </c>
      <c r="Z13" t="e">
        <f ca="1">OFFSET($S$13,1,MATCH($G20,$S$13:$W$13,0)-1,15,1)</f>
        <v>#VALUE!</v>
      </c>
    </row>
    <row r="14" spans="1:26" x14ac:dyDescent="0.25">
      <c r="A14" s="151" t="s">
        <v>267</v>
      </c>
      <c r="B14" s="151"/>
      <c r="C14" s="151"/>
      <c r="D14" s="151"/>
      <c r="E14" s="222" t="s">
        <v>217</v>
      </c>
      <c r="F14" s="222"/>
      <c r="G14" s="222"/>
      <c r="H14" s="222"/>
      <c r="S14" s="53" t="s">
        <v>169</v>
      </c>
      <c r="T14" s="53" t="s">
        <v>176</v>
      </c>
      <c r="U14" s="53" t="s">
        <v>198</v>
      </c>
      <c r="V14" s="53" t="s">
        <v>184</v>
      </c>
      <c r="W14" s="53" t="s">
        <v>202</v>
      </c>
      <c r="X14"/>
      <c r="Y14"/>
      <c r="Z14"/>
    </row>
    <row r="15" spans="1:26" x14ac:dyDescent="0.25">
      <c r="A15" s="151" t="s">
        <v>8</v>
      </c>
      <c r="B15" s="151"/>
      <c r="C15" s="151"/>
      <c r="D15" s="151"/>
      <c r="E15" s="222" t="s">
        <v>377</v>
      </c>
      <c r="F15" s="223"/>
      <c r="G15" s="223"/>
      <c r="H15" s="223"/>
      <c r="I15" s="238" t="e">
        <f ca="1">OFFSET($D$5,1,MATCH($J13,$D$5:$H$5,0)-1,15,1)</f>
        <v>#N/A</v>
      </c>
      <c r="J15" s="239"/>
      <c r="K15" s="239"/>
      <c r="L15" s="239"/>
      <c r="M15" s="239"/>
      <c r="N15" s="239"/>
      <c r="O15" s="239"/>
      <c r="P15" s="239"/>
      <c r="S15" s="53" t="s">
        <v>170</v>
      </c>
      <c r="T15" s="53" t="s">
        <v>177</v>
      </c>
      <c r="U15" s="53" t="s">
        <v>199</v>
      </c>
      <c r="V15" s="53" t="s">
        <v>185</v>
      </c>
      <c r="W15" s="53" t="s">
        <v>215</v>
      </c>
      <c r="X15"/>
      <c r="Y15"/>
      <c r="Z15"/>
    </row>
    <row r="16" spans="1:26" ht="51.75" customHeight="1" x14ac:dyDescent="0.25">
      <c r="A16" s="179" t="s">
        <v>9</v>
      </c>
      <c r="B16" s="179"/>
      <c r="C16" s="179" t="str">
        <f>CONCATENATE((IF(OR(E9="",E9="NA"),"",E9)),", ",(IF(OR(A17="",A17="NA"),"",A17)),".",(IF(OR(C17="",C17="NA"),"",C17)),", near ",(IF(OR(C22="",C22="NA"),"",C22)),", ",(IF(OR(C19="",C19="NA"),"",C19)),", ",(IF(OR(C18="",C18="NA"),"",C18)),", ",(IF(OR(G19="",G19="NA"),"",G19)),", ",(IF(OR(C20="",C20="NA"),"",C20)),", ",(IF(OR(C21="",C21="NA"),"",C21)),", ",(IF(OR(G20="",G20="NA"),"",G20))," - ",(IF(OR(G21="",G21="NA"),"",G21)),".")</f>
        <v>Kohinoor Gardens, CTS No.2447(P), U.No. 198, Sheet No.83A, Section - 7B, UNR-01, near Kohinoor Prime, Shivaji Road, Siddhivinayak Nagar, Ulhasnagar, Ulhasnagar, Ulhasnagar, Thane - 421001.</v>
      </c>
      <c r="D16" s="179"/>
      <c r="E16" s="179"/>
      <c r="F16" s="179"/>
      <c r="G16" s="179"/>
      <c r="H16" s="179"/>
      <c r="S16" s="53" t="s">
        <v>171</v>
      </c>
      <c r="T16" s="53" t="s">
        <v>179</v>
      </c>
      <c r="U16" s="53" t="s">
        <v>200</v>
      </c>
      <c r="V16" s="53" t="s">
        <v>186</v>
      </c>
      <c r="W16" s="53" t="s">
        <v>203</v>
      </c>
      <c r="X16"/>
      <c r="Y16"/>
      <c r="Z16"/>
    </row>
    <row r="17" spans="1:26" x14ac:dyDescent="0.25">
      <c r="A17" s="153" t="s">
        <v>166</v>
      </c>
      <c r="B17" s="153"/>
      <c r="C17" s="153" t="s">
        <v>424</v>
      </c>
      <c r="D17" s="153"/>
      <c r="E17" s="153"/>
      <c r="F17" s="153"/>
      <c r="G17" s="153"/>
      <c r="H17" s="153"/>
      <c r="S17" s="53" t="s">
        <v>172</v>
      </c>
      <c r="T17" s="53" t="s">
        <v>180</v>
      </c>
      <c r="U17" s="53" t="s">
        <v>163</v>
      </c>
      <c r="V17" s="53" t="s">
        <v>187</v>
      </c>
      <c r="W17" s="53" t="s">
        <v>204</v>
      </c>
      <c r="X17"/>
      <c r="Y17"/>
      <c r="Z17"/>
    </row>
    <row r="18" spans="1:26" ht="15.75" customHeight="1" x14ac:dyDescent="0.25">
      <c r="A18" s="153" t="s">
        <v>155</v>
      </c>
      <c r="B18" s="153"/>
      <c r="C18" s="153" t="s">
        <v>381</v>
      </c>
      <c r="D18" s="153"/>
      <c r="E18" s="153"/>
      <c r="F18" s="153"/>
      <c r="G18" s="153"/>
      <c r="H18" s="153"/>
      <c r="S18" s="53" t="s">
        <v>173</v>
      </c>
      <c r="T18" s="53" t="s">
        <v>178</v>
      </c>
      <c r="U18" s="53"/>
      <c r="V18" s="53" t="s">
        <v>188</v>
      </c>
      <c r="W18" s="53" t="s">
        <v>205</v>
      </c>
      <c r="X18"/>
      <c r="Y18"/>
      <c r="Z18"/>
    </row>
    <row r="19" spans="1:26" x14ac:dyDescent="0.25">
      <c r="A19" s="179" t="s">
        <v>10</v>
      </c>
      <c r="B19" s="179"/>
      <c r="C19" s="153" t="s">
        <v>425</v>
      </c>
      <c r="D19" s="153"/>
      <c r="E19" s="179" t="s">
        <v>69</v>
      </c>
      <c r="F19" s="179"/>
      <c r="G19" s="153" t="s">
        <v>173</v>
      </c>
      <c r="H19" s="153"/>
      <c r="S19" s="53" t="s">
        <v>174</v>
      </c>
      <c r="T19" s="53" t="s">
        <v>181</v>
      </c>
      <c r="U19" s="53"/>
      <c r="V19" s="53" t="s">
        <v>189</v>
      </c>
      <c r="W19" s="53" t="s">
        <v>206</v>
      </c>
      <c r="X19"/>
      <c r="Y19"/>
      <c r="Z19"/>
    </row>
    <row r="20" spans="1:26" x14ac:dyDescent="0.25">
      <c r="A20" s="151" t="s">
        <v>12</v>
      </c>
      <c r="B20" s="151"/>
      <c r="C20" s="153" t="s">
        <v>173</v>
      </c>
      <c r="D20" s="153"/>
      <c r="E20" s="179" t="s">
        <v>11</v>
      </c>
      <c r="F20" s="179"/>
      <c r="G20" s="221" t="s">
        <v>169</v>
      </c>
      <c r="H20" s="221"/>
      <c r="S20" s="53" t="s">
        <v>175</v>
      </c>
      <c r="T20" s="53" t="s">
        <v>182</v>
      </c>
      <c r="U20" s="53"/>
      <c r="V20" s="53" t="s">
        <v>190</v>
      </c>
      <c r="W20" s="53" t="s">
        <v>207</v>
      </c>
      <c r="X20"/>
      <c r="Y20"/>
      <c r="Z20"/>
    </row>
    <row r="21" spans="1:26" x14ac:dyDescent="0.25">
      <c r="A21" s="151" t="s">
        <v>70</v>
      </c>
      <c r="B21" s="151"/>
      <c r="C21" s="153" t="s">
        <v>173</v>
      </c>
      <c r="D21" s="153"/>
      <c r="E21" s="179" t="s">
        <v>13</v>
      </c>
      <c r="F21" s="179"/>
      <c r="G21" s="153">
        <v>421001</v>
      </c>
      <c r="H21" s="153"/>
      <c r="S21" s="53"/>
      <c r="T21" s="53"/>
      <c r="U21" s="53"/>
      <c r="V21" s="53" t="s">
        <v>191</v>
      </c>
      <c r="W21" s="53" t="s">
        <v>208</v>
      </c>
      <c r="X21"/>
      <c r="Y21"/>
      <c r="Z21"/>
    </row>
    <row r="22" spans="1:26" ht="32.25" customHeight="1" x14ac:dyDescent="0.25">
      <c r="A22" s="151" t="s">
        <v>115</v>
      </c>
      <c r="B22" s="151"/>
      <c r="C22" s="153" t="s">
        <v>383</v>
      </c>
      <c r="D22" s="153"/>
      <c r="E22" s="179" t="s">
        <v>14</v>
      </c>
      <c r="F22" s="179"/>
      <c r="G22" s="153" t="s">
        <v>384</v>
      </c>
      <c r="H22" s="153"/>
      <c r="S22" s="53"/>
      <c r="T22" s="53"/>
      <c r="U22" s="53"/>
      <c r="V22" s="53" t="s">
        <v>192</v>
      </c>
      <c r="W22" s="53" t="s">
        <v>209</v>
      </c>
      <c r="X22"/>
      <c r="Y22"/>
      <c r="Z22"/>
    </row>
    <row r="23" spans="1:26" ht="15" customHeight="1" x14ac:dyDescent="0.25">
      <c r="A23" s="179" t="s">
        <v>71</v>
      </c>
      <c r="B23" s="179"/>
      <c r="C23" s="179"/>
      <c r="D23" s="179"/>
      <c r="E23" s="113" t="s">
        <v>15</v>
      </c>
      <c r="F23" s="113"/>
      <c r="G23" s="113"/>
      <c r="H23" s="113"/>
      <c r="S23" s="53"/>
      <c r="T23" s="53"/>
      <c r="U23" s="53"/>
      <c r="V23" s="53" t="s">
        <v>193</v>
      </c>
      <c r="W23" s="53" t="s">
        <v>210</v>
      </c>
      <c r="X23"/>
      <c r="Y23"/>
      <c r="Z23"/>
    </row>
    <row r="24" spans="1:26" ht="18.75" customHeight="1" x14ac:dyDescent="0.25">
      <c r="A24" s="179"/>
      <c r="B24" s="179"/>
      <c r="C24" s="179"/>
      <c r="D24" s="179"/>
      <c r="E24" s="113"/>
      <c r="F24" s="113"/>
      <c r="G24" s="113"/>
      <c r="H24" s="113"/>
      <c r="S24" s="53"/>
      <c r="T24" s="53"/>
      <c r="U24" s="53"/>
      <c r="V24" s="53" t="s">
        <v>194</v>
      </c>
      <c r="W24" s="53" t="s">
        <v>211</v>
      </c>
      <c r="X24"/>
      <c r="Y24"/>
      <c r="Z24"/>
    </row>
    <row r="25" spans="1:26" ht="15" customHeight="1" x14ac:dyDescent="0.25">
      <c r="A25" s="179" t="s">
        <v>16</v>
      </c>
      <c r="B25" s="179"/>
      <c r="C25" s="179"/>
      <c r="D25" s="179"/>
      <c r="E25" s="153" t="s">
        <v>17</v>
      </c>
      <c r="F25" s="153"/>
      <c r="G25" s="153"/>
      <c r="H25" s="153"/>
      <c r="S25" s="53"/>
      <c r="T25" s="53"/>
      <c r="U25" s="53"/>
      <c r="V25" s="53" t="s">
        <v>195</v>
      </c>
      <c r="W25" s="53" t="s">
        <v>212</v>
      </c>
      <c r="X25"/>
      <c r="Y25"/>
      <c r="Z25"/>
    </row>
    <row r="26" spans="1:26" ht="15" customHeight="1" x14ac:dyDescent="0.25">
      <c r="A26" s="151" t="s">
        <v>18</v>
      </c>
      <c r="B26" s="151"/>
      <c r="C26" s="151"/>
      <c r="D26" s="151"/>
      <c r="E26" s="153" t="str">
        <f>IF(AND(G20="Mumbai"),"Upper Class","Middle Class")</f>
        <v>Middle Class</v>
      </c>
      <c r="F26" s="153"/>
      <c r="G26" s="153"/>
      <c r="H26" s="153"/>
      <c r="S26" s="53"/>
      <c r="T26" s="53"/>
      <c r="U26" s="53"/>
      <c r="V26" s="53" t="s">
        <v>196</v>
      </c>
      <c r="W26" s="53" t="s">
        <v>213</v>
      </c>
      <c r="X26"/>
      <c r="Y26"/>
      <c r="Z26"/>
    </row>
    <row r="27" spans="1:26" x14ac:dyDescent="0.25">
      <c r="A27" s="151" t="s">
        <v>19</v>
      </c>
      <c r="B27" s="151"/>
      <c r="C27" s="151"/>
      <c r="D27" s="151"/>
      <c r="E27" s="153" t="s">
        <v>20</v>
      </c>
      <c r="F27" s="153"/>
      <c r="G27" s="153"/>
      <c r="H27" s="153"/>
      <c r="S27" s="53"/>
      <c r="T27" s="53"/>
      <c r="U27" s="53"/>
      <c r="V27" s="53" t="s">
        <v>197</v>
      </c>
      <c r="W27" s="53" t="s">
        <v>214</v>
      </c>
      <c r="X27"/>
      <c r="Y27"/>
      <c r="Z27"/>
    </row>
    <row r="28" spans="1:26" ht="15.75" customHeight="1" x14ac:dyDescent="0.25">
      <c r="A28" s="151" t="s">
        <v>21</v>
      </c>
      <c r="B28" s="151"/>
      <c r="C28" s="151"/>
      <c r="D28" s="151"/>
      <c r="E28" s="153" t="str">
        <f>IF(AND(G20="Mumbai"),"Developed","Developing")</f>
        <v>Developing</v>
      </c>
      <c r="F28" s="153"/>
      <c r="G28" s="153"/>
      <c r="H28" s="153"/>
    </row>
    <row r="29" spans="1:26" x14ac:dyDescent="0.25">
      <c r="A29" s="151" t="s">
        <v>22</v>
      </c>
      <c r="B29" s="151"/>
      <c r="C29" s="151"/>
      <c r="D29" s="151"/>
      <c r="E29" s="153" t="s">
        <v>23</v>
      </c>
      <c r="F29" s="153"/>
      <c r="G29" s="153"/>
      <c r="H29" s="153"/>
    </row>
    <row r="30" spans="1:26" ht="15.75" customHeight="1" x14ac:dyDescent="0.25">
      <c r="A30" s="151" t="s">
        <v>76</v>
      </c>
      <c r="B30" s="151"/>
      <c r="C30" s="151"/>
      <c r="D30" s="151"/>
      <c r="E30" s="153" t="s">
        <v>77</v>
      </c>
      <c r="F30" s="153"/>
      <c r="G30" s="153"/>
      <c r="H30" s="153"/>
    </row>
    <row r="31" spans="1:26" ht="15" customHeight="1" x14ac:dyDescent="0.25">
      <c r="A31" s="151" t="s">
        <v>30</v>
      </c>
      <c r="B31" s="151"/>
      <c r="C31" s="151"/>
      <c r="D31" s="151"/>
      <c r="E31" s="153"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53"/>
      <c r="G31" s="153"/>
      <c r="H31" s="153"/>
    </row>
    <row r="32" spans="1:26" ht="15.75" customHeight="1" x14ac:dyDescent="0.25">
      <c r="A32" s="151" t="s">
        <v>88</v>
      </c>
      <c r="B32" s="151"/>
      <c r="C32" s="151"/>
      <c r="D32" s="151"/>
      <c r="E32" s="153" t="s">
        <v>31</v>
      </c>
      <c r="F32" s="153"/>
      <c r="G32" s="153"/>
      <c r="H32" s="153"/>
    </row>
    <row r="33" spans="1:19" s="21" customFormat="1" x14ac:dyDescent="0.25">
      <c r="A33" s="220" t="s">
        <v>89</v>
      </c>
      <c r="B33" s="220"/>
      <c r="C33" s="217" t="s">
        <v>164</v>
      </c>
      <c r="D33" s="218"/>
      <c r="E33" s="219"/>
      <c r="F33" s="217" t="s">
        <v>29</v>
      </c>
      <c r="G33" s="218"/>
      <c r="H33" s="219"/>
      <c r="S33" s="21" t="e">
        <f ca="1">OFFSET($S$13,1,MATCH($G20,$S$13:$W$13,0)-1,15,1)</f>
        <v>#VALUE!</v>
      </c>
    </row>
    <row r="34" spans="1:19" s="21" customFormat="1" x14ac:dyDescent="0.25">
      <c r="A34" s="216" t="s">
        <v>24</v>
      </c>
      <c r="B34" s="216" t="s">
        <v>28</v>
      </c>
      <c r="C34" s="181" t="s">
        <v>386</v>
      </c>
      <c r="D34" s="182"/>
      <c r="E34" s="183"/>
      <c r="F34" s="181" t="s">
        <v>387</v>
      </c>
      <c r="G34" s="182"/>
      <c r="H34" s="183"/>
    </row>
    <row r="35" spans="1:19" x14ac:dyDescent="0.25">
      <c r="A35" s="216" t="s">
        <v>25</v>
      </c>
      <c r="B35" s="216" t="s">
        <v>28</v>
      </c>
      <c r="C35" s="181" t="s">
        <v>385</v>
      </c>
      <c r="D35" s="182"/>
      <c r="E35" s="183"/>
      <c r="F35" s="181" t="s">
        <v>382</v>
      </c>
      <c r="G35" s="182"/>
      <c r="H35" s="183"/>
    </row>
    <row r="36" spans="1:19" s="21" customFormat="1" x14ac:dyDescent="0.25">
      <c r="A36" s="216" t="s">
        <v>27</v>
      </c>
      <c r="B36" s="216" t="s">
        <v>28</v>
      </c>
      <c r="C36" s="181" t="s">
        <v>386</v>
      </c>
      <c r="D36" s="182"/>
      <c r="E36" s="183"/>
      <c r="F36" s="181" t="s">
        <v>383</v>
      </c>
      <c r="G36" s="182"/>
      <c r="H36" s="183"/>
    </row>
    <row r="37" spans="1:19" x14ac:dyDescent="0.25">
      <c r="A37" s="216" t="s">
        <v>26</v>
      </c>
      <c r="B37" s="216" t="s">
        <v>28</v>
      </c>
      <c r="C37" s="181" t="s">
        <v>386</v>
      </c>
      <c r="D37" s="182"/>
      <c r="E37" s="183"/>
      <c r="F37" s="181" t="s">
        <v>426</v>
      </c>
      <c r="G37" s="182"/>
      <c r="H37" s="183"/>
    </row>
    <row r="38" spans="1:19" x14ac:dyDescent="0.25">
      <c r="A38" s="151" t="s">
        <v>268</v>
      </c>
      <c r="B38" s="151"/>
      <c r="C38" s="151"/>
      <c r="D38" s="151"/>
      <c r="E38" s="151"/>
      <c r="F38" s="151"/>
      <c r="G38" s="151"/>
      <c r="H38" s="151"/>
    </row>
    <row r="39" spans="1:19" ht="15.75" customHeight="1" x14ac:dyDescent="0.25">
      <c r="A39" s="151" t="s">
        <v>157</v>
      </c>
      <c r="B39" s="151"/>
      <c r="C39" s="186" t="s">
        <v>379</v>
      </c>
      <c r="D39" s="186"/>
      <c r="E39" s="186"/>
      <c r="F39" s="186"/>
      <c r="G39" s="186"/>
      <c r="H39" s="186"/>
    </row>
    <row r="40" spans="1:19" x14ac:dyDescent="0.25">
      <c r="A40" s="151" t="s">
        <v>154</v>
      </c>
      <c r="B40" s="151"/>
      <c r="C40" s="152" t="s">
        <v>380</v>
      </c>
      <c r="D40" s="153"/>
      <c r="E40" s="153"/>
      <c r="F40" s="153"/>
      <c r="G40" s="153"/>
      <c r="H40" s="153"/>
    </row>
    <row r="41" spans="1:19" x14ac:dyDescent="0.25">
      <c r="A41" s="186" t="s">
        <v>32</v>
      </c>
      <c r="B41" s="186"/>
      <c r="C41" s="186"/>
      <c r="D41" s="186"/>
      <c r="E41" s="186"/>
      <c r="F41" s="186"/>
      <c r="G41" s="186"/>
      <c r="H41" s="186"/>
    </row>
    <row r="42" spans="1:19" x14ac:dyDescent="0.25">
      <c r="A42" s="151" t="s">
        <v>33</v>
      </c>
      <c r="B42" s="151"/>
      <c r="C42" s="151"/>
      <c r="D42" s="151"/>
      <c r="E42" s="196">
        <f>5943.091</f>
        <v>5943.0910000000003</v>
      </c>
      <c r="F42" s="196"/>
      <c r="G42" s="196"/>
      <c r="H42" s="196"/>
    </row>
    <row r="43" spans="1:19" x14ac:dyDescent="0.25">
      <c r="A43" s="151" t="s">
        <v>34</v>
      </c>
      <c r="B43" s="151"/>
      <c r="C43" s="151"/>
      <c r="D43" s="151"/>
      <c r="E43" s="198">
        <f>6537.4/E42</f>
        <v>1.099999983173739</v>
      </c>
      <c r="F43" s="198"/>
      <c r="G43" s="198"/>
      <c r="H43" s="198"/>
    </row>
    <row r="44" spans="1:19" x14ac:dyDescent="0.25">
      <c r="A44" s="151" t="s">
        <v>35</v>
      </c>
      <c r="B44" s="151"/>
      <c r="C44" s="151"/>
      <c r="D44" s="151"/>
      <c r="E44" s="198">
        <f>E46/E42-E43</f>
        <v>2.6256619661384955</v>
      </c>
      <c r="F44" s="198"/>
      <c r="G44" s="198"/>
      <c r="H44" s="198"/>
    </row>
    <row r="45" spans="1:19" x14ac:dyDescent="0.25">
      <c r="A45" s="151" t="s">
        <v>36</v>
      </c>
      <c r="B45" s="151"/>
      <c r="C45" s="151"/>
      <c r="D45" s="151"/>
      <c r="E45" s="198">
        <f>E43+E44</f>
        <v>3.7256619493122347</v>
      </c>
      <c r="F45" s="198"/>
      <c r="G45" s="198"/>
      <c r="H45" s="198"/>
    </row>
    <row r="46" spans="1:19" x14ac:dyDescent="0.25">
      <c r="A46" s="151" t="s">
        <v>87</v>
      </c>
      <c r="B46" s="151"/>
      <c r="C46" s="151"/>
      <c r="D46" s="151"/>
      <c r="E46" s="199">
        <f>22141.948</f>
        <v>22141.948</v>
      </c>
      <c r="F46" s="199"/>
      <c r="G46" s="199"/>
      <c r="H46" s="199"/>
    </row>
    <row r="47" spans="1:19" x14ac:dyDescent="0.25">
      <c r="A47" s="113" t="s">
        <v>37</v>
      </c>
      <c r="B47" s="113"/>
      <c r="C47" s="113"/>
      <c r="D47" s="113"/>
      <c r="E47" s="113" t="s">
        <v>388</v>
      </c>
      <c r="F47" s="113"/>
      <c r="G47" s="113"/>
      <c r="H47" s="113"/>
    </row>
    <row r="48" spans="1:19" x14ac:dyDescent="0.25">
      <c r="A48" s="186" t="s">
        <v>38</v>
      </c>
      <c r="B48" s="186"/>
      <c r="C48" s="186"/>
      <c r="D48" s="186"/>
      <c r="E48" s="186"/>
      <c r="F48" s="186"/>
      <c r="G48" s="186"/>
      <c r="H48" s="186"/>
    </row>
    <row r="49" spans="1:24" ht="33.75" customHeight="1" x14ac:dyDescent="0.25">
      <c r="A49" s="176" t="s">
        <v>144</v>
      </c>
      <c r="B49" s="178"/>
      <c r="C49" s="205" t="s">
        <v>253</v>
      </c>
      <c r="D49" s="206"/>
      <c r="E49" s="206"/>
      <c r="F49" s="206"/>
      <c r="G49" s="206"/>
      <c r="H49" s="207"/>
      <c r="R49" t="s">
        <v>241</v>
      </c>
      <c r="S49" s="55" t="s">
        <v>163</v>
      </c>
      <c r="T49" s="55" t="s">
        <v>169</v>
      </c>
      <c r="U49" s="55" t="s">
        <v>183</v>
      </c>
      <c r="V49" s="55" t="s">
        <v>178</v>
      </c>
    </row>
    <row r="50" spans="1:24" ht="15.75" customHeight="1" x14ac:dyDescent="0.25">
      <c r="A50" s="176" t="s">
        <v>39</v>
      </c>
      <c r="B50" s="178"/>
      <c r="C50" s="176" t="s">
        <v>389</v>
      </c>
      <c r="D50" s="177"/>
      <c r="E50" s="178"/>
      <c r="F50" s="17" t="s">
        <v>40</v>
      </c>
      <c r="G50" s="184">
        <v>45820</v>
      </c>
      <c r="H50" s="185"/>
      <c r="R50"/>
      <c r="S50" s="55" t="s">
        <v>242</v>
      </c>
      <c r="T50" s="55" t="s">
        <v>247</v>
      </c>
      <c r="U50" s="55" t="s">
        <v>258</v>
      </c>
      <c r="V50" s="55" t="s">
        <v>263</v>
      </c>
    </row>
    <row r="51" spans="1:24" x14ac:dyDescent="0.25">
      <c r="A51" s="176" t="s">
        <v>41</v>
      </c>
      <c r="B51" s="178"/>
      <c r="C51" s="176" t="str">
        <f>C50</f>
        <v xml:space="preserve">DDUMC/AR/2025/APL/00002 </v>
      </c>
      <c r="D51" s="177"/>
      <c r="E51" s="178"/>
      <c r="F51" s="17" t="s">
        <v>40</v>
      </c>
      <c r="G51" s="184">
        <f>G50</f>
        <v>45820</v>
      </c>
      <c r="H51" s="185"/>
      <c r="R51"/>
      <c r="S51" s="55" t="s">
        <v>243</v>
      </c>
      <c r="T51" s="55" t="s">
        <v>344</v>
      </c>
      <c r="U51" s="55" t="s">
        <v>256</v>
      </c>
      <c r="V51" s="55" t="s">
        <v>264</v>
      </c>
    </row>
    <row r="52" spans="1:24" s="22" customFormat="1" ht="15.75" customHeight="1" x14ac:dyDescent="0.25">
      <c r="A52" s="190" t="s">
        <v>148</v>
      </c>
      <c r="B52" s="191"/>
      <c r="C52" s="190" t="str">
        <f>C51</f>
        <v xml:space="preserve">DDUMC/AR/2025/APL/00002 </v>
      </c>
      <c r="D52" s="194"/>
      <c r="E52" s="191"/>
      <c r="F52" s="17" t="s">
        <v>40</v>
      </c>
      <c r="G52" s="184">
        <v>45820</v>
      </c>
      <c r="H52" s="185"/>
      <c r="I52" s="21" t="str">
        <f ca="1">IF(G52&gt;EDATE(E3,-48),"NO REMARK","CC REMARK FOR CC")</f>
        <v>NO REMARK</v>
      </c>
      <c r="J52" s="74"/>
      <c r="R52"/>
      <c r="S52" s="55" t="s">
        <v>244</v>
      </c>
      <c r="T52" s="55" t="s">
        <v>249</v>
      </c>
      <c r="U52" s="55" t="s">
        <v>246</v>
      </c>
      <c r="V52" s="55" t="s">
        <v>265</v>
      </c>
    </row>
    <row r="53" spans="1:24" s="22" customFormat="1" ht="20.25" customHeight="1" x14ac:dyDescent="0.25">
      <c r="A53" s="192"/>
      <c r="B53" s="193"/>
      <c r="C53" s="176" t="s">
        <v>390</v>
      </c>
      <c r="D53" s="177"/>
      <c r="E53" s="177"/>
      <c r="F53" s="177"/>
      <c r="G53" s="177"/>
      <c r="H53" s="178"/>
      <c r="R53"/>
      <c r="S53" s="55"/>
      <c r="T53" s="55"/>
      <c r="U53" s="55"/>
      <c r="V53" s="70"/>
    </row>
    <row r="54" spans="1:24" s="22" customFormat="1" hidden="1" x14ac:dyDescent="0.25">
      <c r="A54" s="147" t="s">
        <v>269</v>
      </c>
      <c r="B54" s="148"/>
      <c r="C54" s="176"/>
      <c r="D54" s="177"/>
      <c r="E54" s="178"/>
      <c r="F54" s="17" t="s">
        <v>40</v>
      </c>
      <c r="G54" s="184"/>
      <c r="H54" s="185"/>
      <c r="K54" s="75">
        <f>EDATE(G52,-48)</f>
        <v>44359</v>
      </c>
      <c r="L54" s="22" t="str">
        <f ca="1">IF(G52&gt;EDATE(E3,-48),"NO REMARK","CC REMARK FOR CC")</f>
        <v>NO REMARK</v>
      </c>
      <c r="R54"/>
      <c r="S54" s="55" t="s">
        <v>244</v>
      </c>
      <c r="T54" s="55" t="s">
        <v>249</v>
      </c>
      <c r="U54" s="55" t="s">
        <v>246</v>
      </c>
      <c r="V54" s="55" t="s">
        <v>265</v>
      </c>
    </row>
    <row r="55" spans="1:24" s="22" customFormat="1" ht="32.25" hidden="1" customHeight="1" x14ac:dyDescent="0.25">
      <c r="A55" s="149"/>
      <c r="B55" s="150"/>
      <c r="C55" s="187"/>
      <c r="D55" s="188"/>
      <c r="E55" s="188"/>
      <c r="F55" s="188"/>
      <c r="G55" s="188"/>
      <c r="H55" s="189"/>
      <c r="R55"/>
      <c r="S55" s="55" t="s">
        <v>246</v>
      </c>
      <c r="T55" s="55" t="s">
        <v>250</v>
      </c>
      <c r="U55" s="55" t="s">
        <v>260</v>
      </c>
      <c r="V55" s="71"/>
      <c r="W55" s="20"/>
      <c r="X55" s="20"/>
    </row>
    <row r="56" spans="1:24" s="22" customFormat="1" ht="34.5" hidden="1" customHeight="1" x14ac:dyDescent="0.25">
      <c r="A56" s="147" t="s">
        <v>270</v>
      </c>
      <c r="B56" s="148"/>
      <c r="C56" s="176"/>
      <c r="D56" s="177"/>
      <c r="E56" s="178"/>
      <c r="F56" s="17" t="s">
        <v>40</v>
      </c>
      <c r="G56" s="184"/>
      <c r="H56" s="185"/>
      <c r="R56"/>
      <c r="S56" s="71"/>
      <c r="T56" s="55" t="s">
        <v>251</v>
      </c>
      <c r="U56" s="55" t="s">
        <v>261</v>
      </c>
      <c r="V56" s="71"/>
      <c r="W56" s="20"/>
      <c r="X56" s="20"/>
    </row>
    <row r="57" spans="1:24" s="22" customFormat="1" ht="41.25" hidden="1" customHeight="1" x14ac:dyDescent="0.25">
      <c r="A57" s="149"/>
      <c r="B57" s="150"/>
      <c r="C57" s="176"/>
      <c r="D57" s="177"/>
      <c r="E57" s="177"/>
      <c r="F57" s="177"/>
      <c r="G57" s="177"/>
      <c r="H57" s="178"/>
      <c r="R57"/>
      <c r="S57" s="71"/>
      <c r="T57" s="55" t="s">
        <v>253</v>
      </c>
      <c r="U57" s="55" t="s">
        <v>262</v>
      </c>
      <c r="V57" s="71"/>
      <c r="W57" s="20"/>
      <c r="X57" s="20"/>
    </row>
    <row r="58" spans="1:24" s="22" customFormat="1" ht="15.75" hidden="1" customHeight="1" x14ac:dyDescent="0.25">
      <c r="A58" s="147" t="s">
        <v>339</v>
      </c>
      <c r="B58" s="148"/>
      <c r="C58" s="251"/>
      <c r="D58" s="252"/>
      <c r="E58" s="253"/>
      <c r="F58" s="17" t="s">
        <v>40</v>
      </c>
      <c r="G58" s="184"/>
      <c r="H58" s="185"/>
      <c r="R58"/>
      <c r="S58" s="71"/>
      <c r="T58" s="55" t="s">
        <v>254</v>
      </c>
      <c r="U58" s="71" t="s">
        <v>284</v>
      </c>
      <c r="V58" s="71"/>
      <c r="W58" s="20"/>
      <c r="X58" s="20"/>
    </row>
    <row r="59" spans="1:24" s="22" customFormat="1" ht="33.75" hidden="1" customHeight="1" x14ac:dyDescent="0.25">
      <c r="A59" s="249"/>
      <c r="B59" s="250"/>
      <c r="C59" s="254"/>
      <c r="D59" s="255"/>
      <c r="E59" s="256"/>
      <c r="F59" s="17" t="s">
        <v>340</v>
      </c>
      <c r="G59" s="184"/>
      <c r="H59" s="185"/>
      <c r="R59"/>
      <c r="S59" s="71"/>
      <c r="T59" s="55" t="s">
        <v>255</v>
      </c>
      <c r="U59" s="71"/>
      <c r="V59" s="71"/>
      <c r="W59" s="20"/>
      <c r="X59" s="20"/>
    </row>
    <row r="60" spans="1:24" s="22" customFormat="1" hidden="1" x14ac:dyDescent="0.25">
      <c r="A60" s="149"/>
      <c r="B60" s="150"/>
      <c r="C60" s="176" t="s">
        <v>362</v>
      </c>
      <c r="D60" s="177"/>
      <c r="E60" s="177"/>
      <c r="F60" s="177"/>
      <c r="G60" s="177"/>
      <c r="H60" s="178"/>
      <c r="R60"/>
      <c r="S60" s="71"/>
      <c r="T60" s="55"/>
      <c r="U60" s="71"/>
      <c r="V60" s="71"/>
      <c r="W60" s="20"/>
      <c r="X60" s="20"/>
    </row>
    <row r="61" spans="1:24" x14ac:dyDescent="0.25">
      <c r="A61" s="241" t="s">
        <v>42</v>
      </c>
      <c r="B61" s="242"/>
      <c r="C61" s="241" t="s">
        <v>101</v>
      </c>
      <c r="D61" s="243"/>
      <c r="E61" s="242"/>
      <c r="F61" s="44" t="s">
        <v>40</v>
      </c>
      <c r="G61" s="244" t="s">
        <v>28</v>
      </c>
      <c r="H61" s="245"/>
      <c r="R61"/>
      <c r="S61" s="71"/>
      <c r="T61" s="55" t="s">
        <v>257</v>
      </c>
      <c r="U61" s="71"/>
      <c r="V61" s="71"/>
    </row>
    <row r="62" spans="1:24" x14ac:dyDescent="0.25">
      <c r="A62" s="173" t="s">
        <v>44</v>
      </c>
      <c r="B62" s="173"/>
      <c r="C62" s="173"/>
      <c r="D62" s="173"/>
      <c r="E62" s="173"/>
      <c r="F62" s="173"/>
      <c r="G62" s="173"/>
      <c r="H62" s="173"/>
      <c r="S62" s="71"/>
      <c r="T62" s="55" t="s">
        <v>266</v>
      </c>
      <c r="U62" s="71"/>
      <c r="V62" s="71"/>
    </row>
    <row r="63" spans="1:24" x14ac:dyDescent="0.25">
      <c r="A63" s="179" t="s">
        <v>86</v>
      </c>
      <c r="B63" s="179"/>
      <c r="C63" s="179"/>
      <c r="D63" s="113">
        <f>E46</f>
        <v>22141.948</v>
      </c>
      <c r="E63" s="113"/>
      <c r="F63" s="113"/>
      <c r="G63" s="113"/>
      <c r="H63" s="113"/>
      <c r="R63"/>
    </row>
    <row r="64" spans="1:24" x14ac:dyDescent="0.25">
      <c r="A64" s="153" t="s">
        <v>45</v>
      </c>
      <c r="B64" s="113"/>
      <c r="C64" s="113"/>
      <c r="D64" s="113" t="s">
        <v>427</v>
      </c>
      <c r="E64" s="113"/>
      <c r="F64" s="113"/>
      <c r="G64" s="113"/>
      <c r="H64" s="113"/>
      <c r="I64" s="23"/>
      <c r="R64"/>
    </row>
    <row r="65" spans="1:19" ht="31.5" customHeight="1" x14ac:dyDescent="0.25">
      <c r="A65" s="202" t="s">
        <v>46</v>
      </c>
      <c r="B65" s="203"/>
      <c r="C65" s="204"/>
      <c r="D65" s="200" t="s">
        <v>392</v>
      </c>
      <c r="E65" s="201"/>
      <c r="F65" s="201"/>
      <c r="G65" s="201"/>
      <c r="H65" s="201"/>
      <c r="R65"/>
    </row>
    <row r="66" spans="1:19" ht="15.75" customHeight="1" x14ac:dyDescent="0.25">
      <c r="A66" s="202" t="s">
        <v>84</v>
      </c>
      <c r="B66" s="203"/>
      <c r="C66" s="203"/>
      <c r="D66" s="210" t="s">
        <v>391</v>
      </c>
      <c r="E66" s="211"/>
      <c r="F66" s="211"/>
      <c r="G66" s="211"/>
      <c r="H66" s="212"/>
      <c r="I66" s="95" t="s">
        <v>395</v>
      </c>
      <c r="R66"/>
    </row>
    <row r="67" spans="1:19" ht="15.75" customHeight="1" x14ac:dyDescent="0.25">
      <c r="A67" s="208"/>
      <c r="B67" s="209"/>
      <c r="C67" s="209"/>
      <c r="D67" s="213" t="s">
        <v>393</v>
      </c>
      <c r="E67" s="214"/>
      <c r="F67" s="214"/>
      <c r="G67" s="214"/>
      <c r="H67" s="215"/>
      <c r="I67" s="21" t="s">
        <v>397</v>
      </c>
      <c r="R67"/>
    </row>
    <row r="68" spans="1:19" ht="15.75" customHeight="1" x14ac:dyDescent="0.25">
      <c r="A68" s="151" t="s">
        <v>43</v>
      </c>
      <c r="B68" s="151"/>
      <c r="C68" s="151"/>
      <c r="D68" s="180" t="s">
        <v>394</v>
      </c>
      <c r="E68" s="180"/>
      <c r="F68" s="180"/>
      <c r="G68" s="180"/>
      <c r="H68" s="180"/>
      <c r="J68" s="24"/>
      <c r="K68" s="23"/>
      <c r="N68" s="23"/>
      <c r="S68"/>
    </row>
    <row r="69" spans="1:19" ht="15.75" customHeight="1" x14ac:dyDescent="0.25">
      <c r="A69" s="151" t="s">
        <v>82</v>
      </c>
      <c r="B69" s="151"/>
      <c r="C69" s="151"/>
      <c r="D69" s="197" t="str">
        <f>(IF(G61="NA","60 Years After Completion",IF(G61&lt;&gt;"NA",""&amp;60-ROUNDDOWN((E3-G61)/360,0)&amp;" Years"," ")))</f>
        <v>60 Years After Completion</v>
      </c>
      <c r="E69" s="197"/>
      <c r="F69" s="197"/>
      <c r="G69" s="197"/>
      <c r="H69" s="197"/>
      <c r="N69" s="23"/>
      <c r="S69"/>
    </row>
    <row r="70" spans="1:19" ht="15.75" customHeight="1" x14ac:dyDescent="0.25">
      <c r="A70" s="151" t="s">
        <v>83</v>
      </c>
      <c r="B70" s="151"/>
      <c r="C70" s="151"/>
      <c r="D70" s="179" t="s">
        <v>23</v>
      </c>
      <c r="E70" s="179"/>
      <c r="F70" s="179"/>
      <c r="G70" s="179"/>
      <c r="H70" s="179"/>
      <c r="J70" s="25"/>
      <c r="K70" s="25"/>
      <c r="S70"/>
    </row>
    <row r="71" spans="1:19" ht="49.5" customHeight="1" x14ac:dyDescent="0.25">
      <c r="A71" s="113" t="s">
        <v>396</v>
      </c>
      <c r="B71" s="113"/>
      <c r="C71" s="113"/>
      <c r="D71" s="153" t="s">
        <v>431</v>
      </c>
      <c r="E71" s="179"/>
      <c r="F71" s="179"/>
      <c r="G71" s="179"/>
      <c r="H71" s="179"/>
      <c r="I71" s="95" t="s">
        <v>395</v>
      </c>
      <c r="S71"/>
    </row>
    <row r="72" spans="1:19" x14ac:dyDescent="0.25">
      <c r="A72" s="179" t="s">
        <v>141</v>
      </c>
      <c r="B72" s="179"/>
      <c r="C72" s="179"/>
      <c r="D72" s="179" t="s">
        <v>28</v>
      </c>
      <c r="E72" s="179"/>
      <c r="F72" s="179"/>
      <c r="G72" s="179"/>
      <c r="H72" s="179"/>
      <c r="I72" s="26"/>
      <c r="J72" s="26"/>
      <c r="K72" s="26"/>
      <c r="L72" s="26"/>
      <c r="M72" s="26"/>
      <c r="N72" s="26"/>
    </row>
    <row r="73" spans="1:19" ht="15.75" customHeight="1" x14ac:dyDescent="0.25">
      <c r="A73" s="195" t="s">
        <v>81</v>
      </c>
      <c r="B73" s="195"/>
      <c r="C73" s="195"/>
      <c r="D73" s="200" t="str">
        <f ca="1">(IF(G79&gt;95%,"Nothing",IF(G79&gt;0%,"Cement, Aggregate, Steel, etc",IF(G79=0%,"Work not yet Started"))))</f>
        <v>Cement, Aggregate, Steel, etc</v>
      </c>
      <c r="E73" s="200"/>
      <c r="F73" s="200"/>
      <c r="G73" s="200"/>
      <c r="H73" s="200"/>
      <c r="J73" s="25"/>
      <c r="S73"/>
    </row>
    <row r="74" spans="1:19" ht="33.75" customHeight="1" thickBot="1" x14ac:dyDescent="0.3">
      <c r="A74" s="257" t="s">
        <v>114</v>
      </c>
      <c r="B74" s="257"/>
      <c r="C74" s="257"/>
      <c r="D74" s="200" t="str">
        <f ca="1">(IF(D73="Nothing","Yes",IF(D73="Cement, Aggregate, Steel, etc","Under Construction",IF(D73="Work not yet Started","Work not yet Started"))))</f>
        <v>Under Construction</v>
      </c>
      <c r="E74" s="200"/>
      <c r="F74" s="200" t="str">
        <f ca="1">(IF(D73="Nothing","Yes",IF(D73="Cement, Aggregate, Steel, etc","Under Construction",IF(D73="Work not yet Started","Work not yet Started"))))</f>
        <v>Under Construction</v>
      </c>
      <c r="G74" s="200"/>
      <c r="H74" s="200"/>
      <c r="S74"/>
    </row>
    <row r="75" spans="1:19" ht="15.75" customHeight="1" x14ac:dyDescent="0.25">
      <c r="A75" s="166" t="s">
        <v>133</v>
      </c>
      <c r="B75" s="167"/>
      <c r="C75" s="168" t="str">
        <f>D66</f>
        <v>Wing A = G + 1st to 19th Floor</v>
      </c>
      <c r="D75" s="169"/>
      <c r="E75" s="169"/>
      <c r="F75" s="169"/>
      <c r="G75" s="169"/>
      <c r="H75" s="170"/>
      <c r="I75" s="48" t="str">
        <f ca="1">IF(D88=100%,"All work Completed. Possession granted to the Building.",IF(D87=100%,"All work Completed, Waiting for OC",I76&amp;""&amp;I77&amp;""&amp;J76&amp;""&amp;J75&amp;" "&amp;J77))</f>
        <v>Excavation, Plinth Completed, RCC upto 4 Slab, Brickwork upto 1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4 Slab, Brickwork upto 1 Floor</v>
      </c>
      <c r="S75"/>
    </row>
    <row r="76" spans="1:19" x14ac:dyDescent="0.25">
      <c r="A76" s="15" t="s">
        <v>135</v>
      </c>
      <c r="B76" s="46">
        <f>IF(AND(ISNUMBER(SEARCH("1B",C75))),1,IF(AND(ISNUMBER(SEARCH("2B",C75))),2,IF(AND(ISNUMBER(SEARCH("3B",C75))),3,IF(AND(ISNUMBER(SEARCH("4B",C75))),4,IF(ISNUMBER(SEARCH("5B",C75)),5,0)))))</f>
        <v>0</v>
      </c>
      <c r="C76" s="46" t="s">
        <v>68</v>
      </c>
      <c r="D76" s="46">
        <v>1</v>
      </c>
      <c r="E76" s="46" t="s">
        <v>67</v>
      </c>
      <c r="F76" s="46">
        <v>0</v>
      </c>
      <c r="G76" s="47" t="s">
        <v>75</v>
      </c>
      <c r="H76" s="16">
        <f ca="1">--TRIM(RIGHT(SUBSTITUTE(LEFT(C75,_xlfn.AGGREGATE(16,6,FIND({0,1,2,3,4,5,6,7,8,9},C75,ROW(INDIRECT("1:"&amp;LEN(C75)))),1))," ",REPT(" ",LEN(C75))),LEN(C75)))</f>
        <v>19</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 customHeight="1" x14ac:dyDescent="0.25">
      <c r="A77" s="174" t="s">
        <v>85</v>
      </c>
      <c r="B77" s="175"/>
      <c r="C77" s="171" t="str">
        <f ca="1">I75</f>
        <v>Excavation, Plinth Completed, RCC upto 4 Slab, Brickwork upto 1 Floor Completed</v>
      </c>
      <c r="D77" s="171"/>
      <c r="E77" s="171"/>
      <c r="F77" s="171"/>
      <c r="G77" s="171"/>
      <c r="H77" s="172"/>
      <c r="I77" s="50" t="str">
        <f ca="1">IF(I76&lt;&gt;""," Completed","")</f>
        <v xml:space="preserve"> Completed</v>
      </c>
      <c r="J77" s="51" t="str">
        <f ca="1">IF(J75&lt;&gt;"","Completed","")</f>
        <v>Completed</v>
      </c>
      <c r="S77"/>
    </row>
    <row r="78" spans="1:19" ht="15.75" customHeight="1" x14ac:dyDescent="0.25">
      <c r="A78" s="125" t="s">
        <v>47</v>
      </c>
      <c r="B78" s="126"/>
      <c r="C78" s="42" t="s">
        <v>132</v>
      </c>
      <c r="D78" s="42" t="s">
        <v>78</v>
      </c>
      <c r="E78" s="126" t="s">
        <v>80</v>
      </c>
      <c r="F78" s="126"/>
      <c r="G78" s="126" t="s">
        <v>79</v>
      </c>
      <c r="H78" s="165"/>
      <c r="I78" s="13" t="s">
        <v>134</v>
      </c>
      <c r="J78" s="27">
        <f ca="1">H76*25%</f>
        <v>4.75</v>
      </c>
      <c r="S78"/>
    </row>
    <row r="79" spans="1:19" x14ac:dyDescent="0.25">
      <c r="A79" s="125" t="s">
        <v>121</v>
      </c>
      <c r="B79" s="126"/>
      <c r="C79" s="102">
        <f ca="1">J80</f>
        <v>19</v>
      </c>
      <c r="D79" s="18">
        <f ca="1">((100/H76)*C79)/100</f>
        <v>1</v>
      </c>
      <c r="E79" s="156">
        <f ca="1">(((C80/H76*10)+(40/(D76+F76+H76)*C81)+(7.5/(H76)*C82)+(7.5/(H76)*C83)+(10/H76*C84)+(10/H76*C85)+(5/H76*C86)+(5/H76*C87)+(5/H76*C88))/100)</f>
        <v>0.18394736842105264</v>
      </c>
      <c r="F79" s="157"/>
      <c r="G79" s="156">
        <f ca="1">((((C79/H76)*20)+((C80/H76)*25)+(30/(H76+F76+D76)*C81)+(5/H76*C82)+(5/H76*C83)+(5/H76*C84)+(5/H76*C85)+(0/H76*C86)+(0/H76*C87)+(5/H76*C88))/100)</f>
        <v>0.51263157894736844</v>
      </c>
      <c r="H79" s="162"/>
      <c r="I79" s="13" t="s">
        <v>96</v>
      </c>
      <c r="J79" s="28">
        <f ca="1">H76*50%</f>
        <v>9.5</v>
      </c>
    </row>
    <row r="80" spans="1:19" x14ac:dyDescent="0.25">
      <c r="A80" s="125" t="s">
        <v>48</v>
      </c>
      <c r="B80" s="126"/>
      <c r="C80" s="42">
        <f ca="1">J88</f>
        <v>19</v>
      </c>
      <c r="D80" s="18">
        <f ca="1">((100/H76)*C80)/100</f>
        <v>1</v>
      </c>
      <c r="E80" s="158"/>
      <c r="F80" s="159"/>
      <c r="G80" s="158"/>
      <c r="H80" s="163"/>
      <c r="I80" s="13" t="s">
        <v>97</v>
      </c>
      <c r="J80" s="28">
        <f ca="1">H76</f>
        <v>19</v>
      </c>
      <c r="L80" s="91"/>
      <c r="S80"/>
    </row>
    <row r="81" spans="1:19" ht="15.75" customHeight="1" x14ac:dyDescent="0.25">
      <c r="A81" s="125" t="s">
        <v>122</v>
      </c>
      <c r="B81" s="126"/>
      <c r="C81" s="42">
        <v>4</v>
      </c>
      <c r="D81" s="18">
        <f ca="1">((100/(D76+F76+H76))*C81)/100</f>
        <v>0.2</v>
      </c>
      <c r="E81" s="158"/>
      <c r="F81" s="159"/>
      <c r="G81" s="158"/>
      <c r="H81" s="163"/>
      <c r="I81" s="13" t="s">
        <v>98</v>
      </c>
      <c r="J81" s="29">
        <f ca="1">(IF(B76&gt;1,(H76/(B76+2)),H76/4))</f>
        <v>4.75</v>
      </c>
      <c r="S81"/>
    </row>
    <row r="82" spans="1:19" ht="15.75" customHeight="1" x14ac:dyDescent="0.25">
      <c r="A82" s="125" t="s">
        <v>129</v>
      </c>
      <c r="B82" s="126" t="s">
        <v>123</v>
      </c>
      <c r="C82" s="42">
        <v>1</v>
      </c>
      <c r="D82" s="18">
        <f ca="1">((100/H76)*C82)/100</f>
        <v>5.2631578947368425E-2</v>
      </c>
      <c r="E82" s="158"/>
      <c r="F82" s="159"/>
      <c r="G82" s="158"/>
      <c r="H82" s="163"/>
      <c r="I82" s="13" t="s">
        <v>99</v>
      </c>
      <c r="J82" s="29">
        <f ca="1">(IF(B76&gt;1,(H76/(B76+2)+J81),H76/4+J81))</f>
        <v>9.5</v>
      </c>
    </row>
    <row r="83" spans="1:19" ht="15.75" customHeight="1" x14ac:dyDescent="0.25">
      <c r="A83" s="125" t="s">
        <v>130</v>
      </c>
      <c r="B83" s="126" t="s">
        <v>123</v>
      </c>
      <c r="C83" s="42">
        <v>0</v>
      </c>
      <c r="D83" s="18">
        <f ca="1">((100/H76)*C83)/100</f>
        <v>0</v>
      </c>
      <c r="E83" s="158"/>
      <c r="F83" s="159"/>
      <c r="G83" s="158"/>
      <c r="H83" s="163"/>
      <c r="I83" s="13" t="s">
        <v>139</v>
      </c>
      <c r="J83" s="29">
        <f>(IF(B76&gt;1,(H76/(B76+2)+J82),0))</f>
        <v>0</v>
      </c>
    </row>
    <row r="84" spans="1:19" ht="15" customHeight="1" x14ac:dyDescent="0.25">
      <c r="A84" s="125" t="s">
        <v>128</v>
      </c>
      <c r="B84" s="126" t="s">
        <v>125</v>
      </c>
      <c r="C84" s="42">
        <v>0</v>
      </c>
      <c r="D84" s="18">
        <f ca="1">((100/(H76))*C84)/100</f>
        <v>0</v>
      </c>
      <c r="E84" s="158"/>
      <c r="F84" s="159"/>
      <c r="G84" s="158"/>
      <c r="H84" s="163"/>
      <c r="I84" s="13" t="s">
        <v>136</v>
      </c>
      <c r="J84" s="29">
        <f>(IF(B76&gt;2,(H76/(B76+2)+J83),0))</f>
        <v>0</v>
      </c>
    </row>
    <row r="85" spans="1:19" ht="15.75" customHeight="1" x14ac:dyDescent="0.25">
      <c r="A85" s="125" t="s">
        <v>124</v>
      </c>
      <c r="B85" s="126" t="s">
        <v>124</v>
      </c>
      <c r="C85" s="42">
        <v>0</v>
      </c>
      <c r="D85" s="18">
        <f ca="1">((100/H76)*C85)/100</f>
        <v>0</v>
      </c>
      <c r="E85" s="158"/>
      <c r="F85" s="159"/>
      <c r="G85" s="158"/>
      <c r="H85" s="163"/>
      <c r="I85" s="13" t="s">
        <v>137</v>
      </c>
      <c r="J85" s="30">
        <f>(IF(B76&gt;3,(H76/(B76+2)+J84),0))</f>
        <v>0</v>
      </c>
    </row>
    <row r="86" spans="1:19" ht="15.75" customHeight="1" x14ac:dyDescent="0.25">
      <c r="A86" s="125" t="s">
        <v>131</v>
      </c>
      <c r="B86" s="126"/>
      <c r="C86" s="42">
        <v>0</v>
      </c>
      <c r="D86" s="18">
        <f ca="1">((100/H76)*C86)/100</f>
        <v>0</v>
      </c>
      <c r="E86" s="158"/>
      <c r="F86" s="159"/>
      <c r="G86" s="158"/>
      <c r="H86" s="163"/>
      <c r="I86" s="13" t="s">
        <v>138</v>
      </c>
      <c r="J86" s="29">
        <f>(IF(B76&gt;4,(H76/(B76+2)+J85),0))</f>
        <v>0</v>
      </c>
    </row>
    <row r="87" spans="1:19" ht="15.75" customHeight="1" x14ac:dyDescent="0.25">
      <c r="A87" s="125" t="s">
        <v>126</v>
      </c>
      <c r="B87" s="126" t="s">
        <v>126</v>
      </c>
      <c r="C87" s="42">
        <v>0</v>
      </c>
      <c r="D87" s="18">
        <f ca="1">((100/(H76))*C87)/100</f>
        <v>0</v>
      </c>
      <c r="E87" s="158"/>
      <c r="F87" s="159"/>
      <c r="G87" s="158"/>
      <c r="H87" s="163"/>
      <c r="I87" s="13" t="s">
        <v>140</v>
      </c>
      <c r="J87" s="29">
        <f ca="1">(IF(B76=1,(H76/(B76+3)+J82),IF(B76=0,(H76/4+J82),IF(B76&gt;1,0))))</f>
        <v>14.25</v>
      </c>
    </row>
    <row r="88" spans="1:19" ht="16.5" thickBot="1" x14ac:dyDescent="0.3">
      <c r="A88" s="259" t="s">
        <v>127</v>
      </c>
      <c r="B88" s="260"/>
      <c r="C88" s="43">
        <v>0</v>
      </c>
      <c r="D88" s="19">
        <f ca="1">((100/(H76))*C88)/100</f>
        <v>0</v>
      </c>
      <c r="E88" s="160"/>
      <c r="F88" s="161"/>
      <c r="G88" s="160"/>
      <c r="H88" s="164"/>
      <c r="I88" s="14" t="s">
        <v>100</v>
      </c>
      <c r="J88" s="31">
        <f ca="1">(IF(B76&gt;1.5,(H76/(B76+2)+J82+MAX(0,J83-J82)+MAX(0,J84-J83)+MAX(0,J85-J84)+MAX(0,J86-J85)+MAX(0,J87-J86)),IF(B76=1,(H76/(B76+3)+J87),IF(B76=0,H76/4+J87))))</f>
        <v>19</v>
      </c>
    </row>
    <row r="89" spans="1:19" ht="15.75" customHeight="1" x14ac:dyDescent="0.25">
      <c r="A89" s="166" t="s">
        <v>133</v>
      </c>
      <c r="B89" s="167"/>
      <c r="C89" s="168" t="str">
        <f>D67</f>
        <v>Wing B = G + 1st to 19th Floor</v>
      </c>
      <c r="D89" s="169"/>
      <c r="E89" s="169"/>
      <c r="F89" s="169"/>
      <c r="G89" s="169"/>
      <c r="H89" s="170"/>
      <c r="I89" s="48" t="str">
        <f ca="1">IF(D102=100%,"All work Completed. Possession granted to the Building.",IF(D101=100%,"All work Completed, Waiting for OC",I90&amp;""&amp;I91&amp;""&amp;J90&amp;""&amp;J89&amp;" "&amp;J91))</f>
        <v>Excavation, Plinth Completed, RCC upto 4 Slab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4 Slab</v>
      </c>
      <c r="S89"/>
    </row>
    <row r="90" spans="1:19" x14ac:dyDescent="0.25">
      <c r="A90" s="15" t="s">
        <v>135</v>
      </c>
      <c r="B90" s="46">
        <f>IF(AND(ISNUMBER(SEARCH("1B",C89))),1,IF(AND(ISNUMBER(SEARCH("2B",C89))),2,IF(AND(ISNUMBER(SEARCH("3B",C89))),3,IF(AND(ISNUMBER(SEARCH("4B",C89))),4,IF(ISNUMBER(SEARCH("5B",C89)),5,0)))))</f>
        <v>0</v>
      </c>
      <c r="C90" s="46" t="s">
        <v>68</v>
      </c>
      <c r="D90" s="46">
        <v>1</v>
      </c>
      <c r="E90" s="46" t="s">
        <v>67</v>
      </c>
      <c r="F90" s="46">
        <v>0</v>
      </c>
      <c r="G90" s="47" t="s">
        <v>75</v>
      </c>
      <c r="H90" s="16">
        <f ca="1">--TRIM(RIGHT(SUBSTITUTE(LEFT(C89,_xlfn.AGGREGATE(16,6,FIND({0,1,2,3,4,5,6,7,8,9},C89,ROW(INDIRECT("1:"&amp;LEN(C89)))),1))," ",REPT(" ",LEN(C89))),LEN(C89)))</f>
        <v>19</v>
      </c>
      <c r="I90" s="50" t="str">
        <f ca="1">IF(D93=100%,"Excavation","")&amp;IF(D94=100%,", Plinth","")&amp;IF(D95=100%,", RCC Slab","")&amp;IF(D96=100%,", Brickwork","")&amp;IF(D97=100%,", Internal Plaster","")&amp;IF(D98=100%,", External Plaster","")&amp;IF(D99=100%,", Flooring","")&amp;IF(D100=100%,", Painting","")&amp;IF(D101=100%,", Building common Amenities","")</f>
        <v>Excavation, Plinth</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25">
      <c r="A91" s="174" t="s">
        <v>85</v>
      </c>
      <c r="B91" s="175"/>
      <c r="C91" s="171" t="str">
        <f ca="1">I89</f>
        <v>Excavation, Plinth Completed, RCC upto 4 Slab Completed</v>
      </c>
      <c r="D91" s="171"/>
      <c r="E91" s="171"/>
      <c r="F91" s="171"/>
      <c r="G91" s="171"/>
      <c r="H91" s="172"/>
      <c r="I91" s="50" t="str">
        <f ca="1">IF(I90&lt;&gt;""," Completed","")</f>
        <v xml:space="preserve"> Completed</v>
      </c>
      <c r="J91" s="51" t="str">
        <f ca="1">IF(J89&lt;&gt;"","Completed","")</f>
        <v>Completed</v>
      </c>
      <c r="S91"/>
    </row>
    <row r="92" spans="1:19" ht="15.75" customHeight="1" x14ac:dyDescent="0.25">
      <c r="A92" s="125" t="s">
        <v>47</v>
      </c>
      <c r="B92" s="126"/>
      <c r="C92" s="42" t="s">
        <v>132</v>
      </c>
      <c r="D92" s="42" t="s">
        <v>78</v>
      </c>
      <c r="E92" s="126" t="s">
        <v>80</v>
      </c>
      <c r="F92" s="126"/>
      <c r="G92" s="126" t="s">
        <v>79</v>
      </c>
      <c r="H92" s="165"/>
      <c r="I92" s="13" t="s">
        <v>134</v>
      </c>
      <c r="J92" s="27">
        <f ca="1">H90*25%</f>
        <v>4.75</v>
      </c>
      <c r="S92"/>
    </row>
    <row r="93" spans="1:19" x14ac:dyDescent="0.25">
      <c r="A93" s="144" t="s">
        <v>121</v>
      </c>
      <c r="B93" s="145"/>
      <c r="C93" s="102">
        <f ca="1">J94</f>
        <v>19</v>
      </c>
      <c r="D93" s="110">
        <f ca="1">((100/H90)*C93)/100</f>
        <v>1</v>
      </c>
      <c r="E93" s="114">
        <f ca="1">(((C94/H90*10)+(40/(D90+F90+H90)*C95)+(7.5/(H90)*C96)+(7.5/(H90)*C97)+(10/H90*C98)+(10/H90*C99)+(5/H90*C100)+(5/H90*C101)+(5/H90*C102))/100)</f>
        <v>0.18</v>
      </c>
      <c r="F93" s="127"/>
      <c r="G93" s="114">
        <f ca="1">((((C93/H90)*20)+((C94/H90)*25)+(30/(H90+F90+D90)*C95)+(5/H90*C96)+(5/H90*C97)+(5/H90*C98)+(5/H90*C99)+(0/H90*C100)+(0/H90*C101)+(5/H90*C102))/100)</f>
        <v>0.51</v>
      </c>
      <c r="H93" s="115"/>
      <c r="I93" s="13" t="s">
        <v>96</v>
      </c>
      <c r="J93" s="28">
        <f ca="1">H90*50%</f>
        <v>9.5</v>
      </c>
    </row>
    <row r="94" spans="1:19" x14ac:dyDescent="0.25">
      <c r="A94" s="144" t="s">
        <v>48</v>
      </c>
      <c r="B94" s="145"/>
      <c r="C94" s="102">
        <f ca="1">J102</f>
        <v>19</v>
      </c>
      <c r="D94" s="110">
        <f ca="1">((100/H90)*C94)/100</f>
        <v>1</v>
      </c>
      <c r="E94" s="116"/>
      <c r="F94" s="128"/>
      <c r="G94" s="116"/>
      <c r="H94" s="117"/>
      <c r="I94" s="13" t="s">
        <v>97</v>
      </c>
      <c r="J94" s="28">
        <f ca="1">H90</f>
        <v>19</v>
      </c>
      <c r="S94"/>
    </row>
    <row r="95" spans="1:19" ht="15.75" customHeight="1" x14ac:dyDescent="0.25">
      <c r="A95" s="144" t="s">
        <v>122</v>
      </c>
      <c r="B95" s="145"/>
      <c r="C95" s="102">
        <v>4</v>
      </c>
      <c r="D95" s="110">
        <f ca="1">((100/(D90+F90+H90))*C95)/100</f>
        <v>0.2</v>
      </c>
      <c r="E95" s="116"/>
      <c r="F95" s="128"/>
      <c r="G95" s="116"/>
      <c r="H95" s="117"/>
      <c r="I95" s="13" t="s">
        <v>98</v>
      </c>
      <c r="J95" s="29">
        <f ca="1">(IF(B90&gt;1,(H90/(B90+2)),H90/4))</f>
        <v>4.75</v>
      </c>
      <c r="S95"/>
    </row>
    <row r="96" spans="1:19" ht="15.75" customHeight="1" x14ac:dyDescent="0.25">
      <c r="A96" s="144" t="s">
        <v>129</v>
      </c>
      <c r="B96" s="145" t="s">
        <v>123</v>
      </c>
      <c r="C96" s="102">
        <v>0</v>
      </c>
      <c r="D96" s="110">
        <f ca="1">((100/H90)*C96)/100</f>
        <v>0</v>
      </c>
      <c r="E96" s="116"/>
      <c r="F96" s="128"/>
      <c r="G96" s="116"/>
      <c r="H96" s="117"/>
      <c r="I96" s="13" t="s">
        <v>99</v>
      </c>
      <c r="J96" s="29">
        <f ca="1">(IF(B90&gt;1,(H90/(B90+2)+J95),H90/4+J95))</f>
        <v>9.5</v>
      </c>
    </row>
    <row r="97" spans="1:22" ht="15.75" customHeight="1" x14ac:dyDescent="0.25">
      <c r="A97" s="144" t="s">
        <v>130</v>
      </c>
      <c r="B97" s="145" t="s">
        <v>123</v>
      </c>
      <c r="C97" s="102">
        <v>0</v>
      </c>
      <c r="D97" s="110">
        <f ca="1">((100/H90)*C97)/100</f>
        <v>0</v>
      </c>
      <c r="E97" s="116"/>
      <c r="F97" s="128"/>
      <c r="G97" s="116"/>
      <c r="H97" s="117"/>
      <c r="I97" s="13" t="s">
        <v>139</v>
      </c>
      <c r="J97" s="29">
        <f>(IF(B90&gt;1,(H90/(B90+2)+J96),0))</f>
        <v>0</v>
      </c>
    </row>
    <row r="98" spans="1:22" ht="15" customHeight="1" x14ac:dyDescent="0.25">
      <c r="A98" s="144" t="s">
        <v>128</v>
      </c>
      <c r="B98" s="145" t="s">
        <v>125</v>
      </c>
      <c r="C98" s="102">
        <v>0</v>
      </c>
      <c r="D98" s="110">
        <f ca="1">((100/(H90))*C98)/100</f>
        <v>0</v>
      </c>
      <c r="E98" s="116"/>
      <c r="F98" s="128"/>
      <c r="G98" s="116"/>
      <c r="H98" s="117"/>
      <c r="I98" s="13" t="s">
        <v>136</v>
      </c>
      <c r="J98" s="29">
        <f>(IF(B90&gt;2,(H90/(B90+2)+J97),0))</f>
        <v>0</v>
      </c>
    </row>
    <row r="99" spans="1:22" ht="15.75" customHeight="1" x14ac:dyDescent="0.25">
      <c r="A99" s="144" t="s">
        <v>124</v>
      </c>
      <c r="B99" s="145" t="s">
        <v>124</v>
      </c>
      <c r="C99" s="102">
        <v>0</v>
      </c>
      <c r="D99" s="110">
        <f ca="1">((100/H90)*C99)/100</f>
        <v>0</v>
      </c>
      <c r="E99" s="116"/>
      <c r="F99" s="128"/>
      <c r="G99" s="116"/>
      <c r="H99" s="117"/>
      <c r="I99" s="13" t="s">
        <v>137</v>
      </c>
      <c r="J99" s="30">
        <f>(IF(B90&gt;3,(H90/(B90+2)+J98),0))</f>
        <v>0</v>
      </c>
    </row>
    <row r="100" spans="1:22" ht="15.75" customHeight="1" x14ac:dyDescent="0.25">
      <c r="A100" s="144" t="s">
        <v>131</v>
      </c>
      <c r="B100" s="145"/>
      <c r="C100" s="102">
        <v>0</v>
      </c>
      <c r="D100" s="110">
        <f ca="1">((100/H90)*C100)/100</f>
        <v>0</v>
      </c>
      <c r="E100" s="116"/>
      <c r="F100" s="128"/>
      <c r="G100" s="116"/>
      <c r="H100" s="117"/>
      <c r="I100" s="13" t="s">
        <v>138</v>
      </c>
      <c r="J100" s="29">
        <f>(IF(B90&gt;4,(H90/(B90+2)+J99),0))</f>
        <v>0</v>
      </c>
    </row>
    <row r="101" spans="1:22" ht="15.75" customHeight="1" x14ac:dyDescent="0.25">
      <c r="A101" s="144" t="s">
        <v>126</v>
      </c>
      <c r="B101" s="145" t="s">
        <v>126</v>
      </c>
      <c r="C101" s="102">
        <v>0</v>
      </c>
      <c r="D101" s="110">
        <f ca="1">((100/(H90))*C101)/100</f>
        <v>0</v>
      </c>
      <c r="E101" s="116"/>
      <c r="F101" s="128"/>
      <c r="G101" s="116"/>
      <c r="H101" s="117"/>
      <c r="I101" s="13" t="s">
        <v>140</v>
      </c>
      <c r="J101" s="29">
        <f ca="1">(IF(B90=1,(H90/(B90+3)+J96),IF(B90=0,(H90/4+J96),IF(B90&gt;1,0))))</f>
        <v>14.25</v>
      </c>
    </row>
    <row r="102" spans="1:22" ht="16.5" thickBot="1" x14ac:dyDescent="0.3">
      <c r="A102" s="233" t="s">
        <v>127</v>
      </c>
      <c r="B102" s="234"/>
      <c r="C102" s="111">
        <v>0</v>
      </c>
      <c r="D102" s="112">
        <f ca="1">((100/(H90))*C102)/100</f>
        <v>0</v>
      </c>
      <c r="E102" s="118"/>
      <c r="F102" s="129"/>
      <c r="G102" s="118"/>
      <c r="H102" s="119"/>
      <c r="I102" s="14" t="s">
        <v>100</v>
      </c>
      <c r="J102" s="31">
        <f ca="1">(IF(B90&gt;1.5,(H90/(B90+2)+J96+MAX(0,J97-J96)+MAX(0,J98-J97)+MAX(0,J99-J98)+MAX(0,J100-J99)+MAX(0,J101-J100)),IF(B90=1,(H90/(B90+3)+J101),IF(B90=0,H90/4+J101))))</f>
        <v>19</v>
      </c>
    </row>
    <row r="103" spans="1:22" x14ac:dyDescent="0.25">
      <c r="A103" s="237" t="s">
        <v>149</v>
      </c>
      <c r="B103" s="237"/>
      <c r="C103" s="237"/>
      <c r="D103" s="237"/>
      <c r="E103" s="237"/>
      <c r="F103" s="246" t="s">
        <v>153</v>
      </c>
      <c r="G103" s="246"/>
      <c r="H103" s="246"/>
      <c r="R103" t="s">
        <v>241</v>
      </c>
      <c r="S103" t="s">
        <v>163</v>
      </c>
      <c r="T103" t="s">
        <v>169</v>
      </c>
      <c r="U103" t="s">
        <v>183</v>
      </c>
      <c r="V103" t="s">
        <v>178</v>
      </c>
    </row>
    <row r="104" spans="1:22" x14ac:dyDescent="0.25">
      <c r="A104" s="113" t="s">
        <v>151</v>
      </c>
      <c r="B104" s="113"/>
      <c r="C104" s="113"/>
      <c r="D104" s="113"/>
      <c r="E104" s="113"/>
      <c r="F104" s="146">
        <v>6200</v>
      </c>
      <c r="G104" s="146"/>
      <c r="H104" s="146"/>
      <c r="I104" s="103" t="s">
        <v>422</v>
      </c>
      <c r="R104"/>
      <c r="S104">
        <v>800000</v>
      </c>
      <c r="T104">
        <v>150000</v>
      </c>
      <c r="U104">
        <v>100000</v>
      </c>
      <c r="V104">
        <v>100000</v>
      </c>
    </row>
    <row r="105" spans="1:22" hidden="1" x14ac:dyDescent="0.25">
      <c r="A105" s="113" t="s">
        <v>150</v>
      </c>
      <c r="B105" s="113"/>
      <c r="C105" s="113"/>
      <c r="D105" s="113"/>
      <c r="E105" s="113"/>
      <c r="F105" s="146"/>
      <c r="G105" s="146"/>
      <c r="H105" s="146"/>
      <c r="R105"/>
      <c r="S105">
        <v>900000</v>
      </c>
      <c r="T105">
        <v>200000</v>
      </c>
      <c r="U105">
        <v>150000</v>
      </c>
      <c r="V105">
        <v>150000</v>
      </c>
    </row>
    <row r="106" spans="1:22" hidden="1" x14ac:dyDescent="0.25">
      <c r="A106" s="113" t="s">
        <v>152</v>
      </c>
      <c r="B106" s="113"/>
      <c r="C106" s="113"/>
      <c r="D106" s="113"/>
      <c r="E106" s="113"/>
      <c r="F106" s="146"/>
      <c r="G106" s="146"/>
      <c r="H106" s="146"/>
      <c r="R106"/>
      <c r="S106">
        <v>1000000</v>
      </c>
      <c r="T106">
        <v>250000</v>
      </c>
      <c r="U106">
        <v>200000</v>
      </c>
      <c r="V106">
        <v>200000</v>
      </c>
    </row>
    <row r="107" spans="1:22" s="32" customFormat="1" hidden="1" x14ac:dyDescent="0.25">
      <c r="A107" s="113" t="s">
        <v>165</v>
      </c>
      <c r="B107" s="113"/>
      <c r="C107" s="113"/>
      <c r="D107" s="113"/>
      <c r="E107" s="113"/>
      <c r="F107" s="146"/>
      <c r="G107" s="146"/>
      <c r="H107" s="146"/>
      <c r="R107"/>
      <c r="S107">
        <v>1100000</v>
      </c>
      <c r="T107">
        <v>300000</v>
      </c>
      <c r="U107">
        <v>250000</v>
      </c>
      <c r="V107" s="22">
        <v>250000</v>
      </c>
    </row>
    <row r="108" spans="1:22" s="32" customFormat="1" hidden="1" x14ac:dyDescent="0.25">
      <c r="A108" s="113" t="s">
        <v>90</v>
      </c>
      <c r="B108" s="113"/>
      <c r="C108" s="113"/>
      <c r="D108" s="113"/>
      <c r="E108" s="113"/>
      <c r="F108" s="146"/>
      <c r="G108" s="146"/>
      <c r="H108" s="146"/>
      <c r="R108"/>
      <c r="S108">
        <v>1200000</v>
      </c>
      <c r="T108">
        <v>350000</v>
      </c>
      <c r="U108">
        <v>300000</v>
      </c>
      <c r="V108">
        <v>300000</v>
      </c>
    </row>
    <row r="109" spans="1:22" s="32" customFormat="1" hidden="1" x14ac:dyDescent="0.25">
      <c r="A109" s="113" t="s">
        <v>91</v>
      </c>
      <c r="B109" s="113"/>
      <c r="C109" s="113"/>
      <c r="D109" s="113"/>
      <c r="E109" s="113"/>
      <c r="F109" s="146"/>
      <c r="G109" s="146"/>
      <c r="H109" s="146"/>
      <c r="R109"/>
      <c r="S109">
        <v>1300000</v>
      </c>
      <c r="T109">
        <v>400000</v>
      </c>
      <c r="U109">
        <v>350000</v>
      </c>
      <c r="V109" s="22">
        <v>400000</v>
      </c>
    </row>
    <row r="110" spans="1:22" s="32" customFormat="1" hidden="1" x14ac:dyDescent="0.25">
      <c r="A110" s="113" t="s">
        <v>92</v>
      </c>
      <c r="B110" s="113"/>
      <c r="C110" s="113"/>
      <c r="D110" s="113"/>
      <c r="E110" s="113"/>
      <c r="F110" s="146"/>
      <c r="G110" s="146"/>
      <c r="H110" s="146"/>
      <c r="R110"/>
      <c r="S110">
        <v>1400000</v>
      </c>
      <c r="T110">
        <v>500000</v>
      </c>
      <c r="U110">
        <v>400000</v>
      </c>
      <c r="V110"/>
    </row>
    <row r="111" spans="1:22" s="32" customFormat="1" hidden="1" x14ac:dyDescent="0.25">
      <c r="A111" s="113" t="s">
        <v>93</v>
      </c>
      <c r="B111" s="113"/>
      <c r="C111" s="113"/>
      <c r="D111" s="113"/>
      <c r="E111" s="113"/>
      <c r="F111" s="146"/>
      <c r="G111" s="146"/>
      <c r="H111" s="146"/>
      <c r="R111"/>
      <c r="S111">
        <v>1500000</v>
      </c>
      <c r="T111">
        <v>600000</v>
      </c>
      <c r="U111">
        <v>500000</v>
      </c>
      <c r="V111" s="22"/>
    </row>
    <row r="112" spans="1:22" s="32" customFormat="1" hidden="1" x14ac:dyDescent="0.25">
      <c r="A112" s="113" t="s">
        <v>94</v>
      </c>
      <c r="B112" s="113"/>
      <c r="C112" s="113"/>
      <c r="D112" s="113"/>
      <c r="E112" s="113"/>
      <c r="F112" s="146"/>
      <c r="G112" s="146"/>
      <c r="H112" s="146"/>
      <c r="R112"/>
      <c r="S112">
        <v>1600000</v>
      </c>
      <c r="T112">
        <v>700000</v>
      </c>
      <c r="U112">
        <v>600000</v>
      </c>
      <c r="V112"/>
    </row>
    <row r="113" spans="1:22" s="32" customFormat="1" hidden="1" x14ac:dyDescent="0.25">
      <c r="A113" s="113" t="s">
        <v>95</v>
      </c>
      <c r="B113" s="113"/>
      <c r="C113" s="113"/>
      <c r="D113" s="113"/>
      <c r="E113" s="113"/>
      <c r="F113" s="146"/>
      <c r="G113" s="146"/>
      <c r="H113" s="146"/>
      <c r="R113"/>
      <c r="S113">
        <v>1700000</v>
      </c>
      <c r="T113">
        <v>800000</v>
      </c>
      <c r="U113"/>
      <c r="V113" s="22"/>
    </row>
    <row r="114" spans="1:22" x14ac:dyDescent="0.25">
      <c r="A114" s="113" t="s">
        <v>49</v>
      </c>
      <c r="B114" s="113"/>
      <c r="C114" s="113"/>
      <c r="D114" s="113"/>
      <c r="E114" s="113"/>
      <c r="F114" s="146">
        <v>350000</v>
      </c>
      <c r="G114" s="146"/>
      <c r="H114" s="146"/>
      <c r="R114"/>
      <c r="S114">
        <v>1800000</v>
      </c>
      <c r="T114">
        <v>900000</v>
      </c>
      <c r="U114"/>
    </row>
    <row r="115" spans="1:22" s="33" customFormat="1" x14ac:dyDescent="0.25">
      <c r="A115" s="175" t="s">
        <v>50</v>
      </c>
      <c r="B115" s="175"/>
      <c r="C115" s="175"/>
      <c r="D115" s="175"/>
      <c r="E115" s="175"/>
      <c r="F115" s="146">
        <f>F104*0.8</f>
        <v>4960</v>
      </c>
      <c r="G115" s="146"/>
      <c r="H115" s="146"/>
      <c r="R115" s="20"/>
      <c r="S115" s="20"/>
      <c r="T115">
        <v>1000000</v>
      </c>
      <c r="U115"/>
      <c r="V115" s="20"/>
    </row>
    <row r="116" spans="1:22" s="34" customFormat="1" x14ac:dyDescent="0.25">
      <c r="A116" s="133" t="s">
        <v>66</v>
      </c>
      <c r="B116" s="133"/>
      <c r="C116" s="133"/>
      <c r="D116" s="133"/>
      <c r="E116" s="133"/>
      <c r="F116" s="133"/>
      <c r="G116" s="133"/>
      <c r="H116" s="133"/>
      <c r="T116"/>
    </row>
    <row r="117" spans="1:22" s="34" customFormat="1" ht="15.75" customHeight="1" x14ac:dyDescent="0.25">
      <c r="A117" s="136" t="s">
        <v>51</v>
      </c>
      <c r="B117" s="136"/>
      <c r="C117" s="236" t="s">
        <v>73</v>
      </c>
      <c r="D117" s="236"/>
      <c r="E117" s="135" t="s">
        <v>52</v>
      </c>
      <c r="F117" s="135"/>
      <c r="G117" s="136" t="s">
        <v>53</v>
      </c>
      <c r="H117" s="136"/>
      <c r="T117"/>
    </row>
    <row r="118" spans="1:22" s="34" customFormat="1" x14ac:dyDescent="0.25">
      <c r="A118" s="138" t="s">
        <v>399</v>
      </c>
      <c r="B118" s="138"/>
      <c r="C118" s="137">
        <f>COUNT(D128:D137)*15+COUNT(D139:D144,D146:D148)*2+COUNT(D150:D159)+COUNT(D161:D170)</f>
        <v>188</v>
      </c>
      <c r="D118" s="137"/>
      <c r="E118" s="137">
        <f t="shared" ref="E118" si="0">SUM(F128:F137)*15+SUM(F139:F144,F146:F148)*2+SUM(F150:F159)+SUM(F161:F170)</f>
        <v>85470.790672799994</v>
      </c>
      <c r="F118" s="137"/>
      <c r="G118" s="137">
        <f t="shared" ref="G118" si="1">SUM(H128:H137)*15+SUM(H139:H144,H146:H148)*2+SUM(H150:H159)+SUM(H161:H170)</f>
        <v>128206.18600920001</v>
      </c>
      <c r="H118" s="137"/>
      <c r="I118" s="101" t="s">
        <v>418</v>
      </c>
      <c r="T118"/>
    </row>
    <row r="119" spans="1:22" s="34" customFormat="1" x14ac:dyDescent="0.25">
      <c r="A119" s="138" t="s">
        <v>417</v>
      </c>
      <c r="B119" s="138"/>
      <c r="C119" s="137">
        <f>COUNT(D174:D183)*15+COUNT(D185:D194)*2+COUNT(D196:D202,D204:D205)+COUNT(D209)</f>
        <v>180</v>
      </c>
      <c r="D119" s="137"/>
      <c r="E119" s="137">
        <f t="shared" ref="E119" si="2">SUM(F174:F183)*15+SUM(F185:F194)*2+SUM(F196:F202,F204:F205)+SUM(F209)</f>
        <v>79754.940907199983</v>
      </c>
      <c r="F119" s="137"/>
      <c r="G119" s="137">
        <f t="shared" ref="G119" si="3">SUM(H174:H183)*15+SUM(H185:H194)*2+SUM(H196:H202,H204:H205)+SUM(H209)</f>
        <v>119632.4113608</v>
      </c>
      <c r="H119" s="137"/>
      <c r="I119" s="101" t="s">
        <v>418</v>
      </c>
      <c r="T119"/>
    </row>
    <row r="120" spans="1:22" s="34" customFormat="1" x14ac:dyDescent="0.25">
      <c r="A120" s="133" t="s">
        <v>143</v>
      </c>
      <c r="B120" s="133"/>
      <c r="C120" s="235">
        <f t="shared" ref="C120:G120" si="4">SUM(C118:D119)</f>
        <v>368</v>
      </c>
      <c r="D120" s="236"/>
      <c r="E120" s="134">
        <f t="shared" si="4"/>
        <v>165225.73157999996</v>
      </c>
      <c r="F120" s="135"/>
      <c r="G120" s="136">
        <f t="shared" si="4"/>
        <v>247838.59737000003</v>
      </c>
      <c r="H120" s="136"/>
      <c r="T120"/>
    </row>
    <row r="121" spans="1:22" s="33" customFormat="1" x14ac:dyDescent="0.25">
      <c r="A121" s="261" t="s">
        <v>342</v>
      </c>
      <c r="B121" s="261"/>
      <c r="C121" s="261"/>
      <c r="D121" s="261"/>
      <c r="E121" s="261"/>
      <c r="F121" s="261"/>
      <c r="G121" s="261"/>
      <c r="H121" s="261"/>
      <c r="T121" s="34"/>
    </row>
    <row r="122" spans="1:22" x14ac:dyDescent="0.25">
      <c r="A122" s="240" t="s">
        <v>415</v>
      </c>
      <c r="B122" s="240"/>
      <c r="C122" s="240"/>
      <c r="D122" s="240"/>
      <c r="E122" s="240"/>
      <c r="F122" s="240"/>
      <c r="G122" s="240"/>
      <c r="H122" s="240"/>
      <c r="T122" s="34"/>
    </row>
    <row r="123" spans="1:22" ht="47.25" customHeight="1" x14ac:dyDescent="0.25">
      <c r="A123" s="247" t="s">
        <v>416</v>
      </c>
      <c r="B123" s="123" t="s">
        <v>167</v>
      </c>
      <c r="C123" s="123" t="s">
        <v>54</v>
      </c>
      <c r="D123" s="123" t="s">
        <v>363</v>
      </c>
      <c r="E123" s="123" t="s">
        <v>430</v>
      </c>
      <c r="F123" s="123" t="s">
        <v>55</v>
      </c>
      <c r="G123" s="154" t="s">
        <v>56</v>
      </c>
      <c r="H123" s="99" t="s">
        <v>142</v>
      </c>
      <c r="I123" s="98">
        <f>10.764</f>
        <v>10.763999999999999</v>
      </c>
      <c r="T123" s="36"/>
    </row>
    <row r="124" spans="1:22" s="36" customFormat="1" x14ac:dyDescent="0.25">
      <c r="A124" s="248"/>
      <c r="B124" s="124"/>
      <c r="C124" s="124"/>
      <c r="D124" s="124"/>
      <c r="E124" s="124"/>
      <c r="F124" s="124"/>
      <c r="G124" s="155"/>
      <c r="H124" s="100">
        <v>0.5</v>
      </c>
      <c r="I124" s="35"/>
    </row>
    <row r="125" spans="1:22" s="36" customFormat="1" x14ac:dyDescent="0.25">
      <c r="A125" s="229" t="s">
        <v>399</v>
      </c>
      <c r="B125" s="230"/>
      <c r="C125" s="230"/>
      <c r="D125" s="230"/>
      <c r="E125" s="230"/>
      <c r="F125" s="230"/>
      <c r="G125" s="230"/>
      <c r="H125" s="231"/>
      <c r="J125" s="35"/>
    </row>
    <row r="126" spans="1:22" s="94" customFormat="1" x14ac:dyDescent="0.25">
      <c r="A126" s="229" t="s">
        <v>398</v>
      </c>
      <c r="B126" s="230"/>
      <c r="C126" s="230"/>
      <c r="D126" s="230"/>
      <c r="E126" s="230"/>
      <c r="F126" s="230"/>
      <c r="G126" s="230"/>
      <c r="H126" s="231"/>
      <c r="J126" s="35"/>
    </row>
    <row r="127" spans="1:22" s="94" customFormat="1" x14ac:dyDescent="0.25">
      <c r="A127" s="229" t="s">
        <v>400</v>
      </c>
      <c r="B127" s="230"/>
      <c r="C127" s="230"/>
      <c r="D127" s="230"/>
      <c r="E127" s="230"/>
      <c r="F127" s="230"/>
      <c r="G127" s="230"/>
      <c r="H127" s="231"/>
      <c r="I127" s="94">
        <f>7+4+4</f>
        <v>15</v>
      </c>
      <c r="J127" s="35"/>
      <c r="L127" s="105">
        <v>6200</v>
      </c>
      <c r="M127" s="105"/>
    </row>
    <row r="128" spans="1:22" s="36" customFormat="1" ht="15.75" customHeight="1" x14ac:dyDescent="0.25">
      <c r="A128" s="142">
        <v>1</v>
      </c>
      <c r="B128" s="143"/>
      <c r="C128" s="41" t="s">
        <v>402</v>
      </c>
      <c r="D128" s="98">
        <f>(48.146)*(10.764)</f>
        <v>518.24354399999993</v>
      </c>
      <c r="E128" s="98">
        <f>(2.9*0.8+2.9*0.9)*(10.764)</f>
        <v>53.066519999999997</v>
      </c>
      <c r="F128" s="41">
        <f t="shared" ref="F128:F137" si="5">D128+E128</f>
        <v>571.3100639999999</v>
      </c>
      <c r="G128" s="41">
        <v>0</v>
      </c>
      <c r="H128" s="41">
        <f t="shared" ref="H128:H137" si="6">F128*(($H$124)+1)+(IF(G128&lt;101,G128,IF(G128&lt;201,G128/2,IF(G128&lt;=301,G128/3,G128/4))))</f>
        <v>856.9650959999999</v>
      </c>
      <c r="I128" s="97">
        <f>2.9*4.81+2.05*2.6+3.6*2.6+3.4*2.7+2*(2*1.9)+3.05*0.9</f>
        <v>48.163999999999994</v>
      </c>
      <c r="L128" s="108">
        <f>H128*$L$127</f>
        <v>5313183.5951999994</v>
      </c>
      <c r="M128" s="105"/>
      <c r="N128" s="35"/>
    </row>
    <row r="129" spans="1:20" s="36" customFormat="1" ht="15.75" customHeight="1" x14ac:dyDescent="0.25">
      <c r="A129" s="142">
        <f>A128+1</f>
        <v>2</v>
      </c>
      <c r="B129" s="143"/>
      <c r="C129" s="93" t="s">
        <v>402</v>
      </c>
      <c r="D129" s="98">
        <f>(44.204)*(10.764)</f>
        <v>475.81185599999998</v>
      </c>
      <c r="E129" s="98">
        <f>(2.05*0.9+2.17*1.07)*(10.764)</f>
        <v>44.8525116</v>
      </c>
      <c r="F129" s="41">
        <f t="shared" si="5"/>
        <v>520.66436759999999</v>
      </c>
      <c r="G129" s="41">
        <v>0</v>
      </c>
      <c r="H129" s="41">
        <f t="shared" si="6"/>
        <v>780.99655140000004</v>
      </c>
      <c r="I129" s="35"/>
      <c r="L129" s="108">
        <f t="shared" ref="L129:L136" si="7">H129*$L$127</f>
        <v>4842178.6186800003</v>
      </c>
      <c r="M129" s="105"/>
      <c r="N129" s="35"/>
    </row>
    <row r="130" spans="1:20" s="36" customFormat="1" ht="15.75" customHeight="1" x14ac:dyDescent="0.25">
      <c r="A130" s="142">
        <f t="shared" ref="A130:A135" si="8">A129+1</f>
        <v>3</v>
      </c>
      <c r="B130" s="143"/>
      <c r="C130" s="93" t="s">
        <v>402</v>
      </c>
      <c r="D130" s="98">
        <f>(44.204)*(10.764)</f>
        <v>475.81185599999998</v>
      </c>
      <c r="E130" s="98">
        <f>(2.05*0.9+2.17*1.07)*(10.764)</f>
        <v>44.8525116</v>
      </c>
      <c r="F130" s="41">
        <f t="shared" si="5"/>
        <v>520.66436759999999</v>
      </c>
      <c r="G130" s="41">
        <v>0</v>
      </c>
      <c r="H130" s="41">
        <f t="shared" si="6"/>
        <v>780.99655140000004</v>
      </c>
      <c r="I130" s="35"/>
      <c r="L130" s="108">
        <f t="shared" si="7"/>
        <v>4842178.6186800003</v>
      </c>
      <c r="M130" s="105"/>
      <c r="N130" s="35"/>
    </row>
    <row r="131" spans="1:20" s="36" customFormat="1" ht="15.75" customHeight="1" x14ac:dyDescent="0.25">
      <c r="A131" s="142">
        <f t="shared" si="8"/>
        <v>4</v>
      </c>
      <c r="B131" s="143"/>
      <c r="C131" s="41" t="s">
        <v>403</v>
      </c>
      <c r="D131" s="98">
        <f>(34.193)*(10.764)</f>
        <v>368.05345199999994</v>
      </c>
      <c r="E131" s="98">
        <f t="shared" ref="E131:E137" si="9">(2.75*1)*(10.764)</f>
        <v>29.600999999999999</v>
      </c>
      <c r="F131" s="41">
        <f t="shared" si="5"/>
        <v>397.65445199999994</v>
      </c>
      <c r="G131" s="41">
        <v>0</v>
      </c>
      <c r="H131" s="41">
        <f t="shared" si="6"/>
        <v>596.48167799999987</v>
      </c>
      <c r="I131" s="96">
        <f>2.75*4.35+2.05*2.27+2.75*3.3+1.22*(1.97+1.9)+2.3*0.9</f>
        <v>32.482399999999998</v>
      </c>
      <c r="J131" s="36">
        <f>2.9</f>
        <v>2.9</v>
      </c>
      <c r="L131" s="109">
        <f t="shared" si="7"/>
        <v>3698186.4035999994</v>
      </c>
      <c r="M131" s="105"/>
      <c r="N131" s="35"/>
      <c r="T131" s="20"/>
    </row>
    <row r="132" spans="1:20" s="94" customFormat="1" ht="15.75" customHeight="1" x14ac:dyDescent="0.25">
      <c r="A132" s="142">
        <f t="shared" si="8"/>
        <v>5</v>
      </c>
      <c r="B132" s="143"/>
      <c r="C132" s="93" t="s">
        <v>403</v>
      </c>
      <c r="D132" s="98">
        <f>(34.193)*(10.764)</f>
        <v>368.05345199999994</v>
      </c>
      <c r="E132" s="98">
        <f t="shared" si="9"/>
        <v>29.600999999999999</v>
      </c>
      <c r="F132" s="93">
        <f t="shared" si="5"/>
        <v>397.65445199999994</v>
      </c>
      <c r="G132" s="93">
        <v>0</v>
      </c>
      <c r="H132" s="93">
        <f t="shared" si="6"/>
        <v>596.48167799999987</v>
      </c>
      <c r="I132" s="35"/>
      <c r="L132" s="109">
        <f t="shared" si="7"/>
        <v>3698186.4035999994</v>
      </c>
      <c r="M132" s="105"/>
      <c r="N132" s="35"/>
    </row>
    <row r="133" spans="1:20" s="94" customFormat="1" ht="15.75" customHeight="1" x14ac:dyDescent="0.25">
      <c r="A133" s="142">
        <f t="shared" si="8"/>
        <v>6</v>
      </c>
      <c r="B133" s="143"/>
      <c r="C133" s="93" t="s">
        <v>403</v>
      </c>
      <c r="D133" s="98">
        <f>(34.193)*(10.764)</f>
        <v>368.05345199999994</v>
      </c>
      <c r="E133" s="98">
        <f t="shared" si="9"/>
        <v>29.600999999999999</v>
      </c>
      <c r="F133" s="93">
        <f t="shared" si="5"/>
        <v>397.65445199999994</v>
      </c>
      <c r="G133" s="93">
        <v>0</v>
      </c>
      <c r="H133" s="93">
        <f t="shared" si="6"/>
        <v>596.48167799999987</v>
      </c>
      <c r="I133" s="35" t="s">
        <v>433</v>
      </c>
      <c r="J133" s="107">
        <f>(4100000-(4100000*0.08))/H133</f>
        <v>6323.7483046377847</v>
      </c>
      <c r="L133" s="108">
        <f t="shared" si="7"/>
        <v>3698186.4035999994</v>
      </c>
      <c r="M133" s="105"/>
      <c r="N133" s="35"/>
    </row>
    <row r="134" spans="1:20" s="94" customFormat="1" ht="15.75" customHeight="1" x14ac:dyDescent="0.25">
      <c r="A134" s="142">
        <f t="shared" si="8"/>
        <v>7</v>
      </c>
      <c r="B134" s="143"/>
      <c r="C134" s="93" t="s">
        <v>402</v>
      </c>
      <c r="D134" s="98">
        <f>(49.048)*(10.764)</f>
        <v>527.95267200000001</v>
      </c>
      <c r="E134" s="98">
        <f t="shared" si="9"/>
        <v>29.600999999999999</v>
      </c>
      <c r="F134" s="93">
        <f t="shared" si="5"/>
        <v>557.55367200000001</v>
      </c>
      <c r="G134" s="93">
        <v>0</v>
      </c>
      <c r="H134" s="93">
        <f t="shared" si="6"/>
        <v>836.33050800000001</v>
      </c>
      <c r="I134" s="106">
        <v>99</v>
      </c>
      <c r="J134" s="94">
        <f>3699000/H133</f>
        <v>6201.3639922733737</v>
      </c>
      <c r="L134" s="108">
        <f t="shared" si="7"/>
        <v>5185249.1496000001</v>
      </c>
      <c r="M134" s="105"/>
      <c r="N134" s="35"/>
    </row>
    <row r="135" spans="1:20" s="94" customFormat="1" ht="15.75" customHeight="1" x14ac:dyDescent="0.25">
      <c r="A135" s="142">
        <f t="shared" si="8"/>
        <v>8</v>
      </c>
      <c r="B135" s="143"/>
      <c r="C135" s="93" t="s">
        <v>403</v>
      </c>
      <c r="D135" s="98">
        <f>(34.19)*(10.764)</f>
        <v>368.02115999999995</v>
      </c>
      <c r="E135" s="98">
        <f t="shared" si="9"/>
        <v>29.600999999999999</v>
      </c>
      <c r="F135" s="93">
        <f t="shared" si="5"/>
        <v>397.62215999999995</v>
      </c>
      <c r="G135" s="93">
        <v>0</v>
      </c>
      <c r="H135" s="93">
        <f t="shared" si="6"/>
        <v>596.43323999999996</v>
      </c>
      <c r="I135" s="106" t="s">
        <v>432</v>
      </c>
      <c r="J135" s="104">
        <f>3726000/H136</f>
        <v>6246.6294228739089</v>
      </c>
      <c r="L135" s="108">
        <f t="shared" si="7"/>
        <v>3697886.0879999995</v>
      </c>
      <c r="M135" s="105"/>
      <c r="N135" s="35"/>
      <c r="T135" s="20"/>
    </row>
    <row r="136" spans="1:20" s="94" customFormat="1" ht="15.75" customHeight="1" x14ac:dyDescent="0.25">
      <c r="A136" s="142">
        <f t="shared" ref="A136:A137" si="10">A135+1</f>
        <v>9</v>
      </c>
      <c r="B136" s="143"/>
      <c r="C136" s="93" t="s">
        <v>403</v>
      </c>
      <c r="D136" s="98">
        <f>(34.193)*(10.764)</f>
        <v>368.05345199999994</v>
      </c>
      <c r="E136" s="98">
        <f t="shared" si="9"/>
        <v>29.600999999999999</v>
      </c>
      <c r="F136" s="93">
        <f t="shared" si="5"/>
        <v>397.65445199999994</v>
      </c>
      <c r="G136" s="93">
        <v>0</v>
      </c>
      <c r="H136" s="93">
        <f t="shared" si="6"/>
        <v>596.48167799999987</v>
      </c>
      <c r="I136" s="35"/>
      <c r="L136" s="108">
        <f t="shared" si="7"/>
        <v>3698186.4035999994</v>
      </c>
      <c r="M136" s="105"/>
      <c r="N136" s="35"/>
    </row>
    <row r="137" spans="1:20" s="94" customFormat="1" ht="15.75" customHeight="1" x14ac:dyDescent="0.25">
      <c r="A137" s="142">
        <f t="shared" si="10"/>
        <v>10</v>
      </c>
      <c r="B137" s="143"/>
      <c r="C137" s="93" t="s">
        <v>403</v>
      </c>
      <c r="D137" s="98">
        <f>(34.292)*(10.764)</f>
        <v>369.11908799999998</v>
      </c>
      <c r="E137" s="98">
        <f t="shared" si="9"/>
        <v>29.600999999999999</v>
      </c>
      <c r="F137" s="93">
        <f t="shared" si="5"/>
        <v>398.72008799999998</v>
      </c>
      <c r="G137" s="93">
        <v>0</v>
      </c>
      <c r="H137" s="93">
        <f t="shared" si="6"/>
        <v>598.08013199999994</v>
      </c>
      <c r="I137" s="35"/>
      <c r="L137" s="105"/>
      <c r="M137" s="105"/>
      <c r="N137" s="35"/>
      <c r="T137" s="20"/>
    </row>
    <row r="138" spans="1:20" s="94" customFormat="1" x14ac:dyDescent="0.25">
      <c r="A138" s="229" t="s">
        <v>404</v>
      </c>
      <c r="B138" s="230"/>
      <c r="C138" s="230"/>
      <c r="D138" s="230"/>
      <c r="E138" s="230"/>
      <c r="F138" s="230"/>
      <c r="G138" s="230"/>
      <c r="H138" s="231"/>
      <c r="I138" s="94">
        <f>2</f>
        <v>2</v>
      </c>
      <c r="J138" s="35"/>
    </row>
    <row r="139" spans="1:20" s="94" customFormat="1" ht="15.75" customHeight="1" x14ac:dyDescent="0.25">
      <c r="A139" s="142">
        <v>1</v>
      </c>
      <c r="B139" s="143"/>
      <c r="C139" s="93" t="s">
        <v>402</v>
      </c>
      <c r="D139" s="98">
        <f>(48.146)*(10.764)</f>
        <v>518.24354399999993</v>
      </c>
      <c r="E139" s="98">
        <f>(2.9*0.8+2.9*0.9)*(10.764)</f>
        <v>53.066519999999997</v>
      </c>
      <c r="F139" s="93">
        <f t="shared" ref="F139:F144" si="11">D139+E139</f>
        <v>571.3100639999999</v>
      </c>
      <c r="G139" s="93">
        <v>0</v>
      </c>
      <c r="H139" s="93">
        <f t="shared" ref="H139:H144" si="12">F139*(($H$124)+1)+(IF(G139&lt;101,G139,IF(G139&lt;201,G139/2,IF(G139&lt;=301,G139/3,G139/4))))</f>
        <v>856.9650959999999</v>
      </c>
      <c r="I139" s="97"/>
      <c r="L139" s="262"/>
      <c r="M139" s="262"/>
      <c r="N139" s="35"/>
    </row>
    <row r="140" spans="1:20" s="94" customFormat="1" ht="15.75" customHeight="1" x14ac:dyDescent="0.25">
      <c r="A140" s="142">
        <f>A139+1</f>
        <v>2</v>
      </c>
      <c r="B140" s="143"/>
      <c r="C140" s="93" t="s">
        <v>402</v>
      </c>
      <c r="D140" s="98">
        <f>(44.204)*(10.764)</f>
        <v>475.81185599999998</v>
      </c>
      <c r="E140" s="98">
        <f>(2.05*0.9+2.17*1.07)*(10.764)</f>
        <v>44.8525116</v>
      </c>
      <c r="F140" s="93">
        <f t="shared" si="11"/>
        <v>520.66436759999999</v>
      </c>
      <c r="G140" s="93">
        <v>0</v>
      </c>
      <c r="H140" s="93">
        <f t="shared" si="12"/>
        <v>780.99655140000004</v>
      </c>
      <c r="I140" s="35"/>
      <c r="L140" s="262"/>
      <c r="M140" s="262"/>
      <c r="N140" s="35"/>
    </row>
    <row r="141" spans="1:20" s="94" customFormat="1" ht="15.75" customHeight="1" x14ac:dyDescent="0.25">
      <c r="A141" s="142">
        <f t="shared" ref="A141:A148" si="13">A140+1</f>
        <v>3</v>
      </c>
      <c r="B141" s="143"/>
      <c r="C141" s="93" t="s">
        <v>402</v>
      </c>
      <c r="D141" s="98">
        <f>(44.204)*(10.764)</f>
        <v>475.81185599999998</v>
      </c>
      <c r="E141" s="98">
        <f>(2.05*0.9+2.17*1.07)*(10.764)</f>
        <v>44.8525116</v>
      </c>
      <c r="F141" s="93">
        <f t="shared" si="11"/>
        <v>520.66436759999999</v>
      </c>
      <c r="G141" s="93">
        <v>0</v>
      </c>
      <c r="H141" s="93">
        <f t="shared" si="12"/>
        <v>780.99655140000004</v>
      </c>
      <c r="I141" s="35"/>
      <c r="L141" s="262"/>
      <c r="M141" s="262"/>
      <c r="N141" s="35"/>
    </row>
    <row r="142" spans="1:20" s="94" customFormat="1" ht="15.75" customHeight="1" x14ac:dyDescent="0.25">
      <c r="A142" s="142">
        <f t="shared" si="13"/>
        <v>4</v>
      </c>
      <c r="B142" s="143"/>
      <c r="C142" s="93" t="s">
        <v>403</v>
      </c>
      <c r="D142" s="98">
        <f>(34.193)*(10.764)</f>
        <v>368.05345199999994</v>
      </c>
      <c r="E142" s="98">
        <f>(2.75*1)*(10.764)</f>
        <v>29.600999999999999</v>
      </c>
      <c r="F142" s="93">
        <f t="shared" si="11"/>
        <v>397.65445199999994</v>
      </c>
      <c r="G142" s="93">
        <v>0</v>
      </c>
      <c r="H142" s="93">
        <f t="shared" si="12"/>
        <v>596.48167799999987</v>
      </c>
      <c r="I142" s="96"/>
      <c r="L142" s="262"/>
      <c r="M142" s="262"/>
      <c r="N142" s="35"/>
      <c r="T142" s="20"/>
    </row>
    <row r="143" spans="1:20" s="94" customFormat="1" ht="15.75" customHeight="1" x14ac:dyDescent="0.25">
      <c r="A143" s="142">
        <f t="shared" si="13"/>
        <v>5</v>
      </c>
      <c r="B143" s="143"/>
      <c r="C143" s="93" t="s">
        <v>403</v>
      </c>
      <c r="D143" s="98">
        <f>(34.193)*(10.764)</f>
        <v>368.05345199999994</v>
      </c>
      <c r="E143" s="98">
        <f>(2.75*1)*(10.764)</f>
        <v>29.600999999999999</v>
      </c>
      <c r="F143" s="93">
        <f t="shared" si="11"/>
        <v>397.65445199999994</v>
      </c>
      <c r="G143" s="93">
        <v>0</v>
      </c>
      <c r="H143" s="93">
        <f t="shared" si="12"/>
        <v>596.48167799999987</v>
      </c>
      <c r="I143" s="35"/>
      <c r="L143" s="262"/>
      <c r="M143" s="262"/>
      <c r="N143" s="35"/>
    </row>
    <row r="144" spans="1:20" s="94" customFormat="1" ht="15.75" customHeight="1" x14ac:dyDescent="0.25">
      <c r="A144" s="142">
        <f t="shared" si="13"/>
        <v>6</v>
      </c>
      <c r="B144" s="143"/>
      <c r="C144" s="93" t="s">
        <v>403</v>
      </c>
      <c r="D144" s="98">
        <f>(34.193)*(10.764)</f>
        <v>368.05345199999994</v>
      </c>
      <c r="E144" s="98">
        <f>(2.75*1)*(10.764)</f>
        <v>29.600999999999999</v>
      </c>
      <c r="F144" s="93">
        <f t="shared" si="11"/>
        <v>397.65445199999994</v>
      </c>
      <c r="G144" s="93">
        <v>0</v>
      </c>
      <c r="H144" s="93">
        <f t="shared" si="12"/>
        <v>596.48167799999987</v>
      </c>
      <c r="I144" s="35"/>
      <c r="L144" s="262"/>
      <c r="M144" s="262"/>
      <c r="N144" s="35"/>
    </row>
    <row r="145" spans="1:20" s="94" customFormat="1" ht="15.75" customHeight="1" x14ac:dyDescent="0.25">
      <c r="A145" s="142">
        <f t="shared" si="13"/>
        <v>7</v>
      </c>
      <c r="B145" s="143"/>
      <c r="C145" s="142" t="s">
        <v>406</v>
      </c>
      <c r="D145" s="263"/>
      <c r="E145" s="263"/>
      <c r="F145" s="263"/>
      <c r="G145" s="263"/>
      <c r="H145" s="143"/>
      <c r="I145" s="35"/>
      <c r="L145" s="262"/>
      <c r="M145" s="262"/>
      <c r="N145" s="35"/>
    </row>
    <row r="146" spans="1:20" s="94" customFormat="1" ht="15.75" customHeight="1" x14ac:dyDescent="0.25">
      <c r="A146" s="142">
        <f t="shared" si="13"/>
        <v>8</v>
      </c>
      <c r="B146" s="143"/>
      <c r="C146" s="93" t="s">
        <v>403</v>
      </c>
      <c r="D146" s="98">
        <f>(34.19)*(10.764)</f>
        <v>368.02115999999995</v>
      </c>
      <c r="E146" s="98">
        <f>(2.75*1)*(10.764)</f>
        <v>29.600999999999999</v>
      </c>
      <c r="F146" s="93">
        <f>D146+E146</f>
        <v>397.62215999999995</v>
      </c>
      <c r="G146" s="93">
        <v>0</v>
      </c>
      <c r="H146" s="93">
        <f>F146*(($H$124)+1)+(IF(G146&lt;101,G146,IF(G146&lt;201,G146/2,IF(G146&lt;=301,G146/3,G146/4))))</f>
        <v>596.43323999999996</v>
      </c>
      <c r="I146" s="35"/>
      <c r="L146" s="262"/>
      <c r="M146" s="262"/>
      <c r="N146" s="35"/>
      <c r="T146" s="20"/>
    </row>
    <row r="147" spans="1:20" s="94" customFormat="1" ht="15.75" customHeight="1" x14ac:dyDescent="0.25">
      <c r="A147" s="142">
        <f t="shared" si="13"/>
        <v>9</v>
      </c>
      <c r="B147" s="143"/>
      <c r="C147" s="93" t="s">
        <v>403</v>
      </c>
      <c r="D147" s="98">
        <f>(34.193)*(10.764)</f>
        <v>368.05345199999994</v>
      </c>
      <c r="E147" s="98">
        <f>(2.75*1)*(10.764)</f>
        <v>29.600999999999999</v>
      </c>
      <c r="F147" s="93">
        <f>D147+E147</f>
        <v>397.65445199999994</v>
      </c>
      <c r="G147" s="93">
        <v>0</v>
      </c>
      <c r="H147" s="93">
        <f>F147*(($H$124)+1)+(IF(G147&lt;101,G147,IF(G147&lt;201,G147/2,IF(G147&lt;=301,G147/3,G147/4))))</f>
        <v>596.48167799999987</v>
      </c>
      <c r="I147" s="35"/>
      <c r="L147" s="262"/>
      <c r="M147" s="262"/>
      <c r="N147" s="35"/>
    </row>
    <row r="148" spans="1:20" s="94" customFormat="1" ht="15.75" customHeight="1" x14ac:dyDescent="0.25">
      <c r="A148" s="142">
        <f t="shared" si="13"/>
        <v>10</v>
      </c>
      <c r="B148" s="143"/>
      <c r="C148" s="93" t="s">
        <v>403</v>
      </c>
      <c r="D148" s="98">
        <f>(34.292)*(10.764)</f>
        <v>369.11908799999998</v>
      </c>
      <c r="E148" s="98">
        <f>(2.75*1)*(10.764)</f>
        <v>29.600999999999999</v>
      </c>
      <c r="F148" s="93">
        <f>D148+E148</f>
        <v>398.72008799999998</v>
      </c>
      <c r="G148" s="93">
        <v>0</v>
      </c>
      <c r="H148" s="93">
        <f>F148*(($H$124)+1)+(IF(G148&lt;101,G148,IF(G148&lt;201,G148/2,IF(G148&lt;=301,G148/3,G148/4))))</f>
        <v>598.08013199999994</v>
      </c>
      <c r="I148" s="35"/>
      <c r="L148" s="262"/>
      <c r="M148" s="262"/>
      <c r="N148" s="35"/>
      <c r="T148" s="20"/>
    </row>
    <row r="149" spans="1:20" s="94" customFormat="1" x14ac:dyDescent="0.25">
      <c r="A149" s="229" t="s">
        <v>408</v>
      </c>
      <c r="B149" s="230"/>
      <c r="C149" s="230"/>
      <c r="D149" s="230"/>
      <c r="E149" s="230"/>
      <c r="F149" s="230"/>
      <c r="G149" s="230"/>
      <c r="H149" s="231"/>
      <c r="I149" s="94">
        <f>1</f>
        <v>1</v>
      </c>
      <c r="J149" s="35"/>
    </row>
    <row r="150" spans="1:20" s="94" customFormat="1" ht="15.75" customHeight="1" x14ac:dyDescent="0.25">
      <c r="A150" s="142">
        <v>1</v>
      </c>
      <c r="B150" s="143"/>
      <c r="C150" s="93" t="s">
        <v>402</v>
      </c>
      <c r="D150" s="98">
        <f>(48.146)*(10.764)</f>
        <v>518.24354399999993</v>
      </c>
      <c r="E150" s="98">
        <f>(2.9*0.8+2.9*0.9)*(10.764)</f>
        <v>53.066519999999997</v>
      </c>
      <c r="F150" s="93">
        <f t="shared" ref="F150:F159" si="14">D150+E150</f>
        <v>571.3100639999999</v>
      </c>
      <c r="G150" s="93">
        <v>0</v>
      </c>
      <c r="H150" s="93">
        <f t="shared" ref="H150:H159" si="15">F150*(($H$124)+1)+(IF(G150&lt;101,G150,IF(G150&lt;201,G150/2,IF(G150&lt;=301,G150/3,G150/4))))</f>
        <v>856.9650959999999</v>
      </c>
      <c r="I150" s="97"/>
      <c r="L150" s="262"/>
      <c r="M150" s="262"/>
      <c r="N150" s="35"/>
    </row>
    <row r="151" spans="1:20" s="94" customFormat="1" ht="15.75" customHeight="1" x14ac:dyDescent="0.25">
      <c r="A151" s="142">
        <f>A150+1</f>
        <v>2</v>
      </c>
      <c r="B151" s="143"/>
      <c r="C151" s="93" t="s">
        <v>402</v>
      </c>
      <c r="D151" s="98">
        <f>(44.204)*(10.764)</f>
        <v>475.81185599999998</v>
      </c>
      <c r="E151" s="98">
        <f>(2.05*0.9+2.17*1.07)*(10.764)</f>
        <v>44.8525116</v>
      </c>
      <c r="F151" s="93">
        <f t="shared" si="14"/>
        <v>520.66436759999999</v>
      </c>
      <c r="G151" s="93">
        <v>0</v>
      </c>
      <c r="H151" s="93">
        <f t="shared" si="15"/>
        <v>780.99655140000004</v>
      </c>
      <c r="I151" s="35"/>
      <c r="L151" s="262"/>
      <c r="M151" s="262"/>
      <c r="N151" s="35"/>
    </row>
    <row r="152" spans="1:20" s="94" customFormat="1" ht="15.75" customHeight="1" x14ac:dyDescent="0.25">
      <c r="A152" s="142">
        <f t="shared" ref="A152:A159" si="16">A151+1</f>
        <v>3</v>
      </c>
      <c r="B152" s="143"/>
      <c r="C152" s="93" t="s">
        <v>402</v>
      </c>
      <c r="D152" s="98">
        <f>(44.204)*(10.764)</f>
        <v>475.81185599999998</v>
      </c>
      <c r="E152" s="98">
        <f>(2.05*0.9+2.17*1.07)*(10.764)</f>
        <v>44.8525116</v>
      </c>
      <c r="F152" s="93">
        <f t="shared" si="14"/>
        <v>520.66436759999999</v>
      </c>
      <c r="G152" s="93">
        <v>0</v>
      </c>
      <c r="H152" s="93">
        <f t="shared" si="15"/>
        <v>780.99655140000004</v>
      </c>
      <c r="I152" s="35"/>
      <c r="L152" s="262"/>
      <c r="M152" s="262"/>
      <c r="N152" s="35"/>
    </row>
    <row r="153" spans="1:20" s="94" customFormat="1" ht="15.75" customHeight="1" x14ac:dyDescent="0.25">
      <c r="A153" s="142">
        <f t="shared" si="16"/>
        <v>4</v>
      </c>
      <c r="B153" s="143"/>
      <c r="C153" s="93" t="s">
        <v>403</v>
      </c>
      <c r="D153" s="98">
        <f>(34.193)*(10.764)</f>
        <v>368.05345199999994</v>
      </c>
      <c r="E153" s="98">
        <f t="shared" ref="E153:E159" si="17">(2.75*1)*(10.764)</f>
        <v>29.600999999999999</v>
      </c>
      <c r="F153" s="93">
        <f t="shared" si="14"/>
        <v>397.65445199999994</v>
      </c>
      <c r="G153" s="93">
        <v>0</v>
      </c>
      <c r="H153" s="93">
        <f t="shared" si="15"/>
        <v>596.48167799999987</v>
      </c>
      <c r="I153" s="96"/>
      <c r="L153" s="262"/>
      <c r="M153" s="262"/>
      <c r="N153" s="35"/>
      <c r="T153" s="20"/>
    </row>
    <row r="154" spans="1:20" s="94" customFormat="1" ht="15.75" customHeight="1" x14ac:dyDescent="0.25">
      <c r="A154" s="142">
        <f t="shared" si="16"/>
        <v>5</v>
      </c>
      <c r="B154" s="143"/>
      <c r="C154" s="93" t="s">
        <v>403</v>
      </c>
      <c r="D154" s="98">
        <f>(34.193)*(10.764)</f>
        <v>368.05345199999994</v>
      </c>
      <c r="E154" s="98">
        <f t="shared" si="17"/>
        <v>29.600999999999999</v>
      </c>
      <c r="F154" s="93">
        <f t="shared" si="14"/>
        <v>397.65445199999994</v>
      </c>
      <c r="G154" s="93">
        <v>0</v>
      </c>
      <c r="H154" s="93">
        <f t="shared" si="15"/>
        <v>596.48167799999987</v>
      </c>
      <c r="I154" s="35"/>
      <c r="L154" s="262"/>
      <c r="M154" s="262"/>
      <c r="N154" s="35"/>
    </row>
    <row r="155" spans="1:20" s="94" customFormat="1" ht="15.75" customHeight="1" x14ac:dyDescent="0.25">
      <c r="A155" s="142">
        <f t="shared" si="16"/>
        <v>6</v>
      </c>
      <c r="B155" s="143"/>
      <c r="C155" s="93" t="s">
        <v>403</v>
      </c>
      <c r="D155" s="98">
        <f>(34.193)*(10.764)</f>
        <v>368.05345199999994</v>
      </c>
      <c r="E155" s="98">
        <f t="shared" si="17"/>
        <v>29.600999999999999</v>
      </c>
      <c r="F155" s="93">
        <f t="shared" si="14"/>
        <v>397.65445199999994</v>
      </c>
      <c r="G155" s="93">
        <v>0</v>
      </c>
      <c r="H155" s="93">
        <f t="shared" si="15"/>
        <v>596.48167799999987</v>
      </c>
      <c r="I155" s="35"/>
      <c r="L155" s="262"/>
      <c r="M155" s="262"/>
      <c r="N155" s="35"/>
    </row>
    <row r="156" spans="1:20" s="94" customFormat="1" ht="15.75" customHeight="1" x14ac:dyDescent="0.25">
      <c r="A156" s="142">
        <f t="shared" si="16"/>
        <v>7</v>
      </c>
      <c r="B156" s="143"/>
      <c r="C156" s="93" t="s">
        <v>402</v>
      </c>
      <c r="D156" s="98">
        <f>(49.048)*(10.764)</f>
        <v>527.95267200000001</v>
      </c>
      <c r="E156" s="98">
        <f t="shared" si="17"/>
        <v>29.600999999999999</v>
      </c>
      <c r="F156" s="93">
        <f t="shared" si="14"/>
        <v>557.55367200000001</v>
      </c>
      <c r="G156" s="93">
        <v>0</v>
      </c>
      <c r="H156" s="93">
        <f t="shared" si="15"/>
        <v>836.33050800000001</v>
      </c>
      <c r="I156" s="35"/>
      <c r="L156" s="262"/>
      <c r="M156" s="262"/>
      <c r="N156" s="35"/>
    </row>
    <row r="157" spans="1:20" s="94" customFormat="1" ht="15.75" customHeight="1" x14ac:dyDescent="0.25">
      <c r="A157" s="142">
        <f t="shared" si="16"/>
        <v>8</v>
      </c>
      <c r="B157" s="143"/>
      <c r="C157" s="93" t="s">
        <v>403</v>
      </c>
      <c r="D157" s="98">
        <f>(34.19)*(10.764)</f>
        <v>368.02115999999995</v>
      </c>
      <c r="E157" s="98">
        <f t="shared" si="17"/>
        <v>29.600999999999999</v>
      </c>
      <c r="F157" s="93">
        <f t="shared" si="14"/>
        <v>397.62215999999995</v>
      </c>
      <c r="G157" s="93">
        <v>0</v>
      </c>
      <c r="H157" s="93">
        <f t="shared" si="15"/>
        <v>596.43323999999996</v>
      </c>
      <c r="I157" s="35"/>
      <c r="L157" s="262"/>
      <c r="M157" s="262"/>
      <c r="N157" s="35"/>
      <c r="T157" s="20"/>
    </row>
    <row r="158" spans="1:20" s="94" customFormat="1" ht="15.75" customHeight="1" x14ac:dyDescent="0.25">
      <c r="A158" s="142">
        <f t="shared" si="16"/>
        <v>9</v>
      </c>
      <c r="B158" s="143"/>
      <c r="C158" s="93" t="s">
        <v>403</v>
      </c>
      <c r="D158" s="98">
        <f>(34.193)*(10.764)</f>
        <v>368.05345199999994</v>
      </c>
      <c r="E158" s="98">
        <f t="shared" si="17"/>
        <v>29.600999999999999</v>
      </c>
      <c r="F158" s="93">
        <f t="shared" si="14"/>
        <v>397.65445199999994</v>
      </c>
      <c r="G158" s="93">
        <v>0</v>
      </c>
      <c r="H158" s="93">
        <f t="shared" si="15"/>
        <v>596.48167799999987</v>
      </c>
      <c r="I158" s="35"/>
      <c r="L158" s="262"/>
      <c r="M158" s="262"/>
      <c r="N158" s="35"/>
    </row>
    <row r="159" spans="1:20" s="94" customFormat="1" ht="15.75" customHeight="1" x14ac:dyDescent="0.25">
      <c r="A159" s="142">
        <f t="shared" si="16"/>
        <v>10</v>
      </c>
      <c r="B159" s="143"/>
      <c r="C159" s="93" t="s">
        <v>403</v>
      </c>
      <c r="D159" s="98">
        <f>(34.292)*(10.764)</f>
        <v>369.11908799999998</v>
      </c>
      <c r="E159" s="98">
        <f t="shared" si="17"/>
        <v>29.600999999999999</v>
      </c>
      <c r="F159" s="93">
        <f t="shared" si="14"/>
        <v>398.72008799999998</v>
      </c>
      <c r="G159" s="93">
        <v>0</v>
      </c>
      <c r="H159" s="93">
        <f t="shared" si="15"/>
        <v>598.08013199999994</v>
      </c>
      <c r="I159" s="35"/>
      <c r="L159" s="262"/>
      <c r="M159" s="262"/>
      <c r="N159" s="35"/>
      <c r="T159" s="20"/>
    </row>
    <row r="160" spans="1:20" s="94" customFormat="1" x14ac:dyDescent="0.25">
      <c r="A160" s="229" t="s">
        <v>410</v>
      </c>
      <c r="B160" s="230"/>
      <c r="C160" s="230"/>
      <c r="D160" s="230"/>
      <c r="E160" s="230"/>
      <c r="F160" s="230"/>
      <c r="G160" s="230"/>
      <c r="H160" s="231"/>
      <c r="I160" s="94">
        <f>1</f>
        <v>1</v>
      </c>
      <c r="J160" s="35"/>
    </row>
    <row r="161" spans="1:20" s="94" customFormat="1" ht="15.75" customHeight="1" x14ac:dyDescent="0.25">
      <c r="A161" s="142">
        <v>1</v>
      </c>
      <c r="B161" s="143"/>
      <c r="C161" s="93" t="s">
        <v>402</v>
      </c>
      <c r="D161" s="98">
        <f>(48.146)*(10.764)</f>
        <v>518.24354399999993</v>
      </c>
      <c r="E161" s="98">
        <f>(2.9*0.8+2.9*0.9)*(10.764)</f>
        <v>53.066519999999997</v>
      </c>
      <c r="F161" s="93">
        <f t="shared" ref="F161:F170" si="18">D161+E161</f>
        <v>571.3100639999999</v>
      </c>
      <c r="G161" s="93">
        <v>0</v>
      </c>
      <c r="H161" s="93">
        <f t="shared" ref="H161:H170" si="19">F161*(($H$124)+1)+(IF(G161&lt;101,G161,IF(G161&lt;201,G161/2,IF(G161&lt;=301,G161/3,G161/4))))</f>
        <v>856.9650959999999</v>
      </c>
      <c r="I161" s="97"/>
      <c r="L161" s="262"/>
      <c r="M161" s="262"/>
      <c r="N161" s="35"/>
    </row>
    <row r="162" spans="1:20" s="94" customFormat="1" ht="15.75" customHeight="1" x14ac:dyDescent="0.25">
      <c r="A162" s="142">
        <f>A161+1</f>
        <v>2</v>
      </c>
      <c r="B162" s="143"/>
      <c r="C162" s="93" t="s">
        <v>402</v>
      </c>
      <c r="D162" s="98">
        <f>(44.204)*(10.764)</f>
        <v>475.81185599999998</v>
      </c>
      <c r="E162" s="98">
        <f>(2.05*0.9+2.17*1.07)*(10.764)</f>
        <v>44.8525116</v>
      </c>
      <c r="F162" s="93">
        <f t="shared" si="18"/>
        <v>520.66436759999999</v>
      </c>
      <c r="G162" s="93">
        <v>0</v>
      </c>
      <c r="H162" s="93">
        <f t="shared" si="19"/>
        <v>780.99655140000004</v>
      </c>
      <c r="I162" s="35"/>
      <c r="L162" s="262"/>
      <c r="M162" s="262"/>
      <c r="N162" s="35"/>
    </row>
    <row r="163" spans="1:20" s="94" customFormat="1" ht="15.75" customHeight="1" x14ac:dyDescent="0.25">
      <c r="A163" s="142">
        <f t="shared" ref="A163:A170" si="20">A162+1</f>
        <v>3</v>
      </c>
      <c r="B163" s="143"/>
      <c r="C163" s="93" t="s">
        <v>402</v>
      </c>
      <c r="D163" s="98">
        <f>(44.204)*(10.764)</f>
        <v>475.81185599999998</v>
      </c>
      <c r="E163" s="98">
        <f>(2.05*0.9+2.17*1.07)*(10.764)</f>
        <v>44.8525116</v>
      </c>
      <c r="F163" s="93">
        <f t="shared" si="18"/>
        <v>520.66436759999999</v>
      </c>
      <c r="G163" s="93">
        <v>0</v>
      </c>
      <c r="H163" s="93">
        <f t="shared" si="19"/>
        <v>780.99655140000004</v>
      </c>
      <c r="I163" s="35"/>
      <c r="L163" s="262"/>
      <c r="M163" s="262"/>
      <c r="N163" s="35"/>
    </row>
    <row r="164" spans="1:20" s="94" customFormat="1" ht="15.75" customHeight="1" x14ac:dyDescent="0.25">
      <c r="A164" s="142">
        <f t="shared" si="20"/>
        <v>4</v>
      </c>
      <c r="B164" s="143"/>
      <c r="C164" s="93" t="s">
        <v>403</v>
      </c>
      <c r="D164" s="98">
        <f>(34.193)*(10.764)</f>
        <v>368.05345199999994</v>
      </c>
      <c r="E164" s="98">
        <f t="shared" ref="E164:E170" si="21">(2.75*1)*(10.764)</f>
        <v>29.600999999999999</v>
      </c>
      <c r="F164" s="93">
        <f t="shared" si="18"/>
        <v>397.65445199999994</v>
      </c>
      <c r="G164" s="93">
        <v>0</v>
      </c>
      <c r="H164" s="93">
        <f t="shared" si="19"/>
        <v>596.48167799999987</v>
      </c>
      <c r="I164" s="96"/>
      <c r="L164" s="262"/>
      <c r="M164" s="262"/>
      <c r="N164" s="35"/>
      <c r="T164" s="20"/>
    </row>
    <row r="165" spans="1:20" s="94" customFormat="1" ht="15.75" customHeight="1" x14ac:dyDescent="0.25">
      <c r="A165" s="142">
        <f t="shared" si="20"/>
        <v>5</v>
      </c>
      <c r="B165" s="143"/>
      <c r="C165" s="93" t="s">
        <v>403</v>
      </c>
      <c r="D165" s="98">
        <f>(34.193)*(10.764)</f>
        <v>368.05345199999994</v>
      </c>
      <c r="E165" s="98">
        <f t="shared" si="21"/>
        <v>29.600999999999999</v>
      </c>
      <c r="F165" s="93">
        <f t="shared" si="18"/>
        <v>397.65445199999994</v>
      </c>
      <c r="G165" s="93">
        <v>0</v>
      </c>
      <c r="H165" s="93">
        <f t="shared" si="19"/>
        <v>596.48167799999987</v>
      </c>
      <c r="I165" s="35"/>
      <c r="L165" s="262"/>
      <c r="M165" s="262"/>
      <c r="N165" s="35"/>
    </row>
    <row r="166" spans="1:20" s="94" customFormat="1" ht="15.75" customHeight="1" x14ac:dyDescent="0.25">
      <c r="A166" s="142">
        <f t="shared" si="20"/>
        <v>6</v>
      </c>
      <c r="B166" s="143"/>
      <c r="C166" s="93" t="s">
        <v>403</v>
      </c>
      <c r="D166" s="98">
        <f>(34.193)*(10.764)</f>
        <v>368.05345199999994</v>
      </c>
      <c r="E166" s="98">
        <f t="shared" si="21"/>
        <v>29.600999999999999</v>
      </c>
      <c r="F166" s="93">
        <f t="shared" si="18"/>
        <v>397.65445199999994</v>
      </c>
      <c r="G166" s="93">
        <v>0</v>
      </c>
      <c r="H166" s="93">
        <f t="shared" si="19"/>
        <v>596.48167799999987</v>
      </c>
      <c r="I166" s="35"/>
      <c r="L166" s="262"/>
      <c r="M166" s="262"/>
      <c r="N166" s="35"/>
    </row>
    <row r="167" spans="1:20" s="94" customFormat="1" ht="15.75" customHeight="1" x14ac:dyDescent="0.25">
      <c r="A167" s="142">
        <f t="shared" si="20"/>
        <v>7</v>
      </c>
      <c r="B167" s="143"/>
      <c r="C167" s="93" t="s">
        <v>402</v>
      </c>
      <c r="D167" s="98">
        <f>(49.048)*(10.764)</f>
        <v>527.95267200000001</v>
      </c>
      <c r="E167" s="98">
        <f t="shared" si="21"/>
        <v>29.600999999999999</v>
      </c>
      <c r="F167" s="93">
        <f t="shared" si="18"/>
        <v>557.55367200000001</v>
      </c>
      <c r="G167" s="93">
        <v>0</v>
      </c>
      <c r="H167" s="93">
        <f t="shared" si="19"/>
        <v>836.33050800000001</v>
      </c>
      <c r="I167" s="35"/>
      <c r="L167" s="262"/>
      <c r="M167" s="262"/>
      <c r="N167" s="35"/>
    </row>
    <row r="168" spans="1:20" s="94" customFormat="1" ht="15.75" customHeight="1" x14ac:dyDescent="0.25">
      <c r="A168" s="142">
        <f t="shared" si="20"/>
        <v>8</v>
      </c>
      <c r="B168" s="143"/>
      <c r="C168" s="93" t="s">
        <v>403</v>
      </c>
      <c r="D168" s="98">
        <f>(34.19)*(10.764)</f>
        <v>368.02115999999995</v>
      </c>
      <c r="E168" s="98">
        <f t="shared" si="21"/>
        <v>29.600999999999999</v>
      </c>
      <c r="F168" s="93">
        <f t="shared" si="18"/>
        <v>397.62215999999995</v>
      </c>
      <c r="G168" s="93">
        <v>0</v>
      </c>
      <c r="H168" s="93">
        <f t="shared" si="19"/>
        <v>596.43323999999996</v>
      </c>
      <c r="I168" s="35"/>
      <c r="L168" s="262"/>
      <c r="M168" s="262"/>
      <c r="N168" s="35"/>
      <c r="T168" s="20"/>
    </row>
    <row r="169" spans="1:20" s="94" customFormat="1" ht="15.75" customHeight="1" x14ac:dyDescent="0.25">
      <c r="A169" s="142">
        <f t="shared" si="20"/>
        <v>9</v>
      </c>
      <c r="B169" s="143"/>
      <c r="C169" s="93" t="s">
        <v>403</v>
      </c>
      <c r="D169" s="98">
        <f>(34.193)*(10.764)</f>
        <v>368.05345199999994</v>
      </c>
      <c r="E169" s="98">
        <f t="shared" si="21"/>
        <v>29.600999999999999</v>
      </c>
      <c r="F169" s="93">
        <f t="shared" si="18"/>
        <v>397.65445199999994</v>
      </c>
      <c r="G169" s="93">
        <v>0</v>
      </c>
      <c r="H169" s="93">
        <f t="shared" si="19"/>
        <v>596.48167799999987</v>
      </c>
      <c r="I169" s="35"/>
      <c r="L169" s="262"/>
      <c r="M169" s="262"/>
      <c r="N169" s="35"/>
    </row>
    <row r="170" spans="1:20" s="94" customFormat="1" ht="15.75" customHeight="1" x14ac:dyDescent="0.25">
      <c r="A170" s="142">
        <f t="shared" si="20"/>
        <v>10</v>
      </c>
      <c r="B170" s="143"/>
      <c r="C170" s="93" t="s">
        <v>403</v>
      </c>
      <c r="D170" s="98">
        <f>(34.292)*(10.764)</f>
        <v>369.11908799999998</v>
      </c>
      <c r="E170" s="98">
        <f t="shared" si="21"/>
        <v>29.600999999999999</v>
      </c>
      <c r="F170" s="93">
        <f t="shared" si="18"/>
        <v>398.72008799999998</v>
      </c>
      <c r="G170" s="93">
        <v>0</v>
      </c>
      <c r="H170" s="93">
        <f t="shared" si="19"/>
        <v>598.08013199999994</v>
      </c>
      <c r="I170" s="35"/>
      <c r="L170" s="262"/>
      <c r="M170" s="262"/>
      <c r="N170" s="35"/>
      <c r="T170" s="20"/>
    </row>
    <row r="171" spans="1:20" s="94" customFormat="1" x14ac:dyDescent="0.25">
      <c r="A171" s="229" t="s">
        <v>401</v>
      </c>
      <c r="B171" s="230"/>
      <c r="C171" s="230"/>
      <c r="D171" s="230"/>
      <c r="E171" s="230"/>
      <c r="F171" s="230"/>
      <c r="G171" s="230"/>
      <c r="H171" s="231"/>
      <c r="J171" s="35"/>
    </row>
    <row r="172" spans="1:20" s="94" customFormat="1" x14ac:dyDescent="0.25">
      <c r="A172" s="229" t="s">
        <v>398</v>
      </c>
      <c r="B172" s="230"/>
      <c r="C172" s="230"/>
      <c r="D172" s="230"/>
      <c r="E172" s="230"/>
      <c r="F172" s="230"/>
      <c r="G172" s="230"/>
      <c r="H172" s="231"/>
      <c r="I172" s="94">
        <f>7+4+4</f>
        <v>15</v>
      </c>
      <c r="J172" s="35"/>
    </row>
    <row r="173" spans="1:20" s="94" customFormat="1" ht="15.75" customHeight="1" x14ac:dyDescent="0.25">
      <c r="A173" s="229" t="s">
        <v>400</v>
      </c>
      <c r="B173" s="230"/>
      <c r="C173" s="230"/>
      <c r="D173" s="230"/>
      <c r="E173" s="230"/>
      <c r="F173" s="230"/>
      <c r="G173" s="230"/>
      <c r="H173" s="231"/>
      <c r="I173" s="35"/>
      <c r="L173" s="262"/>
      <c r="M173" s="262"/>
      <c r="N173" s="35"/>
    </row>
    <row r="174" spans="1:20" s="94" customFormat="1" ht="15.75" customHeight="1" x14ac:dyDescent="0.25">
      <c r="A174" s="142">
        <v>1</v>
      </c>
      <c r="B174" s="143"/>
      <c r="C174" s="93" t="s">
        <v>403</v>
      </c>
      <c r="D174" s="98">
        <f>(34.19)*(10.764)</f>
        <v>368.02115999999995</v>
      </c>
      <c r="E174" s="98">
        <f t="shared" ref="E174:E180" si="22">(2.75*1)*(10.764)</f>
        <v>29.600999999999999</v>
      </c>
      <c r="F174" s="93">
        <f t="shared" ref="F174:F183" si="23">D174+E174</f>
        <v>397.62215999999995</v>
      </c>
      <c r="G174" s="93">
        <v>0</v>
      </c>
      <c r="H174" s="93">
        <f t="shared" ref="H174:H183" si="24">F174*(($H$124)+1)+(IF(G174&lt;101,G174,IF(G174&lt;201,G174/2,IF(G174&lt;=301,G174/3,G174/4))))</f>
        <v>596.43323999999996</v>
      </c>
      <c r="I174" s="35"/>
      <c r="L174" s="262"/>
      <c r="M174" s="262"/>
      <c r="N174" s="35"/>
    </row>
    <row r="175" spans="1:20" s="94" customFormat="1" ht="15.75" customHeight="1" x14ac:dyDescent="0.25">
      <c r="A175" s="142">
        <f>A174+1</f>
        <v>2</v>
      </c>
      <c r="B175" s="143"/>
      <c r="C175" s="93" t="s">
        <v>403</v>
      </c>
      <c r="D175" s="98">
        <f>(34.19)*(10.764)</f>
        <v>368.02115999999995</v>
      </c>
      <c r="E175" s="98">
        <f t="shared" si="22"/>
        <v>29.600999999999999</v>
      </c>
      <c r="F175" s="93">
        <f t="shared" si="23"/>
        <v>397.62215999999995</v>
      </c>
      <c r="G175" s="93">
        <v>0</v>
      </c>
      <c r="H175" s="93">
        <f t="shared" si="24"/>
        <v>596.43323999999996</v>
      </c>
      <c r="I175" s="35"/>
      <c r="L175" s="262"/>
      <c r="M175" s="262"/>
      <c r="N175" s="35"/>
    </row>
    <row r="176" spans="1:20" s="94" customFormat="1" ht="15.75" customHeight="1" x14ac:dyDescent="0.25">
      <c r="A176" s="142">
        <f t="shared" ref="A176:A183" si="25">A175+1</f>
        <v>3</v>
      </c>
      <c r="B176" s="143"/>
      <c r="C176" s="93" t="s">
        <v>403</v>
      </c>
      <c r="D176" s="98">
        <f>(34.195)*(10.764)</f>
        <v>368.07497999999998</v>
      </c>
      <c r="E176" s="98">
        <f t="shared" si="22"/>
        <v>29.600999999999999</v>
      </c>
      <c r="F176" s="93">
        <f t="shared" si="23"/>
        <v>397.67597999999998</v>
      </c>
      <c r="G176" s="93">
        <v>0</v>
      </c>
      <c r="H176" s="93">
        <f t="shared" si="24"/>
        <v>596.51396999999997</v>
      </c>
      <c r="I176" s="35"/>
      <c r="L176" s="262"/>
      <c r="M176" s="262"/>
      <c r="N176" s="35"/>
      <c r="T176" s="20"/>
    </row>
    <row r="177" spans="1:20" s="94" customFormat="1" ht="15.75" customHeight="1" x14ac:dyDescent="0.25">
      <c r="A177" s="142">
        <f t="shared" si="25"/>
        <v>4</v>
      </c>
      <c r="B177" s="143"/>
      <c r="C177" s="93" t="s">
        <v>403</v>
      </c>
      <c r="D177" s="98">
        <f>(34.192)*(10.764)</f>
        <v>368.042688</v>
      </c>
      <c r="E177" s="98">
        <f t="shared" si="22"/>
        <v>29.600999999999999</v>
      </c>
      <c r="F177" s="93">
        <f t="shared" si="23"/>
        <v>397.643688</v>
      </c>
      <c r="G177" s="93">
        <v>0</v>
      </c>
      <c r="H177" s="93">
        <f t="shared" si="24"/>
        <v>596.46553199999994</v>
      </c>
      <c r="I177" s="35"/>
      <c r="L177" s="262"/>
      <c r="M177" s="262"/>
      <c r="N177" s="35"/>
    </row>
    <row r="178" spans="1:20" s="94" customFormat="1" ht="15.75" customHeight="1" x14ac:dyDescent="0.25">
      <c r="A178" s="142">
        <f t="shared" si="25"/>
        <v>5</v>
      </c>
      <c r="B178" s="143"/>
      <c r="C178" s="93" t="s">
        <v>403</v>
      </c>
      <c r="D178" s="98">
        <f>(34.19)*(10.764)</f>
        <v>368.02115999999995</v>
      </c>
      <c r="E178" s="98">
        <f t="shared" si="22"/>
        <v>29.600999999999999</v>
      </c>
      <c r="F178" s="93">
        <f t="shared" si="23"/>
        <v>397.62215999999995</v>
      </c>
      <c r="G178" s="93">
        <v>0</v>
      </c>
      <c r="H178" s="93">
        <f t="shared" si="24"/>
        <v>596.43323999999996</v>
      </c>
      <c r="I178" s="35"/>
      <c r="L178" s="262"/>
      <c r="M178" s="262"/>
      <c r="N178" s="35"/>
    </row>
    <row r="179" spans="1:20" s="94" customFormat="1" ht="15.75" customHeight="1" x14ac:dyDescent="0.25">
      <c r="A179" s="142">
        <f t="shared" si="25"/>
        <v>6</v>
      </c>
      <c r="B179" s="143"/>
      <c r="C179" s="93" t="s">
        <v>403</v>
      </c>
      <c r="D179" s="98">
        <f>(34.19)*(10.764)</f>
        <v>368.02115999999995</v>
      </c>
      <c r="E179" s="98">
        <f t="shared" si="22"/>
        <v>29.600999999999999</v>
      </c>
      <c r="F179" s="93">
        <f t="shared" si="23"/>
        <v>397.62215999999995</v>
      </c>
      <c r="G179" s="93">
        <v>0</v>
      </c>
      <c r="H179" s="93">
        <f t="shared" si="24"/>
        <v>596.43323999999996</v>
      </c>
      <c r="I179" s="35"/>
      <c r="L179" s="262"/>
      <c r="M179" s="262"/>
      <c r="N179" s="35"/>
    </row>
    <row r="180" spans="1:20" s="94" customFormat="1" ht="15.75" customHeight="1" x14ac:dyDescent="0.25">
      <c r="A180" s="142">
        <f t="shared" si="25"/>
        <v>7</v>
      </c>
      <c r="B180" s="143"/>
      <c r="C180" s="93" t="s">
        <v>403</v>
      </c>
      <c r="D180" s="98">
        <f>(34.192)*(10.764)</f>
        <v>368.042688</v>
      </c>
      <c r="E180" s="98">
        <f t="shared" si="22"/>
        <v>29.600999999999999</v>
      </c>
      <c r="F180" s="93">
        <f t="shared" si="23"/>
        <v>397.643688</v>
      </c>
      <c r="G180" s="93">
        <v>0</v>
      </c>
      <c r="H180" s="93">
        <f t="shared" si="24"/>
        <v>596.46553199999994</v>
      </c>
      <c r="I180" s="35"/>
      <c r="L180" s="262"/>
      <c r="M180" s="262"/>
      <c r="N180" s="35"/>
      <c r="T180" s="20"/>
    </row>
    <row r="181" spans="1:20" s="94" customFormat="1" ht="15.75" customHeight="1" x14ac:dyDescent="0.25">
      <c r="A181" s="142">
        <f t="shared" si="25"/>
        <v>8</v>
      </c>
      <c r="B181" s="143"/>
      <c r="C181" s="93" t="s">
        <v>402</v>
      </c>
      <c r="D181" s="98">
        <f>(43.966)*(10.764)</f>
        <v>473.250024</v>
      </c>
      <c r="E181" s="98">
        <f>(2.05*0.95+2.17*1.07)*(10.764)</f>
        <v>45.955821599999986</v>
      </c>
      <c r="F181" s="93">
        <f t="shared" si="23"/>
        <v>519.20584559999998</v>
      </c>
      <c r="G181" s="93">
        <v>0</v>
      </c>
      <c r="H181" s="93">
        <f t="shared" si="24"/>
        <v>778.80876839999996</v>
      </c>
      <c r="I181" s="35"/>
      <c r="L181" s="262"/>
      <c r="M181" s="262"/>
      <c r="N181" s="35"/>
    </row>
    <row r="182" spans="1:20" s="94" customFormat="1" ht="15.75" customHeight="1" x14ac:dyDescent="0.25">
      <c r="A182" s="142">
        <f t="shared" si="25"/>
        <v>9</v>
      </c>
      <c r="B182" s="143"/>
      <c r="C182" s="93" t="s">
        <v>402</v>
      </c>
      <c r="D182" s="98">
        <f>(48.444)*(10.764)</f>
        <v>521.45121600000004</v>
      </c>
      <c r="E182" s="98">
        <f>(2.9*0.9)*(10.764)</f>
        <v>28.094039999999996</v>
      </c>
      <c r="F182" s="93">
        <f t="shared" si="23"/>
        <v>549.54525599999999</v>
      </c>
      <c r="G182" s="93">
        <v>0</v>
      </c>
      <c r="H182" s="93">
        <f t="shared" si="24"/>
        <v>824.31788400000005</v>
      </c>
      <c r="I182" s="35"/>
      <c r="L182" s="262"/>
      <c r="M182" s="262"/>
      <c r="N182" s="35"/>
      <c r="T182" s="20"/>
    </row>
    <row r="183" spans="1:20" s="94" customFormat="1" x14ac:dyDescent="0.25">
      <c r="A183" s="142">
        <f t="shared" si="25"/>
        <v>10</v>
      </c>
      <c r="B183" s="143"/>
      <c r="C183" s="93" t="s">
        <v>402</v>
      </c>
      <c r="D183" s="98">
        <f>(51.773)*(10.764)</f>
        <v>557.28457200000003</v>
      </c>
      <c r="E183" s="98">
        <f>(2.9*0.9)*(10.764)</f>
        <v>28.094039999999996</v>
      </c>
      <c r="F183" s="93">
        <f t="shared" si="23"/>
        <v>585.37861199999998</v>
      </c>
      <c r="G183" s="93">
        <v>0</v>
      </c>
      <c r="H183" s="93">
        <f t="shared" si="24"/>
        <v>878.06791799999996</v>
      </c>
      <c r="I183" s="94">
        <f>2</f>
        <v>2</v>
      </c>
      <c r="J183" s="35"/>
    </row>
    <row r="184" spans="1:20" s="94" customFormat="1" ht="15.75" customHeight="1" x14ac:dyDescent="0.25">
      <c r="A184" s="229" t="s">
        <v>407</v>
      </c>
      <c r="B184" s="230"/>
      <c r="C184" s="230"/>
      <c r="D184" s="230"/>
      <c r="E184" s="230"/>
      <c r="F184" s="230"/>
      <c r="G184" s="230"/>
      <c r="H184" s="231"/>
      <c r="I184" s="35"/>
      <c r="L184" s="262"/>
      <c r="M184" s="262"/>
      <c r="N184" s="35"/>
    </row>
    <row r="185" spans="1:20" s="94" customFormat="1" ht="15.75" customHeight="1" x14ac:dyDescent="0.25">
      <c r="A185" s="142">
        <v>1</v>
      </c>
      <c r="B185" s="143"/>
      <c r="C185" s="93" t="s">
        <v>403</v>
      </c>
      <c r="D185" s="98">
        <f>(34.19)*(10.764)</f>
        <v>368.02115999999995</v>
      </c>
      <c r="E185" s="98">
        <f t="shared" ref="E185:E191" si="26">(2.75*1)*(10.764)</f>
        <v>29.600999999999999</v>
      </c>
      <c r="F185" s="93">
        <f t="shared" ref="F185:F194" si="27">D185+E185</f>
        <v>397.62215999999995</v>
      </c>
      <c r="G185" s="93">
        <v>0</v>
      </c>
      <c r="H185" s="93">
        <f t="shared" ref="H185:H194" si="28">F185*(($H$124)+1)+(IF(G185&lt;101,G185,IF(G185&lt;201,G185/2,IF(G185&lt;=301,G185/3,G185/4))))</f>
        <v>596.43323999999996</v>
      </c>
      <c r="I185" s="35"/>
      <c r="L185" s="262"/>
      <c r="M185" s="262"/>
      <c r="N185" s="35"/>
    </row>
    <row r="186" spans="1:20" s="94" customFormat="1" ht="15.75" customHeight="1" x14ac:dyDescent="0.25">
      <c r="A186" s="142">
        <f>A185+1</f>
        <v>2</v>
      </c>
      <c r="B186" s="143"/>
      <c r="C186" s="93" t="s">
        <v>403</v>
      </c>
      <c r="D186" s="98">
        <f>(34.19)*(10.764)</f>
        <v>368.02115999999995</v>
      </c>
      <c r="E186" s="98">
        <f t="shared" si="26"/>
        <v>29.600999999999999</v>
      </c>
      <c r="F186" s="93">
        <f t="shared" si="27"/>
        <v>397.62215999999995</v>
      </c>
      <c r="G186" s="93">
        <v>0</v>
      </c>
      <c r="H186" s="93">
        <f t="shared" si="28"/>
        <v>596.43323999999996</v>
      </c>
      <c r="I186" s="35"/>
      <c r="L186" s="262"/>
      <c r="M186" s="262"/>
      <c r="N186" s="35"/>
    </row>
    <row r="187" spans="1:20" s="94" customFormat="1" ht="15.75" customHeight="1" x14ac:dyDescent="0.25">
      <c r="A187" s="142">
        <f t="shared" ref="A187:A194" si="29">A186+1</f>
        <v>3</v>
      </c>
      <c r="B187" s="143"/>
      <c r="C187" s="93" t="s">
        <v>403</v>
      </c>
      <c r="D187" s="98">
        <f>(34.195)*(10.764)</f>
        <v>368.07497999999998</v>
      </c>
      <c r="E187" s="98">
        <f t="shared" si="26"/>
        <v>29.600999999999999</v>
      </c>
      <c r="F187" s="93">
        <f t="shared" si="27"/>
        <v>397.67597999999998</v>
      </c>
      <c r="G187" s="93">
        <v>0</v>
      </c>
      <c r="H187" s="93">
        <f t="shared" si="28"/>
        <v>596.51396999999997</v>
      </c>
      <c r="I187" s="35"/>
      <c r="L187" s="262"/>
      <c r="M187" s="262"/>
      <c r="N187" s="35"/>
      <c r="T187" s="20"/>
    </row>
    <row r="188" spans="1:20" s="94" customFormat="1" ht="15.75" customHeight="1" x14ac:dyDescent="0.25">
      <c r="A188" s="142">
        <f t="shared" si="29"/>
        <v>4</v>
      </c>
      <c r="B188" s="143"/>
      <c r="C188" s="93" t="s">
        <v>403</v>
      </c>
      <c r="D188" s="98">
        <f>(34.192)*(10.764)</f>
        <v>368.042688</v>
      </c>
      <c r="E188" s="98">
        <f t="shared" si="26"/>
        <v>29.600999999999999</v>
      </c>
      <c r="F188" s="93">
        <f t="shared" si="27"/>
        <v>397.643688</v>
      </c>
      <c r="G188" s="93">
        <v>0</v>
      </c>
      <c r="H188" s="93">
        <f t="shared" si="28"/>
        <v>596.46553199999994</v>
      </c>
      <c r="I188" s="35"/>
      <c r="L188" s="262"/>
      <c r="M188" s="262"/>
      <c r="N188" s="35"/>
    </row>
    <row r="189" spans="1:20" s="94" customFormat="1" ht="15.75" customHeight="1" x14ac:dyDescent="0.25">
      <c r="A189" s="142">
        <f t="shared" si="29"/>
        <v>5</v>
      </c>
      <c r="B189" s="143"/>
      <c r="C189" s="93" t="s">
        <v>403</v>
      </c>
      <c r="D189" s="98">
        <f>(34.19)*(10.764)</f>
        <v>368.02115999999995</v>
      </c>
      <c r="E189" s="98">
        <f t="shared" si="26"/>
        <v>29.600999999999999</v>
      </c>
      <c r="F189" s="93">
        <f t="shared" si="27"/>
        <v>397.62215999999995</v>
      </c>
      <c r="G189" s="93">
        <v>0</v>
      </c>
      <c r="H189" s="93">
        <f t="shared" si="28"/>
        <v>596.43323999999996</v>
      </c>
      <c r="I189" s="35"/>
      <c r="L189" s="262"/>
      <c r="M189" s="262"/>
      <c r="N189" s="35"/>
    </row>
    <row r="190" spans="1:20" s="94" customFormat="1" ht="15.75" customHeight="1" x14ac:dyDescent="0.25">
      <c r="A190" s="142">
        <f t="shared" si="29"/>
        <v>6</v>
      </c>
      <c r="B190" s="143"/>
      <c r="C190" s="93" t="s">
        <v>403</v>
      </c>
      <c r="D190" s="98">
        <f>(34.19)*(10.764)</f>
        <v>368.02115999999995</v>
      </c>
      <c r="E190" s="98">
        <f t="shared" si="26"/>
        <v>29.600999999999999</v>
      </c>
      <c r="F190" s="93">
        <f t="shared" si="27"/>
        <v>397.62215999999995</v>
      </c>
      <c r="G190" s="93">
        <v>0</v>
      </c>
      <c r="H190" s="93">
        <f t="shared" si="28"/>
        <v>596.43323999999996</v>
      </c>
      <c r="I190" s="35"/>
      <c r="L190" s="262"/>
      <c r="M190" s="262"/>
      <c r="N190" s="35"/>
    </row>
    <row r="191" spans="1:20" s="94" customFormat="1" ht="15.75" customHeight="1" x14ac:dyDescent="0.25">
      <c r="A191" s="142">
        <f t="shared" si="29"/>
        <v>7</v>
      </c>
      <c r="B191" s="143"/>
      <c r="C191" s="93" t="s">
        <v>403</v>
      </c>
      <c r="D191" s="98">
        <f>(34.192)*(10.764)</f>
        <v>368.042688</v>
      </c>
      <c r="E191" s="98">
        <f t="shared" si="26"/>
        <v>29.600999999999999</v>
      </c>
      <c r="F191" s="93">
        <f t="shared" si="27"/>
        <v>397.643688</v>
      </c>
      <c r="G191" s="93">
        <v>0</v>
      </c>
      <c r="H191" s="93">
        <f t="shared" si="28"/>
        <v>596.46553199999994</v>
      </c>
      <c r="I191" s="35"/>
      <c r="L191" s="262"/>
      <c r="M191" s="262"/>
      <c r="N191" s="35"/>
      <c r="T191" s="20"/>
    </row>
    <row r="192" spans="1:20" s="94" customFormat="1" ht="15.75" customHeight="1" x14ac:dyDescent="0.25">
      <c r="A192" s="142">
        <f t="shared" si="29"/>
        <v>8</v>
      </c>
      <c r="B192" s="143"/>
      <c r="C192" s="93" t="s">
        <v>402</v>
      </c>
      <c r="D192" s="98">
        <f>(43.966)*(10.764)</f>
        <v>473.250024</v>
      </c>
      <c r="E192" s="98">
        <f>(2.05*0.95+2.17*1.07)*(10.764)</f>
        <v>45.955821599999986</v>
      </c>
      <c r="F192" s="93">
        <f t="shared" si="27"/>
        <v>519.20584559999998</v>
      </c>
      <c r="G192" s="93">
        <v>0</v>
      </c>
      <c r="H192" s="93">
        <f t="shared" si="28"/>
        <v>778.80876839999996</v>
      </c>
      <c r="I192" s="35"/>
      <c r="L192" s="262"/>
      <c r="M192" s="262"/>
      <c r="N192" s="35"/>
    </row>
    <row r="193" spans="1:20" s="94" customFormat="1" ht="15.75" customHeight="1" x14ac:dyDescent="0.25">
      <c r="A193" s="142">
        <f t="shared" si="29"/>
        <v>9</v>
      </c>
      <c r="B193" s="143"/>
      <c r="C193" s="93" t="s">
        <v>402</v>
      </c>
      <c r="D193" s="98">
        <f>(48.444)*(10.764)</f>
        <v>521.45121600000004</v>
      </c>
      <c r="E193" s="98">
        <f>(2.9*0.9)*(10.764)</f>
        <v>28.094039999999996</v>
      </c>
      <c r="F193" s="93">
        <f t="shared" si="27"/>
        <v>549.54525599999999</v>
      </c>
      <c r="G193" s="93">
        <v>0</v>
      </c>
      <c r="H193" s="93">
        <f t="shared" si="28"/>
        <v>824.31788400000005</v>
      </c>
      <c r="I193" s="35"/>
      <c r="L193" s="262"/>
      <c r="M193" s="262"/>
      <c r="N193" s="35"/>
      <c r="T193" s="20"/>
    </row>
    <row r="194" spans="1:20" s="94" customFormat="1" x14ac:dyDescent="0.25">
      <c r="A194" s="142">
        <f t="shared" si="29"/>
        <v>10</v>
      </c>
      <c r="B194" s="143"/>
      <c r="C194" s="93" t="s">
        <v>402</v>
      </c>
      <c r="D194" s="98">
        <f>(51.773)*(10.764)</f>
        <v>557.28457200000003</v>
      </c>
      <c r="E194" s="98">
        <f>(2.9*0.9)*(10.764)</f>
        <v>28.094039999999996</v>
      </c>
      <c r="F194" s="93">
        <f t="shared" si="27"/>
        <v>585.37861199999998</v>
      </c>
      <c r="G194" s="93">
        <v>0</v>
      </c>
      <c r="H194" s="93">
        <f t="shared" si="28"/>
        <v>878.06791799999996</v>
      </c>
      <c r="I194" s="94">
        <f>1</f>
        <v>1</v>
      </c>
      <c r="J194" s="35"/>
    </row>
    <row r="195" spans="1:20" s="94" customFormat="1" ht="15.75" customHeight="1" x14ac:dyDescent="0.25">
      <c r="A195" s="229" t="s">
        <v>409</v>
      </c>
      <c r="B195" s="230"/>
      <c r="C195" s="230"/>
      <c r="D195" s="230"/>
      <c r="E195" s="230"/>
      <c r="F195" s="230"/>
      <c r="G195" s="230"/>
      <c r="H195" s="231"/>
      <c r="I195" s="35"/>
      <c r="L195" s="262"/>
      <c r="M195" s="262"/>
      <c r="N195" s="35"/>
    </row>
    <row r="196" spans="1:20" s="94" customFormat="1" ht="15.75" customHeight="1" x14ac:dyDescent="0.25">
      <c r="A196" s="142">
        <v>1</v>
      </c>
      <c r="B196" s="143"/>
      <c r="C196" s="93" t="s">
        <v>403</v>
      </c>
      <c r="D196" s="98">
        <f>(34.19)*(10.764)</f>
        <v>368.02115999999995</v>
      </c>
      <c r="E196" s="98">
        <f t="shared" ref="E196:E202" si="30">(2.75*1)*(10.764)</f>
        <v>29.600999999999999</v>
      </c>
      <c r="F196" s="93">
        <f t="shared" ref="F196:F202" si="31">D196+E196</f>
        <v>397.62215999999995</v>
      </c>
      <c r="G196" s="93">
        <v>0</v>
      </c>
      <c r="H196" s="93">
        <f t="shared" ref="H196:H202" si="32">F196*(($H$124)+1)+(IF(G196&lt;101,G196,IF(G196&lt;201,G196/2,IF(G196&lt;=301,G196/3,G196/4))))</f>
        <v>596.43323999999996</v>
      </c>
      <c r="I196" s="35"/>
      <c r="L196" s="262"/>
      <c r="M196" s="262"/>
      <c r="N196" s="35"/>
    </row>
    <row r="197" spans="1:20" s="94" customFormat="1" ht="15.75" customHeight="1" x14ac:dyDescent="0.25">
      <c r="A197" s="142">
        <f>A196+1</f>
        <v>2</v>
      </c>
      <c r="B197" s="143"/>
      <c r="C197" s="93" t="s">
        <v>403</v>
      </c>
      <c r="D197" s="98">
        <f>(34.19)*(10.764)</f>
        <v>368.02115999999995</v>
      </c>
      <c r="E197" s="98">
        <f t="shared" si="30"/>
        <v>29.600999999999999</v>
      </c>
      <c r="F197" s="93">
        <f t="shared" si="31"/>
        <v>397.62215999999995</v>
      </c>
      <c r="G197" s="93">
        <v>0</v>
      </c>
      <c r="H197" s="93">
        <f t="shared" si="32"/>
        <v>596.43323999999996</v>
      </c>
      <c r="I197" s="35"/>
      <c r="L197" s="262"/>
      <c r="M197" s="262"/>
      <c r="N197" s="35"/>
    </row>
    <row r="198" spans="1:20" s="94" customFormat="1" ht="15.75" customHeight="1" x14ac:dyDescent="0.25">
      <c r="A198" s="142">
        <f t="shared" ref="A198:A205" si="33">A197+1</f>
        <v>3</v>
      </c>
      <c r="B198" s="143"/>
      <c r="C198" s="93" t="s">
        <v>403</v>
      </c>
      <c r="D198" s="98">
        <f>(34.195)*(10.764)</f>
        <v>368.07497999999998</v>
      </c>
      <c r="E198" s="98">
        <f t="shared" si="30"/>
        <v>29.600999999999999</v>
      </c>
      <c r="F198" s="93">
        <f t="shared" si="31"/>
        <v>397.67597999999998</v>
      </c>
      <c r="G198" s="93">
        <v>0</v>
      </c>
      <c r="H198" s="93">
        <f t="shared" si="32"/>
        <v>596.51396999999997</v>
      </c>
      <c r="I198" s="35"/>
      <c r="L198" s="262"/>
      <c r="M198" s="262"/>
      <c r="N198" s="35"/>
      <c r="T198" s="20"/>
    </row>
    <row r="199" spans="1:20" s="94" customFormat="1" ht="15.75" customHeight="1" x14ac:dyDescent="0.25">
      <c r="A199" s="142">
        <f t="shared" si="33"/>
        <v>4</v>
      </c>
      <c r="B199" s="143"/>
      <c r="C199" s="93" t="s">
        <v>403</v>
      </c>
      <c r="D199" s="98">
        <f>(34.192)*(10.764)</f>
        <v>368.042688</v>
      </c>
      <c r="E199" s="98">
        <f t="shared" si="30"/>
        <v>29.600999999999999</v>
      </c>
      <c r="F199" s="93">
        <f t="shared" si="31"/>
        <v>397.643688</v>
      </c>
      <c r="G199" s="93">
        <v>0</v>
      </c>
      <c r="H199" s="93">
        <f t="shared" si="32"/>
        <v>596.46553199999994</v>
      </c>
      <c r="I199" s="35"/>
      <c r="L199" s="262"/>
      <c r="M199" s="262"/>
      <c r="N199" s="35"/>
    </row>
    <row r="200" spans="1:20" s="94" customFormat="1" ht="15.75" customHeight="1" x14ac:dyDescent="0.25">
      <c r="A200" s="142">
        <f t="shared" si="33"/>
        <v>5</v>
      </c>
      <c r="B200" s="143"/>
      <c r="C200" s="93" t="s">
        <v>403</v>
      </c>
      <c r="D200" s="98">
        <f>(34.19)*(10.764)</f>
        <v>368.02115999999995</v>
      </c>
      <c r="E200" s="98">
        <f t="shared" si="30"/>
        <v>29.600999999999999</v>
      </c>
      <c r="F200" s="93">
        <f t="shared" si="31"/>
        <v>397.62215999999995</v>
      </c>
      <c r="G200" s="93">
        <v>0</v>
      </c>
      <c r="H200" s="93">
        <f t="shared" si="32"/>
        <v>596.43323999999996</v>
      </c>
      <c r="I200" s="35"/>
      <c r="L200" s="262"/>
      <c r="M200" s="262"/>
      <c r="N200" s="35"/>
    </row>
    <row r="201" spans="1:20" s="94" customFormat="1" ht="15.75" customHeight="1" x14ac:dyDescent="0.25">
      <c r="A201" s="142">
        <f t="shared" si="33"/>
        <v>6</v>
      </c>
      <c r="B201" s="143"/>
      <c r="C201" s="93" t="s">
        <v>403</v>
      </c>
      <c r="D201" s="98">
        <f>(34.19)*(10.764)</f>
        <v>368.02115999999995</v>
      </c>
      <c r="E201" s="98">
        <f t="shared" si="30"/>
        <v>29.600999999999999</v>
      </c>
      <c r="F201" s="93">
        <f t="shared" si="31"/>
        <v>397.62215999999995</v>
      </c>
      <c r="G201" s="93">
        <v>0</v>
      </c>
      <c r="H201" s="93">
        <f t="shared" si="32"/>
        <v>596.43323999999996</v>
      </c>
      <c r="I201" s="35"/>
      <c r="L201" s="262"/>
      <c r="M201" s="262"/>
      <c r="N201" s="35"/>
    </row>
    <row r="202" spans="1:20" s="94" customFormat="1" ht="15.75" customHeight="1" x14ac:dyDescent="0.25">
      <c r="A202" s="142">
        <f t="shared" si="33"/>
        <v>7</v>
      </c>
      <c r="B202" s="143"/>
      <c r="C202" s="93" t="s">
        <v>403</v>
      </c>
      <c r="D202" s="98">
        <f>(34.192)*(10.764)</f>
        <v>368.042688</v>
      </c>
      <c r="E202" s="98">
        <f t="shared" si="30"/>
        <v>29.600999999999999</v>
      </c>
      <c r="F202" s="93">
        <f t="shared" si="31"/>
        <v>397.643688</v>
      </c>
      <c r="G202" s="93">
        <v>0</v>
      </c>
      <c r="H202" s="93">
        <f t="shared" si="32"/>
        <v>596.46553199999994</v>
      </c>
      <c r="I202" s="35"/>
      <c r="L202" s="262"/>
      <c r="M202" s="262"/>
      <c r="N202" s="35"/>
      <c r="T202" s="20"/>
    </row>
    <row r="203" spans="1:20" s="94" customFormat="1" ht="15.75" customHeight="1" x14ac:dyDescent="0.25">
      <c r="A203" s="142">
        <f t="shared" si="33"/>
        <v>8</v>
      </c>
      <c r="B203" s="143"/>
      <c r="C203" s="142" t="s">
        <v>406</v>
      </c>
      <c r="D203" s="263"/>
      <c r="E203" s="263"/>
      <c r="F203" s="263"/>
      <c r="G203" s="263"/>
      <c r="H203" s="143"/>
      <c r="I203" s="35"/>
      <c r="L203" s="262"/>
      <c r="M203" s="262"/>
      <c r="N203" s="35"/>
    </row>
    <row r="204" spans="1:20" s="94" customFormat="1" ht="15.75" customHeight="1" x14ac:dyDescent="0.25">
      <c r="A204" s="142">
        <f t="shared" si="33"/>
        <v>9</v>
      </c>
      <c r="B204" s="143"/>
      <c r="C204" s="93" t="s">
        <v>402</v>
      </c>
      <c r="D204" s="98">
        <f>(48.444)*(10.764)</f>
        <v>521.45121600000004</v>
      </c>
      <c r="E204" s="98">
        <f>(2.9*0.9)*(10.764)</f>
        <v>28.094039999999996</v>
      </c>
      <c r="F204" s="93">
        <f>D204+E204</f>
        <v>549.54525599999999</v>
      </c>
      <c r="G204" s="93">
        <v>0</v>
      </c>
      <c r="H204" s="93">
        <f>F204*(($H$124)+1)+(IF(G204&lt;101,G204,IF(G204&lt;201,G204/2,IF(G204&lt;=301,G204/3,G204/4))))</f>
        <v>824.31788400000005</v>
      </c>
      <c r="I204" s="35"/>
      <c r="L204" s="262"/>
      <c r="M204" s="262"/>
      <c r="N204" s="35"/>
      <c r="T204" s="20"/>
    </row>
    <row r="205" spans="1:20" s="94" customFormat="1" x14ac:dyDescent="0.25">
      <c r="A205" s="142">
        <f t="shared" si="33"/>
        <v>10</v>
      </c>
      <c r="B205" s="143"/>
      <c r="C205" s="93" t="s">
        <v>402</v>
      </c>
      <c r="D205" s="98">
        <f>(51.773)*(10.764)</f>
        <v>557.28457200000003</v>
      </c>
      <c r="E205" s="98">
        <f>(2.9*0.9)*(10.764)</f>
        <v>28.094039999999996</v>
      </c>
      <c r="F205" s="93">
        <f>D205+E205</f>
        <v>585.37861199999998</v>
      </c>
      <c r="G205" s="93">
        <v>0</v>
      </c>
      <c r="H205" s="93">
        <f>F205*(($H$124)+1)+(IF(G205&lt;101,G205,IF(G205&lt;201,G205/2,IF(G205&lt;=301,G205/3,G205/4))))</f>
        <v>878.06791799999996</v>
      </c>
      <c r="I205" s="94">
        <f>1</f>
        <v>1</v>
      </c>
      <c r="J205" s="35"/>
    </row>
    <row r="206" spans="1:20" s="94" customFormat="1" ht="15.75" customHeight="1" x14ac:dyDescent="0.25">
      <c r="A206" s="229" t="s">
        <v>411</v>
      </c>
      <c r="B206" s="230"/>
      <c r="C206" s="230"/>
      <c r="D206" s="230"/>
      <c r="E206" s="230"/>
      <c r="F206" s="230"/>
      <c r="G206" s="230"/>
      <c r="H206" s="231"/>
      <c r="I206" s="35"/>
      <c r="L206" s="262"/>
      <c r="M206" s="262"/>
      <c r="N206" s="35"/>
    </row>
    <row r="207" spans="1:20" s="94" customFormat="1" ht="15.75" customHeight="1" x14ac:dyDescent="0.25">
      <c r="A207" s="142">
        <v>1</v>
      </c>
      <c r="B207" s="143"/>
      <c r="C207" s="93" t="s">
        <v>405</v>
      </c>
      <c r="D207" s="264" t="s">
        <v>412</v>
      </c>
      <c r="E207" s="265"/>
      <c r="F207" s="265"/>
      <c r="G207" s="265"/>
      <c r="H207" s="266"/>
      <c r="I207" s="35"/>
      <c r="L207" s="262"/>
      <c r="M207" s="262"/>
      <c r="N207" s="35"/>
    </row>
    <row r="208" spans="1:20" s="94" customFormat="1" ht="15.75" customHeight="1" x14ac:dyDescent="0.25">
      <c r="A208" s="142">
        <f>A207+1</f>
        <v>2</v>
      </c>
      <c r="B208" s="143"/>
      <c r="C208" s="93" t="s">
        <v>405</v>
      </c>
      <c r="D208" s="267"/>
      <c r="E208" s="268"/>
      <c r="F208" s="268"/>
      <c r="G208" s="268"/>
      <c r="H208" s="269"/>
      <c r="I208" s="35"/>
      <c r="L208" s="262"/>
      <c r="M208" s="262"/>
      <c r="N208" s="35"/>
    </row>
    <row r="209" spans="1:20" s="94" customFormat="1" ht="15.75" customHeight="1" x14ac:dyDescent="0.25">
      <c r="A209" s="142">
        <f t="shared" ref="A209:A215" si="34">A208+1</f>
        <v>3</v>
      </c>
      <c r="B209" s="143"/>
      <c r="C209" s="93" t="s">
        <v>403</v>
      </c>
      <c r="D209" s="98">
        <f>(34.195)*(10.764)</f>
        <v>368.07497999999998</v>
      </c>
      <c r="E209" s="98">
        <f>(2.75*1)*(10.764)</f>
        <v>29.600999999999999</v>
      </c>
      <c r="F209" s="93">
        <f>D209+E209</f>
        <v>397.67597999999998</v>
      </c>
      <c r="G209" s="93">
        <v>0</v>
      </c>
      <c r="H209" s="93">
        <f>F209*(($H$124)+1)+(IF(G209&lt;101,G209,IF(G209&lt;201,G209/2,IF(G209&lt;=301,G209/3,G209/4))))</f>
        <v>596.51396999999997</v>
      </c>
      <c r="I209" s="35"/>
      <c r="L209" s="262"/>
      <c r="M209" s="262"/>
      <c r="N209" s="35"/>
      <c r="T209" s="20"/>
    </row>
    <row r="210" spans="1:20" s="94" customFormat="1" ht="15.75" customHeight="1" x14ac:dyDescent="0.25">
      <c r="A210" s="142">
        <f t="shared" si="34"/>
        <v>4</v>
      </c>
      <c r="B210" s="143"/>
      <c r="C210" s="93" t="s">
        <v>405</v>
      </c>
      <c r="D210" s="264" t="s">
        <v>413</v>
      </c>
      <c r="E210" s="265"/>
      <c r="F210" s="265"/>
      <c r="G210" s="265"/>
      <c r="H210" s="266"/>
      <c r="I210" s="35"/>
      <c r="L210" s="262"/>
      <c r="M210" s="262"/>
      <c r="N210" s="35"/>
    </row>
    <row r="211" spans="1:20" s="94" customFormat="1" ht="15.75" customHeight="1" x14ac:dyDescent="0.25">
      <c r="A211" s="142">
        <f t="shared" si="34"/>
        <v>5</v>
      </c>
      <c r="B211" s="143"/>
      <c r="C211" s="93" t="s">
        <v>405</v>
      </c>
      <c r="D211" s="270"/>
      <c r="E211" s="271"/>
      <c r="F211" s="271"/>
      <c r="G211" s="271"/>
      <c r="H211" s="272"/>
      <c r="I211" s="35"/>
      <c r="L211" s="262"/>
      <c r="M211" s="262"/>
      <c r="N211" s="35"/>
    </row>
    <row r="212" spans="1:20" s="94" customFormat="1" ht="15.75" customHeight="1" x14ac:dyDescent="0.25">
      <c r="A212" s="142">
        <f t="shared" si="34"/>
        <v>6</v>
      </c>
      <c r="B212" s="143"/>
      <c r="C212" s="93" t="s">
        <v>405</v>
      </c>
      <c r="D212" s="270"/>
      <c r="E212" s="271"/>
      <c r="F212" s="271"/>
      <c r="G212" s="271"/>
      <c r="H212" s="272"/>
      <c r="I212" s="35"/>
      <c r="L212" s="262"/>
      <c r="M212" s="262"/>
      <c r="N212" s="35"/>
    </row>
    <row r="213" spans="1:20" s="94" customFormat="1" ht="15.75" customHeight="1" x14ac:dyDescent="0.25">
      <c r="A213" s="142">
        <f t="shared" si="34"/>
        <v>7</v>
      </c>
      <c r="B213" s="143"/>
      <c r="C213" s="93" t="s">
        <v>405</v>
      </c>
      <c r="D213" s="270"/>
      <c r="E213" s="271"/>
      <c r="F213" s="271"/>
      <c r="G213" s="271"/>
      <c r="H213" s="272"/>
      <c r="I213" s="35"/>
      <c r="L213" s="262"/>
      <c r="M213" s="262"/>
      <c r="N213" s="35"/>
      <c r="T213" s="20"/>
    </row>
    <row r="214" spans="1:20" s="94" customFormat="1" ht="15.75" customHeight="1" x14ac:dyDescent="0.25">
      <c r="A214" s="142">
        <v>9</v>
      </c>
      <c r="B214" s="143"/>
      <c r="C214" s="93" t="s">
        <v>405</v>
      </c>
      <c r="D214" s="264" t="s">
        <v>414</v>
      </c>
      <c r="E214" s="265"/>
      <c r="F214" s="265"/>
      <c r="G214" s="265"/>
      <c r="H214" s="266"/>
      <c r="I214" s="35"/>
      <c r="L214" s="262"/>
      <c r="M214" s="262"/>
      <c r="N214" s="35"/>
      <c r="T214" s="20"/>
    </row>
    <row r="215" spans="1:20" s="34" customFormat="1" x14ac:dyDescent="0.25">
      <c r="A215" s="142">
        <f t="shared" si="34"/>
        <v>10</v>
      </c>
      <c r="B215" s="143"/>
      <c r="C215" s="93" t="s">
        <v>405</v>
      </c>
      <c r="D215" s="267"/>
      <c r="E215" s="268"/>
      <c r="F215" s="268"/>
      <c r="G215" s="268"/>
      <c r="H215" s="269"/>
      <c r="T215" s="36"/>
    </row>
    <row r="216" spans="1:20" s="34" customFormat="1" x14ac:dyDescent="0.25">
      <c r="A216" s="258" t="s">
        <v>64</v>
      </c>
      <c r="B216" s="258"/>
      <c r="C216" s="258"/>
      <c r="D216" s="258"/>
      <c r="E216" s="258"/>
      <c r="F216" s="258"/>
      <c r="G216" s="258"/>
      <c r="H216" s="258"/>
      <c r="T216" s="36"/>
    </row>
    <row r="217" spans="1:20" s="34" customFormat="1" x14ac:dyDescent="0.25">
      <c r="A217" s="45" t="s">
        <v>146</v>
      </c>
      <c r="B217" s="130" t="s">
        <v>419</v>
      </c>
      <c r="C217" s="131"/>
      <c r="D217" s="131"/>
      <c r="E217" s="131"/>
      <c r="F217" s="131"/>
      <c r="G217" s="131"/>
      <c r="H217" s="132"/>
      <c r="T217" s="36"/>
    </row>
    <row r="218" spans="1:20" s="34" customFormat="1" x14ac:dyDescent="0.25">
      <c r="A218" s="45" t="s">
        <v>146</v>
      </c>
      <c r="B218" s="130" t="str">
        <f>(IF(H123="Saleable area Loading :","We have considered Saleable area of Flats as per our Calculation.","We considered Saleable area of Flat as per Builder area Sheet."))</f>
        <v>We have considered Saleable area of Flats as per our Calculation.</v>
      </c>
      <c r="C218" s="131"/>
      <c r="D218" s="131"/>
      <c r="E218" s="131"/>
      <c r="F218" s="131"/>
      <c r="G218" s="131"/>
      <c r="H218" s="132"/>
      <c r="T218" s="36"/>
    </row>
    <row r="219" spans="1:20" s="34" customFormat="1" x14ac:dyDescent="0.25">
      <c r="A219" s="45" t="s">
        <v>146</v>
      </c>
      <c r="B219" s="139" t="s">
        <v>116</v>
      </c>
      <c r="C219" s="140"/>
      <c r="D219" s="140"/>
      <c r="E219" s="140"/>
      <c r="F219" s="140"/>
      <c r="G219" s="140"/>
      <c r="H219" s="141"/>
      <c r="T219" s="36"/>
    </row>
    <row r="220" spans="1:20" s="34" customFormat="1" x14ac:dyDescent="0.25">
      <c r="A220" s="45" t="s">
        <v>146</v>
      </c>
      <c r="B220" s="130" t="s">
        <v>429</v>
      </c>
      <c r="C220" s="131"/>
      <c r="D220" s="131"/>
      <c r="E220" s="131"/>
      <c r="F220" s="131"/>
      <c r="G220" s="131"/>
      <c r="H220" s="132"/>
    </row>
    <row r="221" spans="1:20" s="34" customFormat="1" x14ac:dyDescent="0.25">
      <c r="A221" s="45" t="s">
        <v>146</v>
      </c>
      <c r="B221" s="139" t="s">
        <v>145</v>
      </c>
      <c r="C221" s="140"/>
      <c r="D221" s="140"/>
      <c r="E221" s="140"/>
      <c r="F221" s="140"/>
      <c r="G221" s="140"/>
      <c r="H221" s="141"/>
    </row>
    <row r="222" spans="1:20" s="34" customFormat="1" x14ac:dyDescent="0.25">
      <c r="A222" s="45" t="s">
        <v>146</v>
      </c>
      <c r="B222" s="139" t="s">
        <v>117</v>
      </c>
      <c r="C222" s="140"/>
      <c r="D222" s="140"/>
      <c r="E222" s="140"/>
      <c r="F222" s="140"/>
      <c r="G222" s="140"/>
      <c r="H222" s="141"/>
    </row>
    <row r="223" spans="1:20" s="34" customFormat="1" ht="34.5" customHeight="1" x14ac:dyDescent="0.25">
      <c r="A223" s="45" t="s">
        <v>146</v>
      </c>
      <c r="B223" s="130" t="s">
        <v>147</v>
      </c>
      <c r="C223" s="131"/>
      <c r="D223" s="131"/>
      <c r="E223" s="131"/>
      <c r="F223" s="131"/>
      <c r="G223" s="131"/>
      <c r="H223" s="132"/>
    </row>
    <row r="224" spans="1:20" s="34" customFormat="1" x14ac:dyDescent="0.25">
      <c r="A224" s="45" t="s">
        <v>146</v>
      </c>
      <c r="B224" s="139" t="s">
        <v>118</v>
      </c>
      <c r="C224" s="140"/>
      <c r="D224" s="140"/>
      <c r="E224" s="140"/>
      <c r="F224" s="140"/>
      <c r="G224" s="140"/>
      <c r="H224" s="141"/>
    </row>
    <row r="225" spans="1:20" s="34" customFormat="1" x14ac:dyDescent="0.25">
      <c r="A225" s="45" t="s">
        <v>146</v>
      </c>
      <c r="B225" s="130" t="s">
        <v>420</v>
      </c>
      <c r="C225" s="131"/>
      <c r="D225" s="131"/>
      <c r="E225" s="131"/>
      <c r="F225" s="131"/>
      <c r="G225" s="131"/>
      <c r="H225" s="132"/>
    </row>
    <row r="226" spans="1:20" s="34" customFormat="1" hidden="1" x14ac:dyDescent="0.25">
      <c r="A226" s="45" t="s">
        <v>146</v>
      </c>
      <c r="B226" s="120" t="s">
        <v>337</v>
      </c>
      <c r="C226" s="121"/>
      <c r="D226" s="121"/>
      <c r="E226" s="121"/>
      <c r="F226" s="121"/>
      <c r="G226" s="121"/>
      <c r="H226" s="122"/>
    </row>
    <row r="227" spans="1:20" s="34" customFormat="1" ht="81.75" hidden="1" customHeight="1" x14ac:dyDescent="0.25">
      <c r="A227" s="45" t="s">
        <v>146</v>
      </c>
      <c r="B227" s="120" t="str">
        <f ca="1">IF(G52&gt;EDATE(E3,-48),"NO REMARK FOR CC","REMARK FOR CC")</f>
        <v>NO REMARK FOR CC</v>
      </c>
      <c r="C227" s="121"/>
      <c r="D227" s="121"/>
      <c r="E227" s="121"/>
      <c r="F227" s="121"/>
      <c r="G227" s="121"/>
      <c r="H227" s="122"/>
    </row>
    <row r="228" spans="1:20" hidden="1" x14ac:dyDescent="0.25">
      <c r="A228" s="45" t="s">
        <v>146</v>
      </c>
      <c r="B228" s="120" t="s">
        <v>338</v>
      </c>
      <c r="C228" s="121"/>
      <c r="D228" s="121"/>
      <c r="E228" s="121"/>
      <c r="F228" s="121"/>
      <c r="G228" s="121"/>
      <c r="H228" s="122"/>
      <c r="T228" s="34"/>
    </row>
    <row r="229" spans="1:20" x14ac:dyDescent="0.25">
      <c r="A229" s="173" t="s">
        <v>57</v>
      </c>
      <c r="B229" s="173"/>
      <c r="C229" s="173"/>
      <c r="D229" s="173"/>
      <c r="E229" s="173"/>
      <c r="F229" s="173"/>
      <c r="G229" s="173"/>
      <c r="H229" s="173"/>
      <c r="T229" s="34"/>
    </row>
    <row r="230" spans="1:20" ht="15.75" customHeight="1" x14ac:dyDescent="0.25">
      <c r="A230" s="151" t="s">
        <v>58</v>
      </c>
      <c r="B230" s="151"/>
      <c r="C230" s="151"/>
      <c r="D230" s="151"/>
      <c r="E230" s="151"/>
      <c r="F230" s="151"/>
      <c r="G230" s="151"/>
      <c r="H230" s="151"/>
      <c r="T230" s="34"/>
    </row>
    <row r="231" spans="1:20" x14ac:dyDescent="0.25">
      <c r="A231" s="232" t="s">
        <v>59</v>
      </c>
      <c r="B231" s="232"/>
      <c r="C231" s="232"/>
      <c r="D231" s="232"/>
      <c r="E231" s="232"/>
      <c r="F231" s="232"/>
      <c r="G231" s="232"/>
      <c r="H231" s="232"/>
      <c r="T231" s="34"/>
    </row>
    <row r="232" spans="1:20" x14ac:dyDescent="0.25">
      <c r="A232" s="151" t="s">
        <v>60</v>
      </c>
      <c r="B232" s="151"/>
      <c r="C232" s="151"/>
      <c r="D232" s="151"/>
      <c r="E232" s="151"/>
      <c r="F232" s="151"/>
      <c r="G232" s="151"/>
      <c r="H232" s="151"/>
      <c r="T232" s="34"/>
    </row>
    <row r="233" spans="1:20" x14ac:dyDescent="0.25">
      <c r="A233" s="151" t="s">
        <v>61</v>
      </c>
      <c r="B233" s="151"/>
      <c r="C233" s="151"/>
      <c r="D233" s="151"/>
      <c r="E233" s="151"/>
      <c r="F233" s="151"/>
      <c r="G233" s="151"/>
      <c r="H233" s="151"/>
      <c r="T233" s="34"/>
    </row>
    <row r="234" spans="1:20" x14ac:dyDescent="0.25">
      <c r="A234" s="151" t="s">
        <v>119</v>
      </c>
      <c r="B234" s="151"/>
      <c r="C234" s="151"/>
      <c r="D234" s="151"/>
      <c r="E234" s="151"/>
      <c r="F234" s="151"/>
      <c r="G234" s="151"/>
      <c r="H234" s="151"/>
    </row>
    <row r="235" spans="1:20" x14ac:dyDescent="0.25">
      <c r="A235" s="179" t="s">
        <v>120</v>
      </c>
      <c r="B235" s="179"/>
      <c r="C235" s="179"/>
      <c r="D235" s="179"/>
      <c r="E235" s="179"/>
      <c r="F235" s="179"/>
      <c r="G235" s="179"/>
      <c r="H235" s="179"/>
    </row>
    <row r="236" spans="1:20" x14ac:dyDescent="0.25">
      <c r="A236" s="228" t="s">
        <v>72</v>
      </c>
      <c r="B236" s="228"/>
      <c r="C236" s="228" t="s">
        <v>428</v>
      </c>
      <c r="D236" s="228"/>
      <c r="E236" s="228" t="s">
        <v>102</v>
      </c>
      <c r="F236" s="228"/>
      <c r="G236" s="228" t="s">
        <v>421</v>
      </c>
      <c r="H236" s="228"/>
    </row>
    <row r="237" spans="1:20" x14ac:dyDescent="0.25">
      <c r="A237" s="227" t="s">
        <v>74</v>
      </c>
      <c r="B237" s="227"/>
      <c r="C237" s="227"/>
      <c r="D237" s="227"/>
      <c r="E237" s="227"/>
      <c r="F237" s="227"/>
      <c r="G237" s="227"/>
      <c r="H237" s="227"/>
    </row>
    <row r="238" spans="1:20" x14ac:dyDescent="0.25">
      <c r="A238" s="227"/>
      <c r="B238" s="227"/>
      <c r="C238" s="227"/>
      <c r="D238" s="227"/>
      <c r="E238" s="227"/>
      <c r="F238" s="227"/>
      <c r="G238" s="227"/>
      <c r="H238" s="227"/>
    </row>
    <row r="239" spans="1:20" x14ac:dyDescent="0.25">
      <c r="A239" s="227"/>
      <c r="B239" s="227"/>
      <c r="C239" s="227"/>
      <c r="D239" s="227"/>
      <c r="E239" s="227"/>
      <c r="F239" s="227"/>
      <c r="G239" s="227"/>
      <c r="H239" s="227"/>
    </row>
    <row r="240" spans="1:20" x14ac:dyDescent="0.25">
      <c r="A240" s="227"/>
      <c r="B240" s="227"/>
      <c r="C240" s="227"/>
      <c r="D240" s="227"/>
      <c r="E240" s="227"/>
      <c r="F240" s="227"/>
      <c r="G240" s="227"/>
      <c r="H240" s="227"/>
    </row>
    <row r="241" spans="1:8" x14ac:dyDescent="0.25">
      <c r="A241" s="37" t="s">
        <v>62</v>
      </c>
      <c r="B241" s="38"/>
      <c r="C241" s="38"/>
      <c r="D241" s="37" t="str">
        <f>E9</f>
        <v>Kohinoor Gardens</v>
      </c>
      <c r="F241" s="38"/>
      <c r="G241" s="38"/>
      <c r="H241" s="38"/>
    </row>
    <row r="242" spans="1:8" x14ac:dyDescent="0.25">
      <c r="A242" s="38"/>
      <c r="B242" s="38"/>
      <c r="C242" s="38"/>
      <c r="D242" s="38"/>
      <c r="E242" s="38"/>
      <c r="F242" s="38"/>
      <c r="G242" s="38"/>
      <c r="H242" s="38"/>
    </row>
    <row r="243" spans="1:8" ht="15" customHeight="1" x14ac:dyDescent="0.25">
      <c r="A243" s="38"/>
      <c r="B243" s="38"/>
      <c r="C243" s="38"/>
      <c r="D243" s="38"/>
      <c r="E243" s="38"/>
      <c r="F243" s="38"/>
      <c r="G243" s="38"/>
      <c r="H243" s="38"/>
    </row>
    <row r="265" spans="12:12" x14ac:dyDescent="0.25">
      <c r="L265"/>
    </row>
    <row r="285" spans="1:1" x14ac:dyDescent="0.25">
      <c r="A285" s="40" t="s">
        <v>156</v>
      </c>
    </row>
    <row r="329" spans="1:1" x14ac:dyDescent="0.25">
      <c r="A329" s="40" t="s">
        <v>63</v>
      </c>
    </row>
  </sheetData>
  <mergeCells count="435">
    <mergeCell ref="L206:M206"/>
    <mergeCell ref="A208:B208"/>
    <mergeCell ref="L207:M207"/>
    <mergeCell ref="A209:B209"/>
    <mergeCell ref="L208:M208"/>
    <mergeCell ref="A210:B210"/>
    <mergeCell ref="L209:M209"/>
    <mergeCell ref="A215:B215"/>
    <mergeCell ref="L214:M214"/>
    <mergeCell ref="D207:H208"/>
    <mergeCell ref="D210:H213"/>
    <mergeCell ref="D214:H215"/>
    <mergeCell ref="A211:B211"/>
    <mergeCell ref="L210:M210"/>
    <mergeCell ref="A212:B212"/>
    <mergeCell ref="L211:M211"/>
    <mergeCell ref="A213:B213"/>
    <mergeCell ref="L212:M212"/>
    <mergeCell ref="L213:M213"/>
    <mergeCell ref="A214:B214"/>
    <mergeCell ref="L202:M202"/>
    <mergeCell ref="A204:B204"/>
    <mergeCell ref="L203:M203"/>
    <mergeCell ref="C203:H203"/>
    <mergeCell ref="A205:B205"/>
    <mergeCell ref="L204:M204"/>
    <mergeCell ref="A160:H160"/>
    <mergeCell ref="L161:M161"/>
    <mergeCell ref="A162:B162"/>
    <mergeCell ref="L162:M162"/>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L195:M195"/>
    <mergeCell ref="A197:B197"/>
    <mergeCell ref="L196:M196"/>
    <mergeCell ref="A198:B198"/>
    <mergeCell ref="L197:M197"/>
    <mergeCell ref="A199:B199"/>
    <mergeCell ref="L198:M198"/>
    <mergeCell ref="A201:B201"/>
    <mergeCell ref="L200:M200"/>
    <mergeCell ref="L201:M201"/>
    <mergeCell ref="A200:B200"/>
    <mergeCell ref="L199:M199"/>
    <mergeCell ref="L192:M192"/>
    <mergeCell ref="L193:M193"/>
    <mergeCell ref="A149:H149"/>
    <mergeCell ref="A150:B150"/>
    <mergeCell ref="L150:M150"/>
    <mergeCell ref="A151:B151"/>
    <mergeCell ref="L151:M151"/>
    <mergeCell ref="A152:B152"/>
    <mergeCell ref="L152:M152"/>
    <mergeCell ref="A153:B153"/>
    <mergeCell ref="L153:M153"/>
    <mergeCell ref="A154:B154"/>
    <mergeCell ref="L154:M154"/>
    <mergeCell ref="A155:B155"/>
    <mergeCell ref="L155:M155"/>
    <mergeCell ref="A156:B156"/>
    <mergeCell ref="L156:M156"/>
    <mergeCell ref="L157:M157"/>
    <mergeCell ref="L158:M158"/>
    <mergeCell ref="L159:M159"/>
    <mergeCell ref="A184:H184"/>
    <mergeCell ref="A185:B185"/>
    <mergeCell ref="L184:M184"/>
    <mergeCell ref="A170:B170"/>
    <mergeCell ref="L186:M186"/>
    <mergeCell ref="L187:M187"/>
    <mergeCell ref="L188:M188"/>
    <mergeCell ref="L189:M189"/>
    <mergeCell ref="A191:B191"/>
    <mergeCell ref="L190:M190"/>
    <mergeCell ref="A180:B180"/>
    <mergeCell ref="L179:M179"/>
    <mergeCell ref="A181:B181"/>
    <mergeCell ref="L180:M180"/>
    <mergeCell ref="A182:B182"/>
    <mergeCell ref="L181:M181"/>
    <mergeCell ref="A183:B183"/>
    <mergeCell ref="L182:M182"/>
    <mergeCell ref="L191:M191"/>
    <mergeCell ref="L141:M141"/>
    <mergeCell ref="L142:M142"/>
    <mergeCell ref="L143:M143"/>
    <mergeCell ref="A144:B144"/>
    <mergeCell ref="L144:M144"/>
    <mergeCell ref="A145:B145"/>
    <mergeCell ref="L145:M145"/>
    <mergeCell ref="C145:H145"/>
    <mergeCell ref="L185:M185"/>
    <mergeCell ref="L170:M170"/>
    <mergeCell ref="L175:M175"/>
    <mergeCell ref="A177:B177"/>
    <mergeCell ref="L176:M176"/>
    <mergeCell ref="A178:B178"/>
    <mergeCell ref="L177:M177"/>
    <mergeCell ref="A179:B179"/>
    <mergeCell ref="L178:M178"/>
    <mergeCell ref="A135:B135"/>
    <mergeCell ref="A136:B136"/>
    <mergeCell ref="A137:B137"/>
    <mergeCell ref="A171:H171"/>
    <mergeCell ref="A173:H173"/>
    <mergeCell ref="A174:B174"/>
    <mergeCell ref="L173:M173"/>
    <mergeCell ref="A146:B146"/>
    <mergeCell ref="L146:M146"/>
    <mergeCell ref="A147:B147"/>
    <mergeCell ref="L147:M147"/>
    <mergeCell ref="A148:B148"/>
    <mergeCell ref="L148:M148"/>
    <mergeCell ref="A175:B175"/>
    <mergeCell ref="L174:M174"/>
    <mergeCell ref="L139:M139"/>
    <mergeCell ref="L140:M140"/>
    <mergeCell ref="A84:B84"/>
    <mergeCell ref="A50:B50"/>
    <mergeCell ref="A216:H216"/>
    <mergeCell ref="A189:B189"/>
    <mergeCell ref="A190:B190"/>
    <mergeCell ref="A194:B194"/>
    <mergeCell ref="A72:C72"/>
    <mergeCell ref="D73:H73"/>
    <mergeCell ref="A79:B79"/>
    <mergeCell ref="G78:H78"/>
    <mergeCell ref="A87:B87"/>
    <mergeCell ref="A88:B88"/>
    <mergeCell ref="A83:B83"/>
    <mergeCell ref="A82:B82"/>
    <mergeCell ref="E78:F78"/>
    <mergeCell ref="A80:B80"/>
    <mergeCell ref="E117:F117"/>
    <mergeCell ref="A121:H121"/>
    <mergeCell ref="A176:B176"/>
    <mergeCell ref="A195:H195"/>
    <mergeCell ref="A196:B196"/>
    <mergeCell ref="A202:B202"/>
    <mergeCell ref="A203:B203"/>
    <mergeCell ref="A206:H206"/>
    <mergeCell ref="A58:B60"/>
    <mergeCell ref="C60:H60"/>
    <mergeCell ref="C58:E59"/>
    <mergeCell ref="A77:B77"/>
    <mergeCell ref="A230:H230"/>
    <mergeCell ref="A109:E109"/>
    <mergeCell ref="A85:B85"/>
    <mergeCell ref="A161:B161"/>
    <mergeCell ref="B223:H223"/>
    <mergeCell ref="A187:B187"/>
    <mergeCell ref="B217:H217"/>
    <mergeCell ref="B218:H218"/>
    <mergeCell ref="B219:H219"/>
    <mergeCell ref="A75:B75"/>
    <mergeCell ref="C75:H75"/>
    <mergeCell ref="A70:C70"/>
    <mergeCell ref="D70:H70"/>
    <mergeCell ref="C77:H77"/>
    <mergeCell ref="A71:C71"/>
    <mergeCell ref="D71:H71"/>
    <mergeCell ref="A74:C74"/>
    <mergeCell ref="D74:H74"/>
    <mergeCell ref="A125:H125"/>
    <mergeCell ref="A127:H127"/>
    <mergeCell ref="I15:P15"/>
    <mergeCell ref="F113:H113"/>
    <mergeCell ref="F111:H111"/>
    <mergeCell ref="A158:B158"/>
    <mergeCell ref="A122:H122"/>
    <mergeCell ref="A112:E112"/>
    <mergeCell ref="A61:B61"/>
    <mergeCell ref="C61:E61"/>
    <mergeCell ref="D63:H63"/>
    <mergeCell ref="F112:H112"/>
    <mergeCell ref="C117:D117"/>
    <mergeCell ref="D72:H72"/>
    <mergeCell ref="D64:H64"/>
    <mergeCell ref="G61:H61"/>
    <mergeCell ref="A54:B55"/>
    <mergeCell ref="F107:H107"/>
    <mergeCell ref="A107:E107"/>
    <mergeCell ref="A131:B131"/>
    <mergeCell ref="F103:H103"/>
    <mergeCell ref="F108:H108"/>
    <mergeCell ref="A128:B128"/>
    <mergeCell ref="F109:H109"/>
    <mergeCell ref="A111:E111"/>
    <mergeCell ref="A25:D25"/>
    <mergeCell ref="A172:H172"/>
    <mergeCell ref="B220:H220"/>
    <mergeCell ref="A192:B192"/>
    <mergeCell ref="A193:B193"/>
    <mergeCell ref="B227:H227"/>
    <mergeCell ref="B226:H226"/>
    <mergeCell ref="F106:H106"/>
    <mergeCell ref="A110:E110"/>
    <mergeCell ref="G119:H119"/>
    <mergeCell ref="A106:E106"/>
    <mergeCell ref="A123:A124"/>
    <mergeCell ref="F123:F124"/>
    <mergeCell ref="A132:B132"/>
    <mergeCell ref="A133:B133"/>
    <mergeCell ref="A134:B134"/>
    <mergeCell ref="A126:H126"/>
    <mergeCell ref="A207:B207"/>
    <mergeCell ref="A117:B117"/>
    <mergeCell ref="D123:D124"/>
    <mergeCell ref="E123:E124"/>
    <mergeCell ref="A97:B97"/>
    <mergeCell ref="A99:B99"/>
    <mergeCell ref="F104:H104"/>
    <mergeCell ref="A102:B102"/>
    <mergeCell ref="F110:H110"/>
    <mergeCell ref="C120:D120"/>
    <mergeCell ref="A101:B101"/>
    <mergeCell ref="A103:E103"/>
    <mergeCell ref="A237:H240"/>
    <mergeCell ref="A236:B236"/>
    <mergeCell ref="E236:F236"/>
    <mergeCell ref="C236:D236"/>
    <mergeCell ref="G236:H236"/>
    <mergeCell ref="A114:E114"/>
    <mergeCell ref="F114:H114"/>
    <mergeCell ref="A115:E115"/>
    <mergeCell ref="F115:H115"/>
    <mergeCell ref="A138:H138"/>
    <mergeCell ref="A118:B118"/>
    <mergeCell ref="A159:B159"/>
    <mergeCell ref="A232:H232"/>
    <mergeCell ref="A116:H116"/>
    <mergeCell ref="A235:H235"/>
    <mergeCell ref="A233:H233"/>
    <mergeCell ref="A229:H229"/>
    <mergeCell ref="G117:H117"/>
    <mergeCell ref="B221:H221"/>
    <mergeCell ref="A188:B188"/>
    <mergeCell ref="A142:B142"/>
    <mergeCell ref="A234:H234"/>
    <mergeCell ref="A231:H231"/>
    <mergeCell ref="A139:B1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G52:H52"/>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38:H38"/>
    <mergeCell ref="G54:H54"/>
    <mergeCell ref="A73:C73"/>
    <mergeCell ref="G59:H59"/>
    <mergeCell ref="E42:H42"/>
    <mergeCell ref="A41:H41"/>
    <mergeCell ref="A78:B78"/>
    <mergeCell ref="A46:D46"/>
    <mergeCell ref="A47:D47"/>
    <mergeCell ref="D69:H69"/>
    <mergeCell ref="A44:D44"/>
    <mergeCell ref="E44:H44"/>
    <mergeCell ref="E45:H45"/>
    <mergeCell ref="E46:H46"/>
    <mergeCell ref="E47:H47"/>
    <mergeCell ref="C57:H57"/>
    <mergeCell ref="A48:H48"/>
    <mergeCell ref="D65:H65"/>
    <mergeCell ref="A65:C65"/>
    <mergeCell ref="A45:D45"/>
    <mergeCell ref="A49:B49"/>
    <mergeCell ref="C49:H49"/>
    <mergeCell ref="A66:C67"/>
    <mergeCell ref="D66:H66"/>
    <mergeCell ref="D67:H67"/>
    <mergeCell ref="A95:B95"/>
    <mergeCell ref="A62:H62"/>
    <mergeCell ref="A91:B91"/>
    <mergeCell ref="C53:H53"/>
    <mergeCell ref="A63:C63"/>
    <mergeCell ref="A68:C68"/>
    <mergeCell ref="A69:C69"/>
    <mergeCell ref="D68:H68"/>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A64:C64"/>
    <mergeCell ref="C56:E56"/>
    <mergeCell ref="F105:H105"/>
    <mergeCell ref="A56:B57"/>
    <mergeCell ref="A40:B40"/>
    <mergeCell ref="C40:H40"/>
    <mergeCell ref="C123:C124"/>
    <mergeCell ref="G123:G124"/>
    <mergeCell ref="A129:B129"/>
    <mergeCell ref="A130:B130"/>
    <mergeCell ref="A81:B81"/>
    <mergeCell ref="E79:F88"/>
    <mergeCell ref="G79:H88"/>
    <mergeCell ref="A98:B98"/>
    <mergeCell ref="G92:H92"/>
    <mergeCell ref="A100:B100"/>
    <mergeCell ref="A86:B86"/>
    <mergeCell ref="C118:D118"/>
    <mergeCell ref="E118:F118"/>
    <mergeCell ref="G118:H118"/>
    <mergeCell ref="A104:E104"/>
    <mergeCell ref="A89:B89"/>
    <mergeCell ref="C89:H89"/>
    <mergeCell ref="A93:B93"/>
    <mergeCell ref="C91:H91"/>
    <mergeCell ref="A94:B94"/>
    <mergeCell ref="A105:E105"/>
    <mergeCell ref="G93:H102"/>
    <mergeCell ref="B228:H228"/>
    <mergeCell ref="B123:B124"/>
    <mergeCell ref="A92:B92"/>
    <mergeCell ref="E92:F92"/>
    <mergeCell ref="E93:F102"/>
    <mergeCell ref="B225:H225"/>
    <mergeCell ref="A108:E108"/>
    <mergeCell ref="A120:B120"/>
    <mergeCell ref="E120:F120"/>
    <mergeCell ref="A113:E113"/>
    <mergeCell ref="G120:H120"/>
    <mergeCell ref="C119:D119"/>
    <mergeCell ref="E119:F119"/>
    <mergeCell ref="A119:B119"/>
    <mergeCell ref="B224:H224"/>
    <mergeCell ref="A157:B157"/>
    <mergeCell ref="B222:H222"/>
    <mergeCell ref="A143:B143"/>
    <mergeCell ref="A140:B140"/>
    <mergeCell ref="A141:B141"/>
    <mergeCell ref="A186:B186"/>
    <mergeCell ref="A96:B96"/>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236:H236">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"EP Area, Fungible area,Balcony Area,Chajja Area,Cornice Area,AP Area,WS Area"</formula1>
    </dataValidation>
    <dataValidation type="list" allowBlank="1" showInputMessage="1" showErrorMessage="1" sqref="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3">
      <formula1>"Saleable area Loading :,Builder Saleable Area"</formula1>
    </dataValidation>
    <dataValidation type="list" allowBlank="1" showInputMessage="1" showErrorMessage="1" sqref="D123:D124">
      <formula1>"Carpet Area,Carpet + Encl Balcony Area,RERA Carpet area"</formula1>
    </dataValidation>
  </dataValidations>
  <hyperlinks>
    <hyperlink ref="C40" r:id="rId1"/>
    <hyperlink ref="I66" r:id="rId2"/>
    <hyperlink ref="I71" r:id="rId3"/>
  </hyperlinks>
  <printOptions horizontalCentered="1"/>
  <pageMargins left="0.39370078740157483" right="0.39370078740157483" top="0.82677165354330717" bottom="0.78740157480314965" header="0.15748031496062992" footer="0.19685039370078741"/>
  <pageSetup paperSize="9" scale="98" orientation="portrait" r:id="rId4"/>
  <headerFooter>
    <oddHeader>&amp;C&amp;G</oddHeader>
    <oddFooter>&amp;L&amp;"Times New Roman,Bold"&amp;12Ref No: &amp;F&amp;C&amp;G&amp;R&amp;"Times New Roman,Bold"&amp;12&amp;P</oddFooter>
  </headerFooter>
  <rowBreaks count="5" manualBreakCount="5">
    <brk id="74" max="7" man="1"/>
    <brk id="120" max="7" man="1"/>
    <brk id="240" max="7" man="1"/>
    <brk id="283" max="16383" man="1"/>
    <brk id="328" max="7"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3" t="s">
        <v>103</v>
      </c>
      <c r="C3" s="273"/>
      <c r="D3" s="273"/>
      <c r="E3" s="273"/>
      <c r="F3" s="273"/>
      <c r="G3" s="273"/>
      <c r="H3" s="273"/>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168</v>
      </c>
      <c r="E4" s="53" t="s">
        <v>178</v>
      </c>
      <c r="F4" s="53" t="s">
        <v>163</v>
      </c>
      <c r="G4" s="53" t="s">
        <v>183</v>
      </c>
      <c r="H4" s="53" t="s">
        <v>201</v>
      </c>
      <c r="J4" t="s">
        <v>183</v>
      </c>
      <c r="K4" t="s">
        <v>199</v>
      </c>
    </row>
    <row r="5" spans="2:11" x14ac:dyDescent="0.25">
      <c r="B5" s="52"/>
      <c r="C5" s="52"/>
      <c r="D5" s="53" t="s">
        <v>169</v>
      </c>
      <c r="E5" s="53" t="s">
        <v>176</v>
      </c>
      <c r="F5" s="53" t="s">
        <v>198</v>
      </c>
      <c r="G5" s="53" t="s">
        <v>184</v>
      </c>
      <c r="H5" s="53" t="s">
        <v>202</v>
      </c>
    </row>
    <row r="6" spans="2:11" x14ac:dyDescent="0.25">
      <c r="B6" s="52"/>
      <c r="C6" s="52"/>
      <c r="D6" s="53" t="s">
        <v>170</v>
      </c>
      <c r="E6" s="53" t="s">
        <v>177</v>
      </c>
      <c r="F6" s="53" t="s">
        <v>199</v>
      </c>
      <c r="G6" s="53" t="s">
        <v>185</v>
      </c>
      <c r="H6" s="53" t="s">
        <v>215</v>
      </c>
    </row>
    <row r="7" spans="2:11" x14ac:dyDescent="0.25">
      <c r="B7" s="52"/>
      <c r="C7" s="52"/>
      <c r="D7" s="53" t="s">
        <v>171</v>
      </c>
      <c r="E7" s="53" t="s">
        <v>179</v>
      </c>
      <c r="F7" s="53" t="s">
        <v>200</v>
      </c>
      <c r="G7" s="53" t="s">
        <v>186</v>
      </c>
      <c r="H7" s="53" t="s">
        <v>203</v>
      </c>
    </row>
    <row r="8" spans="2:11" x14ac:dyDescent="0.25">
      <c r="B8" s="52"/>
      <c r="C8" s="52"/>
      <c r="D8" s="53" t="s">
        <v>172</v>
      </c>
      <c r="E8" s="53" t="s">
        <v>180</v>
      </c>
      <c r="F8" s="53"/>
      <c r="G8" s="53" t="s">
        <v>187</v>
      </c>
      <c r="H8" s="53" t="s">
        <v>204</v>
      </c>
    </row>
    <row r="9" spans="2:11" x14ac:dyDescent="0.25">
      <c r="B9" s="52"/>
      <c r="C9" s="52"/>
      <c r="D9" s="53" t="s">
        <v>173</v>
      </c>
      <c r="E9" s="53" t="s">
        <v>178</v>
      </c>
      <c r="F9" s="53"/>
      <c r="G9" s="53" t="s">
        <v>188</v>
      </c>
      <c r="H9" s="53" t="s">
        <v>205</v>
      </c>
    </row>
    <row r="10" spans="2:11" x14ac:dyDescent="0.25">
      <c r="B10" s="52"/>
      <c r="C10" s="52"/>
      <c r="D10" s="53" t="s">
        <v>174</v>
      </c>
      <c r="E10" s="53" t="s">
        <v>181</v>
      </c>
      <c r="F10" s="53"/>
      <c r="G10" s="53" t="s">
        <v>189</v>
      </c>
      <c r="H10" s="53" t="s">
        <v>206</v>
      </c>
    </row>
    <row r="11" spans="2:11" x14ac:dyDescent="0.25">
      <c r="B11" s="52"/>
      <c r="C11" s="52"/>
      <c r="D11" s="53" t="s">
        <v>175</v>
      </c>
      <c r="E11" s="53" t="s">
        <v>182</v>
      </c>
      <c r="F11" s="53"/>
      <c r="G11" s="53" t="s">
        <v>190</v>
      </c>
      <c r="H11" s="53" t="s">
        <v>207</v>
      </c>
    </row>
    <row r="12" spans="2:11" x14ac:dyDescent="0.25">
      <c r="B12" s="52"/>
      <c r="C12" s="52"/>
      <c r="D12" s="53"/>
      <c r="E12" s="53"/>
      <c r="F12" s="53"/>
      <c r="G12" s="53" t="s">
        <v>191</v>
      </c>
      <c r="H12" s="53" t="s">
        <v>208</v>
      </c>
    </row>
    <row r="13" spans="2:11" x14ac:dyDescent="0.25">
      <c r="B13" s="52"/>
      <c r="C13" s="52"/>
      <c r="D13" s="53"/>
      <c r="E13" s="53"/>
      <c r="F13" s="53"/>
      <c r="G13" s="53" t="s">
        <v>192</v>
      </c>
      <c r="H13" s="53" t="s">
        <v>209</v>
      </c>
    </row>
    <row r="14" spans="2:11" x14ac:dyDescent="0.25">
      <c r="B14" s="52"/>
      <c r="C14" s="52"/>
      <c r="D14" s="53"/>
      <c r="E14" s="53"/>
      <c r="F14" s="53"/>
      <c r="G14" s="53" t="s">
        <v>193</v>
      </c>
      <c r="H14" s="53" t="s">
        <v>210</v>
      </c>
    </row>
    <row r="15" spans="2:11" x14ac:dyDescent="0.25">
      <c r="B15" s="52"/>
      <c r="C15" s="52"/>
      <c r="D15" s="53"/>
      <c r="E15" s="53"/>
      <c r="F15" s="53"/>
      <c r="G15" s="53" t="s">
        <v>194</v>
      </c>
      <c r="H15" s="53" t="s">
        <v>211</v>
      </c>
    </row>
    <row r="16" spans="2:11" x14ac:dyDescent="0.25">
      <c r="B16" s="52"/>
      <c r="C16" s="52"/>
      <c r="D16" s="53"/>
      <c r="E16" s="53"/>
      <c r="F16" s="53"/>
      <c r="G16" s="53" t="s">
        <v>195</v>
      </c>
      <c r="H16" s="53" t="s">
        <v>212</v>
      </c>
    </row>
    <row r="17" spans="2:8" x14ac:dyDescent="0.25">
      <c r="B17" s="52"/>
      <c r="C17" s="52"/>
      <c r="D17" s="53"/>
      <c r="E17" s="53"/>
      <c r="F17" s="53"/>
      <c r="G17" s="53" t="s">
        <v>196</v>
      </c>
      <c r="H17" s="53" t="s">
        <v>213</v>
      </c>
    </row>
    <row r="18" spans="2:8" x14ac:dyDescent="0.25">
      <c r="B18" s="52"/>
      <c r="C18" s="52"/>
      <c r="D18" s="53"/>
      <c r="E18" s="53"/>
      <c r="F18" s="53"/>
      <c r="G18" s="53" t="s">
        <v>197</v>
      </c>
      <c r="H18" s="53" t="s">
        <v>214</v>
      </c>
    </row>
    <row r="24" spans="2:8" x14ac:dyDescent="0.25">
      <c r="C24" t="s">
        <v>160</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160</v>
      </c>
    </row>
    <row r="33" spans="3:11" x14ac:dyDescent="0.25">
      <c r="J33">
        <v>1</v>
      </c>
      <c r="K33">
        <v>2</v>
      </c>
    </row>
    <row r="34" spans="3:11" x14ac:dyDescent="0.25">
      <c r="C34" s="54" t="s">
        <v>224</v>
      </c>
      <c r="D34" s="53" t="s">
        <v>222</v>
      </c>
      <c r="E34" s="53" t="s">
        <v>227</v>
      </c>
      <c r="F34" s="53" t="s">
        <v>225</v>
      </c>
      <c r="G34" s="53" t="s">
        <v>226</v>
      </c>
      <c r="H34" s="53" t="s">
        <v>228</v>
      </c>
      <c r="J34" t="s">
        <v>183</v>
      </c>
      <c r="K34" t="s">
        <v>199</v>
      </c>
    </row>
    <row r="35" spans="3:11" x14ac:dyDescent="0.25">
      <c r="C35" s="52" t="s">
        <v>223</v>
      </c>
      <c r="D35" s="53" t="s">
        <v>161</v>
      </c>
      <c r="E35" s="53" t="s">
        <v>232</v>
      </c>
      <c r="F35" s="53" t="s">
        <v>234</v>
      </c>
      <c r="G35" s="53" t="s">
        <v>236</v>
      </c>
      <c r="H35" s="53"/>
    </row>
    <row r="36" spans="3:11" x14ac:dyDescent="0.25">
      <c r="C36" s="52"/>
      <c r="D36" s="53" t="s">
        <v>229</v>
      </c>
      <c r="E36" s="53" t="s">
        <v>233</v>
      </c>
      <c r="F36" s="53" t="s">
        <v>235</v>
      </c>
      <c r="G36" s="53" t="s">
        <v>237</v>
      </c>
      <c r="H36" s="53"/>
    </row>
    <row r="37" spans="3:11" x14ac:dyDescent="0.25">
      <c r="C37" s="52"/>
      <c r="D37" s="53" t="s">
        <v>230</v>
      </c>
      <c r="E37" s="53"/>
      <c r="F37" s="53"/>
      <c r="G37" s="53" t="s">
        <v>238</v>
      </c>
      <c r="H37" s="53"/>
    </row>
    <row r="38" spans="3:11" x14ac:dyDescent="0.25">
      <c r="C38" s="52"/>
      <c r="D38" s="53" t="s">
        <v>231</v>
      </c>
      <c r="E38" s="53"/>
      <c r="F38" s="53"/>
      <c r="G38" s="53" t="s">
        <v>238</v>
      </c>
      <c r="H38" s="53"/>
    </row>
    <row r="39" spans="3:11" x14ac:dyDescent="0.25">
      <c r="C39" s="52"/>
      <c r="D39" s="53"/>
      <c r="E39" s="53"/>
      <c r="F39" s="53"/>
      <c r="G39" s="53" t="s">
        <v>239</v>
      </c>
      <c r="H39" s="53"/>
    </row>
    <row r="40" spans="3:11" x14ac:dyDescent="0.25">
      <c r="C40" s="52"/>
      <c r="D40" s="53"/>
      <c r="E40" s="53"/>
      <c r="F40" s="53"/>
      <c r="G40" s="53" t="s">
        <v>240</v>
      </c>
      <c r="H40" s="53"/>
    </row>
    <row r="41" spans="3:11" x14ac:dyDescent="0.25">
      <c r="C41" s="52"/>
      <c r="D41" s="53"/>
      <c r="E41" s="53"/>
      <c r="F41" s="53"/>
      <c r="G41" s="53"/>
      <c r="H41" s="53"/>
    </row>
    <row r="43" spans="3:11" x14ac:dyDescent="0.25">
      <c r="C43" t="s">
        <v>241</v>
      </c>
    </row>
    <row r="44" spans="3:11" x14ac:dyDescent="0.25">
      <c r="C44" t="s">
        <v>163</v>
      </c>
      <c r="D44" t="s">
        <v>242</v>
      </c>
    </row>
    <row r="45" spans="3:11" x14ac:dyDescent="0.25">
      <c r="D45" t="s">
        <v>243</v>
      </c>
    </row>
    <row r="46" spans="3:11" x14ac:dyDescent="0.25">
      <c r="D46" t="s">
        <v>244</v>
      </c>
    </row>
    <row r="47" spans="3:11" x14ac:dyDescent="0.25">
      <c r="D47" t="s">
        <v>245</v>
      </c>
    </row>
    <row r="48" spans="3:11" x14ac:dyDescent="0.25">
      <c r="D48" t="s">
        <v>246</v>
      </c>
    </row>
    <row r="49" spans="3:4" x14ac:dyDescent="0.25">
      <c r="C49" t="s">
        <v>168</v>
      </c>
      <c r="D49" t="s">
        <v>247</v>
      </c>
    </row>
    <row r="50" spans="3:4" x14ac:dyDescent="0.25">
      <c r="D50" t="s">
        <v>248</v>
      </c>
    </row>
    <row r="51" spans="3:4" x14ac:dyDescent="0.25">
      <c r="D51" t="s">
        <v>249</v>
      </c>
    </row>
    <row r="52" spans="3:4" x14ac:dyDescent="0.25">
      <c r="D52" t="s">
        <v>252</v>
      </c>
    </row>
    <row r="53" spans="3:4" x14ac:dyDescent="0.25">
      <c r="D53" t="s">
        <v>250</v>
      </c>
    </row>
    <row r="54" spans="3:4" x14ac:dyDescent="0.25">
      <c r="D54" t="s">
        <v>251</v>
      </c>
    </row>
    <row r="55" spans="3:4" x14ac:dyDescent="0.25">
      <c r="D55" t="s">
        <v>253</v>
      </c>
    </row>
    <row r="56" spans="3:4" x14ac:dyDescent="0.25">
      <c r="D56" t="s">
        <v>254</v>
      </c>
    </row>
    <row r="57" spans="3:4" x14ac:dyDescent="0.25">
      <c r="D57" t="s">
        <v>255</v>
      </c>
    </row>
    <row r="58" spans="3:4" x14ac:dyDescent="0.25">
      <c r="D58" t="s">
        <v>257</v>
      </c>
    </row>
    <row r="59" spans="3:4" x14ac:dyDescent="0.25">
      <c r="D59" t="s">
        <v>266</v>
      </c>
    </row>
    <row r="60" spans="3:4" x14ac:dyDescent="0.25">
      <c r="C60" t="s">
        <v>183</v>
      </c>
      <c r="D60" t="s">
        <v>258</v>
      </c>
    </row>
    <row r="61" spans="3:4" x14ac:dyDescent="0.25">
      <c r="D61" t="s">
        <v>256</v>
      </c>
    </row>
    <row r="62" spans="3:4" x14ac:dyDescent="0.25">
      <c r="D62" t="s">
        <v>246</v>
      </c>
    </row>
    <row r="63" spans="3:4" x14ac:dyDescent="0.25">
      <c r="D63" t="s">
        <v>259</v>
      </c>
    </row>
    <row r="64" spans="3:4" x14ac:dyDescent="0.25">
      <c r="D64" t="s">
        <v>260</v>
      </c>
    </row>
    <row r="65" spans="3:4" x14ac:dyDescent="0.25">
      <c r="D65" t="s">
        <v>261</v>
      </c>
    </row>
    <row r="66" spans="3:4" x14ac:dyDescent="0.25">
      <c r="D66" t="s">
        <v>262</v>
      </c>
    </row>
    <row r="67" spans="3:4" x14ac:dyDescent="0.25">
      <c r="C67" t="s">
        <v>178</v>
      </c>
      <c r="D67" t="s">
        <v>263</v>
      </c>
    </row>
    <row r="68" spans="3:4" x14ac:dyDescent="0.25">
      <c r="D68" t="s">
        <v>264</v>
      </c>
    </row>
    <row r="69" spans="3:4" x14ac:dyDescent="0.25">
      <c r="D69" t="s">
        <v>265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16" zoomScaleNormal="100" workbookViewId="0">
      <selection activeCell="C24" sqref="C24"/>
    </sheetView>
  </sheetViews>
  <sheetFormatPr defaultRowHeight="15" x14ac:dyDescent="0.25"/>
  <cols>
    <col min="2" max="2" width="3" bestFit="1" customWidth="1"/>
    <col min="3" max="3" width="155.28515625" customWidth="1"/>
  </cols>
  <sheetData>
    <row r="2" spans="2:3" ht="15" customHeight="1" x14ac:dyDescent="0.25">
      <c r="B2" s="55">
        <v>1</v>
      </c>
      <c r="C2" s="57" t="s">
        <v>271</v>
      </c>
    </row>
    <row r="3" spans="2:3" x14ac:dyDescent="0.25">
      <c r="B3" s="55">
        <v>2</v>
      </c>
      <c r="C3" s="56" t="s">
        <v>272</v>
      </c>
    </row>
    <row r="4" spans="2:3" x14ac:dyDescent="0.25">
      <c r="B4" s="55">
        <v>3</v>
      </c>
      <c r="C4" s="55" t="s">
        <v>273</v>
      </c>
    </row>
    <row r="5" spans="2:3" x14ac:dyDescent="0.25">
      <c r="B5" s="55">
        <v>4</v>
      </c>
      <c r="C5" s="56" t="s">
        <v>274</v>
      </c>
    </row>
    <row r="6" spans="2:3" x14ac:dyDescent="0.25">
      <c r="B6" s="55">
        <v>5</v>
      </c>
      <c r="C6" s="55" t="s">
        <v>275</v>
      </c>
    </row>
    <row r="7" spans="2:3" ht="30" x14ac:dyDescent="0.25">
      <c r="B7" s="55">
        <v>6</v>
      </c>
      <c r="C7" s="56" t="s">
        <v>276</v>
      </c>
    </row>
    <row r="8" spans="2:3" ht="75" x14ac:dyDescent="0.25">
      <c r="B8" s="55">
        <v>7</v>
      </c>
      <c r="C8" s="56" t="s">
        <v>277</v>
      </c>
    </row>
    <row r="9" spans="2:3" x14ac:dyDescent="0.25">
      <c r="B9" s="55">
        <v>8</v>
      </c>
      <c r="C9" s="55" t="s">
        <v>278</v>
      </c>
    </row>
    <row r="10" spans="2:3" x14ac:dyDescent="0.25">
      <c r="B10" s="55">
        <v>9</v>
      </c>
      <c r="C10" s="55" t="s">
        <v>279</v>
      </c>
    </row>
    <row r="11" spans="2:3" x14ac:dyDescent="0.25">
      <c r="B11" s="55">
        <v>10</v>
      </c>
      <c r="C11" s="55" t="s">
        <v>280</v>
      </c>
    </row>
    <row r="12" spans="2:3" x14ac:dyDescent="0.25">
      <c r="B12" s="55">
        <v>11</v>
      </c>
      <c r="C12" s="55" t="s">
        <v>281</v>
      </c>
    </row>
    <row r="13" spans="2:3" x14ac:dyDescent="0.25">
      <c r="B13" s="55">
        <v>12</v>
      </c>
      <c r="C13" s="55" t="s">
        <v>282</v>
      </c>
    </row>
    <row r="14" spans="2:3" x14ac:dyDescent="0.25">
      <c r="B14" s="55">
        <v>13</v>
      </c>
      <c r="C14" s="55" t="s">
        <v>283</v>
      </c>
    </row>
    <row r="15" spans="2:3" x14ac:dyDescent="0.25">
      <c r="B15" s="55">
        <v>14</v>
      </c>
      <c r="C15" s="55" t="s">
        <v>273</v>
      </c>
    </row>
    <row r="16" spans="2:3" x14ac:dyDescent="0.25">
      <c r="B16" s="55">
        <v>15</v>
      </c>
      <c r="C16" s="55" t="s">
        <v>285</v>
      </c>
    </row>
    <row r="17" spans="2:3" x14ac:dyDescent="0.25">
      <c r="B17" s="73">
        <v>16</v>
      </c>
      <c r="C17" s="60" t="s">
        <v>286</v>
      </c>
    </row>
    <row r="18" spans="2:3" x14ac:dyDescent="0.25">
      <c r="B18" s="59">
        <v>17</v>
      </c>
      <c r="C18" s="60" t="s">
        <v>287</v>
      </c>
    </row>
    <row r="19" spans="2:3" x14ac:dyDescent="0.25">
      <c r="B19" s="58">
        <v>18</v>
      </c>
      <c r="C19" s="55" t="s">
        <v>288</v>
      </c>
    </row>
    <row r="20" spans="2:3" x14ac:dyDescent="0.25">
      <c r="B20" s="59">
        <v>19</v>
      </c>
      <c r="C20" s="55" t="s">
        <v>324</v>
      </c>
    </row>
    <row r="21" spans="2:3" x14ac:dyDescent="0.25">
      <c r="B21" s="55">
        <v>20</v>
      </c>
      <c r="C21" s="55" t="s">
        <v>289</v>
      </c>
    </row>
    <row r="22" spans="2:3" x14ac:dyDescent="0.25">
      <c r="B22" s="59">
        <v>21</v>
      </c>
      <c r="C22" s="55" t="s">
        <v>288</v>
      </c>
    </row>
    <row r="23" spans="2:3" s="68" customFormat="1" ht="29.25" customHeight="1" x14ac:dyDescent="0.25">
      <c r="B23" s="67">
        <v>22</v>
      </c>
      <c r="C23" s="57" t="s">
        <v>316</v>
      </c>
    </row>
    <row r="24" spans="2:3" s="68" customFormat="1" ht="30.75" customHeight="1" x14ac:dyDescent="0.25">
      <c r="B24" s="69">
        <v>23</v>
      </c>
      <c r="C24" s="57" t="s">
        <v>317</v>
      </c>
    </row>
    <row r="25" spans="2:3" x14ac:dyDescent="0.25">
      <c r="B25" s="55">
        <v>24</v>
      </c>
      <c r="C25" s="55" t="s">
        <v>320</v>
      </c>
    </row>
    <row r="26" spans="2:3" x14ac:dyDescent="0.25">
      <c r="B26" s="59">
        <v>25</v>
      </c>
      <c r="C26" s="55" t="s">
        <v>318</v>
      </c>
    </row>
    <row r="27" spans="2:3" x14ac:dyDescent="0.25">
      <c r="B27" s="69">
        <v>26</v>
      </c>
      <c r="C27" s="55" t="s">
        <v>319</v>
      </c>
    </row>
    <row r="28" spans="2:3" x14ac:dyDescent="0.25">
      <c r="B28" s="59">
        <v>27</v>
      </c>
      <c r="C28" s="55" t="s">
        <v>321</v>
      </c>
    </row>
    <row r="29" spans="2:3" ht="60" x14ac:dyDescent="0.25">
      <c r="B29" s="72">
        <v>28</v>
      </c>
      <c r="C29" s="56" t="s">
        <v>322</v>
      </c>
    </row>
    <row r="30" spans="2:3" x14ac:dyDescent="0.25">
      <c r="B30" s="69">
        <v>29</v>
      </c>
      <c r="C30" s="55" t="s">
        <v>323</v>
      </c>
    </row>
    <row r="31" spans="2:3" ht="30" x14ac:dyDescent="0.25">
      <c r="B31" s="69">
        <v>30</v>
      </c>
      <c r="C31" s="56" t="s">
        <v>325</v>
      </c>
    </row>
    <row r="32" spans="2:3" x14ac:dyDescent="0.25">
      <c r="B32" s="69">
        <v>31</v>
      </c>
      <c r="C32" s="55" t="s">
        <v>326</v>
      </c>
    </row>
    <row r="33" spans="2:4" x14ac:dyDescent="0.25">
      <c r="B33" s="69">
        <v>32</v>
      </c>
      <c r="C33" s="55" t="s">
        <v>327</v>
      </c>
    </row>
    <row r="34" spans="2:4" ht="36.75" customHeight="1" x14ac:dyDescent="0.25">
      <c r="B34" s="69">
        <v>33</v>
      </c>
      <c r="C34" s="60" t="s">
        <v>328</v>
      </c>
    </row>
    <row r="35" spans="2:4" x14ac:dyDescent="0.25">
      <c r="B35" s="67">
        <v>34</v>
      </c>
      <c r="C35" s="55" t="s">
        <v>336</v>
      </c>
    </row>
    <row r="36" spans="2:4" ht="60" x14ac:dyDescent="0.25">
      <c r="B36" s="67">
        <v>35</v>
      </c>
      <c r="C36" s="56" t="s">
        <v>338</v>
      </c>
    </row>
    <row r="37" spans="2:4" x14ac:dyDescent="0.25">
      <c r="B37" s="55">
        <v>36</v>
      </c>
      <c r="C37" s="56" t="s">
        <v>349</v>
      </c>
    </row>
    <row r="38" spans="2:4" x14ac:dyDescent="0.25">
      <c r="B38" s="55">
        <f t="shared" ref="B38:B44" si="0">B37+1</f>
        <v>37</v>
      </c>
      <c r="C38" s="55" t="s">
        <v>345</v>
      </c>
    </row>
    <row r="39" spans="2:4" x14ac:dyDescent="0.25">
      <c r="B39" s="55">
        <f t="shared" si="0"/>
        <v>38</v>
      </c>
      <c r="C39" s="55" t="s">
        <v>346</v>
      </c>
    </row>
    <row r="40" spans="2:4" x14ac:dyDescent="0.25">
      <c r="B40" s="55">
        <f t="shared" si="0"/>
        <v>39</v>
      </c>
      <c r="C40" s="55" t="s">
        <v>347</v>
      </c>
    </row>
    <row r="41" spans="2:4" x14ac:dyDescent="0.25">
      <c r="B41" s="55">
        <f t="shared" si="0"/>
        <v>40</v>
      </c>
      <c r="C41" s="55" t="s">
        <v>348</v>
      </c>
    </row>
    <row r="42" spans="2:4" ht="30.75" thickBot="1" x14ac:dyDescent="0.3">
      <c r="B42" s="76">
        <f t="shared" si="0"/>
        <v>41</v>
      </c>
      <c r="C42" s="77" t="s">
        <v>350</v>
      </c>
    </row>
    <row r="43" spans="2:4" ht="30" x14ac:dyDescent="0.25">
      <c r="B43" s="80">
        <f t="shared" si="0"/>
        <v>42</v>
      </c>
      <c r="C43" s="85" t="s">
        <v>355</v>
      </c>
      <c r="D43" t="s">
        <v>356</v>
      </c>
    </row>
    <row r="44" spans="2:4" ht="15.75" thickBot="1" x14ac:dyDescent="0.3">
      <c r="B44" s="82">
        <f t="shared" si="0"/>
        <v>43</v>
      </c>
      <c r="C44" s="84" t="s">
        <v>351</v>
      </c>
    </row>
    <row r="45" spans="2:4" ht="15.75" thickBot="1" x14ac:dyDescent="0.3">
      <c r="B45" s="78">
        <f t="shared" ref="B45:B54" si="1">B44+1</f>
        <v>44</v>
      </c>
      <c r="C45" s="79" t="s">
        <v>352</v>
      </c>
    </row>
    <row r="46" spans="2:4" ht="30" x14ac:dyDescent="0.25">
      <c r="B46" s="80">
        <f t="shared" si="1"/>
        <v>45</v>
      </c>
      <c r="C46" s="81" t="s">
        <v>353</v>
      </c>
    </row>
    <row r="47" spans="2:4" ht="15.75" thickBot="1" x14ac:dyDescent="0.3">
      <c r="B47" s="82">
        <f t="shared" si="1"/>
        <v>46</v>
      </c>
      <c r="C47" s="83" t="s">
        <v>354</v>
      </c>
    </row>
    <row r="48" spans="2:4" x14ac:dyDescent="0.25">
      <c r="B48" s="86">
        <f t="shared" si="1"/>
        <v>47</v>
      </c>
      <c r="C48" s="87" t="s">
        <v>357</v>
      </c>
    </row>
    <row r="49" spans="2:4" x14ac:dyDescent="0.25">
      <c r="B49" s="86">
        <f t="shared" si="1"/>
        <v>48</v>
      </c>
      <c r="C49" s="87" t="s">
        <v>358</v>
      </c>
    </row>
    <row r="50" spans="2:4" x14ac:dyDescent="0.25">
      <c r="B50" s="86">
        <f t="shared" si="1"/>
        <v>49</v>
      </c>
      <c r="C50" s="87" t="s">
        <v>360</v>
      </c>
      <c r="D50" t="s">
        <v>359</v>
      </c>
    </row>
    <row r="51" spans="2:4" ht="30" x14ac:dyDescent="0.25">
      <c r="B51" s="88">
        <f t="shared" si="1"/>
        <v>50</v>
      </c>
      <c r="C51" s="89" t="s">
        <v>361</v>
      </c>
    </row>
    <row r="52" spans="2:4" x14ac:dyDescent="0.25">
      <c r="B52" s="88">
        <f t="shared" si="1"/>
        <v>51</v>
      </c>
      <c r="C52" s="90" t="s">
        <v>364</v>
      </c>
      <c r="D52" t="s">
        <v>365</v>
      </c>
    </row>
    <row r="53" spans="2:4" x14ac:dyDescent="0.25">
      <c r="B53" s="88">
        <f t="shared" si="1"/>
        <v>52</v>
      </c>
      <c r="C53" s="90" t="s">
        <v>367</v>
      </c>
      <c r="D53" t="s">
        <v>368</v>
      </c>
    </row>
    <row r="54" spans="2:4" ht="45" x14ac:dyDescent="0.25">
      <c r="B54" s="88">
        <f t="shared" si="1"/>
        <v>53</v>
      </c>
      <c r="C54" s="92" t="s">
        <v>372</v>
      </c>
      <c r="D54" t="s">
        <v>371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2"/>
    <col min="2" max="2" width="12.28515625" style="52" customWidth="1"/>
    <col min="3" max="16384" width="9.140625" style="52"/>
  </cols>
  <sheetData>
    <row r="2" spans="1:12" x14ac:dyDescent="0.25">
      <c r="B2" s="61" t="s">
        <v>290</v>
      </c>
      <c r="C2" s="274"/>
      <c r="D2" s="274"/>
    </row>
    <row r="3" spans="1:12" x14ac:dyDescent="0.25">
      <c r="D3" s="62"/>
      <c r="E3" s="62"/>
      <c r="F3" s="62"/>
      <c r="G3" s="62"/>
      <c r="H3" s="62"/>
      <c r="I3" s="62"/>
    </row>
    <row r="4" spans="1:12" x14ac:dyDescent="0.25">
      <c r="A4" s="61" t="s">
        <v>65</v>
      </c>
      <c r="B4" s="63" t="s">
        <v>291</v>
      </c>
      <c r="C4" s="275" t="s">
        <v>292</v>
      </c>
      <c r="D4" s="275"/>
      <c r="E4" s="275"/>
      <c r="F4" s="63"/>
      <c r="G4" s="276" t="s">
        <v>293</v>
      </c>
      <c r="H4" s="276"/>
      <c r="I4" s="276"/>
      <c r="J4" s="277" t="s">
        <v>294</v>
      </c>
      <c r="K4" s="277"/>
      <c r="L4" s="277"/>
    </row>
    <row r="5" spans="1:12" x14ac:dyDescent="0.25">
      <c r="A5" s="61"/>
      <c r="B5" s="63"/>
      <c r="C5" s="63" t="s">
        <v>295</v>
      </c>
      <c r="D5" s="63" t="s">
        <v>296</v>
      </c>
      <c r="E5" s="63" t="s">
        <v>297</v>
      </c>
      <c r="F5" s="63"/>
      <c r="G5" s="63" t="s">
        <v>295</v>
      </c>
      <c r="H5" s="63" t="s">
        <v>296</v>
      </c>
      <c r="I5" s="63" t="s">
        <v>297</v>
      </c>
      <c r="J5" s="63" t="s">
        <v>295</v>
      </c>
      <c r="K5" s="63" t="s">
        <v>296</v>
      </c>
      <c r="L5" s="63" t="s">
        <v>297</v>
      </c>
    </row>
    <row r="6" spans="1:12" x14ac:dyDescent="0.25">
      <c r="B6" s="53" t="s">
        <v>298</v>
      </c>
      <c r="C6" s="53"/>
      <c r="D6" s="53"/>
      <c r="E6" s="53">
        <f>C6*D6</f>
        <v>0</v>
      </c>
      <c r="F6" s="53" t="s">
        <v>315</v>
      </c>
      <c r="G6" s="53"/>
      <c r="H6" s="53"/>
      <c r="I6" s="53">
        <f>G6*H6</f>
        <v>0</v>
      </c>
      <c r="J6" s="53"/>
      <c r="K6" s="53"/>
      <c r="L6" s="53">
        <f>J6*K6</f>
        <v>0</v>
      </c>
    </row>
    <row r="7" spans="1:12" x14ac:dyDescent="0.25">
      <c r="B7" s="53"/>
      <c r="C7" s="53"/>
      <c r="D7" s="53"/>
      <c r="E7" s="53">
        <f t="shared" ref="E7:E41" si="0">C7*D7</f>
        <v>0</v>
      </c>
      <c r="F7" s="53" t="s">
        <v>315</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299</v>
      </c>
      <c r="G9" s="53"/>
      <c r="H9" s="53"/>
      <c r="I9" s="53">
        <f t="shared" si="1"/>
        <v>0</v>
      </c>
      <c r="J9" s="53"/>
      <c r="K9" s="53"/>
      <c r="L9" s="53">
        <f t="shared" si="2"/>
        <v>0</v>
      </c>
    </row>
    <row r="10" spans="1:12" x14ac:dyDescent="0.25">
      <c r="B10" s="53" t="s">
        <v>300</v>
      </c>
      <c r="C10" s="53"/>
      <c r="D10" s="53"/>
      <c r="E10" s="53">
        <f t="shared" si="0"/>
        <v>0</v>
      </c>
      <c r="F10" s="53" t="s">
        <v>299</v>
      </c>
      <c r="G10" s="53"/>
      <c r="H10" s="53"/>
      <c r="I10" s="53">
        <f t="shared" si="1"/>
        <v>0</v>
      </c>
      <c r="J10" s="53"/>
      <c r="K10" s="53"/>
      <c r="L10" s="53">
        <f t="shared" si="2"/>
        <v>0</v>
      </c>
    </row>
    <row r="11" spans="1:12" x14ac:dyDescent="0.25">
      <c r="B11" s="53"/>
      <c r="C11" s="53"/>
      <c r="D11" s="53"/>
      <c r="E11" s="53">
        <f t="shared" si="0"/>
        <v>0</v>
      </c>
      <c r="F11" s="53" t="s">
        <v>301</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302</v>
      </c>
      <c r="C14" s="53"/>
      <c r="D14" s="53"/>
      <c r="E14" s="53">
        <f t="shared" si="0"/>
        <v>0</v>
      </c>
      <c r="F14" s="53" t="s">
        <v>299</v>
      </c>
      <c r="G14" s="53"/>
      <c r="H14" s="53"/>
      <c r="I14" s="53">
        <f t="shared" si="1"/>
        <v>0</v>
      </c>
      <c r="J14" s="53"/>
      <c r="K14" s="53"/>
      <c r="L14" s="53">
        <f t="shared" si="2"/>
        <v>0</v>
      </c>
    </row>
    <row r="15" spans="1:12" x14ac:dyDescent="0.25">
      <c r="B15" s="53"/>
      <c r="C15" s="53"/>
      <c r="D15" s="53"/>
      <c r="E15" s="53">
        <f t="shared" si="0"/>
        <v>0</v>
      </c>
      <c r="F15" s="53" t="s">
        <v>301</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303</v>
      </c>
      <c r="C18" s="53"/>
      <c r="D18" s="53"/>
      <c r="E18" s="53">
        <f t="shared" si="0"/>
        <v>0</v>
      </c>
      <c r="F18" s="53" t="s">
        <v>299</v>
      </c>
      <c r="G18" s="53"/>
      <c r="H18" s="53"/>
      <c r="I18" s="53">
        <f t="shared" si="1"/>
        <v>0</v>
      </c>
      <c r="J18" s="53"/>
      <c r="K18" s="53"/>
      <c r="L18" s="53">
        <f t="shared" si="2"/>
        <v>0</v>
      </c>
    </row>
    <row r="19" spans="2:12" x14ac:dyDescent="0.25">
      <c r="B19" s="53"/>
      <c r="C19" s="53"/>
      <c r="D19" s="53"/>
      <c r="E19" s="53">
        <f t="shared" si="0"/>
        <v>0</v>
      </c>
      <c r="F19" s="53" t="s">
        <v>301</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304</v>
      </c>
      <c r="C21" s="53"/>
      <c r="D21" s="53"/>
      <c r="E21" s="53">
        <f t="shared" si="0"/>
        <v>0</v>
      </c>
      <c r="F21" s="53" t="s">
        <v>299</v>
      </c>
      <c r="G21" s="53"/>
      <c r="H21" s="53"/>
      <c r="I21" s="53">
        <f t="shared" si="1"/>
        <v>0</v>
      </c>
      <c r="J21" s="53"/>
      <c r="K21" s="53"/>
      <c r="L21" s="53">
        <f t="shared" si="2"/>
        <v>0</v>
      </c>
    </row>
    <row r="22" spans="2:12" x14ac:dyDescent="0.25">
      <c r="B22" s="53"/>
      <c r="C22" s="53"/>
      <c r="D22" s="53"/>
      <c r="E22" s="53">
        <f t="shared" si="0"/>
        <v>0</v>
      </c>
      <c r="F22" s="53" t="s">
        <v>301</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305</v>
      </c>
      <c r="C24" s="53"/>
      <c r="D24" s="53"/>
      <c r="E24" s="53">
        <f t="shared" si="0"/>
        <v>0</v>
      </c>
      <c r="F24" s="53" t="s">
        <v>306</v>
      </c>
      <c r="G24" s="53"/>
      <c r="H24" s="53"/>
      <c r="I24" s="53">
        <f t="shared" si="1"/>
        <v>0</v>
      </c>
      <c r="J24" s="53"/>
      <c r="K24" s="53"/>
      <c r="L24" s="53">
        <f t="shared" si="2"/>
        <v>0</v>
      </c>
    </row>
    <row r="25" spans="2:12" x14ac:dyDescent="0.25">
      <c r="B25" s="53"/>
      <c r="C25" s="53"/>
      <c r="D25" s="53"/>
      <c r="E25" s="53">
        <f>C25*D25</f>
        <v>0</v>
      </c>
      <c r="F25" s="53" t="s">
        <v>306</v>
      </c>
      <c r="G25" s="53"/>
      <c r="H25" s="53"/>
      <c r="I25" s="53">
        <f>G25*H25</f>
        <v>0</v>
      </c>
      <c r="J25" s="53"/>
      <c r="K25" s="53"/>
      <c r="L25" s="53">
        <f>J25*K25</f>
        <v>0</v>
      </c>
    </row>
    <row r="26" spans="2:12" x14ac:dyDescent="0.25">
      <c r="B26" s="53"/>
      <c r="C26" s="53"/>
      <c r="D26" s="53"/>
      <c r="E26" s="53">
        <f>C26*D26</f>
        <v>0</v>
      </c>
      <c r="F26" s="53" t="s">
        <v>306</v>
      </c>
      <c r="G26" s="53"/>
      <c r="H26" s="53"/>
      <c r="I26" s="53">
        <f>G26*H26</f>
        <v>0</v>
      </c>
      <c r="J26" s="53"/>
      <c r="K26" s="53"/>
      <c r="L26" s="53">
        <f>J26*K26</f>
        <v>0</v>
      </c>
    </row>
    <row r="27" spans="2:12" x14ac:dyDescent="0.25">
      <c r="B27" s="53"/>
      <c r="C27" s="53"/>
      <c r="D27" s="53"/>
      <c r="E27" s="53">
        <f>C27*D27</f>
        <v>0</v>
      </c>
      <c r="F27" s="53" t="s">
        <v>306</v>
      </c>
      <c r="G27" s="53"/>
      <c r="H27" s="53"/>
      <c r="I27" s="53">
        <f>G27*H27</f>
        <v>0</v>
      </c>
      <c r="J27" s="53"/>
      <c r="K27" s="53"/>
      <c r="L27" s="53">
        <f>J27*K27</f>
        <v>0</v>
      </c>
    </row>
    <row r="28" spans="2:12" x14ac:dyDescent="0.25">
      <c r="B28" s="53" t="s">
        <v>307</v>
      </c>
      <c r="C28" s="53"/>
      <c r="D28" s="53"/>
      <c r="E28" s="53">
        <f t="shared" si="0"/>
        <v>0</v>
      </c>
      <c r="F28" s="53" t="s">
        <v>306</v>
      </c>
      <c r="G28" s="53"/>
      <c r="H28" s="53"/>
      <c r="I28" s="53">
        <f t="shared" si="1"/>
        <v>0</v>
      </c>
      <c r="J28" s="53"/>
      <c r="K28" s="53"/>
      <c r="L28" s="53">
        <f t="shared" si="2"/>
        <v>0</v>
      </c>
    </row>
    <row r="29" spans="2:12" x14ac:dyDescent="0.25">
      <c r="B29" s="53" t="s">
        <v>308</v>
      </c>
      <c r="C29" s="53"/>
      <c r="D29" s="53"/>
      <c r="E29" s="53">
        <f t="shared" si="0"/>
        <v>0</v>
      </c>
      <c r="F29" s="53" t="s">
        <v>306</v>
      </c>
      <c r="G29" s="53"/>
      <c r="H29" s="53"/>
      <c r="I29" s="53">
        <f t="shared" si="1"/>
        <v>0</v>
      </c>
      <c r="J29" s="53"/>
      <c r="K29" s="53"/>
      <c r="L29" s="53">
        <f t="shared" si="2"/>
        <v>0</v>
      </c>
    </row>
    <row r="30" spans="2:12" x14ac:dyDescent="0.25">
      <c r="B30" s="53" t="s">
        <v>312</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309</v>
      </c>
      <c r="C33" s="53"/>
      <c r="D33" s="53"/>
      <c r="E33" s="53">
        <f t="shared" si="0"/>
        <v>0</v>
      </c>
      <c r="F33" s="53"/>
      <c r="G33" s="53"/>
      <c r="H33" s="53"/>
      <c r="I33" s="53">
        <f t="shared" si="1"/>
        <v>0</v>
      </c>
      <c r="J33" s="53"/>
      <c r="K33" s="53"/>
      <c r="L33" s="53">
        <f t="shared" si="2"/>
        <v>0</v>
      </c>
    </row>
    <row r="34" spans="2:12" x14ac:dyDescent="0.25">
      <c r="B34" s="53" t="s">
        <v>313</v>
      </c>
      <c r="C34" s="53"/>
      <c r="D34" s="53"/>
      <c r="E34" s="53">
        <f t="shared" si="0"/>
        <v>0</v>
      </c>
      <c r="F34" s="53"/>
      <c r="G34" s="53"/>
      <c r="H34" s="53"/>
      <c r="I34" s="53">
        <f t="shared" si="1"/>
        <v>0</v>
      </c>
      <c r="J34" s="53"/>
      <c r="K34" s="53"/>
      <c r="L34" s="53">
        <f t="shared" si="2"/>
        <v>0</v>
      </c>
    </row>
    <row r="35" spans="2:12" x14ac:dyDescent="0.25">
      <c r="B35" s="53" t="s">
        <v>310</v>
      </c>
      <c r="C35" s="53"/>
      <c r="D35" s="53"/>
      <c r="E35" s="53">
        <f t="shared" si="0"/>
        <v>0</v>
      </c>
      <c r="F35" s="53"/>
      <c r="G35" s="53"/>
      <c r="H35" s="53"/>
      <c r="I35" s="53">
        <f t="shared" si="1"/>
        <v>0</v>
      </c>
      <c r="J35" s="53"/>
      <c r="K35" s="53"/>
      <c r="L35" s="53">
        <f t="shared" si="2"/>
        <v>0</v>
      </c>
    </row>
    <row r="36" spans="2:12" x14ac:dyDescent="0.25">
      <c r="B36" s="53" t="s">
        <v>311</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314</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143</v>
      </c>
      <c r="C42" s="53"/>
      <c r="D42" s="53">
        <f>E42*10.764</f>
        <v>0</v>
      </c>
      <c r="E42" s="66">
        <f>SUM(E6:E41)</f>
        <v>0</v>
      </c>
      <c r="F42" s="53"/>
      <c r="G42" s="53"/>
      <c r="H42" s="53">
        <f>I42*10.764</f>
        <v>0</v>
      </c>
      <c r="I42" s="65">
        <f>SUM(I6:I41)</f>
        <v>0</v>
      </c>
      <c r="J42" s="53"/>
      <c r="K42" s="53">
        <f>L42*10.764</f>
        <v>0</v>
      </c>
      <c r="L42" s="64">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2025-07-17T10:08:21Z</cp:lastPrinted>
  <dcterms:created xsi:type="dcterms:W3CDTF">2019-07-16T09:29:46Z</dcterms:created>
  <dcterms:modified xsi:type="dcterms:W3CDTF">2025-07-17T10:12:41Z</dcterms:modified>
</cp:coreProperties>
</file>