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sjadon\common drive\APF\25-26\July 2025\AXIS\New\Saurav\14213 - Sector B- Tower A and B\"/>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Report!$A$1:$H$482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0" i="1" l="1"/>
  <c r="E289" i="1"/>
  <c r="E234" i="1"/>
  <c r="E226" i="1"/>
  <c r="D273" i="1"/>
  <c r="F273" i="1" s="1"/>
  <c r="H273" i="1" s="1"/>
  <c r="D265" i="1"/>
  <c r="D241" i="1"/>
  <c r="D240" i="1"/>
  <c r="D212" i="1"/>
  <c r="D210" i="1"/>
  <c r="D209" i="1"/>
  <c r="E165" i="1"/>
  <c r="D164" i="1"/>
  <c r="D163" i="1"/>
  <c r="D173" i="1"/>
  <c r="D172" i="1"/>
  <c r="D186" i="1"/>
  <c r="D185" i="1"/>
  <c r="D199" i="1"/>
  <c r="D194" i="1"/>
  <c r="D193" i="1"/>
  <c r="C124" i="1"/>
  <c r="C123" i="1"/>
  <c r="C118" i="1"/>
  <c r="C120" i="1" s="1"/>
  <c r="E120" i="1"/>
  <c r="G120" i="1"/>
  <c r="E118" i="1"/>
  <c r="D290" i="1"/>
  <c r="E291" i="1"/>
  <c r="D291" i="1"/>
  <c r="F291" i="1" s="1"/>
  <c r="H291" i="1" s="1"/>
  <c r="D289" i="1"/>
  <c r="A288" i="1"/>
  <c r="A289" i="1" s="1"/>
  <c r="A290" i="1" s="1"/>
  <c r="A291" i="1" s="1"/>
  <c r="A292" i="1" s="1"/>
  <c r="E287" i="1"/>
  <c r="D287" i="1"/>
  <c r="F287" i="1" s="1"/>
  <c r="H287" i="1" s="1"/>
  <c r="A287" i="1"/>
  <c r="E286" i="1"/>
  <c r="F286" i="1" s="1"/>
  <c r="H286" i="1" s="1"/>
  <c r="D286" i="1"/>
  <c r="D282" i="1"/>
  <c r="E283" i="1"/>
  <c r="D283" i="1"/>
  <c r="E282" i="1"/>
  <c r="E281" i="1"/>
  <c r="D281" i="1"/>
  <c r="F281" i="1" s="1"/>
  <c r="H281" i="1" s="1"/>
  <c r="E279" i="1"/>
  <c r="D279" i="1"/>
  <c r="E278" i="1"/>
  <c r="D278" i="1"/>
  <c r="F283" i="1"/>
  <c r="H283" i="1" s="1"/>
  <c r="F282" i="1"/>
  <c r="H282" i="1" s="1"/>
  <c r="A282" i="1"/>
  <c r="A283" i="1" s="1"/>
  <c r="A284" i="1" s="1"/>
  <c r="F279" i="1"/>
  <c r="H279" i="1" s="1"/>
  <c r="A279" i="1"/>
  <c r="A280" i="1" s="1"/>
  <c r="A281" i="1" s="1"/>
  <c r="F278" i="1"/>
  <c r="H278" i="1" s="1"/>
  <c r="E276" i="1"/>
  <c r="D276" i="1"/>
  <c r="E273" i="1"/>
  <c r="E272" i="1"/>
  <c r="F272" i="1" s="1"/>
  <c r="H272" i="1" s="1"/>
  <c r="D272" i="1"/>
  <c r="E271" i="1"/>
  <c r="D271" i="1"/>
  <c r="E270" i="1"/>
  <c r="D270" i="1"/>
  <c r="F276" i="1"/>
  <c r="H276" i="1" s="1"/>
  <c r="A275" i="1"/>
  <c r="A276" i="1" s="1"/>
  <c r="F271" i="1"/>
  <c r="H271" i="1" s="1"/>
  <c r="F270" i="1"/>
  <c r="H270" i="1" s="1"/>
  <c r="A271" i="1"/>
  <c r="A272" i="1" s="1"/>
  <c r="A273" i="1" s="1"/>
  <c r="A274" i="1" s="1"/>
  <c r="F268" i="1"/>
  <c r="H268" i="1" s="1"/>
  <c r="E268" i="1"/>
  <c r="D268" i="1"/>
  <c r="E267" i="1"/>
  <c r="D267" i="1"/>
  <c r="F267" i="1" s="1"/>
  <c r="H267" i="1" s="1"/>
  <c r="E266" i="1"/>
  <c r="F266" i="1" s="1"/>
  <c r="H266" i="1" s="1"/>
  <c r="D266" i="1"/>
  <c r="E265" i="1"/>
  <c r="E264" i="1"/>
  <c r="D264" i="1"/>
  <c r="F264" i="1" s="1"/>
  <c r="H264" i="1" s="1"/>
  <c r="A264" i="1"/>
  <c r="A265" i="1" s="1"/>
  <c r="A266" i="1" s="1"/>
  <c r="A267" i="1" s="1"/>
  <c r="A268" i="1" s="1"/>
  <c r="E263" i="1"/>
  <c r="D263" i="1"/>
  <c r="F263" i="1" s="1"/>
  <c r="H263" i="1" s="1"/>
  <c r="A263" i="1"/>
  <c r="E262" i="1"/>
  <c r="D262" i="1"/>
  <c r="F262" i="1" s="1"/>
  <c r="H262" i="1" s="1"/>
  <c r="E252" i="1"/>
  <c r="E251" i="1"/>
  <c r="E260" i="1"/>
  <c r="E259" i="1"/>
  <c r="F260" i="1"/>
  <c r="H260" i="1" s="1"/>
  <c r="D260" i="1"/>
  <c r="D259" i="1"/>
  <c r="E258" i="1"/>
  <c r="D258" i="1"/>
  <c r="F258" i="1" s="1"/>
  <c r="H258" i="1" s="1"/>
  <c r="E256" i="1"/>
  <c r="D256" i="1"/>
  <c r="F256" i="1" s="1"/>
  <c r="H256" i="1" s="1"/>
  <c r="A256" i="1"/>
  <c r="A257" i="1" s="1"/>
  <c r="A258" i="1" s="1"/>
  <c r="A259" i="1" s="1"/>
  <c r="A260" i="1" s="1"/>
  <c r="E255" i="1"/>
  <c r="D255" i="1"/>
  <c r="F255" i="1" s="1"/>
  <c r="H255" i="1" s="1"/>
  <c r="A255" i="1"/>
  <c r="E254" i="1"/>
  <c r="D254" i="1"/>
  <c r="F254" i="1" s="1"/>
  <c r="H254" i="1" s="1"/>
  <c r="E250" i="1"/>
  <c r="E249" i="1"/>
  <c r="E248" i="1"/>
  <c r="F248" i="1" s="1"/>
  <c r="H248" i="1" s="1"/>
  <c r="E247" i="1"/>
  <c r="E246" i="1"/>
  <c r="F246" i="1" s="1"/>
  <c r="H246" i="1" s="1"/>
  <c r="D252" i="1"/>
  <c r="F252" i="1" s="1"/>
  <c r="H252" i="1" s="1"/>
  <c r="D251" i="1"/>
  <c r="F251" i="1" s="1"/>
  <c r="H251" i="1" s="1"/>
  <c r="D250" i="1"/>
  <c r="D249" i="1"/>
  <c r="D248" i="1"/>
  <c r="D247" i="1"/>
  <c r="F247" i="1" s="1"/>
  <c r="H247" i="1" s="1"/>
  <c r="D246" i="1"/>
  <c r="A247" i="1"/>
  <c r="A248" i="1" s="1"/>
  <c r="A249" i="1" s="1"/>
  <c r="A250" i="1" s="1"/>
  <c r="A251" i="1" s="1"/>
  <c r="A252" i="1" s="1"/>
  <c r="E241" i="1"/>
  <c r="F241" i="1" s="1"/>
  <c r="H241" i="1" s="1"/>
  <c r="E240" i="1"/>
  <c r="F240" i="1"/>
  <c r="H240" i="1" s="1"/>
  <c r="A240" i="1"/>
  <c r="A241" i="1" s="1"/>
  <c r="A242" i="1" s="1"/>
  <c r="A243" i="1" s="1"/>
  <c r="A239" i="1"/>
  <c r="A238" i="1"/>
  <c r="D234" i="1"/>
  <c r="E233" i="1"/>
  <c r="D233" i="1"/>
  <c r="E232" i="1"/>
  <c r="D232" i="1"/>
  <c r="F232" i="1"/>
  <c r="H232" i="1" s="1"/>
  <c r="F233" i="1"/>
  <c r="H233" i="1" s="1"/>
  <c r="F234" i="1"/>
  <c r="H234" i="1" s="1"/>
  <c r="A233" i="1"/>
  <c r="A234" i="1" s="1"/>
  <c r="A235" i="1" s="1"/>
  <c r="A230" i="1"/>
  <c r="A231" i="1" s="1"/>
  <c r="A232" i="1" s="1"/>
  <c r="E225" i="1"/>
  <c r="E224" i="1"/>
  <c r="F224" i="1" s="1"/>
  <c r="H224" i="1" s="1"/>
  <c r="D226" i="1"/>
  <c r="D225" i="1"/>
  <c r="D224" i="1"/>
  <c r="A226" i="1"/>
  <c r="A227" i="1" s="1"/>
  <c r="A222" i="1"/>
  <c r="A223" i="1" s="1"/>
  <c r="A224" i="1" s="1"/>
  <c r="A225" i="1" s="1"/>
  <c r="E214" i="1"/>
  <c r="D214" i="1"/>
  <c r="F214" i="1" s="1"/>
  <c r="H214" i="1" s="1"/>
  <c r="F213" i="1"/>
  <c r="H213" i="1" s="1"/>
  <c r="E213" i="1"/>
  <c r="D213" i="1"/>
  <c r="E212" i="1"/>
  <c r="F212" i="1"/>
  <c r="H212" i="1" s="1"/>
  <c r="E210" i="1"/>
  <c r="F210" i="1"/>
  <c r="H210" i="1" s="1"/>
  <c r="A210" i="1"/>
  <c r="A211" i="1" s="1"/>
  <c r="A212" i="1" s="1"/>
  <c r="A213" i="1" s="1"/>
  <c r="A214" i="1" s="1"/>
  <c r="A215" i="1" s="1"/>
  <c r="E209" i="1"/>
  <c r="F209" i="1" s="1"/>
  <c r="H209" i="1" s="1"/>
  <c r="E206" i="1"/>
  <c r="E205" i="1"/>
  <c r="F205" i="1" s="1"/>
  <c r="H205" i="1" s="1"/>
  <c r="E204" i="1"/>
  <c r="F204" i="1"/>
  <c r="H204" i="1" s="1"/>
  <c r="D206" i="1"/>
  <c r="D205" i="1"/>
  <c r="D204" i="1"/>
  <c r="E202" i="1"/>
  <c r="E201" i="1"/>
  <c r="D202" i="1"/>
  <c r="D201" i="1"/>
  <c r="F206" i="1"/>
  <c r="H206" i="1" s="1"/>
  <c r="A206" i="1"/>
  <c r="A207" i="1" s="1"/>
  <c r="A205" i="1"/>
  <c r="A202" i="1"/>
  <c r="A203" i="1" s="1"/>
  <c r="A204" i="1" s="1"/>
  <c r="E199" i="1"/>
  <c r="E195" i="1"/>
  <c r="D195" i="1"/>
  <c r="E194" i="1"/>
  <c r="E193" i="1"/>
  <c r="F199" i="1"/>
  <c r="H199" i="1" s="1"/>
  <c r="A198" i="1"/>
  <c r="A199" i="1" s="1"/>
  <c r="F195" i="1"/>
  <c r="H195" i="1" s="1"/>
  <c r="F194" i="1"/>
  <c r="H194" i="1" s="1"/>
  <c r="F193" i="1"/>
  <c r="A194" i="1"/>
  <c r="A195" i="1" s="1"/>
  <c r="A196" i="1" s="1"/>
  <c r="A197" i="1" s="1"/>
  <c r="F289" i="1" l="1"/>
  <c r="H289" i="1" s="1"/>
  <c r="F265" i="1"/>
  <c r="H265" i="1" s="1"/>
  <c r="E124" i="1"/>
  <c r="H193" i="1"/>
  <c r="C125" i="1"/>
  <c r="F290" i="1"/>
  <c r="H290" i="1" s="1"/>
  <c r="F259" i="1"/>
  <c r="H259" i="1" s="1"/>
  <c r="F250" i="1"/>
  <c r="H250" i="1" s="1"/>
  <c r="F249" i="1"/>
  <c r="H249" i="1" s="1"/>
  <c r="F226" i="1"/>
  <c r="H226" i="1" s="1"/>
  <c r="F225" i="1"/>
  <c r="H225" i="1" s="1"/>
  <c r="F202" i="1"/>
  <c r="H202" i="1" s="1"/>
  <c r="F201" i="1"/>
  <c r="H201" i="1" s="1"/>
  <c r="E191" i="1"/>
  <c r="E190" i="1"/>
  <c r="E189" i="1"/>
  <c r="E181" i="1"/>
  <c r="E182" i="1"/>
  <c r="E183" i="1"/>
  <c r="E187" i="1"/>
  <c r="E186" i="1"/>
  <c r="E185" i="1"/>
  <c r="F182" i="1"/>
  <c r="H182" i="1" s="1"/>
  <c r="E180" i="1"/>
  <c r="E179" i="1"/>
  <c r="E178" i="1"/>
  <c r="E177" i="1"/>
  <c r="D190" i="1"/>
  <c r="D189" i="1"/>
  <c r="D187" i="1"/>
  <c r="D191" i="1"/>
  <c r="F190" i="1"/>
  <c r="H190" i="1" s="1"/>
  <c r="F189" i="1"/>
  <c r="H189" i="1" s="1"/>
  <c r="F186" i="1"/>
  <c r="H186" i="1" s="1"/>
  <c r="A186" i="1"/>
  <c r="A187" i="1" s="1"/>
  <c r="A188" i="1" s="1"/>
  <c r="A189" i="1" s="1"/>
  <c r="A190" i="1" s="1"/>
  <c r="A191" i="1" s="1"/>
  <c r="F185" i="1"/>
  <c r="H185" i="1" s="1"/>
  <c r="D183" i="1"/>
  <c r="D182" i="1"/>
  <c r="D181" i="1"/>
  <c r="D180" i="1"/>
  <c r="F180" i="1" s="1"/>
  <c r="H180" i="1" s="1"/>
  <c r="D179" i="1"/>
  <c r="F179" i="1" s="1"/>
  <c r="H179" i="1" s="1"/>
  <c r="D178" i="1"/>
  <c r="D177" i="1"/>
  <c r="A181" i="1"/>
  <c r="A182" i="1" s="1"/>
  <c r="A183" i="1" s="1"/>
  <c r="A178" i="1"/>
  <c r="A179" i="1" s="1"/>
  <c r="A180" i="1" s="1"/>
  <c r="D174" i="1"/>
  <c r="F174" i="1" s="1"/>
  <c r="H174" i="1" s="1"/>
  <c r="D171" i="1"/>
  <c r="E174" i="1"/>
  <c r="E173" i="1"/>
  <c r="F173" i="1" s="1"/>
  <c r="H173" i="1" s="1"/>
  <c r="E172" i="1"/>
  <c r="F172" i="1"/>
  <c r="H172" i="1" s="1"/>
  <c r="E171" i="1"/>
  <c r="F171" i="1"/>
  <c r="H171" i="1" s="1"/>
  <c r="A169" i="1"/>
  <c r="A170" i="1" s="1"/>
  <c r="A171" i="1" s="1"/>
  <c r="A172" i="1" s="1"/>
  <c r="A173" i="1" s="1"/>
  <c r="A174" i="1" s="1"/>
  <c r="D165" i="1"/>
  <c r="F165" i="1" s="1"/>
  <c r="H165" i="1" s="1"/>
  <c r="F163" i="1"/>
  <c r="H163" i="1" s="1"/>
  <c r="D162" i="1"/>
  <c r="F162" i="1" s="1"/>
  <c r="H162" i="1" s="1"/>
  <c r="E164" i="1"/>
  <c r="F164" i="1" s="1"/>
  <c r="H164" i="1" s="1"/>
  <c r="E163" i="1"/>
  <c r="E162" i="1"/>
  <c r="A160" i="1"/>
  <c r="A161" i="1" s="1"/>
  <c r="A162" i="1" s="1"/>
  <c r="A163" i="1" s="1"/>
  <c r="A164" i="1" s="1"/>
  <c r="A165" i="1" s="1"/>
  <c r="G124" i="1" l="1"/>
  <c r="E123" i="1"/>
  <c r="E125" i="1" s="1"/>
  <c r="F191" i="1"/>
  <c r="H191" i="1" s="1"/>
  <c r="F187" i="1"/>
  <c r="H187" i="1" s="1"/>
  <c r="F183" i="1"/>
  <c r="H183" i="1" s="1"/>
  <c r="F181" i="1"/>
  <c r="H181" i="1" s="1"/>
  <c r="F178" i="1"/>
  <c r="H178" i="1" s="1"/>
  <c r="F177" i="1"/>
  <c r="H177" i="1" s="1"/>
  <c r="E157" i="1" l="1"/>
  <c r="E156" i="1"/>
  <c r="E155" i="1"/>
  <c r="E154" i="1"/>
  <c r="D157" i="1"/>
  <c r="D156" i="1"/>
  <c r="D155" i="1"/>
  <c r="F155" i="1" s="1"/>
  <c r="H155" i="1" s="1"/>
  <c r="D154" i="1"/>
  <c r="F154" i="1" s="1"/>
  <c r="H154" i="1" s="1"/>
  <c r="F157" i="1"/>
  <c r="H157" i="1" s="1"/>
  <c r="A155" i="1"/>
  <c r="A156" i="1" s="1"/>
  <c r="A157" i="1" s="1"/>
  <c r="A152" i="1"/>
  <c r="A153" i="1" s="1"/>
  <c r="A154" i="1" s="1"/>
  <c r="D139" i="1"/>
  <c r="F139" i="1" s="1"/>
  <c r="H139" i="1" s="1"/>
  <c r="D136" i="1"/>
  <c r="F136" i="1" s="1"/>
  <c r="H136" i="1" s="1"/>
  <c r="D135" i="1"/>
  <c r="F135" i="1" s="1"/>
  <c r="H135" i="1" s="1"/>
  <c r="G118" i="1" s="1"/>
  <c r="A136" i="1"/>
  <c r="F156" i="1" l="1"/>
  <c r="H156" i="1" s="1"/>
  <c r="G123" i="1" s="1"/>
  <c r="G125" i="1" s="1"/>
  <c r="D63" i="1"/>
  <c r="E46" i="1"/>
  <c r="E42" i="1"/>
  <c r="E43" i="1" s="1"/>
  <c r="C75" i="1" l="1"/>
  <c r="F141" i="1" l="1"/>
  <c r="B38" i="6"/>
  <c r="B39" i="6" s="1"/>
  <c r="B40" i="6" s="1"/>
  <c r="B41" i="6" s="1"/>
  <c r="B42" i="6" s="1"/>
  <c r="B43" i="6" s="1"/>
  <c r="B44" i="6" s="1"/>
  <c r="B45" i="6" s="1"/>
  <c r="B46" i="6" s="1"/>
  <c r="B47" i="6" s="1"/>
  <c r="B48" i="6" s="1"/>
  <c r="B49" i="6" s="1"/>
  <c r="B50" i="6" s="1"/>
  <c r="B51" i="6" s="1"/>
  <c r="B52" i="6" s="1"/>
  <c r="B53" i="6" s="1"/>
  <c r="B54" i="6" s="1"/>
  <c r="H141"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51" i="1"/>
  <c r="B327" i="1"/>
  <c r="B326" i="1"/>
  <c r="F321" i="1"/>
  <c r="H321" i="1" s="1"/>
  <c r="F320" i="1"/>
  <c r="H320" i="1" s="1"/>
  <c r="F319" i="1"/>
  <c r="H319" i="1" s="1"/>
  <c r="F318" i="1"/>
  <c r="H318" i="1" s="1"/>
  <c r="F317" i="1"/>
  <c r="H317" i="1" s="1"/>
  <c r="F315" i="1"/>
  <c r="H315" i="1" s="1"/>
  <c r="F314" i="1"/>
  <c r="H314" i="1" s="1"/>
  <c r="F313" i="1"/>
  <c r="H313" i="1" s="1"/>
  <c r="F312" i="1"/>
  <c r="H312" i="1" s="1"/>
  <c r="F311" i="1"/>
  <c r="H311" i="1" s="1"/>
  <c r="F309" i="1"/>
  <c r="H309" i="1" s="1"/>
  <c r="F308" i="1"/>
  <c r="H308" i="1" s="1"/>
  <c r="F307" i="1"/>
  <c r="H307" i="1" s="1"/>
  <c r="F306" i="1"/>
  <c r="H306" i="1" s="1"/>
  <c r="F305" i="1"/>
  <c r="H305" i="1" s="1"/>
  <c r="F303" i="1"/>
  <c r="H303" i="1" s="1"/>
  <c r="F302" i="1"/>
  <c r="H302" i="1" s="1"/>
  <c r="F301" i="1"/>
  <c r="H301" i="1" s="1"/>
  <c r="F300" i="1"/>
  <c r="H300" i="1" s="1"/>
  <c r="F299" i="1"/>
  <c r="H299" i="1" s="1"/>
  <c r="A299" i="1"/>
  <c r="A300" i="1" s="1"/>
  <c r="A301" i="1" s="1"/>
  <c r="A302" i="1" s="1"/>
  <c r="A303" i="1" s="1"/>
  <c r="F297" i="1"/>
  <c r="H297" i="1" s="1"/>
  <c r="F296" i="1"/>
  <c r="H296" i="1" s="1"/>
  <c r="F295" i="1"/>
  <c r="H295" i="1" s="1"/>
  <c r="A295" i="1"/>
  <c r="A296" i="1" s="1"/>
  <c r="A297" i="1" s="1"/>
  <c r="F294" i="1"/>
  <c r="H294" i="1" s="1"/>
  <c r="F144" i="1"/>
  <c r="H144" i="1" s="1"/>
  <c r="F143" i="1"/>
  <c r="H143" i="1" s="1"/>
  <c r="F142" i="1"/>
  <c r="H142" i="1" s="1"/>
  <c r="A142" i="1"/>
  <c r="A143" i="1" s="1"/>
  <c r="A144" i="1" s="1"/>
  <c r="G126" i="1"/>
  <c r="E126" i="1"/>
  <c r="C126" i="1"/>
  <c r="F115" i="1"/>
  <c r="C89" i="1"/>
  <c r="B76" i="1"/>
  <c r="D69" i="1"/>
  <c r="C56" i="1"/>
  <c r="K54" i="1"/>
  <c r="G51" i="1"/>
  <c r="C51" i="1"/>
  <c r="E44" i="1"/>
  <c r="E45" i="1" s="1"/>
  <c r="S33" i="1"/>
  <c r="E31" i="1"/>
  <c r="E28" i="1"/>
  <c r="E26" i="1"/>
  <c r="C16" i="1"/>
  <c r="I15" i="1"/>
  <c r="Z13" i="1"/>
  <c r="E8" i="1"/>
  <c r="E3" i="1"/>
  <c r="B337" i="1" s="1"/>
  <c r="H90" i="1"/>
  <c r="A311" i="1"/>
  <c r="A305" i="1"/>
  <c r="A317" i="1"/>
  <c r="E42" i="7" l="1"/>
  <c r="J84" i="1"/>
  <c r="C79" i="1" s="1"/>
  <c r="I42" i="7"/>
  <c r="H42" i="7" s="1"/>
  <c r="L42" i="7"/>
  <c r="K42" i="7" s="1"/>
  <c r="J89" i="1"/>
  <c r="J91" i="1" s="1"/>
  <c r="D98" i="1"/>
  <c r="D97" i="1"/>
  <c r="D102" i="1"/>
  <c r="D96" i="1"/>
  <c r="J92" i="1"/>
  <c r="D101" i="1"/>
  <c r="J94" i="1"/>
  <c r="D95" i="1"/>
  <c r="D100" i="1"/>
  <c r="J93" i="1"/>
  <c r="D99" i="1"/>
  <c r="D42" i="7"/>
  <c r="L54" i="1"/>
  <c r="B90" i="1"/>
  <c r="J85" i="1"/>
  <c r="J86" i="1"/>
  <c r="I52" i="1"/>
  <c r="H76" i="1"/>
  <c r="A312" i="1"/>
  <c r="A318" i="1"/>
  <c r="A306" i="1"/>
  <c r="D87" i="1" l="1"/>
  <c r="D81" i="1"/>
  <c r="J81" i="1"/>
  <c r="J82" i="1" s="1"/>
  <c r="J87" i="1" s="1"/>
  <c r="C80" i="1" s="1"/>
  <c r="J80" i="1"/>
  <c r="D79" i="1" s="1"/>
  <c r="D86" i="1"/>
  <c r="D85" i="1"/>
  <c r="J75" i="1"/>
  <c r="J77" i="1" s="1"/>
  <c r="D84" i="1"/>
  <c r="D88" i="1"/>
  <c r="D82" i="1"/>
  <c r="J79" i="1"/>
  <c r="J78" i="1"/>
  <c r="D83" i="1"/>
  <c r="D44" i="7"/>
  <c r="E44" i="7"/>
  <c r="J98" i="1"/>
  <c r="C93" i="1" s="1"/>
  <c r="D93" i="1" s="1"/>
  <c r="J95" i="1"/>
  <c r="J96" i="1" s="1"/>
  <c r="J101" i="1" s="1"/>
  <c r="C94" i="1" s="1"/>
  <c r="J100" i="1"/>
  <c r="J99" i="1"/>
  <c r="A307" i="1"/>
  <c r="A313" i="1"/>
  <c r="A319" i="1"/>
  <c r="J97" i="1" l="1"/>
  <c r="J102" i="1" s="1"/>
  <c r="G93" i="1" s="1"/>
  <c r="J83" i="1"/>
  <c r="J88" i="1" s="1"/>
  <c r="E79" i="1" s="1"/>
  <c r="A314" i="1"/>
  <c r="A320" i="1"/>
  <c r="A308" i="1"/>
  <c r="J90" i="1" l="1"/>
  <c r="E93" i="1"/>
  <c r="D94" i="1"/>
  <c r="I90" i="1" s="1"/>
  <c r="I91" i="1" s="1"/>
  <c r="J76" i="1"/>
  <c r="D80" i="1"/>
  <c r="I76" i="1" s="1"/>
  <c r="I77" i="1" s="1"/>
  <c r="G79" i="1"/>
  <c r="D73" i="1" s="1"/>
  <c r="D74" i="1" s="1"/>
  <c r="A315" i="1"/>
  <c r="A321" i="1"/>
  <c r="A309" i="1"/>
  <c r="I89" i="1" l="1"/>
  <c r="C91" i="1" s="1"/>
  <c r="I75" i="1"/>
  <c r="C77" i="1" s="1"/>
  <c r="F7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<sst xmlns="http://schemas.openxmlformats.org/spreadsheetml/2006/main" count="853" uniqueCount="472">
  <si>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</si>
  <si>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</si>
  <si>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</si>
  <si>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</si>
  <si>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</si>
  <si>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</si>
  <si>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</si>
  <si>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</si>
  <si>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</si>
  <si>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</si>
  <si>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</si>
  <si>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</si>
  <si>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</si>
  <si>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</si>
  <si>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</si>
  <si>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</si>
  <si>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</si>
  <si>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</si>
  <si>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</si>
  <si>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</si>
  <si>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</si>
  <si>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</si>
  <si>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</si>
  <si>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</si>
  <si>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</si>
  <si>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</si>
  <si>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</si>
  <si>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</si>
  <si>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</si>
  <si>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</si>
  <si>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</si>
  <si>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</si>
  <si>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</si>
  <si>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</si>
  <si>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</si>
  <si>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</si>
  <si>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</si>
  <si>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</si>
  <si>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</si>
  <si>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</si>
  <si>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</si>
  <si>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</si>
  <si>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</si>
  <si>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</si>
  <si>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</si>
  <si>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</si>
  <si>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</si>
  <si>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</si>
  <si>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</si>
  <si>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</si>
  <si>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</si>
  <si>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</si>
  <si>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</si>
  <si>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</si>
  <si>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</si>
  <si>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</si>
  <si>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</si>
  <si>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</si>
  <si>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</si>
  <si>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</si>
  <si>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</si>
  <si>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</si>
  <si>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</si>
  <si>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</si>
  <si>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</si>
  <si>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</si>
  <si>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</si>
  <si>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</si>
  <si>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</si>
  <si>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</si>
  <si>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</si>
  <si>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</si>
  <si>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</si>
  <si>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</si>
  <si>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</si>
  <si>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</si>
  <si>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</si>
  <si>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</si>
  <si>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</si>
  <si>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</si>
  <si>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</si>
  <si>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</si>
  <si>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</si>
  <si>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</si>
  <si>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</si>
  <si>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</si>
  <si>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</si>
  <si>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</si>
  <si>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</si>
  <si>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</si>
  <si>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</si>
  <si>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</si>
  <si>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</si>
  <si>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</si>
  <si>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</si>
  <si>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</si>
  <si>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</si>
  <si>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</si>
  <si>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</si>
  <si>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</si>
  <si>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</si>
  <si>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</si>
  <si>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</si>
  <si>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</si>
  <si>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</si>
  <si>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</si>
  <si>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</si>
  <si>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</si>
  <si>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</si>
  <si>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</si>
  <si>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</si>
  <si>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</si>
  <si>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</si>
  <si>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</si>
  <si>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</si>
  <si>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</si>
  <si>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</si>
  <si>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</si>
  <si>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</si>
  <si>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</si>
  <si>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</si>
  <si>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</si>
  <si>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</si>
  <si>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</si>
  <si>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</si>
  <si>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</si>
  <si>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</si>
  <si>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</si>
  <si>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</si>
  <si>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</si>
  <si>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</si>
  <si>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</si>
  <si>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</si>
  <si>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</si>
  <si>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</si>
  <si>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</si>
  <si>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</si>
  <si>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</si>
  <si>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</si>
  <si>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</si>
  <si>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</si>
  <si>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</si>
  <si>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</si>
  <si>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</si>
  <si>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</si>
  <si>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</si>
  <si>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</si>
  <si>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</si>
  <si>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</si>
  <si>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</si>
  <si>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</si>
  <si>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</si>
  <si>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</si>
  <si>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</si>
  <si>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</si>
  <si>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</si>
  <si>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</si>
  <si>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</si>
  <si>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</si>
  <si>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</si>
  <si>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</si>
  <si>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</si>
  <si>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</si>
  <si>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</si>
  <si>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</si>
  <si>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</si>
  <si>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</si>
  <si>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</si>
  <si>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</si>
  <si>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</si>
  <si>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</si>
  <si>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</si>
  <si>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</si>
  <si>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</si>
  <si>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</si>
  <si>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</si>
  <si>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</si>
  <si>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</si>
  <si>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</si>
  <si>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</si>
  <si>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</si>
  <si>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</si>
  <si>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</si>
  <si>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</si>
  <si>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</si>
  <si>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</si>
  <si>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</si>
  <si>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</si>
  <si>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</si>
  <si>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</si>
  <si>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</si>
  <si>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</si>
  <si>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</si>
  <si>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</si>
  <si>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</si>
  <si>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</si>
  <si>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</si>
  <si>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</si>
  <si>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</si>
  <si>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</si>
  <si>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</si>
  <si>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</si>
  <si>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</si>
  <si>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</si>
  <si>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</si>
  <si>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</si>
  <si>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</si>
  <si>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</si>
  <si>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</si>
  <si>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</si>
  <si>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</si>
  <si>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</si>
  <si>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</si>
  <si>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</si>
  <si>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</si>
  <si>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</si>
  <si>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</si>
  <si>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</si>
  <si>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</si>
  <si>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</si>
  <si>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</si>
  <si>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</si>
  <si>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</si>
  <si>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</si>
  <si>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</si>
  <si>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</si>
  <si>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</si>
  <si>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</si>
  <si>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</si>
  <si>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</si>
  <si>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</si>
  <si>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</si>
  <si>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</si>
  <si>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</si>
  <si>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</si>
  <si>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</si>
  <si>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</si>
  <si>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</si>
  <si>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</si>
  <si>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</si>
  <si>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</si>
  <si>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</si>
  <si>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</si>
  <si>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</si>
  <si>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</si>
  <si>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</si>
  <si>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</si>
  <si>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</si>
  <si>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</si>
  <si>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</si>
  <si>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</si>
  <si>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</si>
  <si>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</si>
  <si>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</si>
  <si>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</si>
  <si>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</si>
  <si>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</si>
  <si>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</si>
  <si>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</si>
  <si>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</si>
  <si>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</si>
  <si>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</si>
  <si>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</si>
  <si>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</si>
  <si>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</si>
  <si>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</si>
  <si>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</si>
  <si>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</si>
  <si>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</si>
  <si>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</si>
  <si>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</si>
  <si>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</si>
  <si>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</si>
  <si>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</si>
  <si>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</si>
  <si>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</si>
  <si>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</si>
  <si>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</si>
  <si>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</si>
  <si>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</si>
  <si>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</si>
  <si>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</si>
  <si>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</si>
  <si>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</si>
  <si>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</si>
  <si>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</si>
  <si>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</si>
  <si>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</si>
  <si>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</si>
  <si>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</si>
  <si>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</si>
  <si>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</si>
  <si>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</si>
  <si>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</si>
  <si>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</si>
  <si>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</si>
  <si>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</si>
  <si>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</si>
  <si>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</si>
  <si>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</si>
  <si>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</si>
  <si>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</si>
  <si>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</si>
  <si>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</si>
  <si>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</si>
  <si>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</si>
  <si>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</si>
  <si>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</si>
  <si>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</si>
  <si>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</si>
  <si>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</si>
  <si>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</si>
  <si>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</si>
  <si>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</si>
  <si>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</si>
  <si>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</si>
  <si>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</si>
  <si>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</si>
  <si>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</si>
  <si>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</si>
  <si>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</si>
  <si>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</si>
  <si>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</si>
  <si>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</si>
  <si>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</si>
  <si>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</si>
  <si>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</si>
  <si>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</si>
  <si>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</si>
  <si>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</si>
  <si>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</si>
  <si>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</si>
  <si>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</si>
  <si>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</si>
  <si>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</si>
  <si>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</si>
  <si>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</si>
  <si>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</si>
  <si>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</si>
  <si>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</si>
  <si>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</si>
  <si>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</si>
  <si>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</si>
  <si>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</si>
  <si>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</si>
  <si>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</si>
  <si>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</si>
  <si>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</si>
  <si>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</si>
  <si>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</si>
  <si>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</si>
  <si>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</si>
  <si>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</si>
  <si>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</si>
  <si>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</si>
  <si>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</si>
  <si>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</si>
  <si>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</si>
  <si>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</si>
  <si>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</si>
  <si>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</si>
  <si>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</si>
  <si>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</si>
  <si>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</si>
  <si>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</si>
  <si>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</si>
  <si>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</si>
  <si>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</si>
  <si>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</si>
  <si>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</si>
  <si>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</si>
  <si>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</si>
  <si>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</si>
  <si>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</si>
  <si>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</si>
  <si>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</si>
  <si>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</si>
  <si>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</si>
  <si>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</si>
  <si>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</si>
  <si>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</si>
  <si>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</si>
  <si>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</si>
  <si>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</si>
  <si>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</si>
  <si>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Agile Real Estate PVT LTD</t>
  </si>
  <si>
    <t>Sector B- Tower A and B</t>
  </si>
  <si>
    <t>PR1332022500106</t>
  </si>
  <si>
    <t>Survey No</t>
  </si>
  <si>
    <t>Balkum</t>
  </si>
  <si>
    <t>Thane West</t>
  </si>
  <si>
    <t>Tower 2A &amp; 2B</t>
  </si>
  <si>
    <t>30 M Wide DP Road</t>
  </si>
  <si>
    <t>Open Plot</t>
  </si>
  <si>
    <t>Dosti West County Road</t>
  </si>
  <si>
    <t>19.228802,72.992525</t>
  </si>
  <si>
    <t>https://maps.app.goo.gl/CvvpfRn9FnEeR9SF9</t>
  </si>
  <si>
    <t>02 Towers</t>
  </si>
  <si>
    <t>TMCB/RB/2025/APL/00307</t>
  </si>
  <si>
    <t>Tower 2A = 2B + G + 1st to 6th Podium + 1st to 46th Floor
Tower 2B = 2B + G + 1st to 6th Podium + 1st to 43rd Floor</t>
  </si>
  <si>
    <t>Tower 2A = 2B + G + 1st to 6th Podium + 1st to 46th Floor</t>
  </si>
  <si>
    <t>Tower 2B = 2B + G + 1st to 6th Podium + 1st to 43rd Floor</t>
  </si>
  <si>
    <t>As per RERA - 31/12/2031</t>
  </si>
  <si>
    <t>Swimming Pool, Waiting Lounge, Amphitheater, Cricket Pitch,
Kid's Pool, Gymnasium, Senior Citizen Siteout, Indoor Games,
Yoga/Meditation Area, Cycling &amp; Jogging Track, Party Hall,
Children's Play Area, Recreation Facilities, Multipurpose Hall,
CCTV, etc.</t>
  </si>
  <si>
    <r>
      <t xml:space="preserve">Proposed Amenities :                                                                                                                                                                                                                         </t>
    </r>
    <r>
      <rPr>
        <b/>
        <sz val="12"/>
        <rFont val="Times New Roman"/>
        <family val="1"/>
      </rPr>
      <t xml:space="preserve">                                               </t>
    </r>
  </si>
  <si>
    <t>Saurav Panse</t>
  </si>
  <si>
    <t>Work not yet Started.</t>
  </si>
  <si>
    <t xml:space="preserve">We are releasing Nil Report. </t>
  </si>
  <si>
    <t>TMCB/RB/2025/APL/307</t>
  </si>
  <si>
    <t>Mr. Ajay Songare</t>
  </si>
  <si>
    <t>Mr. Krishna</t>
  </si>
  <si>
    <t>CC, RERA certificate &amp; Fire Noc</t>
  </si>
  <si>
    <t>19/1B, 19/2 to 19/5, 19/6(pt.), 19/7, 19/9 to 19/12, 19/13/A, 19/13/B, 19/14, 19/15, 19/16A, 19/16B, 19/17 to 19/19, 19/20/A, 19/20/B, 19/21, 19/22, 19/24, 19/25/A, 19/25/B, 19/26, 19/27/A, 19/27/B, 19/28, 19/34/B, 19/34/C, 19/35, 19/36, 19/39/A, 19/39/B, 19/41/A, 19/41/B, 19/44, 19/46, 20/1 to 20/3, 80/2/B, 80/2/C, 82, 83/2/B/2, 83/4/1/B, 83/4/2/A, 83/4/2B, 83/6/B, 83/7/A, 83/7/B, 83/7/C, 83/11/B, 83/12, 85/3, 85/4, 86/1/B, 86/2/B, 86/3/B, 87/1/C &amp; 81</t>
  </si>
  <si>
    <t>Kolshet Indstrial Area</t>
  </si>
  <si>
    <t>Dosti Pine</t>
  </si>
  <si>
    <t>Other Plot</t>
  </si>
  <si>
    <t>TMC/CFO/M/HR/274/264</t>
  </si>
  <si>
    <t>Tower 2A = 2B + G + 1st to 6th Podium + 1st to 46th Floor
(Total Height = 163.45 Mtrs.)
Tower 2A = 2B + G + 1st to 6th Podium + 1st to 43rd Floor
(Total Height = 154.30 Mtrs.)</t>
  </si>
  <si>
    <t>Please provide Latest Approved Plans, Environmental Clearance Certificate &amp; Sales Plan for Sector B (Tower 2A &amp; 2B).</t>
  </si>
  <si>
    <t>Flats - 611, Shops - 03</t>
  </si>
  <si>
    <t>Tower 2A</t>
  </si>
  <si>
    <t>Tower 2B</t>
  </si>
  <si>
    <t>Sector B</t>
  </si>
  <si>
    <t xml:space="preserve">Tower 2A </t>
  </si>
  <si>
    <t>1st &amp; 2nd Basement Floor For Parking</t>
  </si>
  <si>
    <t>Ground Floor For Commercial, Driveway, Landscape, Entrance Lobby &amp; Meter Room</t>
  </si>
  <si>
    <t>Shop</t>
  </si>
  <si>
    <t>-</t>
  </si>
  <si>
    <t>Commercial Area</t>
  </si>
  <si>
    <t>2nd Podium Floor For Residential &amp; Commercial, Parking &amp; Entrance Lobby</t>
  </si>
  <si>
    <t>Transfer Lift Lobby</t>
  </si>
  <si>
    <t>Parking</t>
  </si>
  <si>
    <t>2BHK</t>
  </si>
  <si>
    <t>3BHK</t>
  </si>
  <si>
    <t>3rd Podium Floor For Residential, Double Heighted Shop, Parking &amp; Entrance Lobby</t>
  </si>
  <si>
    <t>Double Heighted Shop</t>
  </si>
  <si>
    <t>4th Podium Floor For Office &amp; Amenity Area</t>
  </si>
  <si>
    <t>5th Podium Floor For Residential, Fitness Center, Lounge &amp; Amenity Area</t>
  </si>
  <si>
    <t>Fitness Center &amp; Lounge</t>
  </si>
  <si>
    <t>Amenity Area</t>
  </si>
  <si>
    <t>6th Podium Floor For Gym, Indoor Games &amp; Store Room</t>
  </si>
  <si>
    <t>2nd, 7th, 12th, 17th, 22nd, 27th, 32nd, 37th &amp; 42nd Floor For Residential (Part Refuge Area)</t>
  </si>
  <si>
    <t>Refuge Area</t>
  </si>
  <si>
    <t>15th &amp; 36th Floor For Residential &amp; Water Tank Area</t>
  </si>
  <si>
    <t>Water Tank Area</t>
  </si>
  <si>
    <t>45th Floor For Residential (Part Terrace Area)</t>
  </si>
  <si>
    <t>Terrace Area</t>
  </si>
  <si>
    <t>46th Floor For Residential</t>
  </si>
  <si>
    <t>Below Terrace Area</t>
  </si>
  <si>
    <t xml:space="preserve">Tower 2B </t>
  </si>
  <si>
    <t>Ground Floor For Panel Room, Entrance Lobby, Meter Room &amp; Landscape</t>
  </si>
  <si>
    <t>1st Podium Floor For Entrance Lobby, Society Office, Drivers Room, Void
FTTH Room &amp; Telecom Room</t>
  </si>
  <si>
    <t>2nd &amp; 3rd Podium Floor For Residential, Parking &amp; Entrance Lobby</t>
  </si>
  <si>
    <t>4th Podium Floor For Residential, Parking &amp; Entrance Lobby</t>
  </si>
  <si>
    <t>5th Podium Floor For Residential, Fitness Center &amp; Creche</t>
  </si>
  <si>
    <t>Fitness Center</t>
  </si>
  <si>
    <t xml:space="preserve">Creche </t>
  </si>
  <si>
    <t>6th Podium Floor For Gym, Indoor Games &amp; Store</t>
  </si>
  <si>
    <t>1st Floor For Residential</t>
  </si>
  <si>
    <t>2nd, 7th, 12th, 17th, 22nd, 27th, 32nd &amp; 37th Floor For Residential (Part Refuge Area)</t>
  </si>
  <si>
    <t>3rd to 6th, 8th to 11th, 13th to 14th, 16th, 18th to 21st, 23rd to 26th, 28th to 31st, 
33rd to 35th &amp; 38th to 41st Floor</t>
  </si>
  <si>
    <t>Water Tank</t>
  </si>
  <si>
    <t>42nd Floor For Residential (Part Terrace Area)</t>
  </si>
  <si>
    <t>43rd Floor</t>
  </si>
  <si>
    <r>
      <t xml:space="preserve">Shop No.
</t>
    </r>
    <r>
      <rPr>
        <b/>
        <sz val="11"/>
        <rFont val="Times New Roman"/>
        <family val="1"/>
      </rPr>
      <t>(Approved Plan)</t>
    </r>
  </si>
  <si>
    <t>2nd Podium Floor For Commercial, Residential &amp; Parking</t>
  </si>
  <si>
    <t>1st Podium Floor For Entrance Lobby, Society Office, Drivers Room, 
Void &amp; Telecom Room</t>
  </si>
  <si>
    <t>1st, 3rd to 6th, 8th to 11th, 13th to 14th, 16th, 18th to 21st, 23rd to 26th, 28th to 31st, 
33rd to 35th, 38th to 41st &amp; 43rd to 44th Floor For Residential</t>
  </si>
  <si>
    <t>We considered Gross carpet area = Net carpet + Balcony + A.P Area.</t>
  </si>
  <si>
    <t>Layout :</t>
  </si>
  <si>
    <t>Please check for Environment Clearance Certificate.</t>
  </si>
  <si>
    <t>7.80 KM from Thane Railway Station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</si>
</sst>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9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1"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21" xfId="1" applyNumberFormat="1" applyFont="1" applyBorder="1" applyAlignment="1" applyProtection="1">
      <alignment horizontal="center" vertical="center" wrapText="1"/>
      <protection locked="0"/>
    </xf>
    <xf numFmtId="1" fontId="7" fillId="0" borderId="8" xfId="1" applyNumberFormat="1" applyFont="1" applyFill="1" applyBorder="1" applyAlignment="1" applyProtection="1">
      <alignment horizontal="center" vertical="center" wrapText="1"/>
      <protection locked="0"/>
    </xf>
    <xf numFmtId="1" fontId="7" fillId="0" borderId="21"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1" fontId="5" fillId="0" borderId="8" xfId="1" applyNumberFormat="1" applyFont="1" applyFill="1" applyBorder="1" applyAlignment="1" applyProtection="1">
      <alignment horizontal="center" vertical="center" wrapText="1"/>
      <protection locked="0"/>
    </xf>
    <xf numFmtId="1" fontId="5" fillId="0" borderId="9" xfId="1" applyNumberFormat="1" applyFont="1" applyFill="1" applyBorder="1" applyAlignment="1" applyProtection="1">
      <alignment horizontal="center" vertical="center" wrapText="1"/>
      <protection locked="0"/>
    </xf>
    <xf numFmtId="1" fontId="5" fillId="0" borderId="21" xfId="1" applyNumberFormat="1"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1" fontId="5" fillId="0" borderId="17" xfId="1" applyNumberFormat="1" applyFont="1" applyFill="1" applyBorder="1" applyAlignment="1" applyProtection="1">
      <alignment horizontal="center" vertical="center" wrapText="1"/>
      <protection locked="0"/>
    </xf>
    <xf numFmtId="1" fontId="5" fillId="0" borderId="24" xfId="1" applyNumberFormat="1" applyFont="1" applyFill="1" applyBorder="1" applyAlignment="1" applyProtection="1">
      <alignment horizontal="center" vertical="center" wrapText="1"/>
      <protection locked="0"/>
    </xf>
    <xf numFmtId="1" fontId="5" fillId="0" borderId="18" xfId="1" applyNumberFormat="1" applyFont="1" applyFill="1" applyBorder="1" applyAlignment="1" applyProtection="1">
      <alignment horizontal="center" vertical="center" wrapText="1"/>
      <protection locked="0"/>
    </xf>
    <xf numFmtId="1" fontId="5" fillId="0" borderId="19" xfId="1" applyNumberFormat="1" applyFont="1" applyFill="1" applyBorder="1" applyAlignment="1" applyProtection="1">
      <alignment horizontal="center" vertical="center" wrapText="1"/>
      <protection locked="0"/>
    </xf>
    <xf numFmtId="1" fontId="5" fillId="0" borderId="2" xfId="1" applyNumberFormat="1" applyFont="1" applyFill="1" applyBorder="1" applyAlignment="1" applyProtection="1">
      <alignment horizontal="center" vertical="center" wrapText="1"/>
      <protection locked="0"/>
    </xf>
    <xf numFmtId="1" fontId="5" fillId="0" borderId="20"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1" fontId="5" fillId="0" borderId="25" xfId="1" applyNumberFormat="1" applyFont="1" applyFill="1" applyBorder="1" applyAlignment="1" applyProtection="1">
      <alignment horizontal="center" vertical="center" wrapText="1"/>
      <protection locked="0"/>
    </xf>
    <xf numFmtId="1" fontId="5" fillId="0" borderId="0" xfId="1" applyNumberFormat="1" applyFont="1" applyFill="1" applyBorder="1" applyAlignment="1" applyProtection="1">
      <alignment horizontal="center" vertical="center" wrapText="1"/>
      <protection locked="0"/>
    </xf>
    <xf numFmtId="1" fontId="5" fillId="0" borderId="26" xfId="1" applyNumberFormat="1"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11"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Border="1" applyAlignment="1" applyProtection="1">
      <alignment horizontal="left" vertical="top"/>
      <protection locked="0"/>
    </xf>
    <xf numFmtId="0" fontId="11" fillId="0" borderId="26"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168"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0" fontId="12" fillId="0" borderId="16" xfId="1" applyFont="1" applyFill="1" applyBorder="1" applyAlignment="1" applyProtection="1">
      <alignment horizontal="center" vertical="top"/>
      <protection locked="0"/>
    </xf>
    <xf numFmtId="1" fontId="9" fillId="0" borderId="33"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85725</xdr:colOff>
      <xdr:row>352</xdr:row>
      <xdr:rowOff>123826</xdr:rowOff>
    </xdr:from>
    <xdr:to>
      <xdr:col>7</xdr:col>
      <xdr:colOff>624075</xdr:colOff>
      <xdr:row>377</xdr:row>
      <xdr:rowOff>190500</xdr:rowOff>
    </xdr:to>
    <xdr:grpSp>
      <xdr:nvGrpSpPr>
        <xdr:cNvPr id="2" name="Group 1"/>
        <xdr:cNvGrpSpPr/>
      </xdr:nvGrpSpPr>
      <xdr:grpSpPr>
        <a:xfrm>
          <a:off x="85725" y="67628061"/>
          <a:ext cx="6118879" cy="5098115"/>
          <a:chOff x="0" y="1"/>
          <a:chExt cx="6809424" cy="4308217"/>
        </a:xfrm>
      </xdr:grpSpPr>
      <xdr:grpSp>
        <xdr:nvGrpSpPr>
          <xdr:cNvPr id="3" name="Group 2"/>
          <xdr:cNvGrpSpPr/>
        </xdr:nvGrpSpPr>
        <xdr:grpSpPr>
          <a:xfrm>
            <a:off x="0" y="1"/>
            <a:ext cx="6809424" cy="2223073"/>
            <a:chOff x="-466243" y="3987887"/>
            <a:chExt cx="6809424" cy="2223073"/>
          </a:xfrm>
        </xdr:grpSpPr>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6292" y="3987887"/>
              <a:ext cx="3356889" cy="2223073"/>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243" y="3987887"/>
              <a:ext cx="3356889" cy="2223073"/>
            </a:xfrm>
            <a:prstGeom prst="rect">
              <a:avLst/>
            </a:prstGeom>
            <a:ln>
              <a:solidFill>
                <a:schemeClr val="tx1"/>
              </a:solidFill>
            </a:ln>
          </xdr:spPr>
        </xdr:pic>
      </xdr:grpSp>
      <xdr:grpSp>
        <xdr:nvGrpSpPr>
          <xdr:cNvPr id="4" name="Group 3"/>
          <xdr:cNvGrpSpPr/>
        </xdr:nvGrpSpPr>
        <xdr:grpSpPr>
          <a:xfrm>
            <a:off x="212788" y="2295601"/>
            <a:ext cx="6305249" cy="2012617"/>
            <a:chOff x="-1297990" y="2295601"/>
            <a:chExt cx="6305249" cy="2012617"/>
          </a:xfrm>
        </xdr:grpSpPr>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88947" y="2295602"/>
              <a:ext cx="1618312" cy="2012616"/>
            </a:xfrm>
            <a:prstGeom prst="rect">
              <a:avLst/>
            </a:prstGeom>
            <a:ln>
              <a:solidFill>
                <a:schemeClr val="tx1"/>
              </a:solidFill>
            </a:ln>
          </xdr:spPr>
        </xdr:pic>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7990" y="2295601"/>
              <a:ext cx="2877333" cy="2012616"/>
            </a:xfrm>
            <a:prstGeom prst="rect">
              <a:avLst/>
            </a:prstGeom>
            <a:ln>
              <a:solidFill>
                <a:schemeClr val="tx1"/>
              </a:solidFill>
            </a:ln>
          </xdr:spPr>
        </xdr:pic>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4989" y="2295602"/>
              <a:ext cx="1618312" cy="2012616"/>
            </a:xfrm>
            <a:prstGeom prst="rect">
              <a:avLst/>
            </a:prstGeom>
            <a:ln>
              <a:solidFill>
                <a:schemeClr val="tx1"/>
              </a:solidFill>
            </a:ln>
          </xdr:spPr>
        </xdr:pic>
      </xdr:grpSp>
    </xdr:grpSp>
    <xdr:clientData/>
  </xdr:twoCellAnchor>
  <xdr:twoCellAnchor>
    <xdr:from>
      <xdr:col>0</xdr:col>
      <xdr:colOff>85726</xdr:colOff>
      <xdr:row>439</xdr:row>
      <xdr:rowOff>85725</xdr:rowOff>
    </xdr:from>
    <xdr:to>
      <xdr:col>7</xdr:col>
      <xdr:colOff>657226</xdr:colOff>
      <xdr:row>477</xdr:row>
      <xdr:rowOff>6675</xdr:rowOff>
    </xdr:to>
    <xdr:grpSp>
      <xdr:nvGrpSpPr>
        <xdr:cNvPr id="10" name="Group 9"/>
        <xdr:cNvGrpSpPr/>
      </xdr:nvGrpSpPr>
      <xdr:grpSpPr>
        <a:xfrm>
          <a:off x="85726" y="83715225"/>
          <a:ext cx="6152029" cy="7585774"/>
          <a:chOff x="778628" y="-599190"/>
          <a:chExt cx="5400000" cy="9472206"/>
        </a:xfrm>
      </xdr:grpSpPr>
      <xdr:pic>
        <xdr:nvPicPr>
          <xdr:cNvPr id="11" name="Picture 10"/>
          <xdr:cNvPicPr>
            <a:picLocks noChangeAspect="1"/>
          </xdr:cNvPicPr>
        </xdr:nvPicPr>
        <xdr:blipFill rotWithShape="1">
          <a:blip xmlns:r="http://schemas.openxmlformats.org/officeDocument/2006/relationships" r:embed="rId6"/>
          <a:srcRect l="50406" t="20433" r="18104" b="13702"/>
          <a:stretch/>
        </xdr:blipFill>
        <xdr:spPr>
          <a:xfrm>
            <a:off x="1453931" y="-599190"/>
            <a:ext cx="3979714" cy="4680000"/>
          </a:xfrm>
          <a:prstGeom prst="rect">
            <a:avLst/>
          </a:prstGeom>
          <a:ln>
            <a:solidFill>
              <a:schemeClr val="tx1"/>
            </a:solidFill>
          </a:ln>
        </xdr:spPr>
      </xdr:pic>
      <xdr:grpSp>
        <xdr:nvGrpSpPr>
          <xdr:cNvPr id="12" name="Group 11"/>
          <xdr:cNvGrpSpPr/>
        </xdr:nvGrpSpPr>
        <xdr:grpSpPr>
          <a:xfrm>
            <a:off x="778628" y="4193016"/>
            <a:ext cx="5400000" cy="4680000"/>
            <a:chOff x="590216" y="4849230"/>
            <a:chExt cx="5400000" cy="4680000"/>
          </a:xfrm>
        </xdr:grpSpPr>
        <xdr:pic>
          <xdr:nvPicPr>
            <xdr:cNvPr id="13" name="Picture 12"/>
            <xdr:cNvPicPr>
              <a:picLocks noChangeAspect="1"/>
            </xdr:cNvPicPr>
          </xdr:nvPicPr>
          <xdr:blipFill rotWithShape="1">
            <a:blip xmlns:r="http://schemas.openxmlformats.org/officeDocument/2006/relationships" r:embed="rId7"/>
            <a:srcRect l="27069" t="20032" r="32385" b="12420"/>
            <a:stretch/>
          </xdr:blipFill>
          <xdr:spPr>
            <a:xfrm>
              <a:off x="590216" y="4849230"/>
              <a:ext cx="5400000" cy="4680000"/>
            </a:xfrm>
            <a:prstGeom prst="rect">
              <a:avLst/>
            </a:prstGeom>
            <a:ln>
              <a:solidFill>
                <a:schemeClr val="tx1"/>
              </a:solidFill>
            </a:ln>
          </xdr:spPr>
        </xdr:pic>
        <xdr:sp macro="" textlink="">
          <xdr:nvSpPr>
            <xdr:cNvPr id="14" name="Rectangle 13"/>
            <xdr:cNvSpPr/>
          </xdr:nvSpPr>
          <xdr:spPr>
            <a:xfrm rot="1359039">
              <a:off x="2698447" y="6354884"/>
              <a:ext cx="981585" cy="54066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11"/>
            <xdr:cNvSpPr txBox="1"/>
          </xdr:nvSpPr>
          <xdr:spPr>
            <a:xfrm>
              <a:off x="2865830" y="5768420"/>
              <a:ext cx="2466957" cy="369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Sector B- Tower A and B</a:t>
              </a:r>
              <a:endParaRPr lang="en-IN" b="1">
                <a:solidFill>
                  <a:srgbClr val="FFFF00"/>
                </a:solidFill>
              </a:endParaRPr>
            </a:p>
          </xdr:txBody>
        </xdr:sp>
      </xdr:grpSp>
    </xdr:grpSp>
    <xdr:clientData/>
  </xdr:twoCellAnchor>
  <xdr:twoCellAnchor>
    <xdr:from>
      <xdr:col>0</xdr:col>
      <xdr:colOff>542925</xdr:colOff>
      <xdr:row>395</xdr:row>
      <xdr:rowOff>47626</xdr:rowOff>
    </xdr:from>
    <xdr:to>
      <xdr:col>7</xdr:col>
      <xdr:colOff>390525</xdr:colOff>
      <xdr:row>434</xdr:row>
      <xdr:rowOff>133350</xdr:rowOff>
    </xdr:to>
    <xdr:grpSp>
      <xdr:nvGrpSpPr>
        <xdr:cNvPr id="22" name="Group 21"/>
        <xdr:cNvGrpSpPr/>
      </xdr:nvGrpSpPr>
      <xdr:grpSpPr>
        <a:xfrm>
          <a:off x="542925" y="74802067"/>
          <a:ext cx="5428129" cy="7952254"/>
          <a:chOff x="419000" y="-26579"/>
          <a:chExt cx="6120000" cy="7356772"/>
        </a:xfrm>
      </xdr:grpSpPr>
      <xdr:grpSp>
        <xdr:nvGrpSpPr>
          <xdr:cNvPr id="23" name="Group 22"/>
          <xdr:cNvGrpSpPr/>
        </xdr:nvGrpSpPr>
        <xdr:grpSpPr>
          <a:xfrm>
            <a:off x="419000" y="-26579"/>
            <a:ext cx="6120000" cy="4151862"/>
            <a:chOff x="-77321" y="8471"/>
            <a:chExt cx="6858000" cy="4093475"/>
          </a:xfrm>
        </xdr:grpSpPr>
        <xdr:pic>
          <xdr:nvPicPr>
            <xdr:cNvPr id="25" name="Picture 2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321" y="8471"/>
              <a:ext cx="6858000" cy="4029621"/>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3012513">
              <a:off x="650860" y="3247006"/>
              <a:ext cx="902247" cy="807634"/>
            </a:xfrm>
            <a:prstGeom prst="rect">
              <a:avLst/>
            </a:prstGeom>
          </xdr:spPr>
        </xdr:pic>
        <xdr:sp macro="" textlink="">
          <xdr:nvSpPr>
            <xdr:cNvPr id="27" name="TextBox 20"/>
            <xdr:cNvSpPr txBox="1"/>
          </xdr:nvSpPr>
          <xdr:spPr>
            <a:xfrm>
              <a:off x="3359206" y="1342490"/>
              <a:ext cx="1235029" cy="3048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Tower 2A</a:t>
              </a:r>
              <a:endParaRPr lang="en-IN" sz="1600" b="1">
                <a:solidFill>
                  <a:srgbClr val="FF0000"/>
                </a:solidFill>
              </a:endParaRPr>
            </a:p>
          </xdr:txBody>
        </xdr:sp>
        <xdr:sp macro="" textlink="">
          <xdr:nvSpPr>
            <xdr:cNvPr id="28" name="TextBox 21"/>
            <xdr:cNvSpPr txBox="1"/>
          </xdr:nvSpPr>
          <xdr:spPr>
            <a:xfrm>
              <a:off x="3721540" y="1975330"/>
              <a:ext cx="1281533" cy="3048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Tower 2B</a:t>
              </a:r>
              <a:endParaRPr lang="en-IN" sz="1600" b="1">
                <a:solidFill>
                  <a:srgbClr val="FF0000"/>
                </a:solidFill>
              </a:endParaRPr>
            </a:p>
          </xdr:txBody>
        </xdr:sp>
      </xdr:grpSp>
      <xdr:pic>
        <xdr:nvPicPr>
          <xdr:cNvPr id="24" name="Picture 2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431038" y="4161303"/>
            <a:ext cx="4165750" cy="316889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vvpfRn9FnEeR9SF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39"/>
  <sheetViews>
    <sheetView tabSelected="1" view="pageBreakPreview" zoomScale="85" zoomScaleNormal="100" zoomScaleSheetLayoutView="85" zoomScalePageLayoutView="85" workbookViewId="0">
      <selection activeCell="L16" sqref="L16"/>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59" t="s">
        <v>378</v>
      </c>
      <c r="B1" s="259"/>
      <c r="C1" s="259"/>
      <c r="D1" s="259"/>
      <c r="E1" s="259"/>
      <c r="F1" s="259"/>
      <c r="G1" s="259"/>
      <c r="H1" s="259"/>
    </row>
    <row r="2" spans="1:26" ht="16.5" customHeight="1" x14ac:dyDescent="0.25">
      <c r="A2" s="260" t="s">
        <v>0</v>
      </c>
      <c r="B2" s="260"/>
      <c r="C2" s="260"/>
      <c r="D2" s="260"/>
      <c r="E2" s="260"/>
      <c r="F2" s="260"/>
      <c r="G2" s="260"/>
      <c r="H2" s="260"/>
    </row>
    <row r="3" spans="1:26" x14ac:dyDescent="0.25">
      <c r="A3" s="184" t="s">
        <v>1</v>
      </c>
      <c r="B3" s="184"/>
      <c r="C3" s="184"/>
      <c r="D3" s="184"/>
      <c r="E3" s="184" t="str">
        <f ca="1">TEXT(TODAY(),"DD/MM/YYYY")</f>
        <v>31/07/2025</v>
      </c>
      <c r="F3" s="184"/>
      <c r="G3" s="184"/>
      <c r="H3" s="184"/>
      <c r="K3" s="53" t="s">
        <v>236</v>
      </c>
      <c r="L3" s="52" t="s">
        <v>234</v>
      </c>
      <c r="M3" s="52" t="s">
        <v>239</v>
      </c>
      <c r="N3" s="52" t="s">
        <v>237</v>
      </c>
      <c r="O3" s="52" t="s">
        <v>355</v>
      </c>
      <c r="P3" s="52" t="s">
        <v>381</v>
      </c>
    </row>
    <row r="4" spans="1:26" ht="15" customHeight="1" x14ac:dyDescent="0.25">
      <c r="A4" s="184" t="s">
        <v>233</v>
      </c>
      <c r="B4" s="184"/>
      <c r="C4" s="184"/>
      <c r="D4" s="184"/>
      <c r="E4" s="184" t="s">
        <v>234</v>
      </c>
      <c r="F4" s="184"/>
      <c r="G4" s="184"/>
      <c r="H4" s="184"/>
      <c r="K4" s="51" t="s">
        <v>235</v>
      </c>
      <c r="L4" s="52" t="s">
        <v>169</v>
      </c>
      <c r="M4" s="52" t="s">
        <v>244</v>
      </c>
      <c r="N4" s="52" t="s">
        <v>246</v>
      </c>
      <c r="O4" s="52" t="s">
        <v>341</v>
      </c>
      <c r="P4" s="52" t="s">
        <v>382</v>
      </c>
    </row>
    <row r="5" spans="1:26" ht="15" customHeight="1" x14ac:dyDescent="0.25">
      <c r="A5" s="184" t="s">
        <v>2</v>
      </c>
      <c r="B5" s="184"/>
      <c r="C5" s="184"/>
      <c r="D5" s="184"/>
      <c r="E5" s="184" t="s">
        <v>169</v>
      </c>
      <c r="F5" s="184"/>
      <c r="G5" s="184"/>
      <c r="H5" s="184"/>
      <c r="K5" s="51"/>
      <c r="L5" s="52" t="s">
        <v>241</v>
      </c>
      <c r="M5" s="52" t="s">
        <v>245</v>
      </c>
      <c r="N5" s="52" t="s">
        <v>247</v>
      </c>
      <c r="O5" s="52" t="s">
        <v>342</v>
      </c>
      <c r="P5" s="52"/>
    </row>
    <row r="6" spans="1:26" x14ac:dyDescent="0.25">
      <c r="A6" s="184" t="s">
        <v>3</v>
      </c>
      <c r="B6" s="184"/>
      <c r="C6" s="184"/>
      <c r="D6" s="184"/>
      <c r="E6" s="261">
        <v>45849</v>
      </c>
      <c r="F6" s="184"/>
      <c r="G6" s="184"/>
      <c r="H6" s="184"/>
      <c r="K6" s="51"/>
      <c r="L6" s="52" t="s">
        <v>242</v>
      </c>
      <c r="M6" s="52" t="s">
        <v>353</v>
      </c>
      <c r="N6" s="52"/>
      <c r="O6" s="52" t="s">
        <v>343</v>
      </c>
      <c r="P6" s="52"/>
    </row>
    <row r="7" spans="1:26" ht="16.5" customHeight="1" x14ac:dyDescent="0.25">
      <c r="A7" s="184" t="s">
        <v>4</v>
      </c>
      <c r="B7" s="184"/>
      <c r="C7" s="184"/>
      <c r="D7" s="184"/>
      <c r="E7" s="184" t="s">
        <v>385</v>
      </c>
      <c r="F7" s="184"/>
      <c r="G7" s="184"/>
      <c r="H7" s="184"/>
      <c r="K7" s="51"/>
      <c r="L7" s="52" t="s">
        <v>243</v>
      </c>
      <c r="M7" s="52"/>
      <c r="N7" s="52"/>
      <c r="O7" s="52" t="s">
        <v>343</v>
      </c>
      <c r="P7" s="52"/>
    </row>
    <row r="8" spans="1:26" ht="15" customHeight="1" x14ac:dyDescent="0.25">
      <c r="A8" s="184" t="s">
        <v>5</v>
      </c>
      <c r="B8" s="184"/>
      <c r="C8" s="184"/>
      <c r="D8" s="184"/>
      <c r="E8" s="184" t="str">
        <f>E7</f>
        <v>M/s. Agile Real Estate PVT LTD</v>
      </c>
      <c r="F8" s="184"/>
      <c r="G8" s="184"/>
      <c r="H8" s="184"/>
      <c r="K8" s="51"/>
      <c r="L8" s="52"/>
      <c r="M8" s="52"/>
      <c r="N8" s="52"/>
      <c r="O8" s="52" t="s">
        <v>344</v>
      </c>
      <c r="P8" s="52"/>
    </row>
    <row r="9" spans="1:26" x14ac:dyDescent="0.25">
      <c r="A9" s="184" t="s">
        <v>6</v>
      </c>
      <c r="B9" s="184"/>
      <c r="C9" s="184"/>
      <c r="D9" s="184"/>
      <c r="E9" s="171" t="s">
        <v>386</v>
      </c>
      <c r="F9" s="171"/>
      <c r="G9" s="171"/>
      <c r="H9" s="171"/>
      <c r="K9" s="51"/>
      <c r="L9" s="52"/>
      <c r="M9" s="52"/>
      <c r="N9" s="52"/>
      <c r="O9" s="52" t="s">
        <v>345</v>
      </c>
      <c r="P9" s="52"/>
    </row>
    <row r="10" spans="1:26" x14ac:dyDescent="0.25">
      <c r="A10" s="184" t="s">
        <v>166</v>
      </c>
      <c r="B10" s="184"/>
      <c r="C10" s="184"/>
      <c r="D10" s="184"/>
      <c r="E10" s="184" t="s">
        <v>28</v>
      </c>
      <c r="F10" s="184"/>
      <c r="G10" s="184"/>
      <c r="H10" s="184"/>
      <c r="K10" s="51"/>
      <c r="L10" s="52"/>
      <c r="M10" s="52"/>
      <c r="N10" s="52"/>
      <c r="O10" s="52" t="s">
        <v>346</v>
      </c>
      <c r="P10" s="52"/>
    </row>
    <row r="11" spans="1:26" x14ac:dyDescent="0.25">
      <c r="A11" s="184" t="s">
        <v>167</v>
      </c>
      <c r="B11" s="184"/>
      <c r="C11" s="184"/>
      <c r="D11" s="184"/>
      <c r="E11" s="184" t="s">
        <v>410</v>
      </c>
      <c r="F11" s="184"/>
      <c r="G11" s="184"/>
      <c r="H11" s="184"/>
      <c r="O11" s="52" t="s">
        <v>347</v>
      </c>
    </row>
    <row r="12" spans="1:26" x14ac:dyDescent="0.25">
      <c r="A12" s="184" t="s">
        <v>7</v>
      </c>
      <c r="B12" s="184"/>
      <c r="C12" s="184"/>
      <c r="D12" s="184"/>
      <c r="E12" s="184" t="s">
        <v>391</v>
      </c>
      <c r="F12" s="184"/>
      <c r="G12" s="184"/>
      <c r="H12" s="184"/>
    </row>
    <row r="13" spans="1:26" x14ac:dyDescent="0.25">
      <c r="A13" s="184" t="s">
        <v>170</v>
      </c>
      <c r="B13" s="184"/>
      <c r="C13" s="184"/>
      <c r="D13" s="184"/>
      <c r="E13" s="184" t="s">
        <v>28</v>
      </c>
      <c r="F13" s="184"/>
      <c r="G13" s="184"/>
      <c r="H13" s="184"/>
      <c r="S13" s="52" t="s">
        <v>179</v>
      </c>
      <c r="T13" s="52" t="s">
        <v>188</v>
      </c>
      <c r="U13" s="52" t="s">
        <v>171</v>
      </c>
      <c r="V13" s="52" t="s">
        <v>193</v>
      </c>
      <c r="W13" s="52" t="s">
        <v>211</v>
      </c>
      <c r="X13"/>
      <c r="Y13" t="s">
        <v>193</v>
      </c>
      <c r="Z13" t="e">
        <f ca="1">OFFSET($S$13,1,MATCH($G20,$S$13:$W$13,0)-1,15,1)</f>
        <v>#VALUE!</v>
      </c>
    </row>
    <row r="14" spans="1:26" x14ac:dyDescent="0.25">
      <c r="A14" s="146" t="s">
        <v>279</v>
      </c>
      <c r="B14" s="146"/>
      <c r="C14" s="146"/>
      <c r="D14" s="146"/>
      <c r="E14" s="185" t="s">
        <v>411</v>
      </c>
      <c r="F14" s="185"/>
      <c r="G14" s="185"/>
      <c r="H14" s="185"/>
      <c r="I14" s="20" t="s">
        <v>168</v>
      </c>
      <c r="S14" s="52" t="s">
        <v>179</v>
      </c>
      <c r="T14" s="52" t="s">
        <v>186</v>
      </c>
      <c r="U14" s="52" t="s">
        <v>208</v>
      </c>
      <c r="V14" s="52" t="s">
        <v>194</v>
      </c>
      <c r="W14" s="52" t="s">
        <v>212</v>
      </c>
      <c r="X14"/>
      <c r="Y14"/>
      <c r="Z14"/>
    </row>
    <row r="15" spans="1:26" x14ac:dyDescent="0.25">
      <c r="A15" s="146" t="s">
        <v>8</v>
      </c>
      <c r="B15" s="146"/>
      <c r="C15" s="146"/>
      <c r="D15" s="146"/>
      <c r="E15" s="185" t="s">
        <v>387</v>
      </c>
      <c r="F15" s="184"/>
      <c r="G15" s="184"/>
      <c r="H15" s="184"/>
      <c r="I15" s="278" t="e">
        <f ca="1">OFFSET($D$5,1,MATCH($J13,$D$5:$H$5,0)-1,15,1)</f>
        <v>#N/A</v>
      </c>
      <c r="J15" s="279"/>
      <c r="K15" s="279"/>
      <c r="L15" s="279"/>
      <c r="M15" s="279"/>
      <c r="N15" s="279"/>
      <c r="O15" s="279"/>
      <c r="P15" s="279"/>
      <c r="S15" s="52" t="s">
        <v>180</v>
      </c>
      <c r="T15" s="52" t="s">
        <v>187</v>
      </c>
      <c r="U15" s="52" t="s">
        <v>209</v>
      </c>
      <c r="V15" s="52" t="s">
        <v>195</v>
      </c>
      <c r="W15" s="52" t="s">
        <v>225</v>
      </c>
      <c r="X15"/>
      <c r="Y15"/>
      <c r="Z15"/>
    </row>
    <row r="16" spans="1:26" ht="129" customHeight="1" x14ac:dyDescent="0.25">
      <c r="A16" s="186" t="s">
        <v>9</v>
      </c>
      <c r="B16" s="186"/>
      <c r="C16" s="186" t="str">
        <f>CONCATENATE((IF(OR(E9="",E9="NA"),"",E9)),", ",(IF(OR(A17="",A17="NA"),"",A17)),".",(IF(OR(C17="",C17="NA"),"",C17)),", near ",(IF(OR(C22="",C22="NA"),"",C22)),", ",(IF(OR(C19="",C19="NA"),"",C19)),", ",(IF(OR(C18="",C18="NA"),"",C18)),", ",(IF(OR(G19="",G19="NA"),"",G19)),", ",(IF(OR(C20="",C20="NA"),"",C20)),", ",(IF(OR(C21="",C21="NA"),"",C21)),", ",(IF(OR(G20="",G20="NA"),"",G20))," - ",(IF(OR(G21="",G21="NA"),"",G21)),".")</f>
        <v>Sector B- Tower A and B, Survey No.19/1B, 19/2 to 19/5, 19/6(pt.), 19/7, 19/9 to 19/12, 19/13/A, 19/13/B, 19/14, 19/15, 19/16A, 19/16B, 19/17 to 19/19, 19/20/A, 19/20/B, 19/21, 19/22, 19/24, 19/25/A, 19/25/B, 19/26, 19/27/A, 19/27/B, 19/28, 19/34/B, 19/34/C, 19/35, 19/36, 19/39/A, 19/39/B, 19/41/A, 19/41/B, 19/44, 19/46, 20/1 to 20/3, 80/2/B, 80/2/C, 82, 83/2/B/2, 83/4/1/B, 83/4/2/A, 83/4/2B, 83/6/B, 83/7/A, 83/7/B, 83/7/C, 83/11/B, 83/12, 85/3, 85/4, 86/1/B, 86/2/B, 86/3/B, 87/1/C &amp; 81, near Dosti Pine, Dosti West County Road, Kolshet Indstrial Area, Balkum, Thane West, Thane, Thane - 400607.</v>
      </c>
      <c r="D16" s="186"/>
      <c r="E16" s="186"/>
      <c r="F16" s="186"/>
      <c r="G16" s="186"/>
      <c r="H16" s="186"/>
      <c r="S16" s="52" t="s">
        <v>181</v>
      </c>
      <c r="T16" s="52" t="s">
        <v>189</v>
      </c>
      <c r="U16" s="52" t="s">
        <v>210</v>
      </c>
      <c r="V16" s="52" t="s">
        <v>196</v>
      </c>
      <c r="W16" s="52" t="s">
        <v>213</v>
      </c>
      <c r="X16"/>
      <c r="Y16"/>
      <c r="Z16"/>
    </row>
    <row r="17" spans="1:26" ht="96.75" customHeight="1" x14ac:dyDescent="0.25">
      <c r="A17" s="185" t="s">
        <v>388</v>
      </c>
      <c r="B17" s="185"/>
      <c r="C17" s="185" t="s">
        <v>412</v>
      </c>
      <c r="D17" s="185"/>
      <c r="E17" s="185"/>
      <c r="F17" s="185"/>
      <c r="G17" s="185"/>
      <c r="H17" s="185"/>
      <c r="S17" s="52" t="s">
        <v>182</v>
      </c>
      <c r="T17" s="52" t="s">
        <v>190</v>
      </c>
      <c r="U17" s="52" t="s">
        <v>171</v>
      </c>
      <c r="V17" s="52" t="s">
        <v>197</v>
      </c>
      <c r="W17" s="52" t="s">
        <v>214</v>
      </c>
      <c r="X17"/>
      <c r="Y17"/>
      <c r="Z17"/>
    </row>
    <row r="18" spans="1:26" ht="15.75" customHeight="1" x14ac:dyDescent="0.25">
      <c r="A18" s="185" t="s">
        <v>163</v>
      </c>
      <c r="B18" s="185"/>
      <c r="C18" s="185" t="s">
        <v>413</v>
      </c>
      <c r="D18" s="185"/>
      <c r="E18" s="185"/>
      <c r="F18" s="185"/>
      <c r="G18" s="185"/>
      <c r="H18" s="185"/>
      <c r="S18" s="52" t="s">
        <v>183</v>
      </c>
      <c r="T18" s="52" t="s">
        <v>188</v>
      </c>
      <c r="U18" s="52"/>
      <c r="V18" s="52" t="s">
        <v>198</v>
      </c>
      <c r="W18" s="52" t="s">
        <v>215</v>
      </c>
      <c r="X18"/>
      <c r="Y18"/>
      <c r="Z18"/>
    </row>
    <row r="19" spans="1:26" x14ac:dyDescent="0.25">
      <c r="A19" s="186" t="s">
        <v>10</v>
      </c>
      <c r="B19" s="186"/>
      <c r="C19" s="185" t="s">
        <v>394</v>
      </c>
      <c r="D19" s="185"/>
      <c r="E19" s="186" t="s">
        <v>69</v>
      </c>
      <c r="F19" s="186"/>
      <c r="G19" s="185" t="s">
        <v>389</v>
      </c>
      <c r="H19" s="185"/>
      <c r="S19" s="52" t="s">
        <v>184</v>
      </c>
      <c r="T19" s="52" t="s">
        <v>191</v>
      </c>
      <c r="U19" s="52"/>
      <c r="V19" s="52" t="s">
        <v>199</v>
      </c>
      <c r="W19" s="52" t="s">
        <v>216</v>
      </c>
      <c r="X19"/>
      <c r="Y19"/>
      <c r="Z19"/>
    </row>
    <row r="20" spans="1:26" x14ac:dyDescent="0.25">
      <c r="A20" s="146" t="s">
        <v>12</v>
      </c>
      <c r="B20" s="146"/>
      <c r="C20" s="185" t="s">
        <v>390</v>
      </c>
      <c r="D20" s="185"/>
      <c r="E20" s="186" t="s">
        <v>11</v>
      </c>
      <c r="F20" s="186"/>
      <c r="G20" s="258" t="s">
        <v>179</v>
      </c>
      <c r="H20" s="258"/>
      <c r="S20" s="52" t="s">
        <v>185</v>
      </c>
      <c r="T20" s="52" t="s">
        <v>192</v>
      </c>
      <c r="U20" s="52"/>
      <c r="V20" s="52" t="s">
        <v>200</v>
      </c>
      <c r="W20" s="52" t="s">
        <v>217</v>
      </c>
      <c r="X20"/>
      <c r="Y20"/>
      <c r="Z20"/>
    </row>
    <row r="21" spans="1:26" x14ac:dyDescent="0.25">
      <c r="A21" s="146" t="s">
        <v>70</v>
      </c>
      <c r="B21" s="146"/>
      <c r="C21" s="185" t="s">
        <v>179</v>
      </c>
      <c r="D21" s="185"/>
      <c r="E21" s="186" t="s">
        <v>13</v>
      </c>
      <c r="F21" s="186"/>
      <c r="G21" s="185">
        <v>400607</v>
      </c>
      <c r="H21" s="185"/>
      <c r="S21" s="52"/>
      <c r="T21" s="52"/>
      <c r="U21" s="52"/>
      <c r="V21" s="52" t="s">
        <v>201</v>
      </c>
      <c r="W21" s="52" t="s">
        <v>218</v>
      </c>
      <c r="X21"/>
      <c r="Y21"/>
      <c r="Z21"/>
    </row>
    <row r="22" spans="1:26" ht="32.25" customHeight="1" x14ac:dyDescent="0.25">
      <c r="A22" s="146" t="s">
        <v>119</v>
      </c>
      <c r="B22" s="146"/>
      <c r="C22" s="185" t="s">
        <v>414</v>
      </c>
      <c r="D22" s="185"/>
      <c r="E22" s="186" t="s">
        <v>14</v>
      </c>
      <c r="F22" s="186"/>
      <c r="G22" s="185" t="s">
        <v>471</v>
      </c>
      <c r="H22" s="185"/>
      <c r="S22" s="52"/>
      <c r="T22" s="52"/>
      <c r="U22" s="52"/>
      <c r="V22" s="52" t="s">
        <v>202</v>
      </c>
      <c r="W22" s="52" t="s">
        <v>219</v>
      </c>
      <c r="X22"/>
      <c r="Y22"/>
      <c r="Z22"/>
    </row>
    <row r="23" spans="1:26" ht="15" customHeight="1" x14ac:dyDescent="0.25">
      <c r="A23" s="186" t="s">
        <v>72</v>
      </c>
      <c r="B23" s="186"/>
      <c r="C23" s="186"/>
      <c r="D23" s="186"/>
      <c r="E23" s="184" t="s">
        <v>15</v>
      </c>
      <c r="F23" s="184"/>
      <c r="G23" s="184"/>
      <c r="H23" s="184"/>
      <c r="S23" s="52"/>
      <c r="T23" s="52"/>
      <c r="U23" s="52"/>
      <c r="V23" s="52" t="s">
        <v>203</v>
      </c>
      <c r="W23" s="52" t="s">
        <v>220</v>
      </c>
      <c r="X23"/>
      <c r="Y23"/>
      <c r="Z23"/>
    </row>
    <row r="24" spans="1:26" ht="18.75" customHeight="1" x14ac:dyDescent="0.25">
      <c r="A24" s="186"/>
      <c r="B24" s="186"/>
      <c r="C24" s="186"/>
      <c r="D24" s="186"/>
      <c r="E24" s="184"/>
      <c r="F24" s="184"/>
      <c r="G24" s="184"/>
      <c r="H24" s="184"/>
      <c r="S24" s="52"/>
      <c r="T24" s="52"/>
      <c r="U24" s="52"/>
      <c r="V24" s="52" t="s">
        <v>204</v>
      </c>
      <c r="W24" s="52" t="s">
        <v>221</v>
      </c>
      <c r="X24"/>
      <c r="Y24"/>
      <c r="Z24"/>
    </row>
    <row r="25" spans="1:26" ht="15" customHeight="1" x14ac:dyDescent="0.25">
      <c r="A25" s="186" t="s">
        <v>16</v>
      </c>
      <c r="B25" s="186"/>
      <c r="C25" s="186"/>
      <c r="D25" s="186"/>
      <c r="E25" s="185" t="s">
        <v>17</v>
      </c>
      <c r="F25" s="185"/>
      <c r="G25" s="185"/>
      <c r="H25" s="185"/>
      <c r="S25" s="52"/>
      <c r="T25" s="52"/>
      <c r="U25" s="52"/>
      <c r="V25" s="52" t="s">
        <v>205</v>
      </c>
      <c r="W25" s="52" t="s">
        <v>222</v>
      </c>
      <c r="X25"/>
      <c r="Y25"/>
      <c r="Z25"/>
    </row>
    <row r="26" spans="1:26" ht="15" customHeight="1" x14ac:dyDescent="0.25">
      <c r="A26" s="146" t="s">
        <v>18</v>
      </c>
      <c r="B26" s="146"/>
      <c r="C26" s="146"/>
      <c r="D26" s="146"/>
      <c r="E26" s="185" t="str">
        <f>IF(AND(G20="Mumbai"),"Upper Class","Middle Class")</f>
        <v>Middle Class</v>
      </c>
      <c r="F26" s="185"/>
      <c r="G26" s="185"/>
      <c r="H26" s="185"/>
      <c r="S26" s="52"/>
      <c r="T26" s="52"/>
      <c r="U26" s="52"/>
      <c r="V26" s="52" t="s">
        <v>206</v>
      </c>
      <c r="W26" s="52" t="s">
        <v>223</v>
      </c>
      <c r="X26"/>
      <c r="Y26"/>
      <c r="Z26"/>
    </row>
    <row r="27" spans="1:26" x14ac:dyDescent="0.25">
      <c r="A27" s="146" t="s">
        <v>19</v>
      </c>
      <c r="B27" s="146"/>
      <c r="C27" s="146"/>
      <c r="D27" s="146"/>
      <c r="E27" s="185" t="s">
        <v>20</v>
      </c>
      <c r="F27" s="185"/>
      <c r="G27" s="185"/>
      <c r="H27" s="185"/>
      <c r="S27" s="52"/>
      <c r="T27" s="52"/>
      <c r="U27" s="52"/>
      <c r="V27" s="52" t="s">
        <v>207</v>
      </c>
      <c r="W27" s="52" t="s">
        <v>224</v>
      </c>
      <c r="X27"/>
      <c r="Y27"/>
      <c r="Z27"/>
    </row>
    <row r="28" spans="1:26" ht="15.75" customHeight="1" x14ac:dyDescent="0.25">
      <c r="A28" s="146" t="s">
        <v>21</v>
      </c>
      <c r="B28" s="146"/>
      <c r="C28" s="146"/>
      <c r="D28" s="146"/>
      <c r="E28" s="185" t="str">
        <f>IF(AND(G20="Mumbai"),"Developed","Developing")</f>
        <v>Developing</v>
      </c>
      <c r="F28" s="185"/>
      <c r="G28" s="185"/>
      <c r="H28" s="185"/>
    </row>
    <row r="29" spans="1:26" x14ac:dyDescent="0.25">
      <c r="A29" s="146" t="s">
        <v>22</v>
      </c>
      <c r="B29" s="146"/>
      <c r="C29" s="146"/>
      <c r="D29" s="146"/>
      <c r="E29" s="185" t="s">
        <v>23</v>
      </c>
      <c r="F29" s="185"/>
      <c r="G29" s="185"/>
      <c r="H29" s="185"/>
    </row>
    <row r="30" spans="1:26" ht="15.75" customHeight="1" x14ac:dyDescent="0.25">
      <c r="A30" s="146" t="s">
        <v>77</v>
      </c>
      <c r="B30" s="146"/>
      <c r="C30" s="146"/>
      <c r="D30" s="146"/>
      <c r="E30" s="185" t="s">
        <v>78</v>
      </c>
      <c r="F30" s="185"/>
      <c r="G30" s="185"/>
      <c r="H30" s="185"/>
    </row>
    <row r="31" spans="1:26" ht="15" customHeight="1" x14ac:dyDescent="0.25">
      <c r="A31" s="146" t="s">
        <v>30</v>
      </c>
      <c r="B31" s="146"/>
      <c r="C31" s="146"/>
      <c r="D31" s="146"/>
      <c r="E31" s="185"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85"/>
      <c r="G31" s="185"/>
      <c r="H31" s="185"/>
    </row>
    <row r="32" spans="1:26" ht="15.75" customHeight="1" x14ac:dyDescent="0.25">
      <c r="A32" s="146" t="s">
        <v>89</v>
      </c>
      <c r="B32" s="146"/>
      <c r="C32" s="146"/>
      <c r="D32" s="146"/>
      <c r="E32" s="185" t="s">
        <v>31</v>
      </c>
      <c r="F32" s="185"/>
      <c r="G32" s="185"/>
      <c r="H32" s="185"/>
    </row>
    <row r="33" spans="1:19" s="21" customFormat="1" x14ac:dyDescent="0.25">
      <c r="A33" s="257" t="s">
        <v>90</v>
      </c>
      <c r="B33" s="257"/>
      <c r="C33" s="254" t="s">
        <v>172</v>
      </c>
      <c r="D33" s="255"/>
      <c r="E33" s="256"/>
      <c r="F33" s="254" t="s">
        <v>29</v>
      </c>
      <c r="G33" s="255"/>
      <c r="H33" s="256"/>
      <c r="S33" s="21" t="e">
        <f ca="1">OFFSET($S$13,1,MATCH($G20,$S$13:$W$13,0)-1,15,1)</f>
        <v>#VALUE!</v>
      </c>
    </row>
    <row r="34" spans="1:19" s="21" customFormat="1" ht="15.75" customHeight="1" x14ac:dyDescent="0.25">
      <c r="A34" s="253" t="s">
        <v>24</v>
      </c>
      <c r="B34" s="253" t="s">
        <v>28</v>
      </c>
      <c r="C34" s="228" t="s">
        <v>415</v>
      </c>
      <c r="D34" s="229"/>
      <c r="E34" s="230"/>
      <c r="F34" s="228" t="s">
        <v>393</v>
      </c>
      <c r="G34" s="229"/>
      <c r="H34" s="230"/>
      <c r="I34" s="228" t="s">
        <v>415</v>
      </c>
      <c r="J34" s="229"/>
      <c r="K34" s="230"/>
    </row>
    <row r="35" spans="1:19" ht="15.75" customHeight="1" x14ac:dyDescent="0.25">
      <c r="A35" s="253" t="s">
        <v>25</v>
      </c>
      <c r="B35" s="253" t="s">
        <v>28</v>
      </c>
      <c r="C35" s="228" t="s">
        <v>392</v>
      </c>
      <c r="D35" s="229"/>
      <c r="E35" s="230"/>
      <c r="F35" s="228" t="s">
        <v>394</v>
      </c>
      <c r="G35" s="229"/>
      <c r="H35" s="230"/>
      <c r="I35" s="228" t="s">
        <v>392</v>
      </c>
      <c r="J35" s="229"/>
      <c r="K35" s="230"/>
    </row>
    <row r="36" spans="1:19" s="21" customFormat="1" ht="15.75" customHeight="1" x14ac:dyDescent="0.25">
      <c r="A36" s="253" t="s">
        <v>27</v>
      </c>
      <c r="B36" s="253" t="s">
        <v>28</v>
      </c>
      <c r="C36" s="228" t="s">
        <v>415</v>
      </c>
      <c r="D36" s="229"/>
      <c r="E36" s="230"/>
      <c r="F36" s="228" t="s">
        <v>393</v>
      </c>
      <c r="G36" s="229"/>
      <c r="H36" s="230"/>
      <c r="I36" s="228" t="s">
        <v>415</v>
      </c>
      <c r="J36" s="229"/>
      <c r="K36" s="230"/>
    </row>
    <row r="37" spans="1:19" ht="15.75" customHeight="1" x14ac:dyDescent="0.25">
      <c r="A37" s="253" t="s">
        <v>26</v>
      </c>
      <c r="B37" s="253" t="s">
        <v>28</v>
      </c>
      <c r="C37" s="228" t="s">
        <v>415</v>
      </c>
      <c r="D37" s="229"/>
      <c r="E37" s="230"/>
      <c r="F37" s="228" t="s">
        <v>393</v>
      </c>
      <c r="G37" s="229"/>
      <c r="H37" s="230"/>
      <c r="I37" s="228" t="s">
        <v>415</v>
      </c>
      <c r="J37" s="229"/>
      <c r="K37" s="230"/>
    </row>
    <row r="38" spans="1:19" x14ac:dyDescent="0.25">
      <c r="A38" s="146" t="s">
        <v>280</v>
      </c>
      <c r="B38" s="146"/>
      <c r="C38" s="146"/>
      <c r="D38" s="146"/>
      <c r="E38" s="146"/>
      <c r="F38" s="146"/>
      <c r="G38" s="146"/>
      <c r="H38" s="146"/>
    </row>
    <row r="39" spans="1:19" ht="15.75" customHeight="1" x14ac:dyDescent="0.25">
      <c r="A39" s="146" t="s">
        <v>164</v>
      </c>
      <c r="B39" s="146"/>
      <c r="C39" s="220" t="s">
        <v>395</v>
      </c>
      <c r="D39" s="220"/>
      <c r="E39" s="220"/>
      <c r="F39" s="220"/>
      <c r="G39" s="220"/>
      <c r="H39" s="220"/>
    </row>
    <row r="40" spans="1:19" x14ac:dyDescent="0.25">
      <c r="A40" s="146" t="s">
        <v>162</v>
      </c>
      <c r="B40" s="146"/>
      <c r="C40" s="222" t="s">
        <v>396</v>
      </c>
      <c r="D40" s="185"/>
      <c r="E40" s="185"/>
      <c r="F40" s="185"/>
      <c r="G40" s="185"/>
      <c r="H40" s="185"/>
    </row>
    <row r="41" spans="1:19" x14ac:dyDescent="0.25">
      <c r="A41" s="220" t="s">
        <v>32</v>
      </c>
      <c r="B41" s="220"/>
      <c r="C41" s="220"/>
      <c r="D41" s="220"/>
      <c r="E41" s="220"/>
      <c r="F41" s="220"/>
      <c r="G41" s="220"/>
      <c r="H41" s="220"/>
    </row>
    <row r="42" spans="1:19" x14ac:dyDescent="0.25">
      <c r="A42" s="146" t="s">
        <v>33</v>
      </c>
      <c r="B42" s="146"/>
      <c r="C42" s="146"/>
      <c r="D42" s="146"/>
      <c r="E42" s="219">
        <f>63540.002</f>
        <v>63540.002</v>
      </c>
      <c r="F42" s="219"/>
      <c r="G42" s="219"/>
      <c r="H42" s="219"/>
    </row>
    <row r="43" spans="1:19" x14ac:dyDescent="0.25">
      <c r="A43" s="146" t="s">
        <v>34</v>
      </c>
      <c r="B43" s="146"/>
      <c r="C43" s="146"/>
      <c r="D43" s="146"/>
      <c r="E43" s="221">
        <f>69894.002/E42</f>
        <v>1.0999999968523764</v>
      </c>
      <c r="F43" s="221"/>
      <c r="G43" s="221"/>
      <c r="H43" s="221"/>
    </row>
    <row r="44" spans="1:19" x14ac:dyDescent="0.25">
      <c r="A44" s="146" t="s">
        <v>35</v>
      </c>
      <c r="B44" s="146"/>
      <c r="C44" s="146"/>
      <c r="D44" s="146"/>
      <c r="E44" s="221">
        <f>E46/E42-E43</f>
        <v>1.1124445195957031</v>
      </c>
      <c r="F44" s="221"/>
      <c r="G44" s="221"/>
      <c r="H44" s="221"/>
    </row>
    <row r="45" spans="1:19" x14ac:dyDescent="0.25">
      <c r="A45" s="146" t="s">
        <v>36</v>
      </c>
      <c r="B45" s="146"/>
      <c r="C45" s="146"/>
      <c r="D45" s="146"/>
      <c r="E45" s="221">
        <f>E43+E44</f>
        <v>2.2124445164480795</v>
      </c>
      <c r="F45" s="221"/>
      <c r="G45" s="221"/>
      <c r="H45" s="221"/>
    </row>
    <row r="46" spans="1:19" x14ac:dyDescent="0.25">
      <c r="A46" s="146" t="s">
        <v>88</v>
      </c>
      <c r="B46" s="146"/>
      <c r="C46" s="146"/>
      <c r="D46" s="146"/>
      <c r="E46" s="223">
        <f>140578.729</f>
        <v>140578.72899999999</v>
      </c>
      <c r="F46" s="223"/>
      <c r="G46" s="223"/>
      <c r="H46" s="223"/>
    </row>
    <row r="47" spans="1:19" x14ac:dyDescent="0.25">
      <c r="A47" s="184" t="s">
        <v>37</v>
      </c>
      <c r="B47" s="184"/>
      <c r="C47" s="184"/>
      <c r="D47" s="184"/>
      <c r="E47" s="184" t="s">
        <v>397</v>
      </c>
      <c r="F47" s="184"/>
      <c r="G47" s="184"/>
      <c r="H47" s="184"/>
    </row>
    <row r="48" spans="1:19" x14ac:dyDescent="0.25">
      <c r="A48" s="220" t="s">
        <v>38</v>
      </c>
      <c r="B48" s="220"/>
      <c r="C48" s="220"/>
      <c r="D48" s="220"/>
      <c r="E48" s="220"/>
      <c r="F48" s="220"/>
      <c r="G48" s="220"/>
      <c r="H48" s="220"/>
    </row>
    <row r="49" spans="1:24" ht="33.75" customHeight="1" x14ac:dyDescent="0.25">
      <c r="A49" s="179" t="s">
        <v>151</v>
      </c>
      <c r="B49" s="181"/>
      <c r="C49" s="245" t="s">
        <v>356</v>
      </c>
      <c r="D49" s="246"/>
      <c r="E49" s="246"/>
      <c r="F49" s="246"/>
      <c r="G49" s="246"/>
      <c r="H49" s="247"/>
      <c r="R49" t="s">
        <v>253</v>
      </c>
      <c r="S49" s="54" t="s">
        <v>171</v>
      </c>
      <c r="T49" s="54" t="s">
        <v>179</v>
      </c>
      <c r="U49" s="54" t="s">
        <v>193</v>
      </c>
      <c r="V49" s="54" t="s">
        <v>188</v>
      </c>
    </row>
    <row r="50" spans="1:24" ht="15.75" customHeight="1" x14ac:dyDescent="0.25">
      <c r="A50" s="179" t="s">
        <v>39</v>
      </c>
      <c r="B50" s="181"/>
      <c r="C50" s="179" t="s">
        <v>398</v>
      </c>
      <c r="D50" s="180"/>
      <c r="E50" s="181"/>
      <c r="F50" s="17" t="s">
        <v>40</v>
      </c>
      <c r="G50" s="198">
        <v>45784</v>
      </c>
      <c r="H50" s="199"/>
      <c r="I50" s="179" t="s">
        <v>398</v>
      </c>
      <c r="J50" s="180"/>
      <c r="K50" s="181"/>
      <c r="L50" s="198">
        <v>45784</v>
      </c>
      <c r="M50" s="199"/>
      <c r="R50"/>
      <c r="S50" s="54" t="s">
        <v>254</v>
      </c>
      <c r="T50" s="54" t="s">
        <v>259</v>
      </c>
      <c r="U50" s="54" t="s">
        <v>270</v>
      </c>
      <c r="V50" s="54" t="s">
        <v>275</v>
      </c>
    </row>
    <row r="51" spans="1:24" x14ac:dyDescent="0.25">
      <c r="A51" s="179" t="s">
        <v>41</v>
      </c>
      <c r="B51" s="181"/>
      <c r="C51" s="179" t="str">
        <f>C50</f>
        <v>TMCB/RB/2025/APL/00307</v>
      </c>
      <c r="D51" s="180"/>
      <c r="E51" s="181"/>
      <c r="F51" s="17" t="s">
        <v>40</v>
      </c>
      <c r="G51" s="198">
        <f>G50</f>
        <v>45784</v>
      </c>
      <c r="H51" s="199"/>
      <c r="R51"/>
      <c r="S51" s="54" t="s">
        <v>255</v>
      </c>
      <c r="T51" s="54" t="s">
        <v>356</v>
      </c>
      <c r="U51" s="54" t="s">
        <v>268</v>
      </c>
      <c r="V51" s="54" t="s">
        <v>276</v>
      </c>
    </row>
    <row r="52" spans="1:24" s="22" customFormat="1" ht="15.75" customHeight="1" x14ac:dyDescent="0.25">
      <c r="A52" s="214" t="s">
        <v>155</v>
      </c>
      <c r="B52" s="215"/>
      <c r="C52" s="214" t="s">
        <v>408</v>
      </c>
      <c r="D52" s="218"/>
      <c r="E52" s="215"/>
      <c r="F52" s="17" t="s">
        <v>40</v>
      </c>
      <c r="G52" s="198">
        <v>45784</v>
      </c>
      <c r="H52" s="199"/>
      <c r="I52" s="21" t="str">
        <f ca="1">IF(G52&gt;EDATE(E3,-48),"NO REMARK","CC REMARK FOR CC")</f>
        <v>NO REMARK</v>
      </c>
      <c r="J52" s="73"/>
      <c r="R52"/>
      <c r="S52" s="54" t="s">
        <v>256</v>
      </c>
      <c r="T52" s="54" t="s">
        <v>261</v>
      </c>
      <c r="U52" s="54" t="s">
        <v>258</v>
      </c>
      <c r="V52" s="54" t="s">
        <v>277</v>
      </c>
    </row>
    <row r="53" spans="1:24" s="22" customFormat="1" ht="33.75" customHeight="1" x14ac:dyDescent="0.25">
      <c r="A53" s="216"/>
      <c r="B53" s="217"/>
      <c r="C53" s="179" t="s">
        <v>399</v>
      </c>
      <c r="D53" s="180"/>
      <c r="E53" s="180"/>
      <c r="F53" s="180"/>
      <c r="G53" s="180"/>
      <c r="H53" s="181"/>
      <c r="I53" s="179" t="s">
        <v>399</v>
      </c>
      <c r="J53" s="180"/>
      <c r="K53" s="180"/>
      <c r="L53" s="180"/>
      <c r="M53" s="180"/>
      <c r="N53" s="181"/>
      <c r="R53"/>
      <c r="S53" s="54"/>
      <c r="T53" s="54"/>
      <c r="U53" s="54"/>
      <c r="V53" s="69"/>
    </row>
    <row r="54" spans="1:24" s="22" customFormat="1" x14ac:dyDescent="0.25">
      <c r="A54" s="249" t="s">
        <v>281</v>
      </c>
      <c r="B54" s="250"/>
      <c r="C54" s="179" t="s">
        <v>416</v>
      </c>
      <c r="D54" s="180"/>
      <c r="E54" s="181"/>
      <c r="F54" s="17" t="s">
        <v>40</v>
      </c>
      <c r="G54" s="198">
        <v>45693</v>
      </c>
      <c r="H54" s="199"/>
      <c r="K54" s="74">
        <f>EDATE(G52,-48)</f>
        <v>44323</v>
      </c>
      <c r="L54" s="22" t="str">
        <f ca="1">IF(G52&gt;EDATE(E3,-48),"NO REMARK","CC REMARK FOR CC")</f>
        <v>NO REMARK</v>
      </c>
      <c r="R54"/>
      <c r="S54" s="54" t="s">
        <v>256</v>
      </c>
      <c r="T54" s="54" t="s">
        <v>261</v>
      </c>
      <c r="U54" s="54" t="s">
        <v>258</v>
      </c>
      <c r="V54" s="54" t="s">
        <v>277</v>
      </c>
    </row>
    <row r="55" spans="1:24" s="22" customFormat="1" ht="65.25" customHeight="1" x14ac:dyDescent="0.25">
      <c r="A55" s="251"/>
      <c r="B55" s="252"/>
      <c r="C55" s="211" t="s">
        <v>417</v>
      </c>
      <c r="D55" s="212"/>
      <c r="E55" s="212"/>
      <c r="F55" s="212"/>
      <c r="G55" s="212"/>
      <c r="H55" s="213"/>
      <c r="R55"/>
      <c r="S55" s="54" t="s">
        <v>258</v>
      </c>
      <c r="T55" s="54" t="s">
        <v>262</v>
      </c>
      <c r="U55" s="54" t="s">
        <v>272</v>
      </c>
      <c r="V55" s="70"/>
      <c r="W55" s="20"/>
      <c r="X55" s="20"/>
    </row>
    <row r="56" spans="1:24" s="22" customFormat="1" ht="34.5" hidden="1" customHeight="1" x14ac:dyDescent="0.25">
      <c r="A56" s="224" t="s">
        <v>282</v>
      </c>
      <c r="B56" s="225"/>
      <c r="C56" s="179" t="str">
        <f>C55</f>
        <v>Tower 2A = 2B + G + 1st to 6th Podium + 1st to 46th Floor
(Total Height = 163.45 Mtrs.)
Tower 2A = 2B + G + 1st to 6th Podium + 1st to 43rd Floor
(Total Height = 154.30 Mtrs.)</v>
      </c>
      <c r="D56" s="180"/>
      <c r="E56" s="181"/>
      <c r="F56" s="17" t="s">
        <v>40</v>
      </c>
      <c r="G56" s="198"/>
      <c r="H56" s="199"/>
      <c r="R56"/>
      <c r="S56" s="70"/>
      <c r="T56" s="54" t="s">
        <v>263</v>
      </c>
      <c r="U56" s="54" t="s">
        <v>273</v>
      </c>
      <c r="V56" s="70"/>
      <c r="W56" s="20"/>
      <c r="X56" s="20"/>
    </row>
    <row r="57" spans="1:24" s="22" customFormat="1" ht="41.25" hidden="1" customHeight="1" x14ac:dyDescent="0.25">
      <c r="A57" s="226"/>
      <c r="B57" s="227"/>
      <c r="C57" s="179"/>
      <c r="D57" s="180"/>
      <c r="E57" s="180"/>
      <c r="F57" s="180"/>
      <c r="G57" s="180"/>
      <c r="H57" s="181"/>
      <c r="R57"/>
      <c r="S57" s="70"/>
      <c r="T57" s="54" t="s">
        <v>265</v>
      </c>
      <c r="U57" s="54" t="s">
        <v>274</v>
      </c>
      <c r="V57" s="70"/>
      <c r="W57" s="20"/>
      <c r="X57" s="20"/>
    </row>
    <row r="58" spans="1:24" s="22" customFormat="1" ht="15.75" hidden="1" customHeight="1" x14ac:dyDescent="0.25">
      <c r="A58" s="224" t="s">
        <v>351</v>
      </c>
      <c r="B58" s="225"/>
      <c r="C58" s="235"/>
      <c r="D58" s="236"/>
      <c r="E58" s="237"/>
      <c r="F58" s="17" t="s">
        <v>40</v>
      </c>
      <c r="G58" s="198"/>
      <c r="H58" s="199"/>
      <c r="R58"/>
      <c r="S58" s="70"/>
      <c r="T58" s="54" t="s">
        <v>266</v>
      </c>
      <c r="U58" s="70" t="s">
        <v>296</v>
      </c>
      <c r="V58" s="70"/>
      <c r="W58" s="20"/>
      <c r="X58" s="20"/>
    </row>
    <row r="59" spans="1:24" s="22" customFormat="1" ht="33.75" hidden="1" customHeight="1" x14ac:dyDescent="0.25">
      <c r="A59" s="233"/>
      <c r="B59" s="234"/>
      <c r="C59" s="238"/>
      <c r="D59" s="239"/>
      <c r="E59" s="240"/>
      <c r="F59" s="17" t="s">
        <v>352</v>
      </c>
      <c r="G59" s="198"/>
      <c r="H59" s="199"/>
      <c r="R59"/>
      <c r="S59" s="70"/>
      <c r="T59" s="54" t="s">
        <v>267</v>
      </c>
      <c r="U59" s="70"/>
      <c r="V59" s="70"/>
      <c r="W59" s="20"/>
      <c r="X59" s="20"/>
    </row>
    <row r="60" spans="1:24" s="22" customFormat="1" ht="33.75" hidden="1" customHeight="1" x14ac:dyDescent="0.25">
      <c r="A60" s="226"/>
      <c r="B60" s="227"/>
      <c r="C60" s="179" t="s">
        <v>374</v>
      </c>
      <c r="D60" s="180"/>
      <c r="E60" s="180"/>
      <c r="F60" s="180"/>
      <c r="G60" s="180"/>
      <c r="H60" s="181"/>
      <c r="R60"/>
      <c r="S60" s="70"/>
      <c r="T60" s="54"/>
      <c r="U60" s="70"/>
      <c r="V60" s="70"/>
      <c r="W60" s="20"/>
      <c r="X60" s="20"/>
    </row>
    <row r="61" spans="1:24" x14ac:dyDescent="0.25">
      <c r="A61" s="281" t="s">
        <v>42</v>
      </c>
      <c r="B61" s="282"/>
      <c r="C61" s="281" t="s">
        <v>102</v>
      </c>
      <c r="D61" s="283"/>
      <c r="E61" s="282"/>
      <c r="F61" s="43" t="s">
        <v>40</v>
      </c>
      <c r="G61" s="241" t="s">
        <v>28</v>
      </c>
      <c r="H61" s="242"/>
      <c r="R61"/>
      <c r="S61" s="70"/>
      <c r="T61" s="54" t="s">
        <v>269</v>
      </c>
      <c r="U61" s="70"/>
      <c r="V61" s="70"/>
    </row>
    <row r="62" spans="1:24" x14ac:dyDescent="0.25">
      <c r="A62" s="248" t="s">
        <v>44</v>
      </c>
      <c r="B62" s="248"/>
      <c r="C62" s="248"/>
      <c r="D62" s="248"/>
      <c r="E62" s="248"/>
      <c r="F62" s="248"/>
      <c r="G62" s="248"/>
      <c r="H62" s="248"/>
      <c r="S62" s="70"/>
      <c r="T62" s="54" t="s">
        <v>278</v>
      </c>
      <c r="U62" s="70"/>
      <c r="V62" s="70"/>
    </row>
    <row r="63" spans="1:24" x14ac:dyDescent="0.25">
      <c r="A63" s="186" t="s">
        <v>87</v>
      </c>
      <c r="B63" s="186"/>
      <c r="C63" s="186"/>
      <c r="D63" s="146">
        <f>40875.06+36106.616</f>
        <v>76981.676000000007</v>
      </c>
      <c r="E63" s="146"/>
      <c r="F63" s="146"/>
      <c r="G63" s="146"/>
      <c r="H63" s="146"/>
      <c r="R63"/>
    </row>
    <row r="64" spans="1:24" x14ac:dyDescent="0.25">
      <c r="A64" s="196" t="s">
        <v>45</v>
      </c>
      <c r="B64" s="197"/>
      <c r="C64" s="197"/>
      <c r="D64" s="184" t="s">
        <v>419</v>
      </c>
      <c r="E64" s="184"/>
      <c r="F64" s="184"/>
      <c r="G64" s="184"/>
      <c r="H64" s="184"/>
      <c r="I64" s="23"/>
      <c r="R64"/>
    </row>
    <row r="65" spans="1:19" ht="31.5" customHeight="1" x14ac:dyDescent="0.25">
      <c r="A65" s="201" t="s">
        <v>46</v>
      </c>
      <c r="B65" s="202"/>
      <c r="C65" s="244"/>
      <c r="D65" s="231" t="s">
        <v>399</v>
      </c>
      <c r="E65" s="243"/>
      <c r="F65" s="243"/>
      <c r="G65" s="243"/>
      <c r="H65" s="243"/>
      <c r="J65" s="231" t="s">
        <v>399</v>
      </c>
      <c r="K65" s="243"/>
      <c r="L65" s="243"/>
      <c r="M65" s="243"/>
      <c r="N65" s="243"/>
      <c r="R65"/>
    </row>
    <row r="66" spans="1:19" ht="15.75" customHeight="1" x14ac:dyDescent="0.25">
      <c r="A66" s="201" t="s">
        <v>85</v>
      </c>
      <c r="B66" s="202"/>
      <c r="C66" s="202"/>
      <c r="D66" s="205" t="s">
        <v>400</v>
      </c>
      <c r="E66" s="206"/>
      <c r="F66" s="206"/>
      <c r="G66" s="206"/>
      <c r="H66" s="207"/>
      <c r="R66"/>
    </row>
    <row r="67" spans="1:19" ht="15.75" customHeight="1" x14ac:dyDescent="0.25">
      <c r="A67" s="203"/>
      <c r="B67" s="204"/>
      <c r="C67" s="204"/>
      <c r="D67" s="208" t="s">
        <v>401</v>
      </c>
      <c r="E67" s="209"/>
      <c r="F67" s="209"/>
      <c r="G67" s="209"/>
      <c r="H67" s="210"/>
      <c r="R67"/>
    </row>
    <row r="68" spans="1:19" ht="15.75" customHeight="1" x14ac:dyDescent="0.25">
      <c r="A68" s="146" t="s">
        <v>43</v>
      </c>
      <c r="B68" s="146"/>
      <c r="C68" s="146"/>
      <c r="D68" s="231" t="s">
        <v>402</v>
      </c>
      <c r="E68" s="243"/>
      <c r="F68" s="243"/>
      <c r="G68" s="243"/>
      <c r="H68" s="243"/>
      <c r="J68" s="24"/>
      <c r="K68" s="23"/>
      <c r="N68" s="23"/>
      <c r="S68"/>
    </row>
    <row r="69" spans="1:19" ht="15.75" customHeight="1" x14ac:dyDescent="0.25">
      <c r="A69" s="146" t="s">
        <v>83</v>
      </c>
      <c r="B69" s="146"/>
      <c r="C69" s="146"/>
      <c r="D69" s="200" t="str">
        <f>(IF(G61="NA","60 Years After Completion",IF(G61&lt;&gt;"NA",""&amp;60-ROUNDDOWN((E3-G61)/360,0)&amp;" Years"," ")))</f>
        <v>60 Years After Completion</v>
      </c>
      <c r="E69" s="200"/>
      <c r="F69" s="200"/>
      <c r="G69" s="200"/>
      <c r="H69" s="200"/>
      <c r="N69" s="23"/>
      <c r="S69"/>
    </row>
    <row r="70" spans="1:19" ht="15.75" customHeight="1" x14ac:dyDescent="0.25">
      <c r="A70" s="146" t="s">
        <v>84</v>
      </c>
      <c r="B70" s="146"/>
      <c r="C70" s="146"/>
      <c r="D70" s="186" t="s">
        <v>23</v>
      </c>
      <c r="E70" s="186"/>
      <c r="F70" s="186"/>
      <c r="G70" s="186"/>
      <c r="H70" s="186"/>
      <c r="J70" s="25"/>
      <c r="K70" s="25"/>
      <c r="S70"/>
    </row>
    <row r="71" spans="1:19" ht="80.25" customHeight="1" x14ac:dyDescent="0.25">
      <c r="A71" s="184" t="s">
        <v>404</v>
      </c>
      <c r="B71" s="184"/>
      <c r="C71" s="184"/>
      <c r="D71" s="185" t="s">
        <v>403</v>
      </c>
      <c r="E71" s="186"/>
      <c r="F71" s="186"/>
      <c r="G71" s="186"/>
      <c r="H71" s="186"/>
      <c r="S71"/>
    </row>
    <row r="72" spans="1:19" x14ac:dyDescent="0.25">
      <c r="A72" s="186" t="s">
        <v>147</v>
      </c>
      <c r="B72" s="186"/>
      <c r="C72" s="186"/>
      <c r="D72" s="186" t="s">
        <v>28</v>
      </c>
      <c r="E72" s="186"/>
      <c r="F72" s="186"/>
      <c r="G72" s="186"/>
      <c r="H72" s="186"/>
      <c r="I72" s="26"/>
      <c r="J72" s="26"/>
      <c r="K72" s="26"/>
      <c r="L72" s="26"/>
      <c r="M72" s="26"/>
      <c r="N72" s="26"/>
    </row>
    <row r="73" spans="1:19" ht="15.75" customHeight="1" x14ac:dyDescent="0.25">
      <c r="A73" s="232" t="s">
        <v>82</v>
      </c>
      <c r="B73" s="232"/>
      <c r="C73" s="232"/>
      <c r="D73" s="231" t="str">
        <f ca="1">(IF(G79&gt;95%,"Nothing",IF(G79&gt;0%,"Cement, Aggregate, Steel, etc",IF(G79=0%,"Work not yet Started"))))</f>
        <v>Work not yet Started</v>
      </c>
      <c r="E73" s="231"/>
      <c r="F73" s="231"/>
      <c r="G73" s="231"/>
      <c r="H73" s="231"/>
      <c r="J73" s="25"/>
      <c r="S73"/>
    </row>
    <row r="74" spans="1:19" ht="33.75" customHeight="1" thickBot="1" x14ac:dyDescent="0.3">
      <c r="A74" s="187" t="s">
        <v>115</v>
      </c>
      <c r="B74" s="187"/>
      <c r="C74" s="187"/>
      <c r="D74" s="231" t="str">
        <f ca="1">(IF(D73="Nothing","Yes",IF(D73="Cement, Aggregate, Steel, etc","Under Construction",IF(D73="Work not yet Started","Work not yet Started"))))</f>
        <v>Work not yet Started</v>
      </c>
      <c r="E74" s="231"/>
      <c r="F74" s="231" t="str">
        <f ca="1">(IF(D73="Nothing","Yes",IF(D73="Cement, Aggregate, Steel, etc","Under Construction",IF(D73="Work not yet Started","Work not yet Started"))))</f>
        <v>Work not yet Started</v>
      </c>
      <c r="G74" s="231"/>
      <c r="H74" s="231"/>
      <c r="S74"/>
    </row>
    <row r="75" spans="1:19" ht="15.75" customHeight="1" x14ac:dyDescent="0.25">
      <c r="A75" s="188" t="s">
        <v>137</v>
      </c>
      <c r="B75" s="189"/>
      <c r="C75" s="190" t="str">
        <f>D66</f>
        <v>Tower 2A = 2B + G + 1st to 6th Podium + 1st to 46th Floor</v>
      </c>
      <c r="D75" s="191"/>
      <c r="E75" s="191"/>
      <c r="F75" s="191"/>
      <c r="G75" s="191"/>
      <c r="H75" s="192"/>
      <c r="I75" s="47" t="str">
        <f ca="1">IF(D88=100%,"All work Completed. Possession granted to the Building.",IF(D87=100%,"All work Completed, Waiting for OC",I76&amp;""&amp;I77&amp;""&amp;J76&amp;""&amp;J75&amp;" "&amp;J77))</f>
        <v xml:space="preserve">Work not yet Started. </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139</v>
      </c>
      <c r="B76" s="45">
        <f>IF(AND(ISNUMBER(SEARCH("1B",C75))),1,IF(AND(ISNUMBER(SEARCH("2B",C75))),2,IF(AND(ISNUMBER(SEARCH("3B",C75))),3,IF(AND(ISNUMBER(SEARCH("4B",C75))),4,IF(ISNUMBER(SEARCH("5B",C75)),5,0)))))</f>
        <v>2</v>
      </c>
      <c r="C76" s="45" t="s">
        <v>68</v>
      </c>
      <c r="D76" s="45">
        <v>1</v>
      </c>
      <c r="E76" s="45" t="s">
        <v>67</v>
      </c>
      <c r="F76" s="45">
        <v>6</v>
      </c>
      <c r="G76" s="46" t="s">
        <v>76</v>
      </c>
      <c r="H76" s="16">
        <f ca="1">--TRIM(RIGHT(SUBSTITUTE(LEFT(C75,_xlfn.AGGREGATE(16,6,FIND({0,1,2,3,4,5,6,7,8,9},C75,ROW(INDIRECT("1:"&amp;LEN(C75)))),1))," ",REPT(" ",LEN(C75))),LEN(C75)))</f>
        <v>46</v>
      </c>
      <c r="I76" s="49" t="str">
        <f ca="1">IF(D79=100%,"Excavation","")&amp;IF(D80=100%,", Plinth","")&amp;IF(D81=100%,", RCC Slab","")&amp;IF(D82=100%,", Brickwork","")&amp;IF(D83=100%,", Internal Plaster","")&amp;IF(D84=100%,", External Plaster","")&amp;IF(D85=100%,", Flooring","")&amp;IF(D86=100%,", Painting","")&amp;IF(D87=100%,", Building common Amenities","")</f>
        <v/>
      </c>
      <c r="J76" s="50"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Work not yet Started.</v>
      </c>
      <c r="S76"/>
    </row>
    <row r="77" spans="1:19" x14ac:dyDescent="0.25">
      <c r="A77" s="170" t="s">
        <v>86</v>
      </c>
      <c r="B77" s="171"/>
      <c r="C77" s="182" t="str">
        <f ca="1">I75</f>
        <v xml:space="preserve">Work not yet Started. </v>
      </c>
      <c r="D77" s="182"/>
      <c r="E77" s="182"/>
      <c r="F77" s="182"/>
      <c r="G77" s="182"/>
      <c r="H77" s="183"/>
      <c r="I77" s="49" t="str">
        <f ca="1">IF(I76&lt;&gt;""," Completed","")</f>
        <v/>
      </c>
      <c r="J77" s="50" t="str">
        <f ca="1">IF(J75&lt;&gt;"","Completed","")</f>
        <v/>
      </c>
      <c r="S77"/>
    </row>
    <row r="78" spans="1:19" ht="15.75" customHeight="1" x14ac:dyDescent="0.25">
      <c r="A78" s="142" t="s">
        <v>47</v>
      </c>
      <c r="B78" s="143"/>
      <c r="C78" s="42" t="s">
        <v>136</v>
      </c>
      <c r="D78" s="42" t="s">
        <v>79</v>
      </c>
      <c r="E78" s="143" t="s">
        <v>81</v>
      </c>
      <c r="F78" s="143"/>
      <c r="G78" s="143" t="s">
        <v>80</v>
      </c>
      <c r="H78" s="144"/>
      <c r="I78" s="13" t="s">
        <v>138</v>
      </c>
      <c r="J78" s="27">
        <f ca="1">H76*25%</f>
        <v>11.5</v>
      </c>
      <c r="S78"/>
    </row>
    <row r="79" spans="1:19" x14ac:dyDescent="0.25">
      <c r="A79" s="142" t="s">
        <v>125</v>
      </c>
      <c r="B79" s="143"/>
      <c r="C79" s="93">
        <f>J84</f>
        <v>0</v>
      </c>
      <c r="D79" s="18">
        <f ca="1">((100/H76)*C79)/100</f>
        <v>0</v>
      </c>
      <c r="E79" s="155">
        <f ca="1">(((C80/H76*10)+(40/(D76+F76+H76)*C81)+(7.5/(H76)*C82)+(7.5/(H76)*C83)+(10/H76*C84)+(10/H76*C85)+(5/H76*C86)+(5/H76*C87)+(5/H76*C88))/100)</f>
        <v>0</v>
      </c>
      <c r="F79" s="156"/>
      <c r="G79" s="155">
        <f ca="1">((((C79/H76)*20)+((C80/H76)*25)+(30/(H76+F76+D76)*C81)+(5/H76*C82)+(5/H76*C83)+(5/H76*C84)+(5/H76*C85)+(0/H76*C86)+(0/H76*C87)+(5/H76*C88))/100)</f>
        <v>0</v>
      </c>
      <c r="H79" s="193"/>
      <c r="I79" s="13" t="s">
        <v>97</v>
      </c>
      <c r="J79" s="28">
        <f ca="1">H76*50%</f>
        <v>23</v>
      </c>
    </row>
    <row r="80" spans="1:19" x14ac:dyDescent="0.25">
      <c r="A80" s="142" t="s">
        <v>48</v>
      </c>
      <c r="B80" s="143"/>
      <c r="C80" s="93">
        <f>J87</f>
        <v>0</v>
      </c>
      <c r="D80" s="18">
        <f ca="1">((100/H76)*C80)/100</f>
        <v>0</v>
      </c>
      <c r="E80" s="157"/>
      <c r="F80" s="158"/>
      <c r="G80" s="157"/>
      <c r="H80" s="194"/>
      <c r="I80" s="13" t="s">
        <v>98</v>
      </c>
      <c r="J80" s="28">
        <f ca="1">H76</f>
        <v>46</v>
      </c>
      <c r="L80" s="90"/>
      <c r="S80"/>
    </row>
    <row r="81" spans="1:19" ht="15.75" customHeight="1" x14ac:dyDescent="0.25">
      <c r="A81" s="142" t="s">
        <v>126</v>
      </c>
      <c r="B81" s="143"/>
      <c r="C81" s="94">
        <v>0</v>
      </c>
      <c r="D81" s="18">
        <f ca="1">((100/(D76+F76+H76))*C81)/100</f>
        <v>0</v>
      </c>
      <c r="E81" s="157"/>
      <c r="F81" s="158"/>
      <c r="G81" s="157"/>
      <c r="H81" s="194"/>
      <c r="I81" s="13" t="s">
        <v>99</v>
      </c>
      <c r="J81" s="29">
        <f ca="1">(IF(B76&gt;1,(H76/(B76+2)),H76/4))</f>
        <v>11.5</v>
      </c>
      <c r="S81"/>
    </row>
    <row r="82" spans="1:19" ht="15.75" customHeight="1" x14ac:dyDescent="0.25">
      <c r="A82" s="142" t="s">
        <v>133</v>
      </c>
      <c r="B82" s="143" t="s">
        <v>127</v>
      </c>
      <c r="C82" s="94">
        <v>0</v>
      </c>
      <c r="D82" s="18">
        <f ca="1">((100/H76)*C82)/100</f>
        <v>0</v>
      </c>
      <c r="E82" s="157"/>
      <c r="F82" s="158"/>
      <c r="G82" s="157"/>
      <c r="H82" s="194"/>
      <c r="I82" s="13" t="s">
        <v>100</v>
      </c>
      <c r="J82" s="29">
        <f ca="1">(IF(B76&gt;1,(H76/(B76+2)+J81),H76/4+J81))</f>
        <v>23</v>
      </c>
    </row>
    <row r="83" spans="1:19" ht="15.75" customHeight="1" x14ac:dyDescent="0.25">
      <c r="A83" s="142" t="s">
        <v>134</v>
      </c>
      <c r="B83" s="143" t="s">
        <v>127</v>
      </c>
      <c r="C83" s="94">
        <v>0</v>
      </c>
      <c r="D83" s="18">
        <f ca="1">((100/H76)*C83)/100</f>
        <v>0</v>
      </c>
      <c r="E83" s="157"/>
      <c r="F83" s="158"/>
      <c r="G83" s="157"/>
      <c r="H83" s="194"/>
      <c r="I83" s="13" t="s">
        <v>145</v>
      </c>
      <c r="J83" s="29">
        <f ca="1">(IF(B76&gt;1,(H76/(B76+2)+J82),0))</f>
        <v>34.5</v>
      </c>
    </row>
    <row r="84" spans="1:19" ht="15" customHeight="1" x14ac:dyDescent="0.25">
      <c r="A84" s="142" t="s">
        <v>132</v>
      </c>
      <c r="B84" s="143" t="s">
        <v>129</v>
      </c>
      <c r="C84" s="94">
        <v>0</v>
      </c>
      <c r="D84" s="18">
        <f ca="1">((100/(H76))*C84)/100</f>
        <v>0</v>
      </c>
      <c r="E84" s="157"/>
      <c r="F84" s="158"/>
      <c r="G84" s="157"/>
      <c r="H84" s="194"/>
      <c r="I84" s="13" t="s">
        <v>140</v>
      </c>
      <c r="J84" s="29">
        <f>(IF(B76&gt;2,(H76/(B76+2)+J83),0))</f>
        <v>0</v>
      </c>
    </row>
    <row r="85" spans="1:19" ht="15.75" customHeight="1" x14ac:dyDescent="0.25">
      <c r="A85" s="142" t="s">
        <v>128</v>
      </c>
      <c r="B85" s="143" t="s">
        <v>128</v>
      </c>
      <c r="C85" s="94">
        <v>0</v>
      </c>
      <c r="D85" s="18">
        <f ca="1">((100/H76)*C85)/100</f>
        <v>0</v>
      </c>
      <c r="E85" s="157"/>
      <c r="F85" s="158"/>
      <c r="G85" s="157"/>
      <c r="H85" s="194"/>
      <c r="I85" s="13" t="s">
        <v>141</v>
      </c>
      <c r="J85" s="30">
        <f>(IF(B76&gt;3,(H76/(B76+2)+J84),0))</f>
        <v>0</v>
      </c>
    </row>
    <row r="86" spans="1:19" ht="15.75" customHeight="1" x14ac:dyDescent="0.25">
      <c r="A86" s="142" t="s">
        <v>135</v>
      </c>
      <c r="B86" s="143"/>
      <c r="C86" s="94">
        <v>0</v>
      </c>
      <c r="D86" s="18">
        <f ca="1">((100/H76)*C86)/100</f>
        <v>0</v>
      </c>
      <c r="E86" s="157"/>
      <c r="F86" s="158"/>
      <c r="G86" s="157"/>
      <c r="H86" s="194"/>
      <c r="I86" s="13" t="s">
        <v>142</v>
      </c>
      <c r="J86" s="29">
        <f>(IF(B76&gt;4,(H76/(B76+2)+J85),0))</f>
        <v>0</v>
      </c>
    </row>
    <row r="87" spans="1:19" ht="15.75" customHeight="1" x14ac:dyDescent="0.25">
      <c r="A87" s="142" t="s">
        <v>130</v>
      </c>
      <c r="B87" s="143" t="s">
        <v>130</v>
      </c>
      <c r="C87" s="94">
        <v>0</v>
      </c>
      <c r="D87" s="18">
        <f ca="1">((100/(H76))*C87)/100</f>
        <v>0</v>
      </c>
      <c r="E87" s="157"/>
      <c r="F87" s="158"/>
      <c r="G87" s="157"/>
      <c r="H87" s="194"/>
      <c r="I87" s="13" t="s">
        <v>146</v>
      </c>
      <c r="J87" s="29">
        <f>(IF(B76=1,(H76/(B76+3)+J82),IF(B76=0,(H76/4+J82),IF(B76&gt;1,0))))</f>
        <v>0</v>
      </c>
    </row>
    <row r="88" spans="1:19" ht="16.5" thickBot="1" x14ac:dyDescent="0.3">
      <c r="A88" s="272" t="s">
        <v>131</v>
      </c>
      <c r="B88" s="273"/>
      <c r="C88" s="95">
        <v>0</v>
      </c>
      <c r="D88" s="19">
        <f ca="1">((100/(H76))*C88)/100</f>
        <v>0</v>
      </c>
      <c r="E88" s="159"/>
      <c r="F88" s="160"/>
      <c r="G88" s="159"/>
      <c r="H88" s="195"/>
      <c r="I88" s="14" t="s">
        <v>101</v>
      </c>
      <c r="J88" s="31">
        <f ca="1">(IF(B76&gt;1.5,(H76/(B76+2)+J82+MAX(0,J83-J82)+MAX(0,J84-J83)+MAX(0,J85-J84)+MAX(0,J86-J85)+MAX(0,J87-J86)),IF(B76=1,(H76/(B76+3)+J87),IF(B76=0,H76/4+J87))))</f>
        <v>46</v>
      </c>
    </row>
    <row r="89" spans="1:19" ht="15.75" customHeight="1" x14ac:dyDescent="0.25">
      <c r="A89" s="188" t="s">
        <v>137</v>
      </c>
      <c r="B89" s="189"/>
      <c r="C89" s="190" t="str">
        <f>D67</f>
        <v>Tower 2B = 2B + G + 1st to 6th Podium + 1st to 43rd Floor</v>
      </c>
      <c r="D89" s="191"/>
      <c r="E89" s="191"/>
      <c r="F89" s="191"/>
      <c r="G89" s="191"/>
      <c r="H89" s="192"/>
      <c r="I89" s="47" t="str">
        <f ca="1">IF(D102=100%,"All work Completed. Possession granted to the Building.",IF(D101=100%,"All work Completed, Waiting for OC",I90&amp;""&amp;I91&amp;""&amp;J90&amp;""&amp;J89&amp;" "&amp;J91))</f>
        <v xml:space="preserve">Work not yet Started. </v>
      </c>
      <c r="J89" s="4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25">
      <c r="A90" s="15" t="s">
        <v>139</v>
      </c>
      <c r="B90" s="45">
        <f>IF(AND(ISNUMBER(SEARCH("1B",C89))),1,IF(AND(ISNUMBER(SEARCH("2B",C89))),2,IF(AND(ISNUMBER(SEARCH("3B",C89))),3,IF(AND(ISNUMBER(SEARCH("4B",C89))),4,IF(ISNUMBER(SEARCH("5B",C89)),5,0)))))</f>
        <v>2</v>
      </c>
      <c r="C90" s="45" t="s">
        <v>68</v>
      </c>
      <c r="D90" s="45">
        <v>1</v>
      </c>
      <c r="E90" s="45" t="s">
        <v>67</v>
      </c>
      <c r="F90" s="45">
        <v>6</v>
      </c>
      <c r="G90" s="46" t="s">
        <v>76</v>
      </c>
      <c r="H90" s="16">
        <f ca="1">--TRIM(RIGHT(SUBSTITUTE(LEFT(C89,_xlfn.AGGREGATE(16,6,FIND({0,1,2,3,4,5,6,7,8,9},C89,ROW(INDIRECT("1:"&amp;LEN(C89)))),1))," ",REPT(" ",LEN(C89))),LEN(C89)))</f>
        <v>43</v>
      </c>
      <c r="I90" s="49" t="str">
        <f ca="1">IF(D93=100%,"Excavation","")&amp;IF(D94=100%,", Plinth","")&amp;IF(D95=100%,", RCC Slab","")&amp;IF(D96=100%,", Brickwork","")&amp;IF(D97=100%,", Internal Plaster","")&amp;IF(D98=100%,", External Plaster","")&amp;IF(D99=100%,", Flooring","")&amp;IF(D100=100%,", Painting","")&amp;IF(D101=100%,", Building common Amenities","")</f>
        <v/>
      </c>
      <c r="J90" s="50" t="str">
        <f>(IF(C93=0,"Work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v>
      </c>
      <c r="S90"/>
    </row>
    <row r="91" spans="1:19" x14ac:dyDescent="0.25">
      <c r="A91" s="170" t="s">
        <v>86</v>
      </c>
      <c r="B91" s="171"/>
      <c r="C91" s="182" t="str">
        <f ca="1">I89</f>
        <v xml:space="preserve">Work not yet Started. </v>
      </c>
      <c r="D91" s="182"/>
      <c r="E91" s="182"/>
      <c r="F91" s="182"/>
      <c r="G91" s="182"/>
      <c r="H91" s="183"/>
      <c r="I91" s="49" t="str">
        <f ca="1">IF(I90&lt;&gt;""," Completed","")</f>
        <v/>
      </c>
      <c r="J91" s="50" t="str">
        <f ca="1">IF(J89&lt;&gt;"","Completed","")</f>
        <v/>
      </c>
      <c r="S91"/>
    </row>
    <row r="92" spans="1:19" ht="15.75" customHeight="1" x14ac:dyDescent="0.25">
      <c r="A92" s="142" t="s">
        <v>47</v>
      </c>
      <c r="B92" s="143"/>
      <c r="C92" s="42" t="s">
        <v>136</v>
      </c>
      <c r="D92" s="42" t="s">
        <v>79</v>
      </c>
      <c r="E92" s="143" t="s">
        <v>81</v>
      </c>
      <c r="F92" s="143"/>
      <c r="G92" s="143" t="s">
        <v>80</v>
      </c>
      <c r="H92" s="144"/>
      <c r="I92" s="13" t="s">
        <v>138</v>
      </c>
      <c r="J92" s="27">
        <f ca="1">H90*25%</f>
        <v>10.75</v>
      </c>
      <c r="S92"/>
    </row>
    <row r="93" spans="1:19" x14ac:dyDescent="0.25">
      <c r="A93" s="142" t="s">
        <v>125</v>
      </c>
      <c r="B93" s="143"/>
      <c r="C93" s="93">
        <f>J98</f>
        <v>0</v>
      </c>
      <c r="D93" s="18">
        <f ca="1">((100/H90)*C93)/100</f>
        <v>0</v>
      </c>
      <c r="E93" s="155">
        <f ca="1">(((C94/H90*10)+(40/(D90+F90+H90)*C95)+(7.5/(H90)*C96)+(7.5/(H90)*C97)+(10/H90*C98)+(10/H90*C99)+(5/H90*C100)+(5/H90*C101)+(5/H90*C102))/100)</f>
        <v>0</v>
      </c>
      <c r="F93" s="156"/>
      <c r="G93" s="155">
        <f ca="1">((((C93/H90)*20)+((C94/H90)*25)+(30/(H90+F90+D90)*C95)+(5/H90*C96)+(5/H90*C97)+(5/H90*C98)+(5/H90*C99)+(0/H90*C100)+(0/H90*C101)+(5/H90*C102))/100)</f>
        <v>0</v>
      </c>
      <c r="H93" s="193"/>
      <c r="I93" s="13" t="s">
        <v>97</v>
      </c>
      <c r="J93" s="28">
        <f ca="1">H90*50%</f>
        <v>21.5</v>
      </c>
    </row>
    <row r="94" spans="1:19" x14ac:dyDescent="0.25">
      <c r="A94" s="142" t="s">
        <v>48</v>
      </c>
      <c r="B94" s="143"/>
      <c r="C94" s="93">
        <f>J101</f>
        <v>0</v>
      </c>
      <c r="D94" s="18">
        <f ca="1">((100/H90)*C94)/100</f>
        <v>0</v>
      </c>
      <c r="E94" s="157"/>
      <c r="F94" s="158"/>
      <c r="G94" s="157"/>
      <c r="H94" s="194"/>
      <c r="I94" s="13" t="s">
        <v>98</v>
      </c>
      <c r="J94" s="28">
        <f ca="1">H90</f>
        <v>43</v>
      </c>
      <c r="S94"/>
    </row>
    <row r="95" spans="1:19" ht="15.75" customHeight="1" x14ac:dyDescent="0.25">
      <c r="A95" s="142" t="s">
        <v>126</v>
      </c>
      <c r="B95" s="143"/>
      <c r="C95" s="94">
        <v>0</v>
      </c>
      <c r="D95" s="18">
        <f ca="1">((100/(D90+F90+H90))*C95)/100</f>
        <v>0</v>
      </c>
      <c r="E95" s="157"/>
      <c r="F95" s="158"/>
      <c r="G95" s="157"/>
      <c r="H95" s="194"/>
      <c r="I95" s="13" t="s">
        <v>99</v>
      </c>
      <c r="J95" s="29">
        <f ca="1">(IF(B90&gt;1,(H90/(B90+2)),H90/4))</f>
        <v>10.75</v>
      </c>
      <c r="S95"/>
    </row>
    <row r="96" spans="1:19" ht="15.75" customHeight="1" x14ac:dyDescent="0.25">
      <c r="A96" s="142" t="s">
        <v>133</v>
      </c>
      <c r="B96" s="143" t="s">
        <v>127</v>
      </c>
      <c r="C96" s="94">
        <v>0</v>
      </c>
      <c r="D96" s="18">
        <f ca="1">((100/H90)*C96)/100</f>
        <v>0</v>
      </c>
      <c r="E96" s="157"/>
      <c r="F96" s="158"/>
      <c r="G96" s="157"/>
      <c r="H96" s="194"/>
      <c r="I96" s="13" t="s">
        <v>100</v>
      </c>
      <c r="J96" s="29">
        <f ca="1">(IF(B90&gt;1,(H90/(B90+2)+J95),H90/4+J95))</f>
        <v>21.5</v>
      </c>
    </row>
    <row r="97" spans="1:22" ht="15.75" customHeight="1" x14ac:dyDescent="0.25">
      <c r="A97" s="142" t="s">
        <v>134</v>
      </c>
      <c r="B97" s="143" t="s">
        <v>127</v>
      </c>
      <c r="C97" s="94">
        <v>0</v>
      </c>
      <c r="D97" s="18">
        <f ca="1">((100/H90)*C97)/100</f>
        <v>0</v>
      </c>
      <c r="E97" s="157"/>
      <c r="F97" s="158"/>
      <c r="G97" s="157"/>
      <c r="H97" s="194"/>
      <c r="I97" s="13" t="s">
        <v>145</v>
      </c>
      <c r="J97" s="29">
        <f ca="1">(IF(B90&gt;1,(H90/(B90+2)+J96),0))</f>
        <v>32.25</v>
      </c>
    </row>
    <row r="98" spans="1:22" ht="15" customHeight="1" x14ac:dyDescent="0.25">
      <c r="A98" s="142" t="s">
        <v>132</v>
      </c>
      <c r="B98" s="143" t="s">
        <v>129</v>
      </c>
      <c r="C98" s="94">
        <v>0</v>
      </c>
      <c r="D98" s="18">
        <f ca="1">((100/(H90))*C98)/100</f>
        <v>0</v>
      </c>
      <c r="E98" s="157"/>
      <c r="F98" s="158"/>
      <c r="G98" s="157"/>
      <c r="H98" s="194"/>
      <c r="I98" s="13" t="s">
        <v>140</v>
      </c>
      <c r="J98" s="29">
        <f>(IF(B90&gt;2,(H90/(B90+2)+J97),0))</f>
        <v>0</v>
      </c>
    </row>
    <row r="99" spans="1:22" ht="15.75" customHeight="1" x14ac:dyDescent="0.25">
      <c r="A99" s="142" t="s">
        <v>128</v>
      </c>
      <c r="B99" s="143" t="s">
        <v>128</v>
      </c>
      <c r="C99" s="94">
        <v>0</v>
      </c>
      <c r="D99" s="18">
        <f ca="1">((100/H90)*C99)/100</f>
        <v>0</v>
      </c>
      <c r="E99" s="157"/>
      <c r="F99" s="158"/>
      <c r="G99" s="157"/>
      <c r="H99" s="194"/>
      <c r="I99" s="13" t="s">
        <v>141</v>
      </c>
      <c r="J99" s="30">
        <f>(IF(B90&gt;3,(H90/(B90+2)+J98),0))</f>
        <v>0</v>
      </c>
    </row>
    <row r="100" spans="1:22" ht="15.75" customHeight="1" x14ac:dyDescent="0.25">
      <c r="A100" s="142" t="s">
        <v>135</v>
      </c>
      <c r="B100" s="143"/>
      <c r="C100" s="94">
        <v>0</v>
      </c>
      <c r="D100" s="18">
        <f ca="1">((100/H90)*C100)/100</f>
        <v>0</v>
      </c>
      <c r="E100" s="157"/>
      <c r="F100" s="158"/>
      <c r="G100" s="157"/>
      <c r="H100" s="194"/>
      <c r="I100" s="13" t="s">
        <v>142</v>
      </c>
      <c r="J100" s="29">
        <f>(IF(B90&gt;4,(H90/(B90+2)+J99),0))</f>
        <v>0</v>
      </c>
    </row>
    <row r="101" spans="1:22" ht="15.75" customHeight="1" x14ac:dyDescent="0.25">
      <c r="A101" s="142" t="s">
        <v>130</v>
      </c>
      <c r="B101" s="143" t="s">
        <v>130</v>
      </c>
      <c r="C101" s="94">
        <v>0</v>
      </c>
      <c r="D101" s="18">
        <f ca="1">((100/(H90))*C101)/100</f>
        <v>0</v>
      </c>
      <c r="E101" s="157"/>
      <c r="F101" s="158"/>
      <c r="G101" s="157"/>
      <c r="H101" s="194"/>
      <c r="I101" s="13" t="s">
        <v>146</v>
      </c>
      <c r="J101" s="29">
        <f>(IF(B90=1,(H90/(B90+3)+J96),IF(B90=0,(H90/4+J96),IF(B90&gt;1,0))))</f>
        <v>0</v>
      </c>
    </row>
    <row r="102" spans="1:22" ht="16.5" thickBot="1" x14ac:dyDescent="0.3">
      <c r="A102" s="272" t="s">
        <v>131</v>
      </c>
      <c r="B102" s="273"/>
      <c r="C102" s="95">
        <v>0</v>
      </c>
      <c r="D102" s="19">
        <f ca="1">((100/(H90))*C102)/100</f>
        <v>0</v>
      </c>
      <c r="E102" s="159"/>
      <c r="F102" s="160"/>
      <c r="G102" s="159"/>
      <c r="H102" s="195"/>
      <c r="I102" s="14" t="s">
        <v>101</v>
      </c>
      <c r="J102" s="31">
        <f ca="1">(IF(B90&gt;1.5,(H90/(B90+2)+J96+MAX(0,J97-J96)+MAX(0,J98-J97)+MAX(0,J99-J98)+MAX(0,J100-J99)+MAX(0,J101-J100)),IF(B90=1,(H90/(B90+3)+J101),IF(B90=0,H90/4+J101))))</f>
        <v>43</v>
      </c>
    </row>
    <row r="103" spans="1:22" x14ac:dyDescent="0.25">
      <c r="A103" s="268" t="s">
        <v>157</v>
      </c>
      <c r="B103" s="268"/>
      <c r="C103" s="268"/>
      <c r="D103" s="268"/>
      <c r="E103" s="268"/>
      <c r="F103" s="269" t="s">
        <v>161</v>
      </c>
      <c r="G103" s="269"/>
      <c r="H103" s="269"/>
      <c r="R103" t="s">
        <v>253</v>
      </c>
      <c r="S103" t="s">
        <v>171</v>
      </c>
      <c r="T103" t="s">
        <v>179</v>
      </c>
      <c r="U103" t="s">
        <v>193</v>
      </c>
      <c r="V103" t="s">
        <v>188</v>
      </c>
    </row>
    <row r="104" spans="1:22" x14ac:dyDescent="0.25">
      <c r="A104" s="146" t="s">
        <v>159</v>
      </c>
      <c r="B104" s="146"/>
      <c r="C104" s="146"/>
      <c r="D104" s="146"/>
      <c r="E104" s="146"/>
      <c r="F104" s="145">
        <v>10500</v>
      </c>
      <c r="G104" s="145"/>
      <c r="H104" s="145"/>
      <c r="R104"/>
      <c r="S104">
        <v>800000</v>
      </c>
      <c r="T104">
        <v>150000</v>
      </c>
      <c r="U104">
        <v>100000</v>
      </c>
      <c r="V104">
        <v>100000</v>
      </c>
    </row>
    <row r="105" spans="1:22" x14ac:dyDescent="0.25">
      <c r="A105" s="146" t="s">
        <v>158</v>
      </c>
      <c r="B105" s="146"/>
      <c r="C105" s="146"/>
      <c r="D105" s="146"/>
      <c r="E105" s="146"/>
      <c r="F105" s="145">
        <v>20000</v>
      </c>
      <c r="G105" s="145"/>
      <c r="H105" s="145"/>
      <c r="R105"/>
      <c r="S105">
        <v>900000</v>
      </c>
      <c r="T105">
        <v>200000</v>
      </c>
      <c r="U105">
        <v>150000</v>
      </c>
      <c r="V105">
        <v>150000</v>
      </c>
    </row>
    <row r="106" spans="1:22" hidden="1" x14ac:dyDescent="0.25">
      <c r="A106" s="146" t="s">
        <v>160</v>
      </c>
      <c r="B106" s="146"/>
      <c r="C106" s="146"/>
      <c r="D106" s="146"/>
      <c r="E106" s="146"/>
      <c r="F106" s="145"/>
      <c r="G106" s="145"/>
      <c r="H106" s="145"/>
      <c r="R106"/>
      <c r="S106">
        <v>1000000</v>
      </c>
      <c r="T106">
        <v>250000</v>
      </c>
      <c r="U106">
        <v>200000</v>
      </c>
      <c r="V106">
        <v>200000</v>
      </c>
    </row>
    <row r="107" spans="1:22" s="32" customFormat="1" hidden="1" x14ac:dyDescent="0.25">
      <c r="A107" s="146" t="s">
        <v>174</v>
      </c>
      <c r="B107" s="146"/>
      <c r="C107" s="146"/>
      <c r="D107" s="146"/>
      <c r="E107" s="146"/>
      <c r="F107" s="145"/>
      <c r="G107" s="145"/>
      <c r="H107" s="145"/>
      <c r="R107"/>
      <c r="S107">
        <v>1100000</v>
      </c>
      <c r="T107">
        <v>300000</v>
      </c>
      <c r="U107">
        <v>250000</v>
      </c>
      <c r="V107" s="22">
        <v>250000</v>
      </c>
    </row>
    <row r="108" spans="1:22" s="32" customFormat="1" hidden="1" x14ac:dyDescent="0.25">
      <c r="A108" s="146" t="s">
        <v>91</v>
      </c>
      <c r="B108" s="146"/>
      <c r="C108" s="146"/>
      <c r="D108" s="146"/>
      <c r="E108" s="146"/>
      <c r="F108" s="145"/>
      <c r="G108" s="145"/>
      <c r="H108" s="145"/>
      <c r="R108"/>
      <c r="S108">
        <v>1200000</v>
      </c>
      <c r="T108">
        <v>350000</v>
      </c>
      <c r="U108">
        <v>300000</v>
      </c>
      <c r="V108">
        <v>300000</v>
      </c>
    </row>
    <row r="109" spans="1:22" s="32" customFormat="1" hidden="1" x14ac:dyDescent="0.25">
      <c r="A109" s="146" t="s">
        <v>92</v>
      </c>
      <c r="B109" s="146"/>
      <c r="C109" s="146"/>
      <c r="D109" s="146"/>
      <c r="E109" s="146"/>
      <c r="F109" s="145"/>
      <c r="G109" s="145"/>
      <c r="H109" s="145"/>
      <c r="R109"/>
      <c r="S109">
        <v>1300000</v>
      </c>
      <c r="T109">
        <v>400000</v>
      </c>
      <c r="U109">
        <v>350000</v>
      </c>
      <c r="V109" s="22">
        <v>400000</v>
      </c>
    </row>
    <row r="110" spans="1:22" s="32" customFormat="1" hidden="1" x14ac:dyDescent="0.25">
      <c r="A110" s="146" t="s">
        <v>93</v>
      </c>
      <c r="B110" s="146"/>
      <c r="C110" s="146"/>
      <c r="D110" s="146"/>
      <c r="E110" s="146"/>
      <c r="F110" s="145"/>
      <c r="G110" s="145"/>
      <c r="H110" s="145"/>
      <c r="R110"/>
      <c r="S110">
        <v>1400000</v>
      </c>
      <c r="T110">
        <v>500000</v>
      </c>
      <c r="U110">
        <v>400000</v>
      </c>
      <c r="V110"/>
    </row>
    <row r="111" spans="1:22" s="32" customFormat="1" hidden="1" x14ac:dyDescent="0.25">
      <c r="A111" s="146" t="s">
        <v>94</v>
      </c>
      <c r="B111" s="146"/>
      <c r="C111" s="146"/>
      <c r="D111" s="146"/>
      <c r="E111" s="146"/>
      <c r="F111" s="145"/>
      <c r="G111" s="145"/>
      <c r="H111" s="145"/>
      <c r="R111"/>
      <c r="S111">
        <v>1500000</v>
      </c>
      <c r="T111">
        <v>600000</v>
      </c>
      <c r="U111">
        <v>500000</v>
      </c>
      <c r="V111" s="22"/>
    </row>
    <row r="112" spans="1:22" s="32" customFormat="1" hidden="1" x14ac:dyDescent="0.25">
      <c r="A112" s="146" t="s">
        <v>95</v>
      </c>
      <c r="B112" s="146"/>
      <c r="C112" s="146"/>
      <c r="D112" s="146"/>
      <c r="E112" s="146"/>
      <c r="F112" s="145"/>
      <c r="G112" s="145"/>
      <c r="H112" s="145"/>
      <c r="R112"/>
      <c r="S112">
        <v>1600000</v>
      </c>
      <c r="T112">
        <v>700000</v>
      </c>
      <c r="U112">
        <v>600000</v>
      </c>
      <c r="V112"/>
    </row>
    <row r="113" spans="1:22" s="32" customFormat="1" hidden="1" x14ac:dyDescent="0.25">
      <c r="A113" s="146" t="s">
        <v>96</v>
      </c>
      <c r="B113" s="146"/>
      <c r="C113" s="146"/>
      <c r="D113" s="146"/>
      <c r="E113" s="146"/>
      <c r="F113" s="145"/>
      <c r="G113" s="145"/>
      <c r="H113" s="145"/>
      <c r="R113"/>
      <c r="S113">
        <v>1700000</v>
      </c>
      <c r="T113">
        <v>800000</v>
      </c>
      <c r="U113"/>
      <c r="V113" s="22"/>
    </row>
    <row r="114" spans="1:22" x14ac:dyDescent="0.25">
      <c r="A114" s="146" t="s">
        <v>49</v>
      </c>
      <c r="B114" s="146"/>
      <c r="C114" s="146"/>
      <c r="D114" s="146"/>
      <c r="E114" s="146"/>
      <c r="F114" s="145">
        <v>700000</v>
      </c>
      <c r="G114" s="145"/>
      <c r="H114" s="145"/>
      <c r="R114"/>
      <c r="S114">
        <v>1800000</v>
      </c>
      <c r="T114">
        <v>900000</v>
      </c>
      <c r="U114"/>
    </row>
    <row r="115" spans="1:22" s="33" customFormat="1" x14ac:dyDescent="0.25">
      <c r="A115" s="220" t="s">
        <v>50</v>
      </c>
      <c r="B115" s="220"/>
      <c r="C115" s="220"/>
      <c r="D115" s="220"/>
      <c r="E115" s="220"/>
      <c r="F115" s="145">
        <f>F104*0.8</f>
        <v>8400</v>
      </c>
      <c r="G115" s="145"/>
      <c r="H115" s="145"/>
      <c r="R115" s="20"/>
      <c r="S115" s="20"/>
      <c r="T115">
        <v>1000000</v>
      </c>
      <c r="U115"/>
      <c r="V115" s="20"/>
    </row>
    <row r="116" spans="1:22" s="34" customFormat="1" ht="15.75" customHeight="1" x14ac:dyDescent="0.25">
      <c r="A116" s="175" t="s">
        <v>71</v>
      </c>
      <c r="B116" s="175"/>
      <c r="C116" s="175"/>
      <c r="D116" s="175"/>
      <c r="E116" s="175"/>
      <c r="F116" s="175"/>
      <c r="G116" s="175"/>
      <c r="H116" s="175"/>
      <c r="R116"/>
      <c r="S116" s="20"/>
      <c r="T116"/>
      <c r="U116"/>
      <c r="V116" s="20"/>
    </row>
    <row r="117" spans="1:22" s="34" customFormat="1" ht="15.75" customHeight="1" x14ac:dyDescent="0.25">
      <c r="A117" s="178" t="s">
        <v>51</v>
      </c>
      <c r="B117" s="178"/>
      <c r="C117" s="177" t="s">
        <v>74</v>
      </c>
      <c r="D117" s="177"/>
      <c r="E117" s="274" t="s">
        <v>52</v>
      </c>
      <c r="F117" s="274"/>
      <c r="G117" s="178" t="s">
        <v>53</v>
      </c>
      <c r="H117" s="178"/>
      <c r="R117"/>
      <c r="S117" s="20"/>
      <c r="T117"/>
      <c r="U117" s="20"/>
      <c r="V117" s="20"/>
    </row>
    <row r="118" spans="1:22" s="34" customFormat="1" x14ac:dyDescent="0.25">
      <c r="A118" s="265" t="s">
        <v>420</v>
      </c>
      <c r="B118" s="265"/>
      <c r="C118" s="167">
        <f>COUNT(D135:D136,D139)</f>
        <v>3</v>
      </c>
      <c r="D118" s="164"/>
      <c r="E118" s="167">
        <f>SUM(F135:F136,F139)</f>
        <v>2790.1902599999999</v>
      </c>
      <c r="F118" s="164"/>
      <c r="G118" s="167">
        <f>SUM(H135:H136,H139)</f>
        <v>4324.794903</v>
      </c>
      <c r="H118" s="164"/>
      <c r="R118"/>
      <c r="S118" s="20"/>
      <c r="T118"/>
      <c r="U118" s="20"/>
      <c r="V118" s="20"/>
    </row>
    <row r="119" spans="1:22" s="34" customFormat="1" hidden="1" x14ac:dyDescent="0.25">
      <c r="A119" s="265"/>
      <c r="B119" s="265"/>
      <c r="C119" s="164"/>
      <c r="D119" s="164"/>
      <c r="E119" s="165"/>
      <c r="F119" s="165"/>
      <c r="G119" s="166"/>
      <c r="H119" s="166"/>
      <c r="R119"/>
      <c r="S119" s="20"/>
      <c r="T119"/>
      <c r="U119" s="20"/>
      <c r="V119" s="20"/>
    </row>
    <row r="120" spans="1:22" s="34" customFormat="1" x14ac:dyDescent="0.25">
      <c r="A120" s="175" t="s">
        <v>150</v>
      </c>
      <c r="B120" s="175"/>
      <c r="C120" s="176">
        <f>SUM(C118:D119)</f>
        <v>3</v>
      </c>
      <c r="D120" s="177"/>
      <c r="E120" s="176">
        <f t="shared" ref="E120" si="0">SUM(E118:F119)</f>
        <v>2790.1902599999999</v>
      </c>
      <c r="F120" s="177"/>
      <c r="G120" s="176">
        <f t="shared" ref="G120" si="1">SUM(G118:H119)</f>
        <v>4324.794903</v>
      </c>
      <c r="H120" s="177"/>
      <c r="R120"/>
      <c r="S120" s="20"/>
      <c r="T120"/>
      <c r="U120" s="20"/>
      <c r="V120" s="20"/>
    </row>
    <row r="121" spans="1:22" s="34" customFormat="1" x14ac:dyDescent="0.25">
      <c r="A121" s="175" t="s">
        <v>66</v>
      </c>
      <c r="B121" s="175"/>
      <c r="C121" s="175"/>
      <c r="D121" s="175"/>
      <c r="E121" s="175"/>
      <c r="F121" s="175"/>
      <c r="G121" s="175"/>
      <c r="H121" s="175"/>
      <c r="T121"/>
    </row>
    <row r="122" spans="1:22" s="34" customFormat="1" ht="15.75" customHeight="1" x14ac:dyDescent="0.25">
      <c r="A122" s="178" t="s">
        <v>51</v>
      </c>
      <c r="B122" s="178"/>
      <c r="C122" s="177" t="s">
        <v>74</v>
      </c>
      <c r="D122" s="177"/>
      <c r="E122" s="274" t="s">
        <v>52</v>
      </c>
      <c r="F122" s="274"/>
      <c r="G122" s="178" t="s">
        <v>53</v>
      </c>
      <c r="H122" s="178"/>
      <c r="T122"/>
    </row>
    <row r="123" spans="1:22" s="34" customFormat="1" x14ac:dyDescent="0.25">
      <c r="A123" s="265" t="s">
        <v>420</v>
      </c>
      <c r="B123" s="265"/>
      <c r="C123" s="167">
        <f>COUNT(D154:D157)+COUNT(D162:D165)+COUNT(D171:D174)+COUNT(D177:D183)*33+COUNT(D185:D187,D189:D191)*9+COUNT(D193:D195,D199)*2+COUNT(D201:D202,D204:D206)+COUNT(D209:D210,D212:D214)</f>
        <v>315</v>
      </c>
      <c r="D123" s="167"/>
      <c r="E123" s="167">
        <f>SUM(F154:F157)+SUM(F162:F165)+SUM(F171:F174)+SUM(F177:F183)*33+SUM(F185:F187,F189:F191)*9+SUM(F193:F195,F199)*2+SUM(F201:F202,F204:F206)+SUM(F209:F210,F212:F214)</f>
        <v>305453.05268399999</v>
      </c>
      <c r="F123" s="167"/>
      <c r="G123" s="167">
        <f>SUM(H154:H157)+SUM(H162:H165)+SUM(H171:H174)+SUM(H177:H183)*33+SUM(H185:H187,H189:H191)*9+SUM(H193:H195,H199)*2+SUM(H201:H202,H204:H206)+SUM(H209:H210,H212:H214)</f>
        <v>458179.57902599999</v>
      </c>
      <c r="H123" s="167"/>
      <c r="T123"/>
    </row>
    <row r="124" spans="1:22" s="34" customFormat="1" x14ac:dyDescent="0.25">
      <c r="A124" s="265" t="s">
        <v>421</v>
      </c>
      <c r="B124" s="265"/>
      <c r="C124" s="167">
        <f>COUNT(D224:D226)*2+COUNT(D232:D234)+COUNT(D240:D241)+COUNT(D246:D252)+COUNT(D254:D256,D258:D260)*8+COUNT(D262:D268)*30+COUNT(D270:D273,D276)*2+COUNT(D278:D279,D281:D283)+COUNT(D286:D287,D289:D291)</f>
        <v>296</v>
      </c>
      <c r="D124" s="167"/>
      <c r="E124" s="167">
        <f>SUM(F224:F226)*2+SUM(F232:F234)+SUM(F240:F241)+SUM(F246:F252)+SUM(F254:F256,F258:F260)*8+SUM(F262:F268)*30+SUM(F270:F273,F276)*2+SUM(F278:F279,F281:F283)+SUM(F286:F287,F289:F291)</f>
        <v>282057.01430400001</v>
      </c>
      <c r="F124" s="167"/>
      <c r="G124" s="167">
        <f>SUM(H224:H226)*2+SUM(H232:H234)+SUM(H240:H241)+SUM(H246:H252)+SUM(H254:H256,H258:H260)*8+SUM(H262:H268)*30+SUM(H270:H273,H276)*2+SUM(H278:H279,H281:H283)+SUM(H286:H287,H289:H291)</f>
        <v>423085.52145599987</v>
      </c>
      <c r="H124" s="167"/>
      <c r="T124"/>
    </row>
    <row r="125" spans="1:22" s="34" customFormat="1" ht="16.5" thickBot="1" x14ac:dyDescent="0.3">
      <c r="A125" s="161" t="s">
        <v>150</v>
      </c>
      <c r="B125" s="161"/>
      <c r="C125" s="162">
        <f>SUM(C123:D124)</f>
        <v>611</v>
      </c>
      <c r="D125" s="163"/>
      <c r="E125" s="162">
        <f t="shared" ref="E125" si="2">SUM(E123:F124)</f>
        <v>587510.06698799995</v>
      </c>
      <c r="F125" s="163"/>
      <c r="G125" s="162">
        <f t="shared" ref="G125" si="3">SUM(G123:H124)</f>
        <v>881265.10048199981</v>
      </c>
      <c r="H125" s="163"/>
      <c r="T125"/>
    </row>
    <row r="126" spans="1:22" s="34" customFormat="1" ht="16.5" thickBot="1" x14ac:dyDescent="0.3">
      <c r="A126" s="266" t="s">
        <v>165</v>
      </c>
      <c r="B126" s="267"/>
      <c r="C126" s="174">
        <f>C120+C125</f>
        <v>614</v>
      </c>
      <c r="D126" s="174"/>
      <c r="E126" s="270">
        <f>E120+E125</f>
        <v>590300.25724799989</v>
      </c>
      <c r="F126" s="270"/>
      <c r="G126" s="172">
        <f>G120+G125</f>
        <v>885589.89538499981</v>
      </c>
      <c r="H126" s="173"/>
      <c r="T126"/>
    </row>
    <row r="127" spans="1:22" s="33" customFormat="1" x14ac:dyDescent="0.25">
      <c r="A127" s="275" t="s">
        <v>354</v>
      </c>
      <c r="B127" s="275"/>
      <c r="C127" s="275"/>
      <c r="D127" s="275"/>
      <c r="E127" s="275"/>
      <c r="F127" s="275"/>
      <c r="G127" s="275"/>
      <c r="H127" s="275"/>
      <c r="T127" s="34"/>
    </row>
    <row r="128" spans="1:22" x14ac:dyDescent="0.25">
      <c r="A128" s="280" t="s">
        <v>173</v>
      </c>
      <c r="B128" s="280"/>
      <c r="C128" s="280"/>
      <c r="D128" s="280"/>
      <c r="E128" s="280"/>
      <c r="F128" s="280"/>
      <c r="G128" s="280"/>
      <c r="H128" s="280"/>
      <c r="T128" s="34"/>
    </row>
    <row r="129" spans="1:20" ht="47.25" customHeight="1" x14ac:dyDescent="0.25">
      <c r="A129" s="150" t="s">
        <v>464</v>
      </c>
      <c r="B129" s="150" t="s">
        <v>175</v>
      </c>
      <c r="C129" s="150" t="s">
        <v>54</v>
      </c>
      <c r="D129" s="150" t="s">
        <v>232</v>
      </c>
      <c r="E129" s="168" t="s">
        <v>156</v>
      </c>
      <c r="F129" s="150" t="s">
        <v>55</v>
      </c>
      <c r="G129" s="168" t="s">
        <v>56</v>
      </c>
      <c r="H129" s="102" t="s">
        <v>148</v>
      </c>
      <c r="T129" s="34"/>
    </row>
    <row r="130" spans="1:20" s="36" customFormat="1" x14ac:dyDescent="0.25">
      <c r="A130" s="151"/>
      <c r="B130" s="151"/>
      <c r="C130" s="151"/>
      <c r="D130" s="151"/>
      <c r="E130" s="169"/>
      <c r="F130" s="151"/>
      <c r="G130" s="169"/>
      <c r="H130" s="103">
        <v>0.55000000000000004</v>
      </c>
      <c r="T130" s="34"/>
    </row>
    <row r="131" spans="1:20" s="99" customFormat="1" x14ac:dyDescent="0.25">
      <c r="A131" s="136" t="s">
        <v>422</v>
      </c>
      <c r="B131" s="137"/>
      <c r="C131" s="137"/>
      <c r="D131" s="137"/>
      <c r="E131" s="137"/>
      <c r="F131" s="137"/>
      <c r="G131" s="137"/>
      <c r="H131" s="138"/>
      <c r="J131" s="35"/>
      <c r="T131" s="34"/>
    </row>
    <row r="132" spans="1:20" s="99" customFormat="1" x14ac:dyDescent="0.25">
      <c r="A132" s="136" t="s">
        <v>423</v>
      </c>
      <c r="B132" s="137"/>
      <c r="C132" s="137"/>
      <c r="D132" s="137"/>
      <c r="E132" s="137"/>
      <c r="F132" s="137"/>
      <c r="G132" s="137"/>
      <c r="H132" s="138"/>
      <c r="J132" s="35"/>
      <c r="T132" s="34"/>
    </row>
    <row r="133" spans="1:20" s="99" customFormat="1" x14ac:dyDescent="0.25">
      <c r="A133" s="136" t="s">
        <v>424</v>
      </c>
      <c r="B133" s="137"/>
      <c r="C133" s="137"/>
      <c r="D133" s="137"/>
      <c r="E133" s="137"/>
      <c r="F133" s="137"/>
      <c r="G133" s="137"/>
      <c r="H133" s="138"/>
      <c r="J133" s="35"/>
      <c r="T133" s="34"/>
    </row>
    <row r="134" spans="1:20" s="99" customFormat="1" x14ac:dyDescent="0.25">
      <c r="A134" s="136" t="s">
        <v>425</v>
      </c>
      <c r="B134" s="137"/>
      <c r="C134" s="137"/>
      <c r="D134" s="137"/>
      <c r="E134" s="137"/>
      <c r="F134" s="137"/>
      <c r="G134" s="137"/>
      <c r="H134" s="138"/>
      <c r="J134" s="35"/>
      <c r="T134" s="34"/>
    </row>
    <row r="135" spans="1:20" s="99" customFormat="1" ht="15.75" customHeight="1" x14ac:dyDescent="0.25">
      <c r="A135" s="105">
        <v>1</v>
      </c>
      <c r="B135" s="106"/>
      <c r="C135" s="98" t="s">
        <v>426</v>
      </c>
      <c r="D135" s="98">
        <f>(86.698)*(10.764)</f>
        <v>933.21727199999987</v>
      </c>
      <c r="E135" s="98">
        <v>0</v>
      </c>
      <c r="F135" s="98">
        <f>D135+(IF(E135&lt;201,E135,IF(E135&lt;301,E135/2,E135/3)))</f>
        <v>933.21727199999987</v>
      </c>
      <c r="G135" s="98">
        <v>0</v>
      </c>
      <c r="H135" s="98">
        <f>(F135+(IF(G135&lt;101,G135,IF(G135&lt;201,G135/2,IF(G135&lt;=301,G135/3,G135/4)))))*(($H$130)+1)</f>
        <v>1446.4867715999999</v>
      </c>
      <c r="I135" s="35"/>
      <c r="L135" s="107"/>
      <c r="M135" s="107"/>
      <c r="N135" s="35"/>
      <c r="T135" s="34"/>
    </row>
    <row r="136" spans="1:20" s="99" customFormat="1" ht="15.75" customHeight="1" x14ac:dyDescent="0.25">
      <c r="A136" s="105">
        <f>A135+1</f>
        <v>2</v>
      </c>
      <c r="B136" s="106"/>
      <c r="C136" s="98" t="s">
        <v>426</v>
      </c>
      <c r="D136" s="98">
        <f>(78.897)*(10.764)</f>
        <v>849.24730799999998</v>
      </c>
      <c r="E136" s="98">
        <v>0</v>
      </c>
      <c r="F136" s="98">
        <f>D136+(IF(E136&lt;201,E136,IF(E136&lt;301,E136/2,E136/3)))</f>
        <v>849.24730799999998</v>
      </c>
      <c r="G136" s="98">
        <v>0</v>
      </c>
      <c r="H136" s="98">
        <f>(F136+(IF(G136&lt;101,G136,IF(G136&lt;201,G136/2,IF(G136&lt;=301,G136/3,G136/4)))))*(($H$130)+1)</f>
        <v>1316.3333273999999</v>
      </c>
      <c r="I136" s="35"/>
      <c r="L136" s="107"/>
      <c r="M136" s="107"/>
      <c r="N136" s="35"/>
      <c r="T136" s="33"/>
    </row>
    <row r="137" spans="1:20" s="99" customFormat="1" ht="32.25" customHeight="1" x14ac:dyDescent="0.25">
      <c r="A137" s="136" t="s">
        <v>466</v>
      </c>
      <c r="B137" s="137"/>
      <c r="C137" s="137"/>
      <c r="D137" s="137"/>
      <c r="E137" s="137"/>
      <c r="F137" s="137"/>
      <c r="G137" s="137"/>
      <c r="H137" s="138"/>
      <c r="J137" s="35"/>
      <c r="T137" s="34"/>
    </row>
    <row r="138" spans="1:20" s="99" customFormat="1" x14ac:dyDescent="0.25">
      <c r="A138" s="136" t="s">
        <v>465</v>
      </c>
      <c r="B138" s="137"/>
      <c r="C138" s="137"/>
      <c r="D138" s="137"/>
      <c r="E138" s="137"/>
      <c r="F138" s="137"/>
      <c r="G138" s="137"/>
      <c r="H138" s="138"/>
      <c r="J138" s="35"/>
      <c r="T138" s="34"/>
    </row>
    <row r="139" spans="1:20" s="99" customFormat="1" ht="15.75" customHeight="1" x14ac:dyDescent="0.25">
      <c r="A139" s="105">
        <v>3</v>
      </c>
      <c r="B139" s="106"/>
      <c r="C139" s="98" t="s">
        <v>426</v>
      </c>
      <c r="D139" s="98">
        <f>(93.62)*(10.764)</f>
        <v>1007.72568</v>
      </c>
      <c r="E139" s="98">
        <v>0</v>
      </c>
      <c r="F139" s="98">
        <f>D139+(IF(E139&lt;201,E139,IF(E139&lt;301,E139/2,E139/3)))</f>
        <v>1007.72568</v>
      </c>
      <c r="G139" s="98">
        <v>0</v>
      </c>
      <c r="H139" s="98">
        <f>(F139+(IF(G139&lt;101,G139,IF(G139&lt;201,G139/2,IF(G139&lt;=301,G139/3,G139/4)))))*(($H$130)+1)</f>
        <v>1561.9748039999999</v>
      </c>
      <c r="I139" s="35"/>
      <c r="L139" s="107"/>
      <c r="M139" s="107"/>
      <c r="N139" s="35"/>
      <c r="T139" s="34"/>
    </row>
    <row r="140" spans="1:20" s="36" customFormat="1" hidden="1" x14ac:dyDescent="0.25">
      <c r="A140" s="136" t="s">
        <v>116</v>
      </c>
      <c r="B140" s="137"/>
      <c r="C140" s="137"/>
      <c r="D140" s="137"/>
      <c r="E140" s="137"/>
      <c r="F140" s="137"/>
      <c r="G140" s="137"/>
      <c r="H140" s="138"/>
      <c r="J140" s="35"/>
      <c r="T140" s="34"/>
    </row>
    <row r="141" spans="1:20" s="36" customFormat="1" ht="15.75" hidden="1" customHeight="1" x14ac:dyDescent="0.25">
      <c r="A141" s="105">
        <v>1</v>
      </c>
      <c r="B141" s="106"/>
      <c r="C141" s="41"/>
      <c r="D141" s="41">
        <v>0</v>
      </c>
      <c r="E141" s="41">
        <v>0</v>
      </c>
      <c r="F141" s="41">
        <f>D141+(IF(E141&lt;201,E141,IF(E141&lt;301,E141/2,E141/3)))</f>
        <v>0</v>
      </c>
      <c r="G141" s="41">
        <v>0</v>
      </c>
      <c r="H141" s="41">
        <f>(F141+(IF(G141&lt;101,G141,IF(G141&lt;201,G141/2,IF(G141&lt;=301,G141/3,G141/4)))))*(($H$130)+1)</f>
        <v>0</v>
      </c>
      <c r="I141" s="35"/>
      <c r="L141" s="107"/>
      <c r="M141" s="107"/>
      <c r="N141" s="35"/>
      <c r="T141" s="34"/>
    </row>
    <row r="142" spans="1:20" s="36" customFormat="1" ht="15.75" hidden="1" customHeight="1" x14ac:dyDescent="0.25">
      <c r="A142" s="105">
        <f>A141+1</f>
        <v>2</v>
      </c>
      <c r="B142" s="106"/>
      <c r="C142" s="41"/>
      <c r="D142" s="41"/>
      <c r="E142" s="41">
        <v>0</v>
      </c>
      <c r="F142" s="41">
        <f>D142+(IF(E142&lt;201,E142,IF(E142&lt;301,E142/2,E142/3)))</f>
        <v>0</v>
      </c>
      <c r="G142" s="41">
        <v>0</v>
      </c>
      <c r="H142" s="41">
        <f>(F142+(IF(G142&lt;101,G142,IF(G142&lt;201,G142/2,IF(G142&lt;=301,G142/3,G142/4)))))*(($H$130)+1)</f>
        <v>0</v>
      </c>
      <c r="I142" s="35"/>
      <c r="L142" s="107"/>
      <c r="M142" s="107"/>
      <c r="N142" s="35"/>
      <c r="T142" s="33"/>
    </row>
    <row r="143" spans="1:20" s="36" customFormat="1" ht="15.75" hidden="1" customHeight="1" x14ac:dyDescent="0.25">
      <c r="A143" s="105">
        <f>A142+1</f>
        <v>3</v>
      </c>
      <c r="B143" s="106"/>
      <c r="C143" s="41"/>
      <c r="D143" s="41"/>
      <c r="E143" s="41">
        <v>0</v>
      </c>
      <c r="F143" s="41">
        <f>D143+(IF(E143&lt;201,E143,IF(E143&lt;301,E143/2,E143/3)))</f>
        <v>0</v>
      </c>
      <c r="G143" s="41">
        <v>0</v>
      </c>
      <c r="H143" s="41">
        <f>(F143+(IF(G143&lt;101,G143,IF(G143&lt;201,G143/2,IF(G143&lt;=301,G143/3,G143/4)))))*(($H$130)+1)</f>
        <v>0</v>
      </c>
      <c r="I143" s="35"/>
      <c r="L143" s="107"/>
      <c r="M143" s="107"/>
      <c r="N143" s="35"/>
      <c r="T143" s="20"/>
    </row>
    <row r="144" spans="1:20" s="36" customFormat="1" ht="15.75" hidden="1" customHeight="1" x14ac:dyDescent="0.25">
      <c r="A144" s="105">
        <f>A143+1</f>
        <v>4</v>
      </c>
      <c r="B144" s="106"/>
      <c r="C144" s="41"/>
      <c r="D144" s="41"/>
      <c r="E144" s="41">
        <v>0</v>
      </c>
      <c r="F144" s="41">
        <f>D144+(IF(E144&lt;201,E144,IF(E144&lt;301,E144/2,E144/3)))</f>
        <v>0</v>
      </c>
      <c r="G144" s="41">
        <v>0</v>
      </c>
      <c r="H144" s="41">
        <f>(F144+(IF(G144&lt;101,G144,IF(G144&lt;201,G144/2,IF(G144&lt;=301,G144/3,G144/4)))))*(($H$130)+1)</f>
        <v>0</v>
      </c>
      <c r="I144" s="35"/>
      <c r="L144" s="107"/>
      <c r="M144" s="107"/>
      <c r="N144" s="35"/>
      <c r="T144" s="20"/>
    </row>
    <row r="145" spans="1:20" s="36" customFormat="1" x14ac:dyDescent="0.25">
      <c r="A145" s="105"/>
      <c r="B145" s="108"/>
      <c r="C145" s="108"/>
      <c r="D145" s="108"/>
      <c r="E145" s="108"/>
      <c r="F145" s="108"/>
      <c r="G145" s="108"/>
      <c r="H145" s="106"/>
      <c r="I145" s="35"/>
      <c r="N145" s="35"/>
    </row>
    <row r="146" spans="1:20" ht="47.25" customHeight="1" x14ac:dyDescent="0.25">
      <c r="A146" s="276" t="s">
        <v>118</v>
      </c>
      <c r="B146" s="150" t="s">
        <v>176</v>
      </c>
      <c r="C146" s="150" t="s">
        <v>54</v>
      </c>
      <c r="D146" s="150" t="s">
        <v>375</v>
      </c>
      <c r="E146" s="150" t="s">
        <v>231</v>
      </c>
      <c r="F146" s="150" t="s">
        <v>55</v>
      </c>
      <c r="G146" s="168" t="s">
        <v>56</v>
      </c>
      <c r="H146" s="102" t="s">
        <v>148</v>
      </c>
      <c r="I146" s="35"/>
      <c r="T146" s="36"/>
    </row>
    <row r="147" spans="1:20" s="36" customFormat="1" x14ac:dyDescent="0.25">
      <c r="A147" s="277"/>
      <c r="B147" s="151"/>
      <c r="C147" s="151"/>
      <c r="D147" s="151"/>
      <c r="E147" s="151"/>
      <c r="F147" s="151"/>
      <c r="G147" s="169"/>
      <c r="H147" s="103">
        <v>0.5</v>
      </c>
      <c r="I147" s="35"/>
    </row>
    <row r="148" spans="1:20" s="99" customFormat="1" x14ac:dyDescent="0.25">
      <c r="A148" s="136" t="s">
        <v>422</v>
      </c>
      <c r="B148" s="137"/>
      <c r="C148" s="137"/>
      <c r="D148" s="137"/>
      <c r="E148" s="137"/>
      <c r="F148" s="137"/>
      <c r="G148" s="137"/>
      <c r="H148" s="138"/>
      <c r="J148" s="35"/>
      <c r="T148" s="34"/>
    </row>
    <row r="149" spans="1:20" s="99" customFormat="1" x14ac:dyDescent="0.25">
      <c r="A149" s="136" t="s">
        <v>423</v>
      </c>
      <c r="B149" s="137"/>
      <c r="C149" s="137"/>
      <c r="D149" s="137"/>
      <c r="E149" s="137"/>
      <c r="F149" s="137"/>
      <c r="G149" s="137"/>
      <c r="H149" s="138"/>
      <c r="J149" s="35"/>
      <c r="T149" s="34"/>
    </row>
    <row r="150" spans="1:20" s="99" customFormat="1" x14ac:dyDescent="0.25">
      <c r="A150" s="109" t="s">
        <v>429</v>
      </c>
      <c r="B150" s="110"/>
      <c r="C150" s="110"/>
      <c r="D150" s="110"/>
      <c r="E150" s="110"/>
      <c r="F150" s="110"/>
      <c r="G150" s="110"/>
      <c r="H150" s="111"/>
      <c r="J150" s="35"/>
    </row>
    <row r="151" spans="1:20" s="99" customFormat="1" ht="15.75" customHeight="1" x14ac:dyDescent="0.25">
      <c r="A151" s="105">
        <v>1</v>
      </c>
      <c r="B151" s="106"/>
      <c r="C151" s="98" t="s">
        <v>427</v>
      </c>
      <c r="D151" s="105" t="s">
        <v>428</v>
      </c>
      <c r="E151" s="108"/>
      <c r="F151" s="108"/>
      <c r="G151" s="108"/>
      <c r="H151" s="106"/>
      <c r="I151" s="35"/>
      <c r="L151" s="107"/>
      <c r="M151" s="107"/>
      <c r="N151" s="35"/>
    </row>
    <row r="152" spans="1:20" s="99" customFormat="1" ht="15.75" customHeight="1" x14ac:dyDescent="0.25">
      <c r="A152" s="105">
        <f t="shared" ref="A152:A157" si="4">A151+1</f>
        <v>2</v>
      </c>
      <c r="B152" s="106"/>
      <c r="C152" s="98" t="s">
        <v>427</v>
      </c>
      <c r="D152" s="105" t="s">
        <v>430</v>
      </c>
      <c r="E152" s="108"/>
      <c r="F152" s="108"/>
      <c r="G152" s="108"/>
      <c r="H152" s="106"/>
      <c r="I152" s="35"/>
      <c r="L152" s="107"/>
      <c r="M152" s="107"/>
      <c r="N152" s="35"/>
    </row>
    <row r="153" spans="1:20" s="99" customFormat="1" ht="15.75" customHeight="1" x14ac:dyDescent="0.25">
      <c r="A153" s="105">
        <f t="shared" si="4"/>
        <v>3</v>
      </c>
      <c r="B153" s="106"/>
      <c r="C153" s="98" t="s">
        <v>427</v>
      </c>
      <c r="D153" s="105" t="s">
        <v>431</v>
      </c>
      <c r="E153" s="108"/>
      <c r="F153" s="108"/>
      <c r="G153" s="108"/>
      <c r="H153" s="106"/>
      <c r="I153" s="35"/>
      <c r="L153" s="107"/>
      <c r="M153" s="107"/>
      <c r="N153" s="35"/>
    </row>
    <row r="154" spans="1:20" s="99" customFormat="1" ht="15.75" customHeight="1" x14ac:dyDescent="0.25">
      <c r="A154" s="105">
        <f t="shared" si="4"/>
        <v>4</v>
      </c>
      <c r="B154" s="106"/>
      <c r="C154" s="98" t="s">
        <v>432</v>
      </c>
      <c r="D154" s="98">
        <f>(65.172)*(10.764)</f>
        <v>701.51140799999996</v>
      </c>
      <c r="E154" s="98">
        <f>(3.2*1.23+0.6*(2.7+2.43+2.7))*(10.764)</f>
        <v>92.936375999999996</v>
      </c>
      <c r="F154" s="98">
        <f>D154+E154</f>
        <v>794.44778399999996</v>
      </c>
      <c r="G154" s="98">
        <v>0</v>
      </c>
      <c r="H154" s="98">
        <f>F154*(($H$147)+1)+(IF(G154&lt;101,G154,IF(G154&lt;201,G154/2,IF(G154&lt;=301,G154/3,G154/4))))</f>
        <v>1191.6716759999999</v>
      </c>
      <c r="I154" s="35"/>
      <c r="L154" s="107"/>
      <c r="M154" s="107"/>
      <c r="N154" s="35"/>
      <c r="T154" s="20"/>
    </row>
    <row r="155" spans="1:20" s="99" customFormat="1" ht="15.75" customHeight="1" x14ac:dyDescent="0.25">
      <c r="A155" s="105">
        <f t="shared" si="4"/>
        <v>5</v>
      </c>
      <c r="B155" s="106"/>
      <c r="C155" s="98" t="s">
        <v>432</v>
      </c>
      <c r="D155" s="98">
        <f>(65.214)*(10.764)</f>
        <v>701.96349599999996</v>
      </c>
      <c r="E155" s="98">
        <f>(3.2*1.23+0.6*(2.95+2.23+3.3))*(10.764)</f>
        <v>97.134336000000005</v>
      </c>
      <c r="F155" s="98">
        <f>D155+E155</f>
        <v>799.09783199999993</v>
      </c>
      <c r="G155" s="98">
        <v>0</v>
      </c>
      <c r="H155" s="98">
        <f>F155*(($H$147)+1)+(IF(G155&lt;101,G155,IF(G155&lt;201,G155/2,IF(G155&lt;=301,G155/3,G155/4))))</f>
        <v>1198.6467479999999</v>
      </c>
      <c r="I155" s="35"/>
      <c r="L155" s="107"/>
      <c r="M155" s="107"/>
      <c r="N155" s="35"/>
    </row>
    <row r="156" spans="1:20" s="99" customFormat="1" ht="15.75" customHeight="1" x14ac:dyDescent="0.25">
      <c r="A156" s="105">
        <f t="shared" si="4"/>
        <v>6</v>
      </c>
      <c r="B156" s="106"/>
      <c r="C156" s="98" t="s">
        <v>432</v>
      </c>
      <c r="D156" s="98">
        <f>(64.735)*(10.764)</f>
        <v>696.8075399999999</v>
      </c>
      <c r="E156" s="98">
        <f>(3.2*1.23+0.6*(2.7+2.43+2.7))*(10.764)</f>
        <v>92.936375999999996</v>
      </c>
      <c r="F156" s="98">
        <f>D156+E156</f>
        <v>789.7439159999999</v>
      </c>
      <c r="G156" s="98">
        <v>0</v>
      </c>
      <c r="H156" s="98">
        <f>F156*(($H$147)+1)+(IF(G156&lt;101,G156,IF(G156&lt;201,G156/2,IF(G156&lt;=301,G156/3,G156/4))))</f>
        <v>1184.6158739999998</v>
      </c>
      <c r="I156" s="35"/>
      <c r="L156" s="107"/>
      <c r="M156" s="107"/>
      <c r="N156" s="35"/>
    </row>
    <row r="157" spans="1:20" s="99" customFormat="1" ht="15.75" customHeight="1" x14ac:dyDescent="0.25">
      <c r="A157" s="105">
        <f t="shared" si="4"/>
        <v>7</v>
      </c>
      <c r="B157" s="106"/>
      <c r="C157" s="98" t="s">
        <v>433</v>
      </c>
      <c r="D157" s="98">
        <f>(83.515)*(10.764)</f>
        <v>898.9554599999999</v>
      </c>
      <c r="E157" s="98">
        <f>(3.2*1.33+2.4*1+0.6*5.43+0.6*3)*(10.764)</f>
        <v>126.08949599999998</v>
      </c>
      <c r="F157" s="98">
        <f>D157+E157</f>
        <v>1025.044956</v>
      </c>
      <c r="G157" s="98">
        <v>0</v>
      </c>
      <c r="H157" s="98">
        <f>F157*(($H$147)+1)+(IF(G157&lt;101,G157,IF(G157&lt;201,G157/2,IF(G157&lt;=301,G157/3,G157/4))))</f>
        <v>1537.567434</v>
      </c>
      <c r="I157" s="35"/>
      <c r="L157" s="107"/>
      <c r="M157" s="107"/>
      <c r="N157" s="35"/>
      <c r="T157" s="20"/>
    </row>
    <row r="158" spans="1:20" s="100" customFormat="1" x14ac:dyDescent="0.25">
      <c r="A158" s="109" t="s">
        <v>434</v>
      </c>
      <c r="B158" s="110"/>
      <c r="C158" s="110"/>
      <c r="D158" s="110"/>
      <c r="E158" s="110"/>
      <c r="F158" s="110"/>
      <c r="G158" s="110"/>
      <c r="H158" s="111"/>
      <c r="J158" s="35"/>
    </row>
    <row r="159" spans="1:20" s="100" customFormat="1" ht="15.75" customHeight="1" x14ac:dyDescent="0.25">
      <c r="A159" s="105">
        <v>1</v>
      </c>
      <c r="B159" s="106"/>
      <c r="C159" s="101" t="s">
        <v>427</v>
      </c>
      <c r="D159" s="105" t="s">
        <v>435</v>
      </c>
      <c r="E159" s="108"/>
      <c r="F159" s="108"/>
      <c r="G159" s="108"/>
      <c r="H159" s="106"/>
      <c r="I159" s="35"/>
      <c r="L159" s="107"/>
      <c r="M159" s="107"/>
      <c r="N159" s="35"/>
    </row>
    <row r="160" spans="1:20" s="100" customFormat="1" ht="15.75" customHeight="1" x14ac:dyDescent="0.25">
      <c r="A160" s="105">
        <f t="shared" ref="A160:A165" si="5">A159+1</f>
        <v>2</v>
      </c>
      <c r="B160" s="106"/>
      <c r="C160" s="101" t="s">
        <v>427</v>
      </c>
      <c r="D160" s="105" t="s">
        <v>430</v>
      </c>
      <c r="E160" s="108"/>
      <c r="F160" s="108"/>
      <c r="G160" s="108"/>
      <c r="H160" s="106"/>
      <c r="I160" s="35"/>
      <c r="L160" s="107"/>
      <c r="M160" s="107"/>
      <c r="N160" s="35"/>
    </row>
    <row r="161" spans="1:20" s="100" customFormat="1" ht="15.75" customHeight="1" x14ac:dyDescent="0.25">
      <c r="A161" s="105">
        <f t="shared" si="5"/>
        <v>3</v>
      </c>
      <c r="B161" s="106"/>
      <c r="C161" s="101" t="s">
        <v>427</v>
      </c>
      <c r="D161" s="105" t="s">
        <v>431</v>
      </c>
      <c r="E161" s="108"/>
      <c r="F161" s="108"/>
      <c r="G161" s="108"/>
      <c r="H161" s="106"/>
      <c r="I161" s="35"/>
      <c r="L161" s="107"/>
      <c r="M161" s="107"/>
      <c r="N161" s="35"/>
    </row>
    <row r="162" spans="1:20" s="100" customFormat="1" ht="15.75" customHeight="1" x14ac:dyDescent="0.25">
      <c r="A162" s="105">
        <f t="shared" si="5"/>
        <v>4</v>
      </c>
      <c r="B162" s="106"/>
      <c r="C162" s="101" t="s">
        <v>432</v>
      </c>
      <c r="D162" s="101">
        <f>(64.82)*(10.764)</f>
        <v>697.7224799999999</v>
      </c>
      <c r="E162" s="101">
        <f>(3.2*1.23+0.6*(2.7+2.43+2.7))*(10.764)</f>
        <v>92.936375999999996</v>
      </c>
      <c r="F162" s="101">
        <f>D162+E162</f>
        <v>790.6588559999999</v>
      </c>
      <c r="G162" s="101">
        <v>0</v>
      </c>
      <c r="H162" s="101">
        <f>F162*(($H$147)+1)+(IF(G162&lt;101,G162,IF(G162&lt;201,G162/2,IF(G162&lt;=301,G162/3,G162/4))))</f>
        <v>1185.9882839999998</v>
      </c>
      <c r="I162" s="35"/>
      <c r="L162" s="107"/>
      <c r="M162" s="107"/>
      <c r="N162" s="35"/>
      <c r="T162" s="20"/>
    </row>
    <row r="163" spans="1:20" s="100" customFormat="1" ht="15.75" customHeight="1" x14ac:dyDescent="0.25">
      <c r="A163" s="105">
        <f t="shared" si="5"/>
        <v>5</v>
      </c>
      <c r="B163" s="106"/>
      <c r="C163" s="101" t="s">
        <v>432</v>
      </c>
      <c r="D163" s="101">
        <f>(64.89)*(10.764)</f>
        <v>698.47595999999999</v>
      </c>
      <c r="E163" s="101">
        <f>(3.2*1.23+0.6*(2.95+2.23+3.3))*(10.764)</f>
        <v>97.134336000000005</v>
      </c>
      <c r="F163" s="101">
        <f>D163+E163</f>
        <v>795.61029599999995</v>
      </c>
      <c r="G163" s="101">
        <v>0</v>
      </c>
      <c r="H163" s="101">
        <f>F163*(($H$147)+1)+(IF(G163&lt;101,G163,IF(G163&lt;201,G163/2,IF(G163&lt;=301,G163/3,G163/4))))</f>
        <v>1193.415444</v>
      </c>
      <c r="I163" s="35"/>
      <c r="L163" s="107"/>
      <c r="M163" s="107"/>
      <c r="N163" s="35"/>
    </row>
    <row r="164" spans="1:20" s="100" customFormat="1" ht="15.75" customHeight="1" x14ac:dyDescent="0.25">
      <c r="A164" s="105">
        <f t="shared" si="5"/>
        <v>6</v>
      </c>
      <c r="B164" s="106"/>
      <c r="C164" s="101" t="s">
        <v>432</v>
      </c>
      <c r="D164" s="101">
        <f>(64.708)*(10.764)</f>
        <v>696.51691199999993</v>
      </c>
      <c r="E164" s="101">
        <f>(3.2*1.23+0.6*(2.7+2.43+2.7))*(10.764)</f>
        <v>92.936375999999996</v>
      </c>
      <c r="F164" s="101">
        <f>D164+E164</f>
        <v>789.45328799999993</v>
      </c>
      <c r="G164" s="101">
        <v>0</v>
      </c>
      <c r="H164" s="101">
        <f>F164*(($H$147)+1)+(IF(G164&lt;101,G164,IF(G164&lt;201,G164/2,IF(G164&lt;=301,G164/3,G164/4))))</f>
        <v>1184.179932</v>
      </c>
      <c r="I164" s="35"/>
      <c r="L164" s="107"/>
      <c r="M164" s="107"/>
      <c r="N164" s="35"/>
    </row>
    <row r="165" spans="1:20" s="100" customFormat="1" ht="15.75" customHeight="1" x14ac:dyDescent="0.25">
      <c r="A165" s="105">
        <f t="shared" si="5"/>
        <v>7</v>
      </c>
      <c r="B165" s="106"/>
      <c r="C165" s="101" t="s">
        <v>433</v>
      </c>
      <c r="D165" s="101">
        <f>(69.309)*(10.764)</f>
        <v>746.04207599999995</v>
      </c>
      <c r="E165" s="101">
        <f>(3.2*1.33+2.4*1+0.6*5.43+0.6*3)*(10.764)</f>
        <v>126.08949599999998</v>
      </c>
      <c r="F165" s="101">
        <f>D165+E165</f>
        <v>872.13157199999989</v>
      </c>
      <c r="G165" s="101">
        <v>0</v>
      </c>
      <c r="H165" s="101">
        <f>F165*(($H$147)+1)+(IF(G165&lt;101,G165,IF(G165&lt;201,G165/2,IF(G165&lt;=301,G165/3,G165/4))))</f>
        <v>1308.1973579999999</v>
      </c>
      <c r="I165" s="35"/>
      <c r="L165" s="107"/>
      <c r="M165" s="107"/>
      <c r="N165" s="35"/>
      <c r="T165" s="20"/>
    </row>
    <row r="166" spans="1:20" s="100" customFormat="1" x14ac:dyDescent="0.25">
      <c r="A166" s="136" t="s">
        <v>436</v>
      </c>
      <c r="B166" s="137"/>
      <c r="C166" s="137"/>
      <c r="D166" s="137"/>
      <c r="E166" s="137"/>
      <c r="F166" s="137"/>
      <c r="G166" s="137"/>
      <c r="H166" s="138"/>
      <c r="J166" s="35"/>
    </row>
    <row r="167" spans="1:20" s="100" customFormat="1" x14ac:dyDescent="0.25">
      <c r="A167" s="109" t="s">
        <v>437</v>
      </c>
      <c r="B167" s="110"/>
      <c r="C167" s="110"/>
      <c r="D167" s="110"/>
      <c r="E167" s="110"/>
      <c r="F167" s="110"/>
      <c r="G167" s="110"/>
      <c r="H167" s="111"/>
      <c r="J167" s="35"/>
    </row>
    <row r="168" spans="1:20" s="100" customFormat="1" ht="15.75" customHeight="1" x14ac:dyDescent="0.25">
      <c r="A168" s="105">
        <v>1</v>
      </c>
      <c r="B168" s="106"/>
      <c r="C168" s="101" t="s">
        <v>427</v>
      </c>
      <c r="D168" s="105" t="s">
        <v>438</v>
      </c>
      <c r="E168" s="108"/>
      <c r="F168" s="108"/>
      <c r="G168" s="108"/>
      <c r="H168" s="106"/>
      <c r="I168" s="35"/>
      <c r="L168" s="107"/>
      <c r="M168" s="107"/>
      <c r="N168" s="35"/>
    </row>
    <row r="169" spans="1:20" s="100" customFormat="1" ht="15.75" customHeight="1" x14ac:dyDescent="0.25">
      <c r="A169" s="105">
        <f t="shared" ref="A169:A174" si="6">A168+1</f>
        <v>2</v>
      </c>
      <c r="B169" s="106"/>
      <c r="C169" s="101" t="s">
        <v>427</v>
      </c>
      <c r="D169" s="105" t="s">
        <v>430</v>
      </c>
      <c r="E169" s="108"/>
      <c r="F169" s="108"/>
      <c r="G169" s="108"/>
      <c r="H169" s="106"/>
      <c r="I169" s="35"/>
      <c r="L169" s="107"/>
      <c r="M169" s="107"/>
      <c r="N169" s="35"/>
    </row>
    <row r="170" spans="1:20" s="100" customFormat="1" ht="15.75" customHeight="1" x14ac:dyDescent="0.25">
      <c r="A170" s="105">
        <f t="shared" si="6"/>
        <v>3</v>
      </c>
      <c r="B170" s="106"/>
      <c r="C170" s="101" t="s">
        <v>427</v>
      </c>
      <c r="D170" s="105" t="s">
        <v>439</v>
      </c>
      <c r="E170" s="108"/>
      <c r="F170" s="108"/>
      <c r="G170" s="108"/>
      <c r="H170" s="106"/>
      <c r="I170" s="35"/>
      <c r="L170" s="107"/>
      <c r="M170" s="107"/>
      <c r="N170" s="35"/>
    </row>
    <row r="171" spans="1:20" s="100" customFormat="1" ht="15.75" customHeight="1" x14ac:dyDescent="0.25">
      <c r="A171" s="105">
        <f t="shared" si="6"/>
        <v>4</v>
      </c>
      <c r="B171" s="106"/>
      <c r="C171" s="101" t="s">
        <v>432</v>
      </c>
      <c r="D171" s="101">
        <f>(65.248)*(10.764)</f>
        <v>702.32947200000001</v>
      </c>
      <c r="E171" s="101">
        <f>(3.2*1.23+0.6*(2.7+2.43+2.7))*(10.764)</f>
        <v>92.936375999999996</v>
      </c>
      <c r="F171" s="101">
        <f>D171+E171</f>
        <v>795.26584800000001</v>
      </c>
      <c r="G171" s="101">
        <v>0</v>
      </c>
      <c r="H171" s="101">
        <f>F171*(($H$147)+1)+(IF(G171&lt;101,G171,IF(G171&lt;201,G171/2,IF(G171&lt;=301,G171/3,G171/4))))</f>
        <v>1192.898772</v>
      </c>
      <c r="I171" s="35"/>
      <c r="L171" s="107"/>
      <c r="M171" s="107"/>
      <c r="N171" s="35"/>
      <c r="T171" s="20"/>
    </row>
    <row r="172" spans="1:20" s="100" customFormat="1" ht="15.75" customHeight="1" x14ac:dyDescent="0.25">
      <c r="A172" s="105">
        <f t="shared" si="6"/>
        <v>5</v>
      </c>
      <c r="B172" s="106"/>
      <c r="C172" s="101" t="s">
        <v>432</v>
      </c>
      <c r="D172" s="101">
        <f>(64.89)*(10.764)</f>
        <v>698.47595999999999</v>
      </c>
      <c r="E172" s="101">
        <f>(3.2*1.23+0.6*(2.95+2.23+3.3))*(10.764)</f>
        <v>97.134336000000005</v>
      </c>
      <c r="F172" s="101">
        <f>D172+E172</f>
        <v>795.61029599999995</v>
      </c>
      <c r="G172" s="101">
        <v>0</v>
      </c>
      <c r="H172" s="101">
        <f>F172*(($H$147)+1)+(IF(G172&lt;101,G172,IF(G172&lt;201,G172/2,IF(G172&lt;=301,G172/3,G172/4))))</f>
        <v>1193.415444</v>
      </c>
      <c r="I172" s="35"/>
      <c r="L172" s="107"/>
      <c r="M172" s="107"/>
      <c r="N172" s="35"/>
    </row>
    <row r="173" spans="1:20" s="100" customFormat="1" ht="15.75" customHeight="1" x14ac:dyDescent="0.25">
      <c r="A173" s="105">
        <f t="shared" si="6"/>
        <v>6</v>
      </c>
      <c r="B173" s="106"/>
      <c r="C173" s="101" t="s">
        <v>432</v>
      </c>
      <c r="D173" s="101">
        <f>(64.708)*(10.764)</f>
        <v>696.51691199999993</v>
      </c>
      <c r="E173" s="101">
        <f>(3.2*1.23+0.6*(2.7+2.43+2.7))*(10.764)</f>
        <v>92.936375999999996</v>
      </c>
      <c r="F173" s="101">
        <f>D173+E173</f>
        <v>789.45328799999993</v>
      </c>
      <c r="G173" s="101">
        <v>0</v>
      </c>
      <c r="H173" s="101">
        <f>F173*(($H$147)+1)+(IF(G173&lt;101,G173,IF(G173&lt;201,G173/2,IF(G173&lt;=301,G173/3,G173/4))))</f>
        <v>1184.179932</v>
      </c>
      <c r="I173" s="35"/>
      <c r="L173" s="107"/>
      <c r="M173" s="107"/>
      <c r="N173" s="35"/>
    </row>
    <row r="174" spans="1:20" s="100" customFormat="1" ht="15.75" customHeight="1" x14ac:dyDescent="0.25">
      <c r="A174" s="105">
        <f t="shared" si="6"/>
        <v>7</v>
      </c>
      <c r="B174" s="106"/>
      <c r="C174" s="101" t="s">
        <v>433</v>
      </c>
      <c r="D174" s="101">
        <f>(69.428)*(10.764)</f>
        <v>747.32299199999989</v>
      </c>
      <c r="E174" s="101">
        <f>(3.2*1.33+2.4*1+0.6*5.43+0.6*3)*(10.764)</f>
        <v>126.08949599999998</v>
      </c>
      <c r="F174" s="101">
        <f>D174+E174</f>
        <v>873.41248799999983</v>
      </c>
      <c r="G174" s="101">
        <v>0</v>
      </c>
      <c r="H174" s="101">
        <f>F174*(($H$147)+1)+(IF(G174&lt;101,G174,IF(G174&lt;201,G174/2,IF(G174&lt;=301,G174/3,G174/4))))</f>
        <v>1310.1187319999997</v>
      </c>
      <c r="I174" s="35"/>
      <c r="L174" s="107"/>
      <c r="M174" s="107"/>
      <c r="N174" s="35"/>
      <c r="T174" s="20"/>
    </row>
    <row r="175" spans="1:20" s="100" customFormat="1" x14ac:dyDescent="0.25">
      <c r="A175" s="136" t="s">
        <v>440</v>
      </c>
      <c r="B175" s="137"/>
      <c r="C175" s="137"/>
      <c r="D175" s="137"/>
      <c r="E175" s="137"/>
      <c r="F175" s="137"/>
      <c r="G175" s="137"/>
      <c r="H175" s="138"/>
      <c r="J175" s="35"/>
    </row>
    <row r="176" spans="1:20" s="100" customFormat="1" ht="32.25" customHeight="1" x14ac:dyDescent="0.25">
      <c r="A176" s="109" t="s">
        <v>467</v>
      </c>
      <c r="B176" s="110"/>
      <c r="C176" s="110"/>
      <c r="D176" s="110"/>
      <c r="E176" s="110"/>
      <c r="F176" s="110"/>
      <c r="G176" s="110"/>
      <c r="H176" s="111"/>
      <c r="J176" s="35"/>
    </row>
    <row r="177" spans="1:20" s="100" customFormat="1" ht="15.75" customHeight="1" x14ac:dyDescent="0.25">
      <c r="A177" s="105">
        <v>1</v>
      </c>
      <c r="B177" s="106"/>
      <c r="C177" s="101" t="s">
        <v>433</v>
      </c>
      <c r="D177" s="101">
        <f>(97.6)*(10.764)</f>
        <v>1050.5663999999999</v>
      </c>
      <c r="E177" s="101">
        <f>(3.2*1.53+0.6*(2.85+2.95+2.37+1.46))*(10.764)</f>
        <v>114.89493600000003</v>
      </c>
      <c r="F177" s="101">
        <f t="shared" ref="F177:F183" si="7">D177+E177</f>
        <v>1165.4613359999998</v>
      </c>
      <c r="G177" s="101">
        <v>0</v>
      </c>
      <c r="H177" s="101">
        <f t="shared" ref="H177:H183" si="8">F177*(($H$147)+1)+(IF(G177&lt;101,G177,IF(G177&lt;201,G177/2,IF(G177&lt;=301,G177/3,G177/4))))</f>
        <v>1748.1920039999998</v>
      </c>
      <c r="I177" s="35"/>
      <c r="L177" s="107"/>
      <c r="M177" s="107"/>
      <c r="N177" s="35"/>
    </row>
    <row r="178" spans="1:20" s="100" customFormat="1" ht="15.75" customHeight="1" x14ac:dyDescent="0.25">
      <c r="A178" s="105">
        <f t="shared" ref="A178:A183" si="9">A177+1</f>
        <v>2</v>
      </c>
      <c r="B178" s="106"/>
      <c r="C178" s="101" t="s">
        <v>433</v>
      </c>
      <c r="D178" s="101">
        <f>(96.254)*(10.764)</f>
        <v>1036.0780560000001</v>
      </c>
      <c r="E178" s="101">
        <f>(3.2*1.53+0.6*(2.85+2.95+2.37+1.46))*(10.764)</f>
        <v>114.89493600000003</v>
      </c>
      <c r="F178" s="101">
        <f t="shared" si="7"/>
        <v>1150.972992</v>
      </c>
      <c r="G178" s="101">
        <v>0</v>
      </c>
      <c r="H178" s="101">
        <f t="shared" si="8"/>
        <v>1726.459488</v>
      </c>
      <c r="I178" s="35"/>
      <c r="L178" s="107"/>
      <c r="M178" s="107"/>
      <c r="N178" s="35"/>
    </row>
    <row r="179" spans="1:20" s="100" customFormat="1" ht="15.75" customHeight="1" x14ac:dyDescent="0.25">
      <c r="A179" s="105">
        <f t="shared" si="9"/>
        <v>3</v>
      </c>
      <c r="B179" s="106"/>
      <c r="C179" s="101" t="s">
        <v>433</v>
      </c>
      <c r="D179" s="101">
        <f>(84.693)*(10.764)</f>
        <v>911.63545199999987</v>
      </c>
      <c r="E179" s="101">
        <f>(3.2*1.33+2.4*1+0.6*5.43+0.6*3)*(10.764)</f>
        <v>126.08949599999998</v>
      </c>
      <c r="F179" s="101">
        <f t="shared" si="7"/>
        <v>1037.7249479999998</v>
      </c>
      <c r="G179" s="101">
        <v>0</v>
      </c>
      <c r="H179" s="101">
        <f t="shared" si="8"/>
        <v>1556.5874219999996</v>
      </c>
      <c r="I179" s="35"/>
      <c r="L179" s="107"/>
      <c r="M179" s="107"/>
      <c r="N179" s="35"/>
    </row>
    <row r="180" spans="1:20" s="100" customFormat="1" ht="15.75" customHeight="1" x14ac:dyDescent="0.25">
      <c r="A180" s="105">
        <f t="shared" si="9"/>
        <v>4</v>
      </c>
      <c r="B180" s="106"/>
      <c r="C180" s="101" t="s">
        <v>432</v>
      </c>
      <c r="D180" s="101">
        <f>(65.247)*(10.764)</f>
        <v>702.3187079999999</v>
      </c>
      <c r="E180" s="101">
        <f>(3.2*1.23+0.6*(2.7+2.43+2.7))*(10.764)</f>
        <v>92.936375999999996</v>
      </c>
      <c r="F180" s="101">
        <f t="shared" si="7"/>
        <v>795.2550839999999</v>
      </c>
      <c r="G180" s="101">
        <v>0</v>
      </c>
      <c r="H180" s="101">
        <f t="shared" si="8"/>
        <v>1192.8826259999998</v>
      </c>
      <c r="I180" s="35"/>
      <c r="L180" s="107"/>
      <c r="M180" s="107"/>
      <c r="N180" s="35"/>
      <c r="T180" s="20"/>
    </row>
    <row r="181" spans="1:20" s="100" customFormat="1" ht="15.75" customHeight="1" x14ac:dyDescent="0.25">
      <c r="A181" s="105">
        <f t="shared" si="9"/>
        <v>5</v>
      </c>
      <c r="B181" s="106"/>
      <c r="C181" s="101" t="s">
        <v>432</v>
      </c>
      <c r="D181" s="101">
        <f>(65.211)*(10.764)</f>
        <v>701.93120399999998</v>
      </c>
      <c r="E181" s="101">
        <f>(3.2*1.23+0.6*(2.95+2.23+3.3))*(10.764)</f>
        <v>97.134336000000005</v>
      </c>
      <c r="F181" s="101">
        <f t="shared" si="7"/>
        <v>799.06553999999994</v>
      </c>
      <c r="G181" s="101">
        <v>0</v>
      </c>
      <c r="H181" s="101">
        <f t="shared" si="8"/>
        <v>1198.5983099999999</v>
      </c>
      <c r="I181" s="35"/>
      <c r="L181" s="107"/>
      <c r="M181" s="107"/>
      <c r="N181" s="35"/>
    </row>
    <row r="182" spans="1:20" s="100" customFormat="1" ht="15.75" customHeight="1" x14ac:dyDescent="0.25">
      <c r="A182" s="105">
        <f t="shared" si="9"/>
        <v>6</v>
      </c>
      <c r="B182" s="106"/>
      <c r="C182" s="101" t="s">
        <v>432</v>
      </c>
      <c r="D182" s="101">
        <f>(65.252)*(10.764)</f>
        <v>702.37252799999987</v>
      </c>
      <c r="E182" s="101">
        <f>(3.2*1.23+0.6*(2.7+2.43+2.7))*(10.764)</f>
        <v>92.936375999999996</v>
      </c>
      <c r="F182" s="101">
        <f t="shared" si="7"/>
        <v>795.30890399999987</v>
      </c>
      <c r="G182" s="101">
        <v>0</v>
      </c>
      <c r="H182" s="101">
        <f t="shared" si="8"/>
        <v>1192.9633559999997</v>
      </c>
      <c r="I182" s="35"/>
      <c r="L182" s="107"/>
      <c r="M182" s="107"/>
      <c r="N182" s="35"/>
    </row>
    <row r="183" spans="1:20" s="100" customFormat="1" ht="15.75" customHeight="1" x14ac:dyDescent="0.25">
      <c r="A183" s="105">
        <f t="shared" si="9"/>
        <v>7</v>
      </c>
      <c r="B183" s="106"/>
      <c r="C183" s="101" t="s">
        <v>433</v>
      </c>
      <c r="D183" s="101">
        <f>(84.023)*(10.764)</f>
        <v>904.42357199999992</v>
      </c>
      <c r="E183" s="101">
        <f>(3.2*1.33+2.4*1+0.6*5.43+0.6*3)*(10.764)</f>
        <v>126.08949599999998</v>
      </c>
      <c r="F183" s="101">
        <f t="shared" si="7"/>
        <v>1030.513068</v>
      </c>
      <c r="G183" s="101">
        <v>0</v>
      </c>
      <c r="H183" s="101">
        <f t="shared" si="8"/>
        <v>1545.7696019999998</v>
      </c>
      <c r="I183" s="35"/>
      <c r="L183" s="107"/>
      <c r="M183" s="107"/>
      <c r="N183" s="35"/>
      <c r="T183" s="20"/>
    </row>
    <row r="184" spans="1:20" s="100" customFormat="1" x14ac:dyDescent="0.25">
      <c r="A184" s="109" t="s">
        <v>441</v>
      </c>
      <c r="B184" s="110"/>
      <c r="C184" s="110"/>
      <c r="D184" s="110"/>
      <c r="E184" s="110"/>
      <c r="F184" s="110"/>
      <c r="G184" s="110"/>
      <c r="H184" s="111"/>
      <c r="J184" s="35"/>
    </row>
    <row r="185" spans="1:20" s="100" customFormat="1" ht="15.75" customHeight="1" x14ac:dyDescent="0.25">
      <c r="A185" s="105">
        <v>1</v>
      </c>
      <c r="B185" s="106"/>
      <c r="C185" s="101" t="s">
        <v>433</v>
      </c>
      <c r="D185" s="101">
        <f>(97.597)*(10.764)</f>
        <v>1050.5341079999998</v>
      </c>
      <c r="E185" s="101">
        <f>(3.2*1.53+0.6*(2.85+2.95+2.37+1.46))*(10.764)</f>
        <v>114.89493600000003</v>
      </c>
      <c r="F185" s="101">
        <f>D185+E185</f>
        <v>1165.429044</v>
      </c>
      <c r="G185" s="101">
        <v>0</v>
      </c>
      <c r="H185" s="101">
        <f>F185*(($H$147)+1)+(IF(G185&lt;101,G185,IF(G185&lt;201,G185/2,IF(G185&lt;=301,G185/3,G185/4))))</f>
        <v>1748.143566</v>
      </c>
      <c r="I185" s="35"/>
      <c r="L185" s="107"/>
      <c r="M185" s="107"/>
      <c r="N185" s="35"/>
    </row>
    <row r="186" spans="1:20" s="100" customFormat="1" ht="15.75" customHeight="1" x14ac:dyDescent="0.25">
      <c r="A186" s="105">
        <f t="shared" ref="A186:A191" si="10">A185+1</f>
        <v>2</v>
      </c>
      <c r="B186" s="106"/>
      <c r="C186" s="101" t="s">
        <v>433</v>
      </c>
      <c r="D186" s="101">
        <f>(96.311)*(10.764)</f>
        <v>1036.6916040000001</v>
      </c>
      <c r="E186" s="101">
        <f>(3.2*1.53+0.6*(2.85+2.95+2.37+1.46))*(10.764)</f>
        <v>114.89493600000003</v>
      </c>
      <c r="F186" s="101">
        <f>D186+E186</f>
        <v>1151.5865400000002</v>
      </c>
      <c r="G186" s="101">
        <v>0</v>
      </c>
      <c r="H186" s="101">
        <f>F186*(($H$147)+1)+(IF(G186&lt;101,G186,IF(G186&lt;201,G186/2,IF(G186&lt;=301,G186/3,G186/4))))</f>
        <v>1727.3798100000004</v>
      </c>
      <c r="I186" s="35"/>
      <c r="L186" s="107"/>
      <c r="M186" s="107"/>
      <c r="N186" s="35"/>
    </row>
    <row r="187" spans="1:20" s="100" customFormat="1" ht="15.75" customHeight="1" x14ac:dyDescent="0.25">
      <c r="A187" s="105">
        <f t="shared" si="10"/>
        <v>3</v>
      </c>
      <c r="B187" s="106"/>
      <c r="C187" s="101" t="s">
        <v>433</v>
      </c>
      <c r="D187" s="101">
        <f>(84.668)*(10.764)</f>
        <v>911.36635200000001</v>
      </c>
      <c r="E187" s="101">
        <f>(3.2*1.33+2.4*1+0.6*5.43+0.6*3)*(10.764)</f>
        <v>126.08949599999998</v>
      </c>
      <c r="F187" s="101">
        <f>D187+E187</f>
        <v>1037.4558480000001</v>
      </c>
      <c r="G187" s="101">
        <v>0</v>
      </c>
      <c r="H187" s="101">
        <f>F187*(($H$147)+1)+(IF(G187&lt;101,G187,IF(G187&lt;201,G187/2,IF(G187&lt;=301,G187/3,G187/4))))</f>
        <v>1556.1837720000001</v>
      </c>
      <c r="I187" s="35"/>
      <c r="L187" s="107"/>
      <c r="M187" s="107"/>
      <c r="N187" s="35"/>
    </row>
    <row r="188" spans="1:20" s="100" customFormat="1" ht="15.75" customHeight="1" x14ac:dyDescent="0.25">
      <c r="A188" s="105">
        <f t="shared" si="10"/>
        <v>4</v>
      </c>
      <c r="B188" s="106"/>
      <c r="C188" s="101" t="s">
        <v>427</v>
      </c>
      <c r="D188" s="105" t="s">
        <v>442</v>
      </c>
      <c r="E188" s="108"/>
      <c r="F188" s="108"/>
      <c r="G188" s="108"/>
      <c r="H188" s="106"/>
      <c r="I188" s="35"/>
      <c r="L188" s="107"/>
      <c r="M188" s="107"/>
      <c r="N188" s="35"/>
      <c r="T188" s="20"/>
    </row>
    <row r="189" spans="1:20" s="100" customFormat="1" ht="15.75" customHeight="1" x14ac:dyDescent="0.25">
      <c r="A189" s="105">
        <f t="shared" si="10"/>
        <v>5</v>
      </c>
      <c r="B189" s="106"/>
      <c r="C189" s="101" t="s">
        <v>432</v>
      </c>
      <c r="D189" s="101">
        <f>(65.222)*(10.764)</f>
        <v>702.04960799999992</v>
      </c>
      <c r="E189" s="101">
        <f>(3.2*1.23+0.6*(2.95+2.23+3.3))*(10.764)</f>
        <v>97.134336000000005</v>
      </c>
      <c r="F189" s="101">
        <f>D189+E189</f>
        <v>799.18394399999988</v>
      </c>
      <c r="G189" s="101">
        <v>0</v>
      </c>
      <c r="H189" s="101">
        <f>F189*(($H$147)+1)+(IF(G189&lt;101,G189,IF(G189&lt;201,G189/2,IF(G189&lt;=301,G189/3,G189/4))))</f>
        <v>1198.7759159999998</v>
      </c>
      <c r="I189" s="35"/>
      <c r="L189" s="107"/>
      <c r="M189" s="107"/>
      <c r="N189" s="35"/>
    </row>
    <row r="190" spans="1:20" s="100" customFormat="1" ht="15.75" customHeight="1" x14ac:dyDescent="0.25">
      <c r="A190" s="105">
        <f t="shared" si="10"/>
        <v>6</v>
      </c>
      <c r="B190" s="106"/>
      <c r="C190" s="101" t="s">
        <v>432</v>
      </c>
      <c r="D190" s="101">
        <f>(65.254)*(10.764)</f>
        <v>702.39405599999998</v>
      </c>
      <c r="E190" s="101">
        <f>(3.2*1.23+0.6*(2.7+2.43+2.7))*(10.764)</f>
        <v>92.936375999999996</v>
      </c>
      <c r="F190" s="101">
        <f>D190+E190</f>
        <v>795.33043199999997</v>
      </c>
      <c r="G190" s="101">
        <v>0</v>
      </c>
      <c r="H190" s="101">
        <f>F190*(($H$147)+1)+(IF(G190&lt;101,G190,IF(G190&lt;201,G190/2,IF(G190&lt;=301,G190/3,G190/4))))</f>
        <v>1192.9956480000001</v>
      </c>
      <c r="I190" s="35"/>
      <c r="L190" s="107"/>
      <c r="M190" s="107"/>
      <c r="N190" s="35"/>
    </row>
    <row r="191" spans="1:20" s="100" customFormat="1" ht="15.75" customHeight="1" x14ac:dyDescent="0.25">
      <c r="A191" s="105">
        <f t="shared" si="10"/>
        <v>7</v>
      </c>
      <c r="B191" s="106"/>
      <c r="C191" s="101" t="s">
        <v>433</v>
      </c>
      <c r="D191" s="101">
        <f>(84.023)*(10.764)</f>
        <v>904.42357199999992</v>
      </c>
      <c r="E191" s="101">
        <f>(3.2*1.33+2.4*1+0.6*5.43+0.6*3)*(10.764)</f>
        <v>126.08949599999998</v>
      </c>
      <c r="F191" s="101">
        <f>D191+E191</f>
        <v>1030.513068</v>
      </c>
      <c r="G191" s="101">
        <v>0</v>
      </c>
      <c r="H191" s="101">
        <f>F191*(($H$147)+1)+(IF(G191&lt;101,G191,IF(G191&lt;201,G191/2,IF(G191&lt;=301,G191/3,G191/4))))</f>
        <v>1545.7696019999998</v>
      </c>
      <c r="I191" s="35"/>
      <c r="L191" s="107"/>
      <c r="M191" s="107"/>
      <c r="N191" s="35"/>
      <c r="T191" s="20"/>
    </row>
    <row r="192" spans="1:20" s="100" customFormat="1" x14ac:dyDescent="0.25">
      <c r="A192" s="122" t="s">
        <v>443</v>
      </c>
      <c r="B192" s="122"/>
      <c r="C192" s="122"/>
      <c r="D192" s="122"/>
      <c r="E192" s="122"/>
      <c r="F192" s="122"/>
      <c r="G192" s="122"/>
      <c r="H192" s="122"/>
      <c r="I192" s="35"/>
      <c r="L192" s="107"/>
      <c r="M192" s="107"/>
    </row>
    <row r="193" spans="1:20" s="100" customFormat="1" x14ac:dyDescent="0.25">
      <c r="A193" s="126">
        <v>1</v>
      </c>
      <c r="B193" s="126"/>
      <c r="C193" s="101" t="s">
        <v>433</v>
      </c>
      <c r="D193" s="101">
        <f>(97.597)*(10.764)</f>
        <v>1050.5341079999998</v>
      </c>
      <c r="E193" s="101">
        <f>(3.2*1.53+0.6*(2.85+2.95+2.37+1.46))*(10.764)</f>
        <v>114.89493600000003</v>
      </c>
      <c r="F193" s="101">
        <f>D193+E193</f>
        <v>1165.429044</v>
      </c>
      <c r="G193" s="101">
        <v>0</v>
      </c>
      <c r="H193" s="101">
        <f>F193*(($H$147)+1)+(IF(G193&lt;101,G193,IF(G193&lt;201,G193/2,IF(G193&lt;=301,G193/3,G193/4))))</f>
        <v>1748.143566</v>
      </c>
      <c r="I193" s="35"/>
      <c r="N193" s="35"/>
    </row>
    <row r="194" spans="1:20" s="100" customFormat="1" x14ac:dyDescent="0.25">
      <c r="A194" s="126">
        <f t="shared" ref="A194:A199" si="11">A193+1</f>
        <v>2</v>
      </c>
      <c r="B194" s="126"/>
      <c r="C194" s="101" t="s">
        <v>433</v>
      </c>
      <c r="D194" s="101">
        <f>(96.311)*(10.764)</f>
        <v>1036.6916040000001</v>
      </c>
      <c r="E194" s="101">
        <f>(3.2*1.53+0.6*(2.85+2.95+2.37+1.46))*(10.764)</f>
        <v>114.89493600000003</v>
      </c>
      <c r="F194" s="101">
        <f>D194+E194</f>
        <v>1151.5865400000002</v>
      </c>
      <c r="G194" s="101">
        <v>0</v>
      </c>
      <c r="H194" s="101">
        <f>F194*(($H$147)+1)+(IF(G194&lt;101,G194,IF(G194&lt;201,G194/2,IF(G194&lt;=301,G194/3,G194/4))))</f>
        <v>1727.3798100000004</v>
      </c>
      <c r="I194" s="35"/>
      <c r="N194" s="35"/>
    </row>
    <row r="195" spans="1:20" s="100" customFormat="1" x14ac:dyDescent="0.25">
      <c r="A195" s="126">
        <f t="shared" si="11"/>
        <v>3</v>
      </c>
      <c r="B195" s="126"/>
      <c r="C195" s="101" t="s">
        <v>433</v>
      </c>
      <c r="D195" s="101">
        <f>(84.668)*(10.764)</f>
        <v>911.36635200000001</v>
      </c>
      <c r="E195" s="101">
        <f>(3.2*1.33+2.4*1+0.6*5.43+0.6*3)*(10.764)</f>
        <v>126.08949599999998</v>
      </c>
      <c r="F195" s="101">
        <f>D195+E195</f>
        <v>1037.4558480000001</v>
      </c>
      <c r="G195" s="101">
        <v>0</v>
      </c>
      <c r="H195" s="101">
        <f>F195*(($H$147)+1)+(IF(G195&lt;101,G195,IF(G195&lt;201,G195/2,IF(G195&lt;=301,G195/3,G195/4))))</f>
        <v>1556.1837720000001</v>
      </c>
      <c r="I195" s="35"/>
      <c r="N195" s="35"/>
    </row>
    <row r="196" spans="1:20" s="100" customFormat="1" x14ac:dyDescent="0.25">
      <c r="A196" s="126">
        <f t="shared" si="11"/>
        <v>4</v>
      </c>
      <c r="B196" s="126"/>
      <c r="C196" s="101" t="s">
        <v>427</v>
      </c>
      <c r="D196" s="127" t="s">
        <v>444</v>
      </c>
      <c r="E196" s="128"/>
      <c r="F196" s="128"/>
      <c r="G196" s="128"/>
      <c r="H196" s="129"/>
      <c r="I196" s="35"/>
      <c r="N196" s="35"/>
    </row>
    <row r="197" spans="1:20" s="100" customFormat="1" x14ac:dyDescent="0.25">
      <c r="A197" s="126">
        <f t="shared" si="11"/>
        <v>5</v>
      </c>
      <c r="B197" s="126"/>
      <c r="C197" s="101" t="s">
        <v>427</v>
      </c>
      <c r="D197" s="130"/>
      <c r="E197" s="131"/>
      <c r="F197" s="131"/>
      <c r="G197" s="131"/>
      <c r="H197" s="132"/>
      <c r="I197" s="35"/>
      <c r="N197" s="35"/>
    </row>
    <row r="198" spans="1:20" s="100" customFormat="1" x14ac:dyDescent="0.25">
      <c r="A198" s="126">
        <f t="shared" si="11"/>
        <v>6</v>
      </c>
      <c r="B198" s="126"/>
      <c r="C198" s="101" t="s">
        <v>427</v>
      </c>
      <c r="D198" s="133"/>
      <c r="E198" s="134"/>
      <c r="F198" s="134"/>
      <c r="G198" s="134"/>
      <c r="H198" s="135"/>
      <c r="I198" s="35"/>
      <c r="N198" s="35"/>
    </row>
    <row r="199" spans="1:20" s="100" customFormat="1" x14ac:dyDescent="0.25">
      <c r="A199" s="126">
        <f t="shared" si="11"/>
        <v>7</v>
      </c>
      <c r="B199" s="126"/>
      <c r="C199" s="101" t="s">
        <v>433</v>
      </c>
      <c r="D199" s="101">
        <f>(84.021)*(10.764)</f>
        <v>904.40204399999993</v>
      </c>
      <c r="E199" s="101">
        <f>(3.2*1.33+2.4*1+0.6*5.43+0.6*3)*(10.764)</f>
        <v>126.08949599999998</v>
      </c>
      <c r="F199" s="101">
        <f>D199+E199</f>
        <v>1030.49154</v>
      </c>
      <c r="G199" s="101">
        <v>0</v>
      </c>
      <c r="H199" s="101">
        <f>F199*(($H$147)+1)+(IF(G199&lt;101,G199,IF(G199&lt;201,G199/2,IF(G199&lt;=301,G199/3,G199/4))))</f>
        <v>1545.73731</v>
      </c>
      <c r="I199" s="35"/>
      <c r="N199" s="35"/>
    </row>
    <row r="200" spans="1:20" s="100" customFormat="1" x14ac:dyDescent="0.25">
      <c r="A200" s="109" t="s">
        <v>445</v>
      </c>
      <c r="B200" s="110"/>
      <c r="C200" s="110"/>
      <c r="D200" s="110"/>
      <c r="E200" s="110"/>
      <c r="F200" s="110"/>
      <c r="G200" s="110"/>
      <c r="H200" s="111"/>
      <c r="J200" s="35"/>
    </row>
    <row r="201" spans="1:20" s="100" customFormat="1" ht="15.75" customHeight="1" x14ac:dyDescent="0.25">
      <c r="A201" s="105">
        <v>1</v>
      </c>
      <c r="B201" s="106"/>
      <c r="C201" s="101" t="s">
        <v>433</v>
      </c>
      <c r="D201" s="101">
        <f>(97.597)*(10.764)</f>
        <v>1050.5341079999998</v>
      </c>
      <c r="E201" s="101">
        <f>(3.2*1.53+0.6*(2.85+2.95+2.37+1.46))*(10.764)</f>
        <v>114.89493600000003</v>
      </c>
      <c r="F201" s="101">
        <f>D201+E201</f>
        <v>1165.429044</v>
      </c>
      <c r="G201" s="101">
        <v>0</v>
      </c>
      <c r="H201" s="101">
        <f>F201*(($H$147)+1)+(IF(G201&lt;101,G201,IF(G201&lt;201,G201/2,IF(G201&lt;=301,G201/3,G201/4))))</f>
        <v>1748.143566</v>
      </c>
      <c r="I201" s="35"/>
      <c r="L201" s="107"/>
      <c r="M201" s="107"/>
      <c r="N201" s="35"/>
    </row>
    <row r="202" spans="1:20" s="100" customFormat="1" ht="15.75" customHeight="1" x14ac:dyDescent="0.25">
      <c r="A202" s="105">
        <f t="shared" ref="A202:A207" si="12">A201+1</f>
        <v>2</v>
      </c>
      <c r="B202" s="106"/>
      <c r="C202" s="101" t="s">
        <v>433</v>
      </c>
      <c r="D202" s="101">
        <f>(96.311)*(10.764)</f>
        <v>1036.6916040000001</v>
      </c>
      <c r="E202" s="101">
        <f>(3.2*1.53+0.6*(2.85+2.95+2.37+1.46))*(10.764)</f>
        <v>114.89493600000003</v>
      </c>
      <c r="F202" s="101">
        <f>D202+E202</f>
        <v>1151.5865400000002</v>
      </c>
      <c r="G202" s="101">
        <v>0</v>
      </c>
      <c r="H202" s="101">
        <f>F202*(($H$147)+1)+(IF(G202&lt;101,G202,IF(G202&lt;201,G202/2,IF(G202&lt;=301,G202/3,G202/4))))</f>
        <v>1727.3798100000004</v>
      </c>
      <c r="I202" s="35"/>
      <c r="L202" s="107"/>
      <c r="M202" s="107"/>
      <c r="N202" s="35"/>
    </row>
    <row r="203" spans="1:20" s="100" customFormat="1" ht="15.75" customHeight="1" x14ac:dyDescent="0.25">
      <c r="A203" s="105">
        <f t="shared" si="12"/>
        <v>3</v>
      </c>
      <c r="B203" s="106"/>
      <c r="C203" s="101" t="s">
        <v>427</v>
      </c>
      <c r="D203" s="105" t="s">
        <v>446</v>
      </c>
      <c r="E203" s="108"/>
      <c r="F203" s="108"/>
      <c r="G203" s="108"/>
      <c r="H203" s="106"/>
      <c r="I203" s="35"/>
      <c r="L203" s="107"/>
      <c r="M203" s="107"/>
      <c r="N203" s="35"/>
    </row>
    <row r="204" spans="1:20" s="100" customFormat="1" ht="15.75" customHeight="1" x14ac:dyDescent="0.25">
      <c r="A204" s="105">
        <f t="shared" si="12"/>
        <v>4</v>
      </c>
      <c r="B204" s="106"/>
      <c r="C204" s="101" t="s">
        <v>432</v>
      </c>
      <c r="D204" s="101">
        <f>(65.247)*(10.764)</f>
        <v>702.3187079999999</v>
      </c>
      <c r="E204" s="101">
        <f>(3.2*1.23+0.6*(2.7+2.43+2.7))*(10.764)</f>
        <v>92.936375999999996</v>
      </c>
      <c r="F204" s="101">
        <f>D204+E204</f>
        <v>795.2550839999999</v>
      </c>
      <c r="G204" s="101">
        <v>0</v>
      </c>
      <c r="H204" s="101">
        <f>F204*(($H$147)+1)+(IF(G204&lt;101,G204,IF(G204&lt;201,G204/2,IF(G204&lt;=301,G204/3,G204/4))))</f>
        <v>1192.8826259999998</v>
      </c>
      <c r="I204" s="35"/>
      <c r="L204" s="107"/>
      <c r="M204" s="107"/>
      <c r="N204" s="35"/>
      <c r="T204" s="20"/>
    </row>
    <row r="205" spans="1:20" s="100" customFormat="1" ht="15.75" customHeight="1" x14ac:dyDescent="0.25">
      <c r="A205" s="105">
        <f t="shared" si="12"/>
        <v>5</v>
      </c>
      <c r="B205" s="106"/>
      <c r="C205" s="101" t="s">
        <v>432</v>
      </c>
      <c r="D205" s="101">
        <f>(64.89)*(10.764)</f>
        <v>698.47595999999999</v>
      </c>
      <c r="E205" s="101">
        <f>(3.2*1.23+0.6*(2.95+2.23+3.3))*(10.764)</f>
        <v>97.134336000000005</v>
      </c>
      <c r="F205" s="101">
        <f>D205+E205</f>
        <v>795.61029599999995</v>
      </c>
      <c r="G205" s="101">
        <v>0</v>
      </c>
      <c r="H205" s="101">
        <f>F205*(($H$147)+1)+(IF(G205&lt;101,G205,IF(G205&lt;201,G205/2,IF(G205&lt;=301,G205/3,G205/4))))</f>
        <v>1193.415444</v>
      </c>
      <c r="I205" s="35"/>
      <c r="L205" s="107"/>
      <c r="M205" s="107"/>
      <c r="N205" s="35"/>
    </row>
    <row r="206" spans="1:20" s="100" customFormat="1" ht="15.75" customHeight="1" x14ac:dyDescent="0.25">
      <c r="A206" s="105">
        <f t="shared" si="12"/>
        <v>6</v>
      </c>
      <c r="B206" s="106"/>
      <c r="C206" s="101" t="s">
        <v>432</v>
      </c>
      <c r="D206" s="101">
        <f>(65.255)*(10.764)</f>
        <v>702.40481999999986</v>
      </c>
      <c r="E206" s="101">
        <f>(3.2*1.23+0.6*(2.7+2.43+2.7))*(10.764)</f>
        <v>92.936375999999996</v>
      </c>
      <c r="F206" s="101">
        <f>D206+E206</f>
        <v>795.34119599999985</v>
      </c>
      <c r="G206" s="101">
        <v>0</v>
      </c>
      <c r="H206" s="101">
        <f>F206*(($H$147)+1)+(IF(G206&lt;101,G206,IF(G206&lt;201,G206/2,IF(G206&lt;=301,G206/3,G206/4))))</f>
        <v>1193.0117939999998</v>
      </c>
      <c r="I206" s="35"/>
      <c r="L206" s="107"/>
      <c r="M206" s="107"/>
      <c r="N206" s="35"/>
    </row>
    <row r="207" spans="1:20" s="100" customFormat="1" ht="15.75" customHeight="1" x14ac:dyDescent="0.25">
      <c r="A207" s="105">
        <f t="shared" si="12"/>
        <v>7</v>
      </c>
      <c r="B207" s="106"/>
      <c r="C207" s="101" t="s">
        <v>427</v>
      </c>
      <c r="D207" s="105" t="s">
        <v>446</v>
      </c>
      <c r="E207" s="108"/>
      <c r="F207" s="108"/>
      <c r="G207" s="108"/>
      <c r="H207" s="106"/>
      <c r="I207" s="35"/>
      <c r="L207" s="107"/>
      <c r="M207" s="107"/>
      <c r="N207" s="35"/>
      <c r="T207" s="20"/>
    </row>
    <row r="208" spans="1:20" s="100" customFormat="1" x14ac:dyDescent="0.25">
      <c r="A208" s="109" t="s">
        <v>447</v>
      </c>
      <c r="B208" s="110"/>
      <c r="C208" s="110"/>
      <c r="D208" s="110"/>
      <c r="E208" s="110"/>
      <c r="F208" s="110"/>
      <c r="G208" s="110"/>
      <c r="H208" s="111"/>
      <c r="J208" s="35"/>
    </row>
    <row r="209" spans="1:20" s="100" customFormat="1" ht="15.75" customHeight="1" x14ac:dyDescent="0.25">
      <c r="A209" s="105">
        <v>1</v>
      </c>
      <c r="B209" s="106"/>
      <c r="C209" s="101" t="s">
        <v>433</v>
      </c>
      <c r="D209" s="101">
        <f>(97.531)*(10.764)</f>
        <v>1049.823684</v>
      </c>
      <c r="E209" s="101">
        <f>(3.2*1.53+0.6*(2.85+2.95+2.37+1.46))*(10.764)</f>
        <v>114.89493600000003</v>
      </c>
      <c r="F209" s="101">
        <f>D209+E209</f>
        <v>1164.7186200000001</v>
      </c>
      <c r="G209" s="101">
        <v>0</v>
      </c>
      <c r="H209" s="101">
        <f>F209*(($H$147)+1)+(IF(G209&lt;101,G209,IF(G209&lt;201,G209/2,IF(G209&lt;=301,G209/3,G209/4))))</f>
        <v>1747.0779300000002</v>
      </c>
      <c r="I209" s="35"/>
      <c r="L209" s="107"/>
      <c r="M209" s="107"/>
      <c r="N209" s="35"/>
    </row>
    <row r="210" spans="1:20" s="100" customFormat="1" ht="15.75" customHeight="1" x14ac:dyDescent="0.25">
      <c r="A210" s="105">
        <f t="shared" ref="A210:A215" si="13">A209+1</f>
        <v>2</v>
      </c>
      <c r="B210" s="106"/>
      <c r="C210" s="101" t="s">
        <v>433</v>
      </c>
      <c r="D210" s="101">
        <f>(96.311)*(10.764)</f>
        <v>1036.6916040000001</v>
      </c>
      <c r="E210" s="101">
        <f>(3.2*1.53+0.6*(2.85+2.95+2.37+1.46))*(10.764)</f>
        <v>114.89493600000003</v>
      </c>
      <c r="F210" s="101">
        <f>D210+E210</f>
        <v>1151.5865400000002</v>
      </c>
      <c r="G210" s="101">
        <v>0</v>
      </c>
      <c r="H210" s="101">
        <f>F210*(($H$147)+1)+(IF(G210&lt;101,G210,IF(G210&lt;201,G210/2,IF(G210&lt;=301,G210/3,G210/4))))</f>
        <v>1727.3798100000004</v>
      </c>
      <c r="I210" s="35"/>
      <c r="L210" s="107"/>
      <c r="M210" s="107"/>
      <c r="N210" s="35"/>
    </row>
    <row r="211" spans="1:20" s="100" customFormat="1" ht="15.75" customHeight="1" x14ac:dyDescent="0.25">
      <c r="A211" s="105">
        <f t="shared" si="13"/>
        <v>3</v>
      </c>
      <c r="B211" s="106"/>
      <c r="C211" s="101" t="s">
        <v>427</v>
      </c>
      <c r="D211" s="105" t="s">
        <v>448</v>
      </c>
      <c r="E211" s="108"/>
      <c r="F211" s="108"/>
      <c r="G211" s="108"/>
      <c r="H211" s="106"/>
      <c r="I211" s="35"/>
      <c r="L211" s="107"/>
      <c r="M211" s="107"/>
      <c r="N211" s="35"/>
    </row>
    <row r="212" spans="1:20" s="100" customFormat="1" ht="15.75" customHeight="1" x14ac:dyDescent="0.25">
      <c r="A212" s="105">
        <f t="shared" si="13"/>
        <v>4</v>
      </c>
      <c r="B212" s="106"/>
      <c r="C212" s="101" t="s">
        <v>432</v>
      </c>
      <c r="D212" s="101">
        <f>(65.248)*(10.764)</f>
        <v>702.32947200000001</v>
      </c>
      <c r="E212" s="101">
        <f>(3.2*1.23+0.6*(2.7+2.43+2.7))*(10.764)</f>
        <v>92.936375999999996</v>
      </c>
      <c r="F212" s="101">
        <f>D212+E212</f>
        <v>795.26584800000001</v>
      </c>
      <c r="G212" s="101">
        <v>0</v>
      </c>
      <c r="H212" s="101">
        <f>F212*(($H$147)+1)+(IF(G212&lt;101,G212,IF(G212&lt;201,G212/2,IF(G212&lt;=301,G212/3,G212/4))))</f>
        <v>1192.898772</v>
      </c>
      <c r="I212" s="35"/>
      <c r="L212" s="107"/>
      <c r="M212" s="107"/>
      <c r="N212" s="35"/>
      <c r="T212" s="20"/>
    </row>
    <row r="213" spans="1:20" s="100" customFormat="1" ht="15.75" customHeight="1" x14ac:dyDescent="0.25">
      <c r="A213" s="105">
        <f t="shared" si="13"/>
        <v>5</v>
      </c>
      <c r="B213" s="106"/>
      <c r="C213" s="101" t="s">
        <v>432</v>
      </c>
      <c r="D213" s="101">
        <f>(64.89)*(10.764)</f>
        <v>698.47595999999999</v>
      </c>
      <c r="E213" s="101">
        <f>(3.2*1.23+0.6*(2.95+2.23+3.3))*(10.764)</f>
        <v>97.134336000000005</v>
      </c>
      <c r="F213" s="101">
        <f>D213+E213</f>
        <v>795.61029599999995</v>
      </c>
      <c r="G213" s="101">
        <v>0</v>
      </c>
      <c r="H213" s="101">
        <f>F213*(($H$147)+1)+(IF(G213&lt;101,G213,IF(G213&lt;201,G213/2,IF(G213&lt;=301,G213/3,G213/4))))</f>
        <v>1193.415444</v>
      </c>
      <c r="I213" s="35"/>
      <c r="L213" s="107"/>
      <c r="M213" s="107"/>
      <c r="N213" s="35"/>
    </row>
    <row r="214" spans="1:20" s="100" customFormat="1" ht="15.75" customHeight="1" x14ac:dyDescent="0.25">
      <c r="A214" s="105">
        <f t="shared" si="13"/>
        <v>6</v>
      </c>
      <c r="B214" s="106"/>
      <c r="C214" s="101" t="s">
        <v>432</v>
      </c>
      <c r="D214" s="101">
        <f>(65.255)*(10.764)</f>
        <v>702.40481999999986</v>
      </c>
      <c r="E214" s="101">
        <f>(3.2*1.23+0.6*(2.7+2.43+2.7))*(10.764)</f>
        <v>92.936375999999996</v>
      </c>
      <c r="F214" s="101">
        <f>D214+E214</f>
        <v>795.34119599999985</v>
      </c>
      <c r="G214" s="101">
        <v>0</v>
      </c>
      <c r="H214" s="101">
        <f>F214*(($H$147)+1)+(IF(G214&lt;101,G214,IF(G214&lt;201,G214/2,IF(G214&lt;=301,G214/3,G214/4))))</f>
        <v>1193.0117939999998</v>
      </c>
      <c r="I214" s="35"/>
      <c r="L214" s="107"/>
      <c r="M214" s="107"/>
      <c r="N214" s="35"/>
    </row>
    <row r="215" spans="1:20" s="100" customFormat="1" ht="15.75" customHeight="1" x14ac:dyDescent="0.25">
      <c r="A215" s="105">
        <f t="shared" si="13"/>
        <v>7</v>
      </c>
      <c r="B215" s="106"/>
      <c r="C215" s="101" t="s">
        <v>427</v>
      </c>
      <c r="D215" s="105" t="s">
        <v>448</v>
      </c>
      <c r="E215" s="108"/>
      <c r="F215" s="108"/>
      <c r="G215" s="108"/>
      <c r="H215" s="106"/>
      <c r="I215" s="35"/>
      <c r="L215" s="107"/>
      <c r="M215" s="107"/>
      <c r="N215" s="35"/>
      <c r="T215" s="20"/>
    </row>
    <row r="216" spans="1:20" s="100" customFormat="1" x14ac:dyDescent="0.25">
      <c r="A216" s="136" t="s">
        <v>449</v>
      </c>
      <c r="B216" s="137"/>
      <c r="C216" s="137"/>
      <c r="D216" s="137"/>
      <c r="E216" s="137"/>
      <c r="F216" s="137"/>
      <c r="G216" s="137"/>
      <c r="H216" s="138"/>
      <c r="J216" s="35"/>
      <c r="T216" s="34"/>
    </row>
    <row r="217" spans="1:20" s="100" customFormat="1" x14ac:dyDescent="0.25">
      <c r="A217" s="136" t="s">
        <v>424</v>
      </c>
      <c r="B217" s="137"/>
      <c r="C217" s="137"/>
      <c r="D217" s="137"/>
      <c r="E217" s="137"/>
      <c r="F217" s="137"/>
      <c r="G217" s="137"/>
      <c r="H217" s="138"/>
      <c r="J217" s="35"/>
    </row>
    <row r="218" spans="1:20" s="100" customFormat="1" x14ac:dyDescent="0.25">
      <c r="A218" s="136" t="s">
        <v>450</v>
      </c>
      <c r="B218" s="137"/>
      <c r="C218" s="137"/>
      <c r="D218" s="137"/>
      <c r="E218" s="137"/>
      <c r="F218" s="137"/>
      <c r="G218" s="137"/>
      <c r="H218" s="138"/>
      <c r="J218" s="35"/>
    </row>
    <row r="219" spans="1:20" s="100" customFormat="1" ht="32.25" customHeight="1" x14ac:dyDescent="0.25">
      <c r="A219" s="136" t="s">
        <v>451</v>
      </c>
      <c r="B219" s="137"/>
      <c r="C219" s="137"/>
      <c r="D219" s="137"/>
      <c r="E219" s="137"/>
      <c r="F219" s="137"/>
      <c r="G219" s="137"/>
      <c r="H219" s="138"/>
      <c r="J219" s="35"/>
    </row>
    <row r="220" spans="1:20" s="100" customFormat="1" x14ac:dyDescent="0.25">
      <c r="A220" s="122" t="s">
        <v>452</v>
      </c>
      <c r="B220" s="122"/>
      <c r="C220" s="122"/>
      <c r="D220" s="122"/>
      <c r="E220" s="122"/>
      <c r="F220" s="122"/>
      <c r="G220" s="122"/>
      <c r="H220" s="122"/>
      <c r="I220" s="35"/>
      <c r="L220" s="107"/>
      <c r="M220" s="107"/>
    </row>
    <row r="221" spans="1:20" s="100" customFormat="1" x14ac:dyDescent="0.25">
      <c r="A221" s="126">
        <v>1</v>
      </c>
      <c r="B221" s="126"/>
      <c r="C221" s="101" t="s">
        <v>427</v>
      </c>
      <c r="D221" s="127" t="s">
        <v>431</v>
      </c>
      <c r="E221" s="128"/>
      <c r="F221" s="128"/>
      <c r="G221" s="128"/>
      <c r="H221" s="129"/>
      <c r="I221" s="35"/>
      <c r="N221" s="35"/>
    </row>
    <row r="222" spans="1:20" s="100" customFormat="1" x14ac:dyDescent="0.25">
      <c r="A222" s="126">
        <f t="shared" ref="A222:A227" si="14">A221+1</f>
        <v>2</v>
      </c>
      <c r="B222" s="126"/>
      <c r="C222" s="101" t="s">
        <v>427</v>
      </c>
      <c r="D222" s="130"/>
      <c r="E222" s="131"/>
      <c r="F222" s="131"/>
      <c r="G222" s="131"/>
      <c r="H222" s="132"/>
      <c r="I222" s="35"/>
      <c r="N222" s="35"/>
    </row>
    <row r="223" spans="1:20" s="100" customFormat="1" x14ac:dyDescent="0.25">
      <c r="A223" s="126">
        <f t="shared" si="14"/>
        <v>3</v>
      </c>
      <c r="B223" s="126"/>
      <c r="C223" s="101" t="s">
        <v>427</v>
      </c>
      <c r="D223" s="133"/>
      <c r="E223" s="134"/>
      <c r="F223" s="134"/>
      <c r="G223" s="134"/>
      <c r="H223" s="135"/>
      <c r="I223" s="35"/>
      <c r="N223" s="35"/>
    </row>
    <row r="224" spans="1:20" s="100" customFormat="1" x14ac:dyDescent="0.25">
      <c r="A224" s="126">
        <f t="shared" si="14"/>
        <v>4</v>
      </c>
      <c r="B224" s="126"/>
      <c r="C224" s="101" t="s">
        <v>432</v>
      </c>
      <c r="D224" s="101">
        <f>(65.292)*(10.764)</f>
        <v>702.803088</v>
      </c>
      <c r="E224" s="101">
        <f>(3.2*1.23+0.6*(2.7+2.43+2.55))*(10.764)</f>
        <v>91.967616000000007</v>
      </c>
      <c r="F224" s="101">
        <f>D224+E224</f>
        <v>794.77070400000002</v>
      </c>
      <c r="G224" s="101">
        <v>0</v>
      </c>
      <c r="H224" s="101">
        <f>F224*(($H$147)+1)+(IF(G224&lt;101,G224,IF(G224&lt;201,G224/2,IF(G224&lt;=301,G224/3,G224/4))))</f>
        <v>1192.156056</v>
      </c>
      <c r="I224" s="35"/>
      <c r="N224" s="35"/>
    </row>
    <row r="225" spans="1:20" s="100" customFormat="1" x14ac:dyDescent="0.25">
      <c r="A225" s="126">
        <f t="shared" si="14"/>
        <v>5</v>
      </c>
      <c r="B225" s="126"/>
      <c r="C225" s="101" t="s">
        <v>432</v>
      </c>
      <c r="D225" s="101">
        <f>(64.963)*(10.764)</f>
        <v>699.26173199999994</v>
      </c>
      <c r="E225" s="101">
        <f>(3.2*1.23+0.6*(2.95+2.23+3))*(10.764)</f>
        <v>95.196815999999984</v>
      </c>
      <c r="F225" s="101">
        <f>D225+E225</f>
        <v>794.45854799999995</v>
      </c>
      <c r="G225" s="101">
        <v>0</v>
      </c>
      <c r="H225" s="101">
        <f>F225*(($H$147)+1)+(IF(G225&lt;101,G225,IF(G225&lt;201,G225/2,IF(G225&lt;=301,G225/3,G225/4))))</f>
        <v>1191.6878219999999</v>
      </c>
      <c r="I225" s="35"/>
      <c r="N225" s="35"/>
    </row>
    <row r="226" spans="1:20" s="100" customFormat="1" x14ac:dyDescent="0.25">
      <c r="A226" s="126">
        <f t="shared" si="14"/>
        <v>6</v>
      </c>
      <c r="B226" s="126"/>
      <c r="C226" s="101" t="s">
        <v>433</v>
      </c>
      <c r="D226" s="101">
        <f>(84.444)*(10.764)</f>
        <v>908.95521599999995</v>
      </c>
      <c r="E226" s="101">
        <f>(3.2*1.33+0.6*(6.18+2.85)+2.45*1)*(10.764)</f>
        <v>130.50273599999997</v>
      </c>
      <c r="F226" s="101">
        <f>D226+E226</f>
        <v>1039.457952</v>
      </c>
      <c r="G226" s="101">
        <v>0</v>
      </c>
      <c r="H226" s="101">
        <f>F226*(($H$147)+1)+(IF(G226&lt;101,G226,IF(G226&lt;201,G226/2,IF(G226&lt;=301,G226/3,G226/4))))</f>
        <v>1559.1869280000001</v>
      </c>
      <c r="I226" s="35"/>
      <c r="N226" s="35"/>
    </row>
    <row r="227" spans="1:20" s="100" customFormat="1" x14ac:dyDescent="0.25">
      <c r="A227" s="126">
        <f t="shared" si="14"/>
        <v>7</v>
      </c>
      <c r="B227" s="126"/>
      <c r="C227" s="101" t="s">
        <v>427</v>
      </c>
      <c r="D227" s="105" t="s">
        <v>431</v>
      </c>
      <c r="E227" s="108"/>
      <c r="F227" s="108"/>
      <c r="G227" s="108"/>
      <c r="H227" s="106"/>
      <c r="I227" s="35"/>
      <c r="N227" s="35"/>
    </row>
    <row r="228" spans="1:20" s="100" customFormat="1" x14ac:dyDescent="0.25">
      <c r="A228" s="109" t="s">
        <v>453</v>
      </c>
      <c r="B228" s="110"/>
      <c r="C228" s="110"/>
      <c r="D228" s="110"/>
      <c r="E228" s="110"/>
      <c r="F228" s="110"/>
      <c r="G228" s="110"/>
      <c r="H228" s="111"/>
      <c r="J228" s="35"/>
    </row>
    <row r="229" spans="1:20" s="100" customFormat="1" ht="15.75" customHeight="1" x14ac:dyDescent="0.25">
      <c r="A229" s="112">
        <v>1</v>
      </c>
      <c r="B229" s="113"/>
      <c r="C229" s="104" t="s">
        <v>427</v>
      </c>
      <c r="D229" s="116" t="s">
        <v>431</v>
      </c>
      <c r="E229" s="117"/>
      <c r="F229" s="117"/>
      <c r="G229" s="117"/>
      <c r="H229" s="118"/>
      <c r="I229" s="35"/>
      <c r="L229" s="107"/>
      <c r="M229" s="107"/>
      <c r="N229" s="35"/>
    </row>
    <row r="230" spans="1:20" s="100" customFormat="1" ht="15.75" customHeight="1" x14ac:dyDescent="0.25">
      <c r="A230" s="112">
        <f t="shared" ref="A230:A235" si="15">A229+1</f>
        <v>2</v>
      </c>
      <c r="B230" s="113"/>
      <c r="C230" s="104" t="s">
        <v>427</v>
      </c>
      <c r="D230" s="123"/>
      <c r="E230" s="124"/>
      <c r="F230" s="124"/>
      <c r="G230" s="124"/>
      <c r="H230" s="125"/>
      <c r="I230" s="35"/>
      <c r="L230" s="107"/>
      <c r="M230" s="107"/>
      <c r="N230" s="35"/>
    </row>
    <row r="231" spans="1:20" s="100" customFormat="1" ht="15.75" customHeight="1" x14ac:dyDescent="0.25">
      <c r="A231" s="112">
        <f t="shared" si="15"/>
        <v>3</v>
      </c>
      <c r="B231" s="113"/>
      <c r="C231" s="104" t="s">
        <v>427</v>
      </c>
      <c r="D231" s="119"/>
      <c r="E231" s="120"/>
      <c r="F231" s="120"/>
      <c r="G231" s="120"/>
      <c r="H231" s="121"/>
      <c r="I231" s="35"/>
      <c r="L231" s="107"/>
      <c r="M231" s="107"/>
      <c r="N231" s="35"/>
    </row>
    <row r="232" spans="1:20" s="100" customFormat="1" ht="15.75" customHeight="1" x14ac:dyDescent="0.25">
      <c r="A232" s="112">
        <f t="shared" si="15"/>
        <v>4</v>
      </c>
      <c r="B232" s="113"/>
      <c r="C232" s="104" t="s">
        <v>432</v>
      </c>
      <c r="D232" s="104">
        <f>(65.292)*(10.764)</f>
        <v>702.803088</v>
      </c>
      <c r="E232" s="104">
        <f>(3.2*1.23+0.6*(2.7+2.43+2.55))*(10.764)</f>
        <v>91.967616000000007</v>
      </c>
      <c r="F232" s="104">
        <f>D232+E232</f>
        <v>794.77070400000002</v>
      </c>
      <c r="G232" s="104">
        <v>0</v>
      </c>
      <c r="H232" s="104">
        <f>F232*(($H$147)+1)+(IF(G232&lt;101,G232,IF(G232&lt;201,G232/2,IF(G232&lt;=301,G232/3,G232/4))))</f>
        <v>1192.156056</v>
      </c>
      <c r="I232" s="35"/>
      <c r="L232" s="107"/>
      <c r="M232" s="107"/>
      <c r="N232" s="35"/>
      <c r="T232" s="20"/>
    </row>
    <row r="233" spans="1:20" s="100" customFormat="1" ht="15.75" customHeight="1" x14ac:dyDescent="0.25">
      <c r="A233" s="112">
        <f t="shared" si="15"/>
        <v>5</v>
      </c>
      <c r="B233" s="113"/>
      <c r="C233" s="104" t="s">
        <v>432</v>
      </c>
      <c r="D233" s="104">
        <f>(64.963)*(10.764)</f>
        <v>699.26173199999994</v>
      </c>
      <c r="E233" s="104">
        <f>(3.2*1.23+0.6*(2.95+2.23+3))*(10.764)</f>
        <v>95.196815999999984</v>
      </c>
      <c r="F233" s="104">
        <f>D233+E233</f>
        <v>794.45854799999995</v>
      </c>
      <c r="G233" s="104">
        <v>0</v>
      </c>
      <c r="H233" s="104">
        <f>F233*(($H$147)+1)+(IF(G233&lt;101,G233,IF(G233&lt;201,G233/2,IF(G233&lt;=301,G233/3,G233/4))))</f>
        <v>1191.6878219999999</v>
      </c>
      <c r="I233" s="35"/>
      <c r="L233" s="107"/>
      <c r="M233" s="107"/>
      <c r="N233" s="35"/>
    </row>
    <row r="234" spans="1:20" s="100" customFormat="1" ht="15.75" customHeight="1" x14ac:dyDescent="0.25">
      <c r="A234" s="112">
        <f t="shared" si="15"/>
        <v>6</v>
      </c>
      <c r="B234" s="113"/>
      <c r="C234" s="104" t="s">
        <v>433</v>
      </c>
      <c r="D234" s="104">
        <f>(84.444)*(10.764)</f>
        <v>908.95521599999995</v>
      </c>
      <c r="E234" s="104">
        <f>(3.2*1.33+0.6*(6.18+2.85)+2.45*1)*(10.764)</f>
        <v>130.50273599999997</v>
      </c>
      <c r="F234" s="104">
        <f>D234+E234</f>
        <v>1039.457952</v>
      </c>
      <c r="G234" s="104">
        <v>0</v>
      </c>
      <c r="H234" s="104">
        <f>F234*(($H$147)+1)+(IF(G234&lt;101,G234,IF(G234&lt;201,G234/2,IF(G234&lt;=301,G234/3,G234/4))))</f>
        <v>1559.1869280000001</v>
      </c>
      <c r="I234" s="35"/>
      <c r="L234" s="107"/>
      <c r="M234" s="107"/>
      <c r="N234" s="35"/>
    </row>
    <row r="235" spans="1:20" s="100" customFormat="1" ht="15.75" customHeight="1" x14ac:dyDescent="0.25">
      <c r="A235" s="112">
        <f t="shared" si="15"/>
        <v>7</v>
      </c>
      <c r="B235" s="113"/>
      <c r="C235" s="104" t="s">
        <v>427</v>
      </c>
      <c r="D235" s="112" t="s">
        <v>431</v>
      </c>
      <c r="E235" s="114"/>
      <c r="F235" s="114"/>
      <c r="G235" s="114"/>
      <c r="H235" s="113"/>
      <c r="I235" s="35"/>
      <c r="L235" s="107"/>
      <c r="M235" s="107"/>
      <c r="N235" s="35"/>
      <c r="T235" s="20"/>
    </row>
    <row r="236" spans="1:20" s="100" customFormat="1" x14ac:dyDescent="0.25">
      <c r="A236" s="109" t="s">
        <v>454</v>
      </c>
      <c r="B236" s="110"/>
      <c r="C236" s="110"/>
      <c r="D236" s="110"/>
      <c r="E236" s="110"/>
      <c r="F236" s="110"/>
      <c r="G236" s="110"/>
      <c r="H236" s="111"/>
      <c r="J236" s="35"/>
    </row>
    <row r="237" spans="1:20" s="100" customFormat="1" ht="15.75" customHeight="1" x14ac:dyDescent="0.25">
      <c r="A237" s="112">
        <v>1</v>
      </c>
      <c r="B237" s="113"/>
      <c r="C237" s="104" t="s">
        <v>427</v>
      </c>
      <c r="D237" s="116" t="s">
        <v>455</v>
      </c>
      <c r="E237" s="117"/>
      <c r="F237" s="117"/>
      <c r="G237" s="117"/>
      <c r="H237" s="118"/>
      <c r="I237" s="35"/>
      <c r="L237" s="107"/>
      <c r="M237" s="107"/>
      <c r="N237" s="35"/>
    </row>
    <row r="238" spans="1:20" s="100" customFormat="1" ht="15.75" customHeight="1" x14ac:dyDescent="0.25">
      <c r="A238" s="112">
        <f t="shared" ref="A238:A243" si="16">A237+1</f>
        <v>2</v>
      </c>
      <c r="B238" s="113"/>
      <c r="C238" s="104" t="s">
        <v>427</v>
      </c>
      <c r="D238" s="116" t="s">
        <v>456</v>
      </c>
      <c r="E238" s="117"/>
      <c r="F238" s="117"/>
      <c r="G238" s="117"/>
      <c r="H238" s="118"/>
      <c r="I238" s="35"/>
      <c r="L238" s="107"/>
      <c r="M238" s="107"/>
      <c r="N238" s="35"/>
    </row>
    <row r="239" spans="1:20" s="100" customFormat="1" ht="15.75" customHeight="1" x14ac:dyDescent="0.25">
      <c r="A239" s="112">
        <f t="shared" si="16"/>
        <v>3</v>
      </c>
      <c r="B239" s="113"/>
      <c r="C239" s="104" t="s">
        <v>427</v>
      </c>
      <c r="D239" s="116" t="s">
        <v>455</v>
      </c>
      <c r="E239" s="117"/>
      <c r="F239" s="117"/>
      <c r="G239" s="117"/>
      <c r="H239" s="118"/>
      <c r="I239" s="35"/>
      <c r="L239" s="107"/>
      <c r="M239" s="107"/>
      <c r="N239" s="35"/>
    </row>
    <row r="240" spans="1:20" s="100" customFormat="1" ht="15.75" customHeight="1" x14ac:dyDescent="0.25">
      <c r="A240" s="112">
        <f t="shared" si="16"/>
        <v>4</v>
      </c>
      <c r="B240" s="113"/>
      <c r="C240" s="104" t="s">
        <v>432</v>
      </c>
      <c r="D240" s="104">
        <f>(65.29)*(10.764)</f>
        <v>702.78156000000001</v>
      </c>
      <c r="E240" s="104">
        <f>(3.2*1.23+0.6*(2.7+2.43+2.55))*(10.764)</f>
        <v>91.967616000000007</v>
      </c>
      <c r="F240" s="104">
        <f>D240+E240</f>
        <v>794.74917600000003</v>
      </c>
      <c r="G240" s="104">
        <v>0</v>
      </c>
      <c r="H240" s="104">
        <f>F240*(($H$147)+1)+(IF(G240&lt;101,G240,IF(G240&lt;201,G240/2,IF(G240&lt;=301,G240/3,G240/4))))</f>
        <v>1192.1237639999999</v>
      </c>
      <c r="I240" s="35"/>
      <c r="L240" s="107"/>
      <c r="M240" s="107"/>
      <c r="N240" s="35"/>
      <c r="T240" s="20"/>
    </row>
    <row r="241" spans="1:20" s="100" customFormat="1" ht="15.75" customHeight="1" x14ac:dyDescent="0.25">
      <c r="A241" s="112">
        <f t="shared" si="16"/>
        <v>5</v>
      </c>
      <c r="B241" s="113"/>
      <c r="C241" s="104" t="s">
        <v>432</v>
      </c>
      <c r="D241" s="104">
        <f>(64.96)*(10.764)</f>
        <v>699.22943999999984</v>
      </c>
      <c r="E241" s="104">
        <f>(3.2*1.23+0.6*(2.95+2.23+3.3))*(10.764)</f>
        <v>97.134336000000005</v>
      </c>
      <c r="F241" s="104">
        <f>D241+E241</f>
        <v>796.3637759999998</v>
      </c>
      <c r="G241" s="104">
        <v>0</v>
      </c>
      <c r="H241" s="104">
        <f>F241*(($H$147)+1)+(IF(G241&lt;101,G241,IF(G241&lt;201,G241/2,IF(G241&lt;=301,G241/3,G241/4))))</f>
        <v>1194.5456639999998</v>
      </c>
      <c r="I241" s="35"/>
      <c r="L241" s="107"/>
      <c r="M241" s="107"/>
      <c r="N241" s="35"/>
    </row>
    <row r="242" spans="1:20" s="100" customFormat="1" ht="15.75" customHeight="1" x14ac:dyDescent="0.25">
      <c r="A242" s="112">
        <f t="shared" si="16"/>
        <v>6</v>
      </c>
      <c r="B242" s="113"/>
      <c r="C242" s="104" t="s">
        <v>427</v>
      </c>
      <c r="D242" s="116" t="s">
        <v>455</v>
      </c>
      <c r="E242" s="117"/>
      <c r="F242" s="117"/>
      <c r="G242" s="117"/>
      <c r="H242" s="118"/>
      <c r="I242" s="35"/>
      <c r="L242" s="107"/>
      <c r="M242" s="107"/>
      <c r="N242" s="35"/>
    </row>
    <row r="243" spans="1:20" s="100" customFormat="1" ht="15.75" customHeight="1" x14ac:dyDescent="0.25">
      <c r="A243" s="112">
        <f t="shared" si="16"/>
        <v>7</v>
      </c>
      <c r="B243" s="113"/>
      <c r="C243" s="104" t="s">
        <v>427</v>
      </c>
      <c r="D243" s="119"/>
      <c r="E243" s="120"/>
      <c r="F243" s="120"/>
      <c r="G243" s="120"/>
      <c r="H243" s="121"/>
      <c r="I243" s="35"/>
      <c r="L243" s="107"/>
      <c r="M243" s="107"/>
      <c r="N243" s="35"/>
      <c r="T243" s="20"/>
    </row>
    <row r="244" spans="1:20" s="100" customFormat="1" x14ac:dyDescent="0.25">
      <c r="A244" s="109" t="s">
        <v>457</v>
      </c>
      <c r="B244" s="110"/>
      <c r="C244" s="110"/>
      <c r="D244" s="110"/>
      <c r="E244" s="110"/>
      <c r="F244" s="110"/>
      <c r="G244" s="110"/>
      <c r="H244" s="111"/>
      <c r="J244" s="35"/>
    </row>
    <row r="245" spans="1:20" s="100" customFormat="1" x14ac:dyDescent="0.25">
      <c r="A245" s="122" t="s">
        <v>458</v>
      </c>
      <c r="B245" s="122"/>
      <c r="C245" s="122"/>
      <c r="D245" s="122"/>
      <c r="E245" s="122"/>
      <c r="F245" s="122"/>
      <c r="G245" s="122"/>
      <c r="H245" s="122"/>
      <c r="I245" s="35"/>
      <c r="L245" s="107"/>
      <c r="M245" s="107"/>
    </row>
    <row r="246" spans="1:20" s="100" customFormat="1" x14ac:dyDescent="0.25">
      <c r="A246" s="115">
        <v>1</v>
      </c>
      <c r="B246" s="115"/>
      <c r="C246" s="104" t="s">
        <v>433</v>
      </c>
      <c r="D246" s="104">
        <f>(96.749)*(10.764)</f>
        <v>1041.4062359999998</v>
      </c>
      <c r="E246" s="104">
        <f>(3.2*1.53+0.6*(2.85+2.95+1.46))*(10.764)</f>
        <v>99.588527999999997</v>
      </c>
      <c r="F246" s="104">
        <f t="shared" ref="F246:F252" si="17">D246+E246</f>
        <v>1140.9947639999998</v>
      </c>
      <c r="G246" s="104">
        <v>0</v>
      </c>
      <c r="H246" s="104">
        <f t="shared" ref="H246:H252" si="18">F246*(($H$147)+1)+(IF(G246&lt;101,G246,IF(G246&lt;201,G246/2,IF(G246&lt;=301,G246/3,G246/4))))</f>
        <v>1711.4921459999996</v>
      </c>
      <c r="I246" s="35"/>
      <c r="N246" s="35"/>
    </row>
    <row r="247" spans="1:20" s="100" customFormat="1" x14ac:dyDescent="0.25">
      <c r="A247" s="115">
        <f t="shared" ref="A247:A252" si="19">A246+1</f>
        <v>2</v>
      </c>
      <c r="B247" s="115"/>
      <c r="C247" s="104" t="s">
        <v>433</v>
      </c>
      <c r="D247" s="104">
        <f>(96.31)*(10.764)</f>
        <v>1036.68084</v>
      </c>
      <c r="E247" s="104">
        <f>(3.2*1.53+0.6*(2.85+2.95+1.46))*(10.764)</f>
        <v>99.588527999999997</v>
      </c>
      <c r="F247" s="104">
        <f t="shared" si="17"/>
        <v>1136.269368</v>
      </c>
      <c r="G247" s="104">
        <v>0</v>
      </c>
      <c r="H247" s="104">
        <f t="shared" si="18"/>
        <v>1704.4040519999999</v>
      </c>
      <c r="I247" s="35"/>
      <c r="N247" s="35"/>
    </row>
    <row r="248" spans="1:20" s="100" customFormat="1" x14ac:dyDescent="0.25">
      <c r="A248" s="115">
        <f t="shared" si="19"/>
        <v>3</v>
      </c>
      <c r="B248" s="115"/>
      <c r="C248" s="104" t="s">
        <v>432</v>
      </c>
      <c r="D248" s="104">
        <f>(64.755)*(10.764)</f>
        <v>697.02281999999991</v>
      </c>
      <c r="E248" s="104">
        <f>(3.2*1.23+0.6*(2.55+1.55+2.75))*(10.764)</f>
        <v>86.607143999999991</v>
      </c>
      <c r="F248" s="104">
        <f t="shared" si="17"/>
        <v>783.62996399999986</v>
      </c>
      <c r="G248" s="104">
        <v>0</v>
      </c>
      <c r="H248" s="104">
        <f t="shared" si="18"/>
        <v>1175.4449459999998</v>
      </c>
      <c r="I248" s="35"/>
      <c r="N248" s="35"/>
    </row>
    <row r="249" spans="1:20" s="100" customFormat="1" x14ac:dyDescent="0.25">
      <c r="A249" s="115">
        <f t="shared" si="19"/>
        <v>4</v>
      </c>
      <c r="B249" s="115"/>
      <c r="C249" s="104" t="s">
        <v>432</v>
      </c>
      <c r="D249" s="104">
        <f>(64.812)*(10.764)</f>
        <v>697.63636799999995</v>
      </c>
      <c r="E249" s="104">
        <f>(3.2*1.23+0.6*(2.7+2.43+2.7))*(10.764)</f>
        <v>92.936375999999996</v>
      </c>
      <c r="F249" s="104">
        <f t="shared" si="17"/>
        <v>790.57274399999994</v>
      </c>
      <c r="G249" s="104">
        <v>0</v>
      </c>
      <c r="H249" s="104">
        <f t="shared" si="18"/>
        <v>1185.8591159999999</v>
      </c>
      <c r="I249" s="35"/>
      <c r="N249" s="35"/>
    </row>
    <row r="250" spans="1:20" s="100" customFormat="1" x14ac:dyDescent="0.25">
      <c r="A250" s="115">
        <f t="shared" si="19"/>
        <v>5</v>
      </c>
      <c r="B250" s="115"/>
      <c r="C250" s="104" t="s">
        <v>432</v>
      </c>
      <c r="D250" s="104">
        <f>(64.483)*(10.764)</f>
        <v>694.095012</v>
      </c>
      <c r="E250" s="104">
        <f>(3.2*1.23+0.6*(2.95+2.23+3.3))*(10.764)</f>
        <v>97.134336000000005</v>
      </c>
      <c r="F250" s="104">
        <f t="shared" si="17"/>
        <v>791.22934799999996</v>
      </c>
      <c r="G250" s="104">
        <v>0</v>
      </c>
      <c r="H250" s="104">
        <f t="shared" si="18"/>
        <v>1186.844022</v>
      </c>
      <c r="I250" s="35"/>
      <c r="N250" s="35"/>
    </row>
    <row r="251" spans="1:20" s="100" customFormat="1" x14ac:dyDescent="0.25">
      <c r="A251" s="115">
        <f t="shared" si="19"/>
        <v>6</v>
      </c>
      <c r="B251" s="115"/>
      <c r="C251" s="104" t="s">
        <v>433</v>
      </c>
      <c r="D251" s="104">
        <f>(84.444)*(10.764)</f>
        <v>908.95521599999995</v>
      </c>
      <c r="E251" s="104">
        <f>(3.2*1.33+0.6*(2.7+2.43+2.7))*(10.764)</f>
        <v>96.380855999999994</v>
      </c>
      <c r="F251" s="104">
        <f t="shared" si="17"/>
        <v>1005.3360719999999</v>
      </c>
      <c r="G251" s="104">
        <v>0</v>
      </c>
      <c r="H251" s="104">
        <f t="shared" si="18"/>
        <v>1508.0041079999999</v>
      </c>
      <c r="I251" s="35"/>
      <c r="N251" s="35"/>
    </row>
    <row r="252" spans="1:20" s="100" customFormat="1" x14ac:dyDescent="0.25">
      <c r="A252" s="115">
        <f t="shared" si="19"/>
        <v>7</v>
      </c>
      <c r="B252" s="115"/>
      <c r="C252" s="104" t="s">
        <v>433</v>
      </c>
      <c r="D252" s="104">
        <f>(84.39)*(10.764)</f>
        <v>908.3739599999999</v>
      </c>
      <c r="E252" s="104">
        <f>(3.2*1.33+0.6*(2.7+2.43+2.7))*(10.764)</f>
        <v>96.380855999999994</v>
      </c>
      <c r="F252" s="104">
        <f t="shared" si="17"/>
        <v>1004.7548159999999</v>
      </c>
      <c r="G252" s="104">
        <v>0</v>
      </c>
      <c r="H252" s="104">
        <f t="shared" si="18"/>
        <v>1507.132224</v>
      </c>
      <c r="I252" s="35"/>
      <c r="N252" s="35"/>
    </row>
    <row r="253" spans="1:20" s="100" customFormat="1" x14ac:dyDescent="0.25">
      <c r="A253" s="122" t="s">
        <v>459</v>
      </c>
      <c r="B253" s="122"/>
      <c r="C253" s="122"/>
      <c r="D253" s="122"/>
      <c r="E253" s="122"/>
      <c r="F253" s="122"/>
      <c r="G253" s="122"/>
      <c r="H253" s="122"/>
      <c r="I253" s="35"/>
      <c r="L253" s="107"/>
      <c r="M253" s="107"/>
    </row>
    <row r="254" spans="1:20" s="100" customFormat="1" x14ac:dyDescent="0.25">
      <c r="A254" s="115">
        <v>1</v>
      </c>
      <c r="B254" s="115"/>
      <c r="C254" s="104" t="s">
        <v>433</v>
      </c>
      <c r="D254" s="104">
        <f>(96.749)*(10.764)</f>
        <v>1041.4062359999998</v>
      </c>
      <c r="E254" s="104">
        <f>(3.2*1.53+0.6*(2.85+2.95+1.46))*(10.764)</f>
        <v>99.588527999999997</v>
      </c>
      <c r="F254" s="104">
        <f>D254+E254</f>
        <v>1140.9947639999998</v>
      </c>
      <c r="G254" s="104">
        <v>0</v>
      </c>
      <c r="H254" s="104">
        <f>F254*(($H$147)+1)+(IF(G254&lt;101,G254,IF(G254&lt;201,G254/2,IF(G254&lt;=301,G254/3,G254/4))))</f>
        <v>1711.4921459999996</v>
      </c>
      <c r="I254" s="35"/>
      <c r="N254" s="35"/>
    </row>
    <row r="255" spans="1:20" s="100" customFormat="1" x14ac:dyDescent="0.25">
      <c r="A255" s="115">
        <f t="shared" ref="A255:A260" si="20">A254+1</f>
        <v>2</v>
      </c>
      <c r="B255" s="115"/>
      <c r="C255" s="104" t="s">
        <v>433</v>
      </c>
      <c r="D255" s="104">
        <f>(96.31)*(10.764)</f>
        <v>1036.68084</v>
      </c>
      <c r="E255" s="104">
        <f>(3.2*1.53+0.6*(2.85+2.95+1.46))*(10.764)</f>
        <v>99.588527999999997</v>
      </c>
      <c r="F255" s="104">
        <f>D255+E255</f>
        <v>1136.269368</v>
      </c>
      <c r="G255" s="104">
        <v>0</v>
      </c>
      <c r="H255" s="104">
        <f>F255*(($H$147)+1)+(IF(G255&lt;101,G255,IF(G255&lt;201,G255/2,IF(G255&lt;=301,G255/3,G255/4))))</f>
        <v>1704.4040519999999</v>
      </c>
      <c r="I255" s="35"/>
      <c r="N255" s="35"/>
    </row>
    <row r="256" spans="1:20" s="100" customFormat="1" x14ac:dyDescent="0.25">
      <c r="A256" s="115">
        <f t="shared" si="20"/>
        <v>3</v>
      </c>
      <c r="B256" s="115"/>
      <c r="C256" s="104" t="s">
        <v>432</v>
      </c>
      <c r="D256" s="104">
        <f>(64.755)*(10.764)</f>
        <v>697.02281999999991</v>
      </c>
      <c r="E256" s="104">
        <f>(3.2*1.23+0.6*(2.55+1.55+2.75))*(10.764)</f>
        <v>86.607143999999991</v>
      </c>
      <c r="F256" s="104">
        <f>D256+E256</f>
        <v>783.62996399999986</v>
      </c>
      <c r="G256" s="104">
        <v>0</v>
      </c>
      <c r="H256" s="104">
        <f>F256*(($H$147)+1)+(IF(G256&lt;101,G256,IF(G256&lt;201,G256/2,IF(G256&lt;=301,G256/3,G256/4))))</f>
        <v>1175.4449459999998</v>
      </c>
      <c r="I256" s="35"/>
      <c r="N256" s="35"/>
    </row>
    <row r="257" spans="1:14" s="100" customFormat="1" x14ac:dyDescent="0.25">
      <c r="A257" s="115">
        <f t="shared" si="20"/>
        <v>4</v>
      </c>
      <c r="B257" s="115"/>
      <c r="C257" s="104" t="s">
        <v>427</v>
      </c>
      <c r="D257" s="112" t="s">
        <v>442</v>
      </c>
      <c r="E257" s="114"/>
      <c r="F257" s="114"/>
      <c r="G257" s="114"/>
      <c r="H257" s="113"/>
      <c r="I257" s="35"/>
      <c r="N257" s="35"/>
    </row>
    <row r="258" spans="1:14" s="100" customFormat="1" x14ac:dyDescent="0.25">
      <c r="A258" s="115">
        <f t="shared" si="20"/>
        <v>5</v>
      </c>
      <c r="B258" s="115"/>
      <c r="C258" s="104" t="s">
        <v>432</v>
      </c>
      <c r="D258" s="104">
        <f>(64.483)*(10.764)</f>
        <v>694.095012</v>
      </c>
      <c r="E258" s="104">
        <f>(3.2*1.23+0.6*(2.95+2.23+3.3))*(10.764)</f>
        <v>97.134336000000005</v>
      </c>
      <c r="F258" s="104">
        <f>D258+E258</f>
        <v>791.22934799999996</v>
      </c>
      <c r="G258" s="104">
        <v>0</v>
      </c>
      <c r="H258" s="104">
        <f>F258*(($H$147)+1)+(IF(G258&lt;101,G258,IF(G258&lt;201,G258/2,IF(G258&lt;=301,G258/3,G258/4))))</f>
        <v>1186.844022</v>
      </c>
      <c r="I258" s="35"/>
      <c r="N258" s="35"/>
    </row>
    <row r="259" spans="1:14" s="100" customFormat="1" x14ac:dyDescent="0.25">
      <c r="A259" s="115">
        <f t="shared" si="20"/>
        <v>6</v>
      </c>
      <c r="B259" s="115"/>
      <c r="C259" s="104" t="s">
        <v>433</v>
      </c>
      <c r="D259" s="104">
        <f>(84.444)*(10.764)</f>
        <v>908.95521599999995</v>
      </c>
      <c r="E259" s="104">
        <f>(3.2*1.33+0.6*(2.7+2.43+2.7))*(10.764)</f>
        <v>96.380855999999994</v>
      </c>
      <c r="F259" s="104">
        <f>D259+E259</f>
        <v>1005.3360719999999</v>
      </c>
      <c r="G259" s="104">
        <v>0</v>
      </c>
      <c r="H259" s="104">
        <f>F259*(($H$147)+1)+(IF(G259&lt;101,G259,IF(G259&lt;201,G259/2,IF(G259&lt;=301,G259/3,G259/4))))</f>
        <v>1508.0041079999999</v>
      </c>
      <c r="I259" s="35"/>
      <c r="N259" s="35"/>
    </row>
    <row r="260" spans="1:14" s="100" customFormat="1" x14ac:dyDescent="0.25">
      <c r="A260" s="115">
        <f t="shared" si="20"/>
        <v>7</v>
      </c>
      <c r="B260" s="115"/>
      <c r="C260" s="104" t="s">
        <v>433</v>
      </c>
      <c r="D260" s="104">
        <f>(84.39)*(10.764)</f>
        <v>908.3739599999999</v>
      </c>
      <c r="E260" s="104">
        <f>(3.2*1.33+0.6*(2.7+2.43+2.7))*(10.764)</f>
        <v>96.380855999999994</v>
      </c>
      <c r="F260" s="104">
        <f>D260+E260</f>
        <v>1004.7548159999999</v>
      </c>
      <c r="G260" s="104">
        <v>0</v>
      </c>
      <c r="H260" s="104">
        <f>F260*(($H$147)+1)+(IF(G260&lt;101,G260,IF(G260&lt;201,G260/2,IF(G260&lt;=301,G260/3,G260/4))))</f>
        <v>1507.132224</v>
      </c>
      <c r="I260" s="35"/>
      <c r="N260" s="35"/>
    </row>
    <row r="261" spans="1:14" s="100" customFormat="1" ht="31.5" customHeight="1" x14ac:dyDescent="0.25">
      <c r="A261" s="122" t="s">
        <v>460</v>
      </c>
      <c r="B261" s="122"/>
      <c r="C261" s="122"/>
      <c r="D261" s="122"/>
      <c r="E261" s="122"/>
      <c r="F261" s="122"/>
      <c r="G261" s="122"/>
      <c r="H261" s="122"/>
      <c r="I261" s="35"/>
      <c r="L261" s="107"/>
      <c r="M261" s="107"/>
    </row>
    <row r="262" spans="1:14" s="100" customFormat="1" x14ac:dyDescent="0.25">
      <c r="A262" s="115">
        <v>1</v>
      </c>
      <c r="B262" s="115"/>
      <c r="C262" s="104" t="s">
        <v>433</v>
      </c>
      <c r="D262" s="104">
        <f>(96.749)*(10.764)</f>
        <v>1041.4062359999998</v>
      </c>
      <c r="E262" s="104">
        <f>(3.2*1.53+0.6*(2.85+2.95+1.46))*(10.764)</f>
        <v>99.588527999999997</v>
      </c>
      <c r="F262" s="104">
        <f t="shared" ref="F262:F268" si="21">D262+E262</f>
        <v>1140.9947639999998</v>
      </c>
      <c r="G262" s="104">
        <v>0</v>
      </c>
      <c r="H262" s="104">
        <f t="shared" ref="H262:H268" si="22">F262*(($H$147)+1)+(IF(G262&lt;101,G262,IF(G262&lt;201,G262/2,IF(G262&lt;=301,G262/3,G262/4))))</f>
        <v>1711.4921459999996</v>
      </c>
      <c r="I262" s="35"/>
      <c r="N262" s="35"/>
    </row>
    <row r="263" spans="1:14" s="100" customFormat="1" x14ac:dyDescent="0.25">
      <c r="A263" s="115">
        <f t="shared" ref="A263:A268" si="23">A262+1</f>
        <v>2</v>
      </c>
      <c r="B263" s="115"/>
      <c r="C263" s="104" t="s">
        <v>433</v>
      </c>
      <c r="D263" s="104">
        <f>(96.31)*(10.764)</f>
        <v>1036.68084</v>
      </c>
      <c r="E263" s="104">
        <f>(3.2*1.53+0.6*(2.85+2.95+1.46))*(10.764)</f>
        <v>99.588527999999997</v>
      </c>
      <c r="F263" s="104">
        <f t="shared" si="21"/>
        <v>1136.269368</v>
      </c>
      <c r="G263" s="104">
        <v>0</v>
      </c>
      <c r="H263" s="104">
        <f t="shared" si="22"/>
        <v>1704.4040519999999</v>
      </c>
      <c r="I263" s="35"/>
      <c r="N263" s="35"/>
    </row>
    <row r="264" spans="1:14" s="100" customFormat="1" x14ac:dyDescent="0.25">
      <c r="A264" s="115">
        <f t="shared" si="23"/>
        <v>3</v>
      </c>
      <c r="B264" s="115"/>
      <c r="C264" s="104" t="s">
        <v>432</v>
      </c>
      <c r="D264" s="104">
        <f>(64.755)*(10.764)</f>
        <v>697.02281999999991</v>
      </c>
      <c r="E264" s="104">
        <f>(3.2*1.23+0.6*(2.55+1.55+2.75))*(10.764)</f>
        <v>86.607143999999991</v>
      </c>
      <c r="F264" s="104">
        <f t="shared" si="21"/>
        <v>783.62996399999986</v>
      </c>
      <c r="G264" s="104">
        <v>0</v>
      </c>
      <c r="H264" s="104">
        <f t="shared" si="22"/>
        <v>1175.4449459999998</v>
      </c>
      <c r="I264" s="35"/>
      <c r="N264" s="35"/>
    </row>
    <row r="265" spans="1:14" s="100" customFormat="1" x14ac:dyDescent="0.25">
      <c r="A265" s="115">
        <f t="shared" si="23"/>
        <v>4</v>
      </c>
      <c r="B265" s="115"/>
      <c r="C265" s="104" t="s">
        <v>432</v>
      </c>
      <c r="D265" s="104">
        <f>(64.81)*(10.764)</f>
        <v>697.61483999999996</v>
      </c>
      <c r="E265" s="104">
        <f>(3.2*1.23+0.6*(2.7+2.43+2.7))*(10.764)</f>
        <v>92.936375999999996</v>
      </c>
      <c r="F265" s="104">
        <f t="shared" si="21"/>
        <v>790.55121599999995</v>
      </c>
      <c r="G265" s="104">
        <v>0</v>
      </c>
      <c r="H265" s="104">
        <f t="shared" si="22"/>
        <v>1185.826824</v>
      </c>
      <c r="I265" s="35"/>
      <c r="N265" s="35"/>
    </row>
    <row r="266" spans="1:14" s="100" customFormat="1" x14ac:dyDescent="0.25">
      <c r="A266" s="115">
        <f t="shared" si="23"/>
        <v>5</v>
      </c>
      <c r="B266" s="115"/>
      <c r="C266" s="104" t="s">
        <v>432</v>
      </c>
      <c r="D266" s="104">
        <f>(64.483)*(10.764)</f>
        <v>694.095012</v>
      </c>
      <c r="E266" s="104">
        <f>(3.2*1.23+0.6*(2.95+2.23+3.3))*(10.764)</f>
        <v>97.134336000000005</v>
      </c>
      <c r="F266" s="104">
        <f t="shared" si="21"/>
        <v>791.22934799999996</v>
      </c>
      <c r="G266" s="104">
        <v>0</v>
      </c>
      <c r="H266" s="104">
        <f t="shared" si="22"/>
        <v>1186.844022</v>
      </c>
      <c r="I266" s="35"/>
      <c r="N266" s="35"/>
    </row>
    <row r="267" spans="1:14" s="100" customFormat="1" x14ac:dyDescent="0.25">
      <c r="A267" s="115">
        <f t="shared" si="23"/>
        <v>6</v>
      </c>
      <c r="B267" s="115"/>
      <c r="C267" s="104" t="s">
        <v>433</v>
      </c>
      <c r="D267" s="104">
        <f>(84.444)*(10.764)</f>
        <v>908.95521599999995</v>
      </c>
      <c r="E267" s="104">
        <f>(3.2*1.33+0.6*(2.7+2.43+2.7))*(10.764)</f>
        <v>96.380855999999994</v>
      </c>
      <c r="F267" s="104">
        <f t="shared" si="21"/>
        <v>1005.3360719999999</v>
      </c>
      <c r="G267" s="104">
        <v>0</v>
      </c>
      <c r="H267" s="104">
        <f t="shared" si="22"/>
        <v>1508.0041079999999</v>
      </c>
      <c r="I267" s="35"/>
      <c r="N267" s="35"/>
    </row>
    <row r="268" spans="1:14" s="100" customFormat="1" x14ac:dyDescent="0.25">
      <c r="A268" s="115">
        <f t="shared" si="23"/>
        <v>7</v>
      </c>
      <c r="B268" s="115"/>
      <c r="C268" s="104" t="s">
        <v>433</v>
      </c>
      <c r="D268" s="104">
        <f>(84.39)*(10.764)</f>
        <v>908.3739599999999</v>
      </c>
      <c r="E268" s="104">
        <f>(3.2*1.33+0.6*(2.7+2.43+2.7))*(10.764)</f>
        <v>96.380855999999994</v>
      </c>
      <c r="F268" s="104">
        <f t="shared" si="21"/>
        <v>1004.7548159999999</v>
      </c>
      <c r="G268" s="104">
        <v>0</v>
      </c>
      <c r="H268" s="104">
        <f t="shared" si="22"/>
        <v>1507.132224</v>
      </c>
      <c r="I268" s="35"/>
      <c r="N268" s="35"/>
    </row>
    <row r="269" spans="1:14" s="100" customFormat="1" x14ac:dyDescent="0.25">
      <c r="A269" s="122" t="s">
        <v>443</v>
      </c>
      <c r="B269" s="122"/>
      <c r="C269" s="122"/>
      <c r="D269" s="122"/>
      <c r="E269" s="122"/>
      <c r="F269" s="122"/>
      <c r="G269" s="122"/>
      <c r="H269" s="122"/>
      <c r="I269" s="35"/>
      <c r="L269" s="107"/>
      <c r="M269" s="107"/>
    </row>
    <row r="270" spans="1:14" s="100" customFormat="1" x14ac:dyDescent="0.25">
      <c r="A270" s="115">
        <v>1</v>
      </c>
      <c r="B270" s="115"/>
      <c r="C270" s="104" t="s">
        <v>433</v>
      </c>
      <c r="D270" s="104">
        <f>(96.749)*(10.764)</f>
        <v>1041.4062359999998</v>
      </c>
      <c r="E270" s="104">
        <f>(3.2*1.53+0.6*(2.85+2.95+1.46))*(10.764)</f>
        <v>99.588527999999997</v>
      </c>
      <c r="F270" s="104">
        <f>D270+E270</f>
        <v>1140.9947639999998</v>
      </c>
      <c r="G270" s="104">
        <v>0</v>
      </c>
      <c r="H270" s="104">
        <f>F270*(($H$147)+1)+(IF(G270&lt;101,G270,IF(G270&lt;201,G270/2,IF(G270&lt;=301,G270/3,G270/4))))</f>
        <v>1711.4921459999996</v>
      </c>
      <c r="I270" s="35"/>
      <c r="N270" s="35"/>
    </row>
    <row r="271" spans="1:14" s="100" customFormat="1" x14ac:dyDescent="0.25">
      <c r="A271" s="115">
        <f t="shared" ref="A271:A276" si="24">A270+1</f>
        <v>2</v>
      </c>
      <c r="B271" s="115"/>
      <c r="C271" s="104" t="s">
        <v>433</v>
      </c>
      <c r="D271" s="104">
        <f>(96.31)*(10.764)</f>
        <v>1036.68084</v>
      </c>
      <c r="E271" s="104">
        <f>(3.2*1.53+0.6*(2.85+2.95+1.46))*(10.764)</f>
        <v>99.588527999999997</v>
      </c>
      <c r="F271" s="104">
        <f>D271+E271</f>
        <v>1136.269368</v>
      </c>
      <c r="G271" s="104">
        <v>0</v>
      </c>
      <c r="H271" s="104">
        <f>F271*(($H$147)+1)+(IF(G271&lt;101,G271,IF(G271&lt;201,G271/2,IF(G271&lt;=301,G271/3,G271/4))))</f>
        <v>1704.4040519999999</v>
      </c>
      <c r="I271" s="35"/>
      <c r="N271" s="35"/>
    </row>
    <row r="272" spans="1:14" s="100" customFormat="1" x14ac:dyDescent="0.25">
      <c r="A272" s="115">
        <f t="shared" si="24"/>
        <v>3</v>
      </c>
      <c r="B272" s="115"/>
      <c r="C272" s="104" t="s">
        <v>432</v>
      </c>
      <c r="D272" s="104">
        <f>(64.755)*(10.764)</f>
        <v>697.02281999999991</v>
      </c>
      <c r="E272" s="104">
        <f>(3.2*1.23+0.6*(2.55+1.55+2.75))*(10.764)</f>
        <v>86.607143999999991</v>
      </c>
      <c r="F272" s="104">
        <f>D272+E272</f>
        <v>783.62996399999986</v>
      </c>
      <c r="G272" s="104">
        <v>0</v>
      </c>
      <c r="H272" s="104">
        <f>F272*(($H$147)+1)+(IF(G272&lt;101,G272,IF(G272&lt;201,G272/2,IF(G272&lt;=301,G272/3,G272/4))))</f>
        <v>1175.4449459999998</v>
      </c>
      <c r="I272" s="35"/>
      <c r="N272" s="35"/>
    </row>
    <row r="273" spans="1:20" s="100" customFormat="1" x14ac:dyDescent="0.25">
      <c r="A273" s="115">
        <f t="shared" si="24"/>
        <v>4</v>
      </c>
      <c r="B273" s="115"/>
      <c r="C273" s="104" t="s">
        <v>432</v>
      </c>
      <c r="D273" s="104">
        <f>(64.81)*(10.764)</f>
        <v>697.61483999999996</v>
      </c>
      <c r="E273" s="104">
        <f>(3.2*1.23+0.6*(2.7+2.43+2.7))*(10.764)</f>
        <v>92.936375999999996</v>
      </c>
      <c r="F273" s="104">
        <f>D273+E273</f>
        <v>790.55121599999995</v>
      </c>
      <c r="G273" s="104">
        <v>0</v>
      </c>
      <c r="H273" s="104">
        <f>F273*(($H$147)+1)+(IF(G273&lt;101,G273,IF(G273&lt;201,G273/2,IF(G273&lt;=301,G273/3,G273/4))))</f>
        <v>1185.826824</v>
      </c>
      <c r="I273" s="35"/>
      <c r="N273" s="35"/>
    </row>
    <row r="274" spans="1:20" s="100" customFormat="1" x14ac:dyDescent="0.25">
      <c r="A274" s="115">
        <f t="shared" si="24"/>
        <v>5</v>
      </c>
      <c r="B274" s="115"/>
      <c r="C274" s="104" t="s">
        <v>427</v>
      </c>
      <c r="D274" s="116" t="s">
        <v>461</v>
      </c>
      <c r="E274" s="117"/>
      <c r="F274" s="117"/>
      <c r="G274" s="117"/>
      <c r="H274" s="118"/>
      <c r="I274" s="35"/>
      <c r="N274" s="35"/>
    </row>
    <row r="275" spans="1:20" s="100" customFormat="1" x14ac:dyDescent="0.25">
      <c r="A275" s="115">
        <f t="shared" si="24"/>
        <v>6</v>
      </c>
      <c r="B275" s="115"/>
      <c r="C275" s="104" t="s">
        <v>427</v>
      </c>
      <c r="D275" s="119"/>
      <c r="E275" s="120"/>
      <c r="F275" s="120"/>
      <c r="G275" s="120"/>
      <c r="H275" s="121"/>
      <c r="I275" s="35"/>
      <c r="N275" s="35"/>
    </row>
    <row r="276" spans="1:20" s="100" customFormat="1" x14ac:dyDescent="0.25">
      <c r="A276" s="115">
        <f t="shared" si="24"/>
        <v>7</v>
      </c>
      <c r="B276" s="115"/>
      <c r="C276" s="104" t="s">
        <v>433</v>
      </c>
      <c r="D276" s="104">
        <f>(84.39)*(10.764)</f>
        <v>908.3739599999999</v>
      </c>
      <c r="E276" s="104">
        <f>(3.2*1.33+0.6*(2.7+2.43+2.7))*(10.764)</f>
        <v>96.380855999999994</v>
      </c>
      <c r="F276" s="104">
        <f>D276+E276</f>
        <v>1004.7548159999999</v>
      </c>
      <c r="G276" s="104">
        <v>0</v>
      </c>
      <c r="H276" s="104">
        <f>F276*(($H$147)+1)+(IF(G276&lt;101,G276,IF(G276&lt;201,G276/2,IF(G276&lt;=301,G276/3,G276/4))))</f>
        <v>1507.132224</v>
      </c>
      <c r="I276" s="35"/>
      <c r="N276" s="35"/>
    </row>
    <row r="277" spans="1:20" s="100" customFormat="1" x14ac:dyDescent="0.25">
      <c r="A277" s="109" t="s">
        <v>462</v>
      </c>
      <c r="B277" s="110"/>
      <c r="C277" s="110"/>
      <c r="D277" s="110"/>
      <c r="E277" s="110"/>
      <c r="F277" s="110"/>
      <c r="G277" s="110"/>
      <c r="H277" s="111"/>
      <c r="J277" s="35"/>
    </row>
    <row r="278" spans="1:20" s="100" customFormat="1" ht="15.75" customHeight="1" x14ac:dyDescent="0.25">
      <c r="A278" s="112">
        <v>1</v>
      </c>
      <c r="B278" s="113"/>
      <c r="C278" s="104" t="s">
        <v>433</v>
      </c>
      <c r="D278" s="104">
        <f>(96.749)*(10.764)</f>
        <v>1041.4062359999998</v>
      </c>
      <c r="E278" s="104">
        <f>(3.2*1.53+0.6*(2.85+2.95+1.46))*(10.764)</f>
        <v>99.588527999999997</v>
      </c>
      <c r="F278" s="104">
        <f>D278+E278</f>
        <v>1140.9947639999998</v>
      </c>
      <c r="G278" s="104">
        <v>0</v>
      </c>
      <c r="H278" s="104">
        <f>F278*(($H$147)+1)+(IF(G278&lt;101,G278,IF(G278&lt;201,G278/2,IF(G278&lt;=301,G278/3,G278/4))))</f>
        <v>1711.4921459999996</v>
      </c>
      <c r="I278" s="35"/>
      <c r="L278" s="107"/>
      <c r="M278" s="107"/>
      <c r="N278" s="35"/>
    </row>
    <row r="279" spans="1:20" s="100" customFormat="1" ht="15.75" customHeight="1" x14ac:dyDescent="0.25">
      <c r="A279" s="112">
        <f t="shared" ref="A279:A284" si="25">A278+1</f>
        <v>2</v>
      </c>
      <c r="B279" s="113"/>
      <c r="C279" s="104" t="s">
        <v>433</v>
      </c>
      <c r="D279" s="104">
        <f>(96.31)*(10.764)</f>
        <v>1036.68084</v>
      </c>
      <c r="E279" s="104">
        <f>(3.2*1.53+0.6*(2.85+2.95+1.46))*(10.764)</f>
        <v>99.588527999999997</v>
      </c>
      <c r="F279" s="104">
        <f>D279+E279</f>
        <v>1136.269368</v>
      </c>
      <c r="G279" s="104">
        <v>0</v>
      </c>
      <c r="H279" s="104">
        <f>F279*(($H$147)+1)+(IF(G279&lt;101,G279,IF(G279&lt;201,G279/2,IF(G279&lt;=301,G279/3,G279/4))))</f>
        <v>1704.4040519999999</v>
      </c>
      <c r="I279" s="35"/>
      <c r="L279" s="107"/>
      <c r="M279" s="107"/>
      <c r="N279" s="35"/>
    </row>
    <row r="280" spans="1:20" s="100" customFormat="1" ht="15.75" customHeight="1" x14ac:dyDescent="0.25">
      <c r="A280" s="112">
        <f t="shared" si="25"/>
        <v>3</v>
      </c>
      <c r="B280" s="113"/>
      <c r="C280" s="104" t="s">
        <v>427</v>
      </c>
      <c r="D280" s="112" t="s">
        <v>446</v>
      </c>
      <c r="E280" s="114"/>
      <c r="F280" s="114"/>
      <c r="G280" s="114"/>
      <c r="H280" s="113"/>
      <c r="I280" s="35"/>
      <c r="L280" s="107"/>
      <c r="M280" s="107"/>
      <c r="N280" s="35"/>
    </row>
    <row r="281" spans="1:20" s="100" customFormat="1" ht="15.75" customHeight="1" x14ac:dyDescent="0.25">
      <c r="A281" s="112">
        <f t="shared" si="25"/>
        <v>4</v>
      </c>
      <c r="B281" s="113"/>
      <c r="C281" s="104" t="s">
        <v>432</v>
      </c>
      <c r="D281" s="104">
        <f>(64.812)*(10.764)</f>
        <v>697.63636799999995</v>
      </c>
      <c r="E281" s="104">
        <f>(3.2*1.23+0.6*(2.7+2.43+2.7))*(10.764)</f>
        <v>92.936375999999996</v>
      </c>
      <c r="F281" s="104">
        <f>D281+E281</f>
        <v>790.57274399999994</v>
      </c>
      <c r="G281" s="104">
        <v>0</v>
      </c>
      <c r="H281" s="104">
        <f>F281*(($H$147)+1)+(IF(G281&lt;101,G281,IF(G281&lt;201,G281/2,IF(G281&lt;=301,G281/3,G281/4))))</f>
        <v>1185.8591159999999</v>
      </c>
      <c r="I281" s="35"/>
      <c r="L281" s="107"/>
      <c r="M281" s="107"/>
      <c r="N281" s="35"/>
      <c r="T281" s="20"/>
    </row>
    <row r="282" spans="1:20" s="100" customFormat="1" ht="15.75" customHeight="1" x14ac:dyDescent="0.25">
      <c r="A282" s="112">
        <f t="shared" si="25"/>
        <v>5</v>
      </c>
      <c r="B282" s="113"/>
      <c r="C282" s="104" t="s">
        <v>432</v>
      </c>
      <c r="D282" s="104">
        <f>(64.963)*(10.764)</f>
        <v>699.26173199999994</v>
      </c>
      <c r="E282" s="104">
        <f>(3.2*1.23+0.6*(2.95+2.23+3.3))*(10.764)</f>
        <v>97.134336000000005</v>
      </c>
      <c r="F282" s="104">
        <f>D282+E282</f>
        <v>796.3960679999999</v>
      </c>
      <c r="G282" s="104">
        <v>0</v>
      </c>
      <c r="H282" s="104">
        <f>F282*(($H$147)+1)+(IF(G282&lt;101,G282,IF(G282&lt;201,G282/2,IF(G282&lt;=301,G282/3,G282/4))))</f>
        <v>1194.5941019999998</v>
      </c>
      <c r="I282" s="35"/>
      <c r="L282" s="107"/>
      <c r="M282" s="107"/>
      <c r="N282" s="35"/>
    </row>
    <row r="283" spans="1:20" s="100" customFormat="1" ht="15.75" customHeight="1" x14ac:dyDescent="0.25">
      <c r="A283" s="112">
        <f t="shared" si="25"/>
        <v>6</v>
      </c>
      <c r="B283" s="113"/>
      <c r="C283" s="104" t="s">
        <v>433</v>
      </c>
      <c r="D283" s="104">
        <f>(84.444)*(10.764)</f>
        <v>908.95521599999995</v>
      </c>
      <c r="E283" s="104">
        <f>(3.2*1.33+0.6*(2.7+2.43+2.7))*(10.764)</f>
        <v>96.380855999999994</v>
      </c>
      <c r="F283" s="104">
        <f>D283+E283</f>
        <v>1005.3360719999999</v>
      </c>
      <c r="G283" s="104">
        <v>0</v>
      </c>
      <c r="H283" s="104">
        <f>F283*(($H$147)+1)+(IF(G283&lt;101,G283,IF(G283&lt;201,G283/2,IF(G283&lt;=301,G283/3,G283/4))))</f>
        <v>1508.0041079999999</v>
      </c>
      <c r="I283" s="35"/>
      <c r="L283" s="107"/>
      <c r="M283" s="107"/>
      <c r="N283" s="35"/>
    </row>
    <row r="284" spans="1:20" s="100" customFormat="1" ht="15.75" customHeight="1" x14ac:dyDescent="0.25">
      <c r="A284" s="112">
        <f t="shared" si="25"/>
        <v>7</v>
      </c>
      <c r="B284" s="113"/>
      <c r="C284" s="104" t="s">
        <v>427</v>
      </c>
      <c r="D284" s="112" t="s">
        <v>446</v>
      </c>
      <c r="E284" s="114"/>
      <c r="F284" s="114"/>
      <c r="G284" s="114"/>
      <c r="H284" s="113"/>
      <c r="I284" s="35"/>
      <c r="L284" s="107"/>
      <c r="M284" s="107"/>
      <c r="N284" s="35"/>
      <c r="T284" s="20"/>
    </row>
    <row r="285" spans="1:20" s="100" customFormat="1" x14ac:dyDescent="0.25">
      <c r="A285" s="109" t="s">
        <v>463</v>
      </c>
      <c r="B285" s="110"/>
      <c r="C285" s="110"/>
      <c r="D285" s="110"/>
      <c r="E285" s="110"/>
      <c r="F285" s="110"/>
      <c r="G285" s="110"/>
      <c r="H285" s="111"/>
      <c r="J285" s="35"/>
    </row>
    <row r="286" spans="1:20" s="100" customFormat="1" ht="15.75" customHeight="1" x14ac:dyDescent="0.25">
      <c r="A286" s="112">
        <v>1</v>
      </c>
      <c r="B286" s="113"/>
      <c r="C286" s="104" t="s">
        <v>433</v>
      </c>
      <c r="D286" s="104">
        <f>(96.749)*(10.764)</f>
        <v>1041.4062359999998</v>
      </c>
      <c r="E286" s="104">
        <f>(3.2*1.53+0.6*(2.85+2.95+1.46))*(10.764)</f>
        <v>99.588527999999997</v>
      </c>
      <c r="F286" s="104">
        <f>D286+E286</f>
        <v>1140.9947639999998</v>
      </c>
      <c r="G286" s="104">
        <v>0</v>
      </c>
      <c r="H286" s="104">
        <f>F286*(($H$147)+1)+(IF(G286&lt;101,G286,IF(G286&lt;201,G286/2,IF(G286&lt;=301,G286/3,G286/4))))</f>
        <v>1711.4921459999996</v>
      </c>
      <c r="I286" s="35"/>
      <c r="L286" s="107"/>
      <c r="M286" s="107"/>
      <c r="N286" s="35"/>
    </row>
    <row r="287" spans="1:20" s="100" customFormat="1" ht="15.75" customHeight="1" x14ac:dyDescent="0.25">
      <c r="A287" s="112">
        <f t="shared" ref="A287:A292" si="26">A286+1</f>
        <v>2</v>
      </c>
      <c r="B287" s="113"/>
      <c r="C287" s="104" t="s">
        <v>433</v>
      </c>
      <c r="D287" s="104">
        <f>(96.31)*(10.764)</f>
        <v>1036.68084</v>
      </c>
      <c r="E287" s="104">
        <f>(3.2*1.53+0.6*(2.85+2.95+1.46))*(10.764)</f>
        <v>99.588527999999997</v>
      </c>
      <c r="F287" s="104">
        <f>D287+E287</f>
        <v>1136.269368</v>
      </c>
      <c r="G287" s="104">
        <v>0</v>
      </c>
      <c r="H287" s="104">
        <f>F287*(($H$147)+1)+(IF(G287&lt;101,G287,IF(G287&lt;201,G287/2,IF(G287&lt;=301,G287/3,G287/4))))</f>
        <v>1704.4040519999999</v>
      </c>
      <c r="I287" s="35"/>
      <c r="L287" s="107"/>
      <c r="M287" s="107"/>
      <c r="N287" s="35"/>
    </row>
    <row r="288" spans="1:20" s="100" customFormat="1" ht="15.75" customHeight="1" x14ac:dyDescent="0.25">
      <c r="A288" s="112">
        <f t="shared" si="26"/>
        <v>3</v>
      </c>
      <c r="B288" s="113"/>
      <c r="C288" s="104" t="s">
        <v>427</v>
      </c>
      <c r="D288" s="112" t="s">
        <v>448</v>
      </c>
      <c r="E288" s="114"/>
      <c r="F288" s="114"/>
      <c r="G288" s="114"/>
      <c r="H288" s="113"/>
      <c r="I288" s="35"/>
      <c r="L288" s="107"/>
      <c r="M288" s="107"/>
      <c r="N288" s="35"/>
    </row>
    <row r="289" spans="1:20" s="100" customFormat="1" ht="15.75" customHeight="1" x14ac:dyDescent="0.25">
      <c r="A289" s="105">
        <f t="shared" si="26"/>
        <v>4</v>
      </c>
      <c r="B289" s="106"/>
      <c r="C289" s="101" t="s">
        <v>432</v>
      </c>
      <c r="D289" s="101">
        <f>(64.812)*(10.764)</f>
        <v>697.63636799999995</v>
      </c>
      <c r="E289" s="101">
        <f>(3.2*1.23+0.6*(2.7+2.43+2.7))*(10.764)</f>
        <v>92.936375999999996</v>
      </c>
      <c r="F289" s="101">
        <f>D289+E289</f>
        <v>790.57274399999994</v>
      </c>
      <c r="G289" s="101">
        <v>0</v>
      </c>
      <c r="H289" s="101">
        <f>F289*(($H$147)+1)+(IF(G289&lt;101,G289,IF(G289&lt;201,G289/2,IF(G289&lt;=301,G289/3,G289/4))))</f>
        <v>1185.8591159999999</v>
      </c>
      <c r="I289" s="35"/>
      <c r="L289" s="107"/>
      <c r="M289" s="107"/>
      <c r="N289" s="35"/>
      <c r="T289" s="20"/>
    </row>
    <row r="290" spans="1:20" s="100" customFormat="1" ht="15.75" customHeight="1" x14ac:dyDescent="0.25">
      <c r="A290" s="105">
        <f t="shared" si="26"/>
        <v>5</v>
      </c>
      <c r="B290" s="106"/>
      <c r="C290" s="101" t="s">
        <v>432</v>
      </c>
      <c r="D290" s="101">
        <f>(64.483)*(10.764)</f>
        <v>694.095012</v>
      </c>
      <c r="E290" s="101">
        <f>(3.2*1.23+0.6*(2.95+2.23+3.3))*(10.764)</f>
        <v>97.134336000000005</v>
      </c>
      <c r="F290" s="101">
        <f>D290+E290</f>
        <v>791.22934799999996</v>
      </c>
      <c r="G290" s="101">
        <v>0</v>
      </c>
      <c r="H290" s="101">
        <f>F290*(($H$147)+1)+(IF(G290&lt;101,G290,IF(G290&lt;201,G290/2,IF(G290&lt;=301,G290/3,G290/4))))</f>
        <v>1186.844022</v>
      </c>
      <c r="I290" s="35"/>
      <c r="L290" s="107"/>
      <c r="M290" s="107"/>
      <c r="N290" s="35"/>
    </row>
    <row r="291" spans="1:20" s="100" customFormat="1" ht="15.75" customHeight="1" x14ac:dyDescent="0.25">
      <c r="A291" s="105">
        <f t="shared" si="26"/>
        <v>6</v>
      </c>
      <c r="B291" s="106"/>
      <c r="C291" s="101" t="s">
        <v>433</v>
      </c>
      <c r="D291" s="101">
        <f>(84.444)*(10.764)</f>
        <v>908.95521599999995</v>
      </c>
      <c r="E291" s="101">
        <f>(3.2*1.33+0.6*(2.7+2.43+2.7))*(10.764)</f>
        <v>96.380855999999994</v>
      </c>
      <c r="F291" s="101">
        <f>D291+E291</f>
        <v>1005.3360719999999</v>
      </c>
      <c r="G291" s="101">
        <v>0</v>
      </c>
      <c r="H291" s="101">
        <f>F291*(($H$147)+1)+(IF(G291&lt;101,G291,IF(G291&lt;201,G291/2,IF(G291&lt;=301,G291/3,G291/4))))</f>
        <v>1508.0041079999999</v>
      </c>
      <c r="I291" s="35"/>
      <c r="L291" s="107"/>
      <c r="M291" s="107"/>
      <c r="N291" s="35"/>
    </row>
    <row r="292" spans="1:20" s="100" customFormat="1" ht="15.75" customHeight="1" x14ac:dyDescent="0.25">
      <c r="A292" s="105">
        <f t="shared" si="26"/>
        <v>7</v>
      </c>
      <c r="B292" s="106"/>
      <c r="C292" s="101" t="s">
        <v>427</v>
      </c>
      <c r="D292" s="105" t="s">
        <v>448</v>
      </c>
      <c r="E292" s="108"/>
      <c r="F292" s="108"/>
      <c r="G292" s="108"/>
      <c r="H292" s="106"/>
      <c r="I292" s="35"/>
      <c r="L292" s="107"/>
      <c r="M292" s="107"/>
      <c r="N292" s="35"/>
      <c r="T292" s="20"/>
    </row>
    <row r="293" spans="1:20" s="36" customFormat="1" hidden="1" x14ac:dyDescent="0.25">
      <c r="A293" s="136" t="s">
        <v>116</v>
      </c>
      <c r="B293" s="137"/>
      <c r="C293" s="137"/>
      <c r="D293" s="137"/>
      <c r="E293" s="137"/>
      <c r="F293" s="137"/>
      <c r="G293" s="137"/>
      <c r="H293" s="138"/>
      <c r="J293" s="35"/>
    </row>
    <row r="294" spans="1:20" s="36" customFormat="1" ht="15.75" hidden="1" customHeight="1" x14ac:dyDescent="0.25">
      <c r="A294" s="105">
        <v>1</v>
      </c>
      <c r="B294" s="106"/>
      <c r="C294" s="41"/>
      <c r="D294" s="41"/>
      <c r="E294" s="41">
        <v>0</v>
      </c>
      <c r="F294" s="41">
        <f>D294+E294</f>
        <v>0</v>
      </c>
      <c r="G294" s="41">
        <v>0</v>
      </c>
      <c r="H294" s="41">
        <f>F294*(($H$147)+1)+(IF(G294&lt;101,G294,IF(G294&lt;201,G294/2,IF(G294&lt;=301,G294/3,G294/4))))</f>
        <v>0</v>
      </c>
      <c r="I294" s="35"/>
      <c r="L294" s="107"/>
      <c r="M294" s="107"/>
      <c r="N294" s="35"/>
    </row>
    <row r="295" spans="1:20" s="36" customFormat="1" ht="15.75" hidden="1" customHeight="1" x14ac:dyDescent="0.25">
      <c r="A295" s="105">
        <f>A294+1</f>
        <v>2</v>
      </c>
      <c r="B295" s="106"/>
      <c r="C295" s="41"/>
      <c r="D295" s="41"/>
      <c r="E295" s="41">
        <v>0</v>
      </c>
      <c r="F295" s="41">
        <f>D295+E295</f>
        <v>0</v>
      </c>
      <c r="G295" s="41">
        <v>0</v>
      </c>
      <c r="H295" s="41">
        <f>F295*(($H$147)+1)+(IF(G295&lt;101,G295,IF(G295&lt;201,G295/2,IF(G295&lt;=301,G295/3,G295/4))))</f>
        <v>0</v>
      </c>
      <c r="I295" s="35"/>
      <c r="L295" s="107"/>
      <c r="M295" s="107"/>
      <c r="N295" s="35"/>
    </row>
    <row r="296" spans="1:20" s="36" customFormat="1" ht="15.75" hidden="1" customHeight="1" x14ac:dyDescent="0.25">
      <c r="A296" s="105">
        <f>A295+1</f>
        <v>3</v>
      </c>
      <c r="B296" s="106"/>
      <c r="C296" s="41"/>
      <c r="D296" s="41"/>
      <c r="E296" s="41">
        <v>0</v>
      </c>
      <c r="F296" s="41">
        <f>D296+E296</f>
        <v>0</v>
      </c>
      <c r="G296" s="41">
        <v>0</v>
      </c>
      <c r="H296" s="41">
        <f>F296*(($H$147)+1)+(IF(G296&lt;101,G296,IF(G296&lt;201,G296/2,IF(G296&lt;=301,G296/3,G296/4))))</f>
        <v>0</v>
      </c>
      <c r="I296" s="35"/>
      <c r="L296" s="107"/>
      <c r="M296" s="107"/>
      <c r="N296" s="35"/>
    </row>
    <row r="297" spans="1:20" s="36" customFormat="1" ht="15.75" hidden="1" customHeight="1" x14ac:dyDescent="0.25">
      <c r="A297" s="105">
        <f>A296+1</f>
        <v>4</v>
      </c>
      <c r="B297" s="106"/>
      <c r="C297" s="41"/>
      <c r="D297" s="41"/>
      <c r="E297" s="41">
        <v>0</v>
      </c>
      <c r="F297" s="41">
        <f>D297+E297</f>
        <v>0</v>
      </c>
      <c r="G297" s="41">
        <v>0</v>
      </c>
      <c r="H297" s="41">
        <f>F297*(($H$147)+1)+(IF(G297&lt;101,G297,IF(G297&lt;201,G297/2,IF(G297&lt;=301,G297/3,G297/4))))</f>
        <v>0</v>
      </c>
      <c r="I297" s="35"/>
      <c r="L297" s="107"/>
      <c r="M297" s="107"/>
      <c r="N297" s="35"/>
      <c r="T297" s="20"/>
    </row>
    <row r="298" spans="1:20" s="36" customFormat="1" hidden="1" x14ac:dyDescent="0.25">
      <c r="A298" s="264" t="s">
        <v>117</v>
      </c>
      <c r="B298" s="264"/>
      <c r="C298" s="264"/>
      <c r="D298" s="264"/>
      <c r="E298" s="264"/>
      <c r="F298" s="264"/>
      <c r="G298" s="264"/>
      <c r="H298" s="264"/>
      <c r="I298" s="35"/>
      <c r="L298" s="107"/>
      <c r="M298" s="107"/>
    </row>
    <row r="299" spans="1:20" s="36" customFormat="1" hidden="1" x14ac:dyDescent="0.25">
      <c r="A299" s="126">
        <f>LEFT(A298,SUM(LEN(A298)-LEN(SUBSTITUTE(A298,{"0","1","2","3","4","5","6","7","8","9"},""))))*100+1</f>
        <v>201</v>
      </c>
      <c r="B299" s="126"/>
      <c r="C299" s="41"/>
      <c r="D299" s="41"/>
      <c r="E299" s="41">
        <v>0</v>
      </c>
      <c r="F299" s="41">
        <f>D299+E299</f>
        <v>0</v>
      </c>
      <c r="G299" s="41">
        <v>0</v>
      </c>
      <c r="H299" s="41">
        <f>F299*(($H$147)+1)+(IF(G299&lt;101,G299,IF(G299&lt;201,G299/2,IF(G299&lt;=301,G299/3,G299/4))))</f>
        <v>0</v>
      </c>
      <c r="I299" s="35"/>
      <c r="N299" s="35"/>
    </row>
    <row r="300" spans="1:20" s="36" customFormat="1" hidden="1" x14ac:dyDescent="0.25">
      <c r="A300" s="126">
        <f>A299+1</f>
        <v>202</v>
      </c>
      <c r="B300" s="126"/>
      <c r="C300" s="41"/>
      <c r="D300" s="41"/>
      <c r="E300" s="41">
        <v>0</v>
      </c>
      <c r="F300" s="41">
        <f>D300+E300</f>
        <v>0</v>
      </c>
      <c r="G300" s="41">
        <v>0</v>
      </c>
      <c r="H300" s="41">
        <f>F300*(($H$147)+1)+(IF(G300&lt;101,G300,IF(G300&lt;201,G300/2,IF(G300&lt;=301,G300/3,G300/4))))</f>
        <v>0</v>
      </c>
      <c r="I300" s="35"/>
      <c r="N300" s="35"/>
    </row>
    <row r="301" spans="1:20" s="36" customFormat="1" hidden="1" x14ac:dyDescent="0.25">
      <c r="A301" s="126">
        <f>A300+1</f>
        <v>203</v>
      </c>
      <c r="B301" s="126"/>
      <c r="C301" s="41"/>
      <c r="D301" s="41"/>
      <c r="E301" s="41">
        <v>0</v>
      </c>
      <c r="F301" s="41">
        <f>D301+E301</f>
        <v>0</v>
      </c>
      <c r="G301" s="41">
        <v>0</v>
      </c>
      <c r="H301" s="41">
        <f>F301*(($H$147)+1)+(IF(G301&lt;101,G301,IF(G301&lt;201,G301/2,IF(G301&lt;=301,G301/3,G301/4))))</f>
        <v>0</v>
      </c>
      <c r="I301" s="35"/>
      <c r="N301" s="35"/>
    </row>
    <row r="302" spans="1:20" s="36" customFormat="1" hidden="1" x14ac:dyDescent="0.25">
      <c r="A302" s="126">
        <f>A301+1</f>
        <v>204</v>
      </c>
      <c r="B302" s="126"/>
      <c r="C302" s="41"/>
      <c r="D302" s="41"/>
      <c r="E302" s="41">
        <v>0</v>
      </c>
      <c r="F302" s="41">
        <f>D302+E302</f>
        <v>0</v>
      </c>
      <c r="G302" s="41">
        <v>0</v>
      </c>
      <c r="H302" s="41">
        <f>F302*(($H$147)+1)+(IF(G302&lt;101,G302,IF(G302&lt;201,G302/2,IF(G302&lt;=301,G302/3,G302/4))))</f>
        <v>0</v>
      </c>
      <c r="I302" s="35"/>
      <c r="N302" s="35"/>
    </row>
    <row r="303" spans="1:20" s="36" customFormat="1" hidden="1" x14ac:dyDescent="0.25">
      <c r="A303" s="126">
        <f>A302+1</f>
        <v>205</v>
      </c>
      <c r="B303" s="126"/>
      <c r="C303" s="41"/>
      <c r="D303" s="41"/>
      <c r="E303" s="41">
        <v>0</v>
      </c>
      <c r="F303" s="41">
        <f>D303+E303</f>
        <v>0</v>
      </c>
      <c r="G303" s="41">
        <v>0</v>
      </c>
      <c r="H303" s="41">
        <f>F303*(($H$147)+1)+(IF(G303&lt;101,G303,IF(G303&lt;201,G303/2,IF(G303&lt;=301,G303/3,G303/4))))</f>
        <v>0</v>
      </c>
      <c r="I303" s="35"/>
      <c r="N303" s="35"/>
    </row>
    <row r="304" spans="1:20" s="36" customFormat="1" ht="15.75" hidden="1" customHeight="1" x14ac:dyDescent="0.25">
      <c r="A304" s="136" t="s">
        <v>149</v>
      </c>
      <c r="B304" s="137"/>
      <c r="C304" s="137"/>
      <c r="D304" s="137"/>
      <c r="E304" s="137"/>
      <c r="F304" s="137"/>
      <c r="G304" s="137"/>
      <c r="H304" s="138"/>
      <c r="I304" s="35"/>
    </row>
    <row r="305" spans="1:9" s="36" customFormat="1" ht="15.75" hidden="1" customHeight="1" x14ac:dyDescent="0.25">
      <c r="A305" s="105" t="str">
        <f ca="1">(SUMPRODUCT(MID(0&amp;(LEFT(A304,SUM(LEN(A304)-LEN(SUBSTITUTE(A304,{"0","1","2"},""))))), LARGE(INDEX(ISNUMBER(--MID((LEFT(A304,SUM(LEN(A304)-LEN(SUBSTITUTE(A304,{"0","1","2"},""))))), ROW(INDIRECT("1:"&amp;LEN((LEFT(A304,SUM(LEN(A304)-LEN(SUBSTITUTE(A304,{"0","1","2"},"")))))))), 1)) * ROW(INDIRECT("1:"&amp;LEN((LEFT(A304,SUM(LEN(A304)-LEN(SUBSTITUTE(A304,{"0","1","2"},"")))))))), 0), ROW(INDIRECT("1:"&amp;LEN((LEFT(A304,SUM(LEN(A304)-LEN(SUBSTITUTE(A304,{"0","1","2"},"")))))))))+1, 1) * 10^ROW(INDIRECT("1:"&amp;LEN((LEFT(A304,SUM(LEN(A304)-LEN(SUBSTITUTE(A304,{"0","1","2"},""))))))))/10))*100+1&amp;""&amp;" ,.., "&amp;""&amp;(SUMPRODUCT(MID(0&amp;(--TRIM(RIGHT(SUBSTITUTE(LEFT(A304,_xlfn.AGGREGATE(16,6,FIND({0,1,2,3,4,5,6,7,8,9},A304,ROW(INDIRECT("1:"&amp;LEN(A304)))),1))," ",REPT(" ",LEN(A304))),LEN(A304)))), LARGE(INDEX(ISNUMBER(--MID((--TRIM(RIGHT(SUBSTITUTE(LEFT(A304,_xlfn.AGGREGATE(16,6,FIND({0,1,2,3,4,5,6,7,8,9},A304,ROW(INDIRECT("1:"&amp;LEN(A304)))),1))," ",REPT(" ",LEN(A304))),LEN(A304)))), ROW(INDIRECT("1:"&amp;LEN((--TRIM(RIGHT(SUBSTITUTE(LEFT(A304,_xlfn.AGGREGATE(16,6,FIND({0,1,2,3,4,5,6,7,8,9},A304,ROW(INDIRECT("1:"&amp;LEN(A304)))),1))," ",REPT(" ",LEN(A304))),LEN(A304))))))), 1)) * ROW(INDIRECT("1:"&amp;LEN((--TRIM(RIGHT(SUBSTITUTE(LEFT(A304,_xlfn.AGGREGATE(16,6,FIND({0,1,2,3,4,5,6,7,8,9},A304,ROW(INDIRECT("1:"&amp;LEN(A304)))),1))," ",REPT(" ",LEN(A304))),LEN(A304))))))), 0), ROW(INDIRECT("1:"&amp;LEN((--TRIM(RIGHT(SUBSTITUTE(LEFT(A304,_xlfn.AGGREGATE(16,6,FIND({0,1,2,3,4,5,6,7,8,9},A304,ROW(INDIRECT("1:"&amp;LEN(A304)))),1))," ",REPT(" ",LEN(A304))),LEN(A304))))))))+1, 1) * 10^ROW(INDIRECT("1:"&amp;LEN((--TRIM(RIGHT(SUBSTITUTE(LEFT(A304,_xlfn.AGGREGATE(16,6,FIND({0,1,2,3,4,5,6,7,8,9},A304,ROW(INDIRECT("1:"&amp;LEN(A304)))),1))," ",REPT(" ",LEN(A304))),LEN(A304)))))))/10))*100+1</f>
        <v>301 ,.., 1501</v>
      </c>
      <c r="B305" s="106"/>
      <c r="C305" s="41"/>
      <c r="D305" s="41"/>
      <c r="E305" s="41">
        <v>0</v>
      </c>
      <c r="F305" s="41">
        <f>D305+E305</f>
        <v>0</v>
      </c>
      <c r="G305" s="41">
        <v>0</v>
      </c>
      <c r="H305" s="41">
        <f>F305*(($H$147)+1)+(IF(G305&lt;101,G305,IF(G305&lt;201,G305/2,IF(G305&lt;=301,G305/3,G305/4))))</f>
        <v>0</v>
      </c>
      <c r="I305" s="35"/>
    </row>
    <row r="306" spans="1:9" s="36" customFormat="1" ht="15.75" hidden="1" customHeight="1" x14ac:dyDescent="0.25">
      <c r="A306" s="105" t="str">
        <f ca="1">(SUMPRODUCT(MID(0&amp;(LEFT(A305,SUM(LEN(A305)-LEN(SUBSTITUTE(A305,{"0","1","2"},""))))), LARGE(INDEX(ISNUMBER(--MID((LEFT(A305,SUM(LEN(A305)-LEN(SUBSTITUTE(A305,{"0","1","2"},""))))), ROW(INDIRECT("1:"&amp;LEN((LEFT(A305,SUM(LEN(A305)-LEN(SUBSTITUTE(A305,{"0","1","2"},"")))))))), 1)) * ROW(INDIRECT("1:"&amp;LEN((LEFT(A305,SUM(LEN(A305)-LEN(SUBSTITUTE(A305,{"0","1","2"},"")))))))), 0), ROW(INDIRECT("1:"&amp;LEN((LEFT(A305,SUM(LEN(A305)-LEN(SUBSTITUTE(A305,{"0","1","2"},"")))))))))+1, 1) * 10^ROW(INDIRECT("1:"&amp;LEN((LEFT(A305,SUM(LEN(A305)-LEN(SUBSTITUTE(A305,{"0","1","2"},""))))))))/10))*1+1&amp;""&amp;" ,.., "&amp;""&amp;(SUMPRODUCT(MID(0&amp;(--TRIM(RIGHT(SUBSTITUTE(LEFT(A305,_xlfn.AGGREGATE(16,6,FIND({0,1,2,3,4,5,6,7,8,9},A305,ROW(INDIRECT("1:"&amp;LEN(A305)))),1))," ",REPT(" ",LEN(A305))),LEN(A305)))), LARGE(INDEX(ISNUMBER(--MID((--TRIM(RIGHT(SUBSTITUTE(LEFT(A305,_xlfn.AGGREGATE(16,6,FIND({0,1,2,3,4,5,6,7,8,9},A305,ROW(INDIRECT("1:"&amp;LEN(A305)))),1))," ",REPT(" ",LEN(A305))),LEN(A305)))), ROW(INDIRECT("1:"&amp;LEN((--TRIM(RIGHT(SUBSTITUTE(LEFT(A305,_xlfn.AGGREGATE(16,6,FIND({0,1,2,3,4,5,6,7,8,9},A305,ROW(INDIRECT("1:"&amp;LEN(A305)))),1))," ",REPT(" ",LEN(A305))),LEN(A305))))))), 1)) * ROW(INDIRECT("1:"&amp;LEN((--TRIM(RIGHT(SUBSTITUTE(LEFT(A305,_xlfn.AGGREGATE(16,6,FIND({0,1,2,3,4,5,6,7,8,9},A305,ROW(INDIRECT("1:"&amp;LEN(A305)))),1))," ",REPT(" ",LEN(A305))),LEN(A305))))))), 0), ROW(INDIRECT("1:"&amp;LEN((--TRIM(RIGHT(SUBSTITUTE(LEFT(A305,_xlfn.AGGREGATE(16,6,FIND({0,1,2,3,4,5,6,7,8,9},A305,ROW(INDIRECT("1:"&amp;LEN(A305)))),1))," ",REPT(" ",LEN(A305))),LEN(A305))))))))+1, 1) * 10^ROW(INDIRECT("1:"&amp;LEN((--TRIM(RIGHT(SUBSTITUTE(LEFT(A305,_xlfn.AGGREGATE(16,6,FIND({0,1,2,3,4,5,6,7,8,9},A305,ROW(INDIRECT("1:"&amp;LEN(A305)))),1))," ",REPT(" ",LEN(A305))),LEN(A305)))))))/10))*1+1</f>
        <v>302 ,.., 1502</v>
      </c>
      <c r="B306" s="106"/>
      <c r="C306" s="41"/>
      <c r="D306" s="41"/>
      <c r="E306" s="41">
        <v>0</v>
      </c>
      <c r="F306" s="41">
        <f>D306+E306</f>
        <v>0</v>
      </c>
      <c r="G306" s="41">
        <v>0</v>
      </c>
      <c r="H306" s="41">
        <f>F306*(($H$147)+1)+(IF(G306&lt;101,G306,IF(G306&lt;201,G306/2,IF(G306&lt;=301,G306/3,G306/4))))</f>
        <v>0</v>
      </c>
      <c r="I306" s="35"/>
    </row>
    <row r="307" spans="1:9" s="36" customFormat="1" ht="15.75" hidden="1" customHeight="1" x14ac:dyDescent="0.25">
      <c r="A307" s="105" t="str">
        <f ca="1">(SUMPRODUCT(MID(0&amp;(LEFT(A306,SUM(LEN(A306)-LEN(SUBSTITUTE(A306,{"0","1","2"},""))))), LARGE(INDEX(ISNUMBER(--MID((LEFT(A306,SUM(LEN(A306)-LEN(SUBSTITUTE(A306,{"0","1","2"},""))))), ROW(INDIRECT("1:"&amp;LEN((LEFT(A306,SUM(LEN(A306)-LEN(SUBSTITUTE(A306,{"0","1","2"},"")))))))), 1)) * ROW(INDIRECT("1:"&amp;LEN((LEFT(A306,SUM(LEN(A306)-LEN(SUBSTITUTE(A306,{"0","1","2"},"")))))))), 0), ROW(INDIRECT("1:"&amp;LEN((LEFT(A306,SUM(LEN(A306)-LEN(SUBSTITUTE(A306,{"0","1","2"},"")))))))))+1, 1) * 10^ROW(INDIRECT("1:"&amp;LEN((LEFT(A306,SUM(LEN(A306)-LEN(SUBSTITUTE(A306,{"0","1","2"},""))))))))/10))*1+1&amp;""&amp;" ,.., "&amp;""&amp;(SUMPRODUCT(MID(0&amp;(--TRIM(RIGHT(SUBSTITUTE(LEFT(A306,_xlfn.AGGREGATE(16,6,FIND({0,1,2,3,4,5,6,7,8,9},A306,ROW(INDIRECT("1:"&amp;LEN(A306)))),1))," ",REPT(" ",LEN(A306))),LEN(A306)))), LARGE(INDEX(ISNUMBER(--MID((--TRIM(RIGHT(SUBSTITUTE(LEFT(A306,_xlfn.AGGREGATE(16,6,FIND({0,1,2,3,4,5,6,7,8,9},A306,ROW(INDIRECT("1:"&amp;LEN(A306)))),1))," ",REPT(" ",LEN(A306))),LEN(A306)))), ROW(INDIRECT("1:"&amp;LEN((--TRIM(RIGHT(SUBSTITUTE(LEFT(A306,_xlfn.AGGREGATE(16,6,FIND({0,1,2,3,4,5,6,7,8,9},A306,ROW(INDIRECT("1:"&amp;LEN(A306)))),1))," ",REPT(" ",LEN(A306))),LEN(A306))))))), 1)) * ROW(INDIRECT("1:"&amp;LEN((--TRIM(RIGHT(SUBSTITUTE(LEFT(A306,_xlfn.AGGREGATE(16,6,FIND({0,1,2,3,4,5,6,7,8,9},A306,ROW(INDIRECT("1:"&amp;LEN(A306)))),1))," ",REPT(" ",LEN(A306))),LEN(A306))))))), 0), ROW(INDIRECT("1:"&amp;LEN((--TRIM(RIGHT(SUBSTITUTE(LEFT(A306,_xlfn.AGGREGATE(16,6,FIND({0,1,2,3,4,5,6,7,8,9},A306,ROW(INDIRECT("1:"&amp;LEN(A306)))),1))," ",REPT(" ",LEN(A306))),LEN(A306))))))))+1, 1) * 10^ROW(INDIRECT("1:"&amp;LEN((--TRIM(RIGHT(SUBSTITUTE(LEFT(A306,_xlfn.AGGREGATE(16,6,FIND({0,1,2,3,4,5,6,7,8,9},A306,ROW(INDIRECT("1:"&amp;LEN(A306)))),1))," ",REPT(" ",LEN(A306))),LEN(A306)))))))/10))*1+1</f>
        <v>303 ,.., 1503</v>
      </c>
      <c r="B307" s="106"/>
      <c r="C307" s="41"/>
      <c r="D307" s="41"/>
      <c r="E307" s="41">
        <v>0</v>
      </c>
      <c r="F307" s="41">
        <f>D307+E307</f>
        <v>0</v>
      </c>
      <c r="G307" s="41">
        <v>0</v>
      </c>
      <c r="H307" s="41">
        <f>F307*(($H$147)+1)+(IF(G307&lt;101,G307,IF(G307&lt;201,G307/2,IF(G307&lt;=301,G307/3,G307/4))))</f>
        <v>0</v>
      </c>
      <c r="I307" s="35"/>
    </row>
    <row r="308" spans="1:9" s="36" customFormat="1" ht="15.75" hidden="1" customHeight="1" x14ac:dyDescent="0.25">
      <c r="A308" s="105" t="str">
        <f ca="1">(SUMPRODUCT(MID(0&amp;(LEFT(A307,SUM(LEN(A307)-LEN(SUBSTITUTE(A307,{"0","1","2"},""))))), LARGE(INDEX(ISNUMBER(--MID((LEFT(A307,SUM(LEN(A307)-LEN(SUBSTITUTE(A307,{"0","1","2"},""))))), ROW(INDIRECT("1:"&amp;LEN((LEFT(A307,SUM(LEN(A307)-LEN(SUBSTITUTE(A307,{"0","1","2"},"")))))))), 1)) * ROW(INDIRECT("1:"&amp;LEN((LEFT(A307,SUM(LEN(A307)-LEN(SUBSTITUTE(A307,{"0","1","2"},"")))))))), 0), ROW(INDIRECT("1:"&amp;LEN((LEFT(A307,SUM(LEN(A307)-LEN(SUBSTITUTE(A307,{"0","1","2"},"")))))))))+1, 1) * 10^ROW(INDIRECT("1:"&amp;LEN((LEFT(A307,SUM(LEN(A307)-LEN(SUBSTITUTE(A307,{"0","1","2"},""))))))))/10))*1+1&amp;""&amp;" ,.., "&amp;""&amp;(SUMPRODUCT(MID(0&amp;(--TRIM(RIGHT(SUBSTITUTE(LEFT(A307,_xlfn.AGGREGATE(16,6,FIND({0,1,2,3,4,5,6,7,8,9},A307,ROW(INDIRECT("1:"&amp;LEN(A307)))),1))," ",REPT(" ",LEN(A307))),LEN(A307)))), LARGE(INDEX(ISNUMBER(--MID((--TRIM(RIGHT(SUBSTITUTE(LEFT(A307,_xlfn.AGGREGATE(16,6,FIND({0,1,2,3,4,5,6,7,8,9},A307,ROW(INDIRECT("1:"&amp;LEN(A307)))),1))," ",REPT(" ",LEN(A307))),LEN(A307)))), ROW(INDIRECT("1:"&amp;LEN((--TRIM(RIGHT(SUBSTITUTE(LEFT(A307,_xlfn.AGGREGATE(16,6,FIND({0,1,2,3,4,5,6,7,8,9},A307,ROW(INDIRECT("1:"&amp;LEN(A307)))),1))," ",REPT(" ",LEN(A307))),LEN(A307))))))), 1)) * ROW(INDIRECT("1:"&amp;LEN((--TRIM(RIGHT(SUBSTITUTE(LEFT(A307,_xlfn.AGGREGATE(16,6,FIND({0,1,2,3,4,5,6,7,8,9},A307,ROW(INDIRECT("1:"&amp;LEN(A307)))),1))," ",REPT(" ",LEN(A307))),LEN(A307))))))), 0), ROW(INDIRECT("1:"&amp;LEN((--TRIM(RIGHT(SUBSTITUTE(LEFT(A307,_xlfn.AGGREGATE(16,6,FIND({0,1,2,3,4,5,6,7,8,9},A307,ROW(INDIRECT("1:"&amp;LEN(A307)))),1))," ",REPT(" ",LEN(A307))),LEN(A307))))))))+1, 1) * 10^ROW(INDIRECT("1:"&amp;LEN((--TRIM(RIGHT(SUBSTITUTE(LEFT(A307,_xlfn.AGGREGATE(16,6,FIND({0,1,2,3,4,5,6,7,8,9},A307,ROW(INDIRECT("1:"&amp;LEN(A307)))),1))," ",REPT(" ",LEN(A307))),LEN(A307)))))))/10))*1+1</f>
        <v>304 ,.., 1504</v>
      </c>
      <c r="B308" s="106"/>
      <c r="C308" s="41"/>
      <c r="D308" s="41"/>
      <c r="E308" s="41">
        <v>0</v>
      </c>
      <c r="F308" s="41">
        <f>D308+E308</f>
        <v>0</v>
      </c>
      <c r="G308" s="41">
        <v>0</v>
      </c>
      <c r="H308" s="41">
        <f>F308*(($H$147)+1)+(IF(G308&lt;101,G308,IF(G308&lt;201,G308/2,IF(G308&lt;=301,G308/3,G308/4))))</f>
        <v>0</v>
      </c>
      <c r="I308" s="35"/>
    </row>
    <row r="309" spans="1:9" s="36" customFormat="1" ht="15.75" hidden="1" customHeight="1" x14ac:dyDescent="0.25">
      <c r="A309" s="105" t="str">
        <f ca="1">(SUMPRODUCT(MID(0&amp;(LEFT(A308,SUM(LEN(A308)-LEN(SUBSTITUTE(A308,{"0","1","2"},""))))), LARGE(INDEX(ISNUMBER(--MID((LEFT(A308,SUM(LEN(A308)-LEN(SUBSTITUTE(A308,{"0","1","2"},""))))), ROW(INDIRECT("1:"&amp;LEN((LEFT(A308,SUM(LEN(A308)-LEN(SUBSTITUTE(A308,{"0","1","2"},"")))))))), 1)) * ROW(INDIRECT("1:"&amp;LEN((LEFT(A308,SUM(LEN(A308)-LEN(SUBSTITUTE(A308,{"0","1","2"},"")))))))), 0), ROW(INDIRECT("1:"&amp;LEN((LEFT(A308,SUM(LEN(A308)-LEN(SUBSTITUTE(A308,{"0","1","2"},"")))))))))+1, 1) * 10^ROW(INDIRECT("1:"&amp;LEN((LEFT(A308,SUM(LEN(A308)-LEN(SUBSTITUTE(A308,{"0","1","2"},""))))))))/10))*1+1&amp;""&amp;" ,.., "&amp;""&amp;(SUMPRODUCT(MID(0&amp;(--TRIM(RIGHT(SUBSTITUTE(LEFT(A308,_xlfn.AGGREGATE(16,6,FIND({0,1,2,3,4,5,6,7,8,9},A308,ROW(INDIRECT("1:"&amp;LEN(A308)))),1))," ",REPT(" ",LEN(A308))),LEN(A308)))), LARGE(INDEX(ISNUMBER(--MID((--TRIM(RIGHT(SUBSTITUTE(LEFT(A308,_xlfn.AGGREGATE(16,6,FIND({0,1,2,3,4,5,6,7,8,9},A308,ROW(INDIRECT("1:"&amp;LEN(A308)))),1))," ",REPT(" ",LEN(A308))),LEN(A308)))), ROW(INDIRECT("1:"&amp;LEN((--TRIM(RIGHT(SUBSTITUTE(LEFT(A308,_xlfn.AGGREGATE(16,6,FIND({0,1,2,3,4,5,6,7,8,9},A308,ROW(INDIRECT("1:"&amp;LEN(A308)))),1))," ",REPT(" ",LEN(A308))),LEN(A308))))))), 1)) * ROW(INDIRECT("1:"&amp;LEN((--TRIM(RIGHT(SUBSTITUTE(LEFT(A308,_xlfn.AGGREGATE(16,6,FIND({0,1,2,3,4,5,6,7,8,9},A308,ROW(INDIRECT("1:"&amp;LEN(A308)))),1))," ",REPT(" ",LEN(A308))),LEN(A308))))))), 0), ROW(INDIRECT("1:"&amp;LEN((--TRIM(RIGHT(SUBSTITUTE(LEFT(A308,_xlfn.AGGREGATE(16,6,FIND({0,1,2,3,4,5,6,7,8,9},A308,ROW(INDIRECT("1:"&amp;LEN(A308)))),1))," ",REPT(" ",LEN(A308))),LEN(A308))))))))+1, 1) * 10^ROW(INDIRECT("1:"&amp;LEN((--TRIM(RIGHT(SUBSTITUTE(LEFT(A308,_xlfn.AGGREGATE(16,6,FIND({0,1,2,3,4,5,6,7,8,9},A308,ROW(INDIRECT("1:"&amp;LEN(A308)))),1))," ",REPT(" ",LEN(A308))),LEN(A308)))))))/10))*1+1</f>
        <v>305 ,.., 1505</v>
      </c>
      <c r="B309" s="106"/>
      <c r="C309" s="41"/>
      <c r="D309" s="41"/>
      <c r="E309" s="41">
        <v>0</v>
      </c>
      <c r="F309" s="41">
        <f>D309+E309</f>
        <v>0</v>
      </c>
      <c r="G309" s="41">
        <v>0</v>
      </c>
      <c r="H309" s="41">
        <f>F309*(($H$147)+1)+(IF(G309&lt;101,G309,IF(G309&lt;201,G309/2,IF(G309&lt;=301,G309/3,G309/4))))</f>
        <v>0</v>
      </c>
      <c r="I309" s="35"/>
    </row>
    <row r="310" spans="1:9" s="36" customFormat="1" hidden="1" x14ac:dyDescent="0.25">
      <c r="A310" s="136" t="s">
        <v>143</v>
      </c>
      <c r="B310" s="137"/>
      <c r="C310" s="137"/>
      <c r="D310" s="137"/>
      <c r="E310" s="137"/>
      <c r="F310" s="137"/>
      <c r="G310" s="137"/>
      <c r="H310" s="138"/>
      <c r="I310" s="35"/>
    </row>
    <row r="311" spans="1:9" s="36" customFormat="1" ht="15.75" hidden="1" customHeight="1" x14ac:dyDescent="0.25">
      <c r="A311" s="105" t="str">
        <f ca="1">(SUMPRODUCT(MID(0&amp;(LEFT(A310,SUM(LEN(A310)-LEN(SUBSTITUTE(A310,{"0","1","2"},""))))), LARGE(INDEX(ISNUMBER(--MID((LEFT(A310,SUM(LEN(A310)-LEN(SUBSTITUTE(A310,{"0","1","2"},""))))), ROW(INDIRECT("1:"&amp;LEN((LEFT(A310,SUM(LEN(A310)-LEN(SUBSTITUTE(A310,{"0","1","2"},"")))))))), 1)) * ROW(INDIRECT("1:"&amp;LEN((LEFT(A310,SUM(LEN(A310)-LEN(SUBSTITUTE(A310,{"0","1","2"},"")))))))), 0), ROW(INDIRECT("1:"&amp;LEN((LEFT(A310,SUM(LEN(A310)-LEN(SUBSTITUTE(A310,{"0","1","2"},"")))))))))+1, 1) * 10^ROW(INDIRECT("1:"&amp;LEN((LEFT(A310,SUM(LEN(A310)-LEN(SUBSTITUTE(A310,{"0","1","2"},""))))))))/10))*100+1&amp;""&amp;" to "&amp;""&amp;(SUMPRODUCT(MID(0&amp;(--TRIM(RIGHT(SUBSTITUTE(LEFT(A310,_xlfn.AGGREGATE(16,6,FIND({0,1,2,3,4,5,6,7,8,9},A310,ROW(INDIRECT("1:"&amp;LEN(A310)))),1))," ",REPT(" ",LEN(A310))),LEN(A310)))), LARGE(INDEX(ISNUMBER(--MID((--TRIM(RIGHT(SUBSTITUTE(LEFT(A310,_xlfn.AGGREGATE(16,6,FIND({0,1,2,3,4,5,6,7,8,9},A310,ROW(INDIRECT("1:"&amp;LEN(A310)))),1))," ",REPT(" ",LEN(A310))),LEN(A310)))), ROW(INDIRECT("1:"&amp;LEN((--TRIM(RIGHT(SUBSTITUTE(LEFT(A310,_xlfn.AGGREGATE(16,6,FIND({0,1,2,3,4,5,6,7,8,9},A310,ROW(INDIRECT("1:"&amp;LEN(A310)))),1))," ",REPT(" ",LEN(A310))),LEN(A310))))))), 1)) * ROW(INDIRECT("1:"&amp;LEN((--TRIM(RIGHT(SUBSTITUTE(LEFT(A310,_xlfn.AGGREGATE(16,6,FIND({0,1,2,3,4,5,6,7,8,9},A310,ROW(INDIRECT("1:"&amp;LEN(A310)))),1))," ",REPT(" ",LEN(A310))),LEN(A310))))))), 0), ROW(INDIRECT("1:"&amp;LEN((--TRIM(RIGHT(SUBSTITUTE(LEFT(A310,_xlfn.AGGREGATE(16,6,FIND({0,1,2,3,4,5,6,7,8,9},A310,ROW(INDIRECT("1:"&amp;LEN(A310)))),1))," ",REPT(" ",LEN(A310))),LEN(A310))))))))+1, 1) * 10^ROW(INDIRECT("1:"&amp;LEN((--TRIM(RIGHT(SUBSTITUTE(LEFT(A310,_xlfn.AGGREGATE(16,6,FIND({0,1,2,3,4,5,6,7,8,9},A310,ROW(INDIRECT("1:"&amp;LEN(A310)))),1))," ",REPT(" ",LEN(A310))),LEN(A310)))))))/10))*100+1</f>
        <v>201 to 501</v>
      </c>
      <c r="B311" s="106"/>
      <c r="C311" s="41"/>
      <c r="D311" s="41"/>
      <c r="E311" s="41">
        <v>0</v>
      </c>
      <c r="F311" s="41">
        <f>D311+E311</f>
        <v>0</v>
      </c>
      <c r="G311" s="41">
        <v>0</v>
      </c>
      <c r="H311" s="41">
        <f>F311*(($H$147)+1)+(IF(G311&lt;101,G311,IF(G311&lt;201,G311/2,IF(G311&lt;=301,G311/3,G311/4))))</f>
        <v>0</v>
      </c>
      <c r="I311" s="35"/>
    </row>
    <row r="312" spans="1:9" s="36" customFormat="1" ht="15.75" hidden="1" customHeight="1" x14ac:dyDescent="0.25">
      <c r="A312" s="105" t="str">
        <f ca="1">(SUMPRODUCT(MID(0&amp;(LEFT(A311,SUM(LEN(A311)-LEN(SUBSTITUTE(A311,{"0","1","2"},""))))), LARGE(INDEX(ISNUMBER(--MID((LEFT(A311,SUM(LEN(A311)-LEN(SUBSTITUTE(A311,{"0","1","2"},""))))), ROW(INDIRECT("1:"&amp;LEN((LEFT(A311,SUM(LEN(A311)-LEN(SUBSTITUTE(A311,{"0","1","2"},"")))))))), 1)) * ROW(INDIRECT("1:"&amp;LEN((LEFT(A311,SUM(LEN(A311)-LEN(SUBSTITUTE(A311,{"0","1","2"},"")))))))), 0), ROW(INDIRECT("1:"&amp;LEN((LEFT(A311,SUM(LEN(A311)-LEN(SUBSTITUTE(A311,{"0","1","2"},"")))))))))+1, 1) * 10^ROW(INDIRECT("1:"&amp;LEN((LEFT(A311,SUM(LEN(A311)-LEN(SUBSTITUTE(A311,{"0","1","2"},""))))))))/10))*1+1&amp;""&amp;" to "&amp;""&amp;(SUMPRODUCT(MID(0&amp;(--TRIM(RIGHT(SUBSTITUTE(LEFT(A311,_xlfn.AGGREGATE(16,6,FIND({0,1,2,3,4,5,6,7,8,9},A311,ROW(INDIRECT("1:"&amp;LEN(A311)))),1))," ",REPT(" ",LEN(A311))),LEN(A311)))), LARGE(INDEX(ISNUMBER(--MID((--TRIM(RIGHT(SUBSTITUTE(LEFT(A311,_xlfn.AGGREGATE(16,6,FIND({0,1,2,3,4,5,6,7,8,9},A311,ROW(INDIRECT("1:"&amp;LEN(A311)))),1))," ",REPT(" ",LEN(A311))),LEN(A311)))), ROW(INDIRECT("1:"&amp;LEN((--TRIM(RIGHT(SUBSTITUTE(LEFT(A311,_xlfn.AGGREGATE(16,6,FIND({0,1,2,3,4,5,6,7,8,9},A311,ROW(INDIRECT("1:"&amp;LEN(A311)))),1))," ",REPT(" ",LEN(A311))),LEN(A311))))))), 1)) * ROW(INDIRECT("1:"&amp;LEN((--TRIM(RIGHT(SUBSTITUTE(LEFT(A311,_xlfn.AGGREGATE(16,6,FIND({0,1,2,3,4,5,6,7,8,9},A311,ROW(INDIRECT("1:"&amp;LEN(A311)))),1))," ",REPT(" ",LEN(A311))),LEN(A311))))))), 0), ROW(INDIRECT("1:"&amp;LEN((--TRIM(RIGHT(SUBSTITUTE(LEFT(A311,_xlfn.AGGREGATE(16,6,FIND({0,1,2,3,4,5,6,7,8,9},A311,ROW(INDIRECT("1:"&amp;LEN(A311)))),1))," ",REPT(" ",LEN(A311))),LEN(A311))))))))+1, 1) * 10^ROW(INDIRECT("1:"&amp;LEN((--TRIM(RIGHT(SUBSTITUTE(LEFT(A311,_xlfn.AGGREGATE(16,6,FIND({0,1,2,3,4,5,6,7,8,9},A311,ROW(INDIRECT("1:"&amp;LEN(A311)))),1))," ",REPT(" ",LEN(A311))),LEN(A311)))))))/10))*1+1</f>
        <v>202 to 502</v>
      </c>
      <c r="B312" s="106"/>
      <c r="C312" s="41"/>
      <c r="D312" s="41"/>
      <c r="E312" s="41">
        <v>0</v>
      </c>
      <c r="F312" s="41">
        <f>D312+E312</f>
        <v>0</v>
      </c>
      <c r="G312" s="41">
        <v>0</v>
      </c>
      <c r="H312" s="41">
        <f>F312*(($H$147)+1)+(IF(G312&lt;101,G312,IF(G312&lt;201,G312/2,IF(G312&lt;=301,G312/3,G312/4))))</f>
        <v>0</v>
      </c>
      <c r="I312" s="35"/>
    </row>
    <row r="313" spans="1:9" s="36" customFormat="1" ht="15.75" hidden="1" customHeight="1" x14ac:dyDescent="0.25">
      <c r="A313" s="105" t="str">
        <f ca="1">(SUMPRODUCT(MID(0&amp;(LEFT(A312,SUM(LEN(A312)-LEN(SUBSTITUTE(A312,{"0","1","2"},""))))), LARGE(INDEX(ISNUMBER(--MID((LEFT(A312,SUM(LEN(A312)-LEN(SUBSTITUTE(A312,{"0","1","2"},""))))), ROW(INDIRECT("1:"&amp;LEN((LEFT(A312,SUM(LEN(A312)-LEN(SUBSTITUTE(A312,{"0","1","2"},"")))))))), 1)) * ROW(INDIRECT("1:"&amp;LEN((LEFT(A312,SUM(LEN(A312)-LEN(SUBSTITUTE(A312,{"0","1","2"},"")))))))), 0), ROW(INDIRECT("1:"&amp;LEN((LEFT(A312,SUM(LEN(A312)-LEN(SUBSTITUTE(A312,{"0","1","2"},"")))))))))+1, 1) * 10^ROW(INDIRECT("1:"&amp;LEN((LEFT(A312,SUM(LEN(A312)-LEN(SUBSTITUTE(A312,{"0","1","2"},""))))))))/10))*1+1&amp;""&amp;" to "&amp;""&amp;(SUMPRODUCT(MID(0&amp;(--TRIM(RIGHT(SUBSTITUTE(LEFT(A312,_xlfn.AGGREGATE(16,6,FIND({0,1,2,3,4,5,6,7,8,9},A312,ROW(INDIRECT("1:"&amp;LEN(A312)))),1))," ",REPT(" ",LEN(A312))),LEN(A312)))), LARGE(INDEX(ISNUMBER(--MID((--TRIM(RIGHT(SUBSTITUTE(LEFT(A312,_xlfn.AGGREGATE(16,6,FIND({0,1,2,3,4,5,6,7,8,9},A312,ROW(INDIRECT("1:"&amp;LEN(A312)))),1))," ",REPT(" ",LEN(A312))),LEN(A312)))), ROW(INDIRECT("1:"&amp;LEN((--TRIM(RIGHT(SUBSTITUTE(LEFT(A312,_xlfn.AGGREGATE(16,6,FIND({0,1,2,3,4,5,6,7,8,9},A312,ROW(INDIRECT("1:"&amp;LEN(A312)))),1))," ",REPT(" ",LEN(A312))),LEN(A312))))))), 1)) * ROW(INDIRECT("1:"&amp;LEN((--TRIM(RIGHT(SUBSTITUTE(LEFT(A312,_xlfn.AGGREGATE(16,6,FIND({0,1,2,3,4,5,6,7,8,9},A312,ROW(INDIRECT("1:"&amp;LEN(A312)))),1))," ",REPT(" ",LEN(A312))),LEN(A312))))))), 0), ROW(INDIRECT("1:"&amp;LEN((--TRIM(RIGHT(SUBSTITUTE(LEFT(A312,_xlfn.AGGREGATE(16,6,FIND({0,1,2,3,4,5,6,7,8,9},A312,ROW(INDIRECT("1:"&amp;LEN(A312)))),1))," ",REPT(" ",LEN(A312))),LEN(A312))))))))+1, 1) * 10^ROW(INDIRECT("1:"&amp;LEN((--TRIM(RIGHT(SUBSTITUTE(LEFT(A312,_xlfn.AGGREGATE(16,6,FIND({0,1,2,3,4,5,6,7,8,9},A312,ROW(INDIRECT("1:"&amp;LEN(A312)))),1))," ",REPT(" ",LEN(A312))),LEN(A312)))))))/10))*1+1</f>
        <v>203 to 503</v>
      </c>
      <c r="B313" s="106"/>
      <c r="C313" s="41"/>
      <c r="D313" s="41"/>
      <c r="E313" s="41">
        <v>0</v>
      </c>
      <c r="F313" s="41">
        <f>D313+E313</f>
        <v>0</v>
      </c>
      <c r="G313" s="41">
        <v>0</v>
      </c>
      <c r="H313" s="41">
        <f>F313*(($H$147)+1)+(IF(G313&lt;101,G313,IF(G313&lt;201,G313/2,IF(G313&lt;=301,G313/3,G313/4))))</f>
        <v>0</v>
      </c>
      <c r="I313" s="35"/>
    </row>
    <row r="314" spans="1:9" s="36" customFormat="1" ht="15.75" hidden="1" customHeight="1" x14ac:dyDescent="0.25">
      <c r="A314" s="105" t="str">
        <f ca="1">(SUMPRODUCT(MID(0&amp;(LEFT(A313,SUM(LEN(A313)-LEN(SUBSTITUTE(A313,{"0","1","2"},""))))), LARGE(INDEX(ISNUMBER(--MID((LEFT(A313,SUM(LEN(A313)-LEN(SUBSTITUTE(A313,{"0","1","2"},""))))), ROW(INDIRECT("1:"&amp;LEN((LEFT(A313,SUM(LEN(A313)-LEN(SUBSTITUTE(A313,{"0","1","2"},"")))))))), 1)) * ROW(INDIRECT("1:"&amp;LEN((LEFT(A313,SUM(LEN(A313)-LEN(SUBSTITUTE(A313,{"0","1","2"},"")))))))), 0), ROW(INDIRECT("1:"&amp;LEN((LEFT(A313,SUM(LEN(A313)-LEN(SUBSTITUTE(A313,{"0","1","2"},"")))))))))+1, 1) * 10^ROW(INDIRECT("1:"&amp;LEN((LEFT(A313,SUM(LEN(A313)-LEN(SUBSTITUTE(A313,{"0","1","2"},""))))))))/10))*1+1&amp;""&amp;" to "&amp;""&amp;(SUMPRODUCT(MID(0&amp;(--TRIM(RIGHT(SUBSTITUTE(LEFT(A313,_xlfn.AGGREGATE(16,6,FIND({0,1,2,3,4,5,6,7,8,9},A313,ROW(INDIRECT("1:"&amp;LEN(A313)))),1))," ",REPT(" ",LEN(A313))),LEN(A313)))), LARGE(INDEX(ISNUMBER(--MID((--TRIM(RIGHT(SUBSTITUTE(LEFT(A313,_xlfn.AGGREGATE(16,6,FIND({0,1,2,3,4,5,6,7,8,9},A313,ROW(INDIRECT("1:"&amp;LEN(A313)))),1))," ",REPT(" ",LEN(A313))),LEN(A313)))), ROW(INDIRECT("1:"&amp;LEN((--TRIM(RIGHT(SUBSTITUTE(LEFT(A313,_xlfn.AGGREGATE(16,6,FIND({0,1,2,3,4,5,6,7,8,9},A313,ROW(INDIRECT("1:"&amp;LEN(A313)))),1))," ",REPT(" ",LEN(A313))),LEN(A313))))))), 1)) * ROW(INDIRECT("1:"&amp;LEN((--TRIM(RIGHT(SUBSTITUTE(LEFT(A313,_xlfn.AGGREGATE(16,6,FIND({0,1,2,3,4,5,6,7,8,9},A313,ROW(INDIRECT("1:"&amp;LEN(A313)))),1))," ",REPT(" ",LEN(A313))),LEN(A313))))))), 0), ROW(INDIRECT("1:"&amp;LEN((--TRIM(RIGHT(SUBSTITUTE(LEFT(A313,_xlfn.AGGREGATE(16,6,FIND({0,1,2,3,4,5,6,7,8,9},A313,ROW(INDIRECT("1:"&amp;LEN(A313)))),1))," ",REPT(" ",LEN(A313))),LEN(A313))))))))+1, 1) * 10^ROW(INDIRECT("1:"&amp;LEN((--TRIM(RIGHT(SUBSTITUTE(LEFT(A313,_xlfn.AGGREGATE(16,6,FIND({0,1,2,3,4,5,6,7,8,9},A313,ROW(INDIRECT("1:"&amp;LEN(A313)))),1))," ",REPT(" ",LEN(A313))),LEN(A313)))))))/10))*1+1</f>
        <v>204 to 504</v>
      </c>
      <c r="B314" s="106"/>
      <c r="C314" s="41"/>
      <c r="D314" s="41"/>
      <c r="E314" s="41">
        <v>0</v>
      </c>
      <c r="F314" s="41">
        <f>D314+E314</f>
        <v>0</v>
      </c>
      <c r="G314" s="41">
        <v>0</v>
      </c>
      <c r="H314" s="41">
        <f>F314*(($H$147)+1)+(IF(G314&lt;101,G314,IF(G314&lt;201,G314/2,IF(G314&lt;=301,G314/3,G314/4))))</f>
        <v>0</v>
      </c>
      <c r="I314" s="35"/>
    </row>
    <row r="315" spans="1:9" s="36" customFormat="1" ht="15.75" hidden="1" customHeight="1" x14ac:dyDescent="0.25">
      <c r="A315" s="105" t="str">
        <f ca="1">(SUMPRODUCT(MID(0&amp;(LEFT(A314,SUM(LEN(A314)-LEN(SUBSTITUTE(A314,{"0","1","2"},""))))), LARGE(INDEX(ISNUMBER(--MID((LEFT(A314,SUM(LEN(A314)-LEN(SUBSTITUTE(A314,{"0","1","2"},""))))), ROW(INDIRECT("1:"&amp;LEN((LEFT(A314,SUM(LEN(A314)-LEN(SUBSTITUTE(A314,{"0","1","2"},"")))))))), 1)) * ROW(INDIRECT("1:"&amp;LEN((LEFT(A314,SUM(LEN(A314)-LEN(SUBSTITUTE(A314,{"0","1","2"},"")))))))), 0), ROW(INDIRECT("1:"&amp;LEN((LEFT(A314,SUM(LEN(A314)-LEN(SUBSTITUTE(A314,{"0","1","2"},"")))))))))+1, 1) * 10^ROW(INDIRECT("1:"&amp;LEN((LEFT(A314,SUM(LEN(A314)-LEN(SUBSTITUTE(A314,{"0","1","2"},""))))))))/10))*1+1&amp;""&amp;" to "&amp;""&amp;(SUMPRODUCT(MID(0&amp;(--TRIM(RIGHT(SUBSTITUTE(LEFT(A314,_xlfn.AGGREGATE(16,6,FIND({0,1,2,3,4,5,6,7,8,9},A314,ROW(INDIRECT("1:"&amp;LEN(A314)))),1))," ",REPT(" ",LEN(A314))),LEN(A314)))), LARGE(INDEX(ISNUMBER(--MID((--TRIM(RIGHT(SUBSTITUTE(LEFT(A314,_xlfn.AGGREGATE(16,6,FIND({0,1,2,3,4,5,6,7,8,9},A314,ROW(INDIRECT("1:"&amp;LEN(A314)))),1))," ",REPT(" ",LEN(A314))),LEN(A314)))), ROW(INDIRECT("1:"&amp;LEN((--TRIM(RIGHT(SUBSTITUTE(LEFT(A314,_xlfn.AGGREGATE(16,6,FIND({0,1,2,3,4,5,6,7,8,9},A314,ROW(INDIRECT("1:"&amp;LEN(A314)))),1))," ",REPT(" ",LEN(A314))),LEN(A314))))))), 1)) * ROW(INDIRECT("1:"&amp;LEN((--TRIM(RIGHT(SUBSTITUTE(LEFT(A314,_xlfn.AGGREGATE(16,6,FIND({0,1,2,3,4,5,6,7,8,9},A314,ROW(INDIRECT("1:"&amp;LEN(A314)))),1))," ",REPT(" ",LEN(A314))),LEN(A314))))))), 0), ROW(INDIRECT("1:"&amp;LEN((--TRIM(RIGHT(SUBSTITUTE(LEFT(A314,_xlfn.AGGREGATE(16,6,FIND({0,1,2,3,4,5,6,7,8,9},A314,ROW(INDIRECT("1:"&amp;LEN(A314)))),1))," ",REPT(" ",LEN(A314))),LEN(A314))))))))+1, 1) * 10^ROW(INDIRECT("1:"&amp;LEN((--TRIM(RIGHT(SUBSTITUTE(LEFT(A314,_xlfn.AGGREGATE(16,6,FIND({0,1,2,3,4,5,6,7,8,9},A314,ROW(INDIRECT("1:"&amp;LEN(A314)))),1))," ",REPT(" ",LEN(A314))),LEN(A314)))))))/10))*1+1</f>
        <v>205 to 505</v>
      </c>
      <c r="B315" s="106"/>
      <c r="C315" s="41"/>
      <c r="D315" s="41"/>
      <c r="E315" s="41">
        <v>0</v>
      </c>
      <c r="F315" s="41">
        <f>D315+E315</f>
        <v>0</v>
      </c>
      <c r="G315" s="41">
        <v>0</v>
      </c>
      <c r="H315" s="41">
        <f>F315*(($H$147)+1)+(IF(G315&lt;101,G315,IF(G315&lt;201,G315/2,IF(G315&lt;=301,G315/3,G315/4))))</f>
        <v>0</v>
      </c>
      <c r="I315" s="35"/>
    </row>
    <row r="316" spans="1:9" s="36" customFormat="1" hidden="1" x14ac:dyDescent="0.25">
      <c r="A316" s="136" t="s">
        <v>144</v>
      </c>
      <c r="B316" s="137"/>
      <c r="C316" s="137"/>
      <c r="D316" s="137"/>
      <c r="E316" s="137"/>
      <c r="F316" s="137"/>
      <c r="G316" s="137"/>
      <c r="H316" s="138"/>
      <c r="I316" s="35"/>
    </row>
    <row r="317" spans="1:9" s="36" customFormat="1" ht="15.75" hidden="1" customHeight="1" x14ac:dyDescent="0.25">
      <c r="A317" s="105" t="str">
        <f ca="1">(SUMPRODUCT(MID(0&amp;(LEFT(A316,SUM(LEN(A316)-LEN(SUBSTITUTE(A316,{"0","1","2"},""))))), LARGE(INDEX(ISNUMBER(--MID((LEFT(A316,SUM(LEN(A316)-LEN(SUBSTITUTE(A316,{"0","1","2"},""))))), ROW(INDIRECT("1:"&amp;LEN((LEFT(A316,SUM(LEN(A316)-LEN(SUBSTITUTE(A316,{"0","1","2"},"")))))))), 1)) * ROW(INDIRECT("1:"&amp;LEN((LEFT(A316,SUM(LEN(A316)-LEN(SUBSTITUTE(A316,{"0","1","2"},"")))))))), 0), ROW(INDIRECT("1:"&amp;LEN((LEFT(A316,SUM(LEN(A316)-LEN(SUBSTITUTE(A316,{"0","1","2"},"")))))))))+1, 1) * 10^ROW(INDIRECT("1:"&amp;LEN((LEFT(A316,SUM(LEN(A316)-LEN(SUBSTITUTE(A316,{"0","1","2"},""))))))))/10))*100+1&amp;""&amp;" &amp; "&amp;""&amp;(SUMPRODUCT(MID(0&amp;(--TRIM(RIGHT(SUBSTITUTE(LEFT(A316,_xlfn.AGGREGATE(16,6,FIND({0,1,2,3,4,5,6,7,8,9},A316,ROW(INDIRECT("1:"&amp;LEN(A316)))),1))," ",REPT(" ",LEN(A316))),LEN(A316)))), LARGE(INDEX(ISNUMBER(--MID((--TRIM(RIGHT(SUBSTITUTE(LEFT(A316,_xlfn.AGGREGATE(16,6,FIND({0,1,2,3,4,5,6,7,8,9},A316,ROW(INDIRECT("1:"&amp;LEN(A316)))),1))," ",REPT(" ",LEN(A316))),LEN(A316)))), ROW(INDIRECT("1:"&amp;LEN((--TRIM(RIGHT(SUBSTITUTE(LEFT(A316,_xlfn.AGGREGATE(16,6,FIND({0,1,2,3,4,5,6,7,8,9},A316,ROW(INDIRECT("1:"&amp;LEN(A316)))),1))," ",REPT(" ",LEN(A316))),LEN(A316))))))), 1)) * ROW(INDIRECT("1:"&amp;LEN((--TRIM(RIGHT(SUBSTITUTE(LEFT(A316,_xlfn.AGGREGATE(16,6,FIND({0,1,2,3,4,5,6,7,8,9},A316,ROW(INDIRECT("1:"&amp;LEN(A316)))),1))," ",REPT(" ",LEN(A316))),LEN(A316))))))), 0), ROW(INDIRECT("1:"&amp;LEN((--TRIM(RIGHT(SUBSTITUTE(LEFT(A316,_xlfn.AGGREGATE(16,6,FIND({0,1,2,3,4,5,6,7,8,9},A316,ROW(INDIRECT("1:"&amp;LEN(A316)))),1))," ",REPT(" ",LEN(A316))),LEN(A316))))))))+1, 1) * 10^ROW(INDIRECT("1:"&amp;LEN((--TRIM(RIGHT(SUBSTITUTE(LEFT(A316,_xlfn.AGGREGATE(16,6,FIND({0,1,2,3,4,5,6,7,8,9},A316,ROW(INDIRECT("1:"&amp;LEN(A316)))),1))," ",REPT(" ",LEN(A316))),LEN(A316)))))))/10))*100+1</f>
        <v>201 &amp; 501</v>
      </c>
      <c r="B317" s="106"/>
      <c r="C317" s="41"/>
      <c r="D317" s="41"/>
      <c r="E317" s="41">
        <v>0</v>
      </c>
      <c r="F317" s="41">
        <f>D317+E317</f>
        <v>0</v>
      </c>
      <c r="G317" s="41">
        <v>0</v>
      </c>
      <c r="H317" s="41">
        <f>F317*(($H$147)+1)+(IF(G317&lt;101,G317,IF(G317&lt;201,G317/2,IF(G317&lt;=301,G317/3,G317/4))))</f>
        <v>0</v>
      </c>
      <c r="I317" s="35"/>
    </row>
    <row r="318" spans="1:9" s="36" customFormat="1" ht="15.75" hidden="1" customHeight="1" x14ac:dyDescent="0.25">
      <c r="A318" s="105" t="str">
        <f ca="1">(SUMPRODUCT(MID(0&amp;(LEFT(A317,SUM(LEN(A317)-LEN(SUBSTITUTE(A317,{"0","1","2"},""))))), LARGE(INDEX(ISNUMBER(--MID((LEFT(A317,SUM(LEN(A317)-LEN(SUBSTITUTE(A317,{"0","1","2"},""))))), ROW(INDIRECT("1:"&amp;LEN((LEFT(A317,SUM(LEN(A317)-LEN(SUBSTITUTE(A317,{"0","1","2"},"")))))))), 1)) * ROW(INDIRECT("1:"&amp;LEN((LEFT(A317,SUM(LEN(A317)-LEN(SUBSTITUTE(A317,{"0","1","2"},"")))))))), 0), ROW(INDIRECT("1:"&amp;LEN((LEFT(A317,SUM(LEN(A317)-LEN(SUBSTITUTE(A317,{"0","1","2"},"")))))))))+1, 1) * 10^ROW(INDIRECT("1:"&amp;LEN((LEFT(A317,SUM(LEN(A317)-LEN(SUBSTITUTE(A317,{"0","1","2"},""))))))))/10))*1+1&amp;""&amp;" &amp; "&amp;""&amp;(SUMPRODUCT(MID(0&amp;(--TRIM(RIGHT(SUBSTITUTE(LEFT(A317,_xlfn.AGGREGATE(16,6,FIND({0,1,2,3,4,5,6,7,8,9},A317,ROW(INDIRECT("1:"&amp;LEN(A317)))),1))," ",REPT(" ",LEN(A317))),LEN(A317)))), LARGE(INDEX(ISNUMBER(--MID((--TRIM(RIGHT(SUBSTITUTE(LEFT(A317,_xlfn.AGGREGATE(16,6,FIND({0,1,2,3,4,5,6,7,8,9},A317,ROW(INDIRECT("1:"&amp;LEN(A317)))),1))," ",REPT(" ",LEN(A317))),LEN(A317)))), ROW(INDIRECT("1:"&amp;LEN((--TRIM(RIGHT(SUBSTITUTE(LEFT(A317,_xlfn.AGGREGATE(16,6,FIND({0,1,2,3,4,5,6,7,8,9},A317,ROW(INDIRECT("1:"&amp;LEN(A317)))),1))," ",REPT(" ",LEN(A317))),LEN(A317))))))), 1)) * ROW(INDIRECT("1:"&amp;LEN((--TRIM(RIGHT(SUBSTITUTE(LEFT(A317,_xlfn.AGGREGATE(16,6,FIND({0,1,2,3,4,5,6,7,8,9},A317,ROW(INDIRECT("1:"&amp;LEN(A317)))),1))," ",REPT(" ",LEN(A317))),LEN(A317))))))), 0), ROW(INDIRECT("1:"&amp;LEN((--TRIM(RIGHT(SUBSTITUTE(LEFT(A317,_xlfn.AGGREGATE(16,6,FIND({0,1,2,3,4,5,6,7,8,9},A317,ROW(INDIRECT("1:"&amp;LEN(A317)))),1))," ",REPT(" ",LEN(A317))),LEN(A317))))))))+1, 1) * 10^ROW(INDIRECT("1:"&amp;LEN((--TRIM(RIGHT(SUBSTITUTE(LEFT(A317,_xlfn.AGGREGATE(16,6,FIND({0,1,2,3,4,5,6,7,8,9},A317,ROW(INDIRECT("1:"&amp;LEN(A317)))),1))," ",REPT(" ",LEN(A317))),LEN(A317)))))))/10))*1+1</f>
        <v>202 &amp; 502</v>
      </c>
      <c r="B318" s="106"/>
      <c r="C318" s="41"/>
      <c r="D318" s="41"/>
      <c r="E318" s="41">
        <v>0</v>
      </c>
      <c r="F318" s="41">
        <f>D318+E318</f>
        <v>0</v>
      </c>
      <c r="G318" s="41">
        <v>0</v>
      </c>
      <c r="H318" s="41">
        <f>F318*(($H$147)+1)+(IF(G318&lt;101,G318,IF(G318&lt;201,G318/2,IF(G318&lt;=301,G318/3,G318/4))))</f>
        <v>0</v>
      </c>
      <c r="I318" s="35"/>
    </row>
    <row r="319" spans="1:9" s="36" customFormat="1" ht="15.75" hidden="1" customHeight="1" x14ac:dyDescent="0.25">
      <c r="A319" s="105" t="str">
        <f ca="1">(SUMPRODUCT(MID(0&amp;(LEFT(A318,SUM(LEN(A318)-LEN(SUBSTITUTE(A318,{"0","1","2"},""))))), LARGE(INDEX(ISNUMBER(--MID((LEFT(A318,SUM(LEN(A318)-LEN(SUBSTITUTE(A318,{"0","1","2"},""))))), ROW(INDIRECT("1:"&amp;LEN((LEFT(A318,SUM(LEN(A318)-LEN(SUBSTITUTE(A318,{"0","1","2"},"")))))))), 1)) * ROW(INDIRECT("1:"&amp;LEN((LEFT(A318,SUM(LEN(A318)-LEN(SUBSTITUTE(A318,{"0","1","2"},"")))))))), 0), ROW(INDIRECT("1:"&amp;LEN((LEFT(A318,SUM(LEN(A318)-LEN(SUBSTITUTE(A318,{"0","1","2"},"")))))))))+1, 1) * 10^ROW(INDIRECT("1:"&amp;LEN((LEFT(A318,SUM(LEN(A318)-LEN(SUBSTITUTE(A318,{"0","1","2"},""))))))))/10))*1+1&amp;""&amp;" &amp; "&amp;""&amp;(SUMPRODUCT(MID(0&amp;(--TRIM(RIGHT(SUBSTITUTE(LEFT(A318,_xlfn.AGGREGATE(16,6,FIND({0,1,2,3,4,5,6,7,8,9},A318,ROW(INDIRECT("1:"&amp;LEN(A318)))),1))," ",REPT(" ",LEN(A318))),LEN(A318)))), LARGE(INDEX(ISNUMBER(--MID((--TRIM(RIGHT(SUBSTITUTE(LEFT(A318,_xlfn.AGGREGATE(16,6,FIND({0,1,2,3,4,5,6,7,8,9},A318,ROW(INDIRECT("1:"&amp;LEN(A318)))),1))," ",REPT(" ",LEN(A318))),LEN(A318)))), ROW(INDIRECT("1:"&amp;LEN((--TRIM(RIGHT(SUBSTITUTE(LEFT(A318,_xlfn.AGGREGATE(16,6,FIND({0,1,2,3,4,5,6,7,8,9},A318,ROW(INDIRECT("1:"&amp;LEN(A318)))),1))," ",REPT(" ",LEN(A318))),LEN(A318))))))), 1)) * ROW(INDIRECT("1:"&amp;LEN((--TRIM(RIGHT(SUBSTITUTE(LEFT(A318,_xlfn.AGGREGATE(16,6,FIND({0,1,2,3,4,5,6,7,8,9},A318,ROW(INDIRECT("1:"&amp;LEN(A318)))),1))," ",REPT(" ",LEN(A318))),LEN(A318))))))), 0), ROW(INDIRECT("1:"&amp;LEN((--TRIM(RIGHT(SUBSTITUTE(LEFT(A318,_xlfn.AGGREGATE(16,6,FIND({0,1,2,3,4,5,6,7,8,9},A318,ROW(INDIRECT("1:"&amp;LEN(A318)))),1))," ",REPT(" ",LEN(A318))),LEN(A318))))))))+1, 1) * 10^ROW(INDIRECT("1:"&amp;LEN((--TRIM(RIGHT(SUBSTITUTE(LEFT(A318,_xlfn.AGGREGATE(16,6,FIND({0,1,2,3,4,5,6,7,8,9},A318,ROW(INDIRECT("1:"&amp;LEN(A318)))),1))," ",REPT(" ",LEN(A318))),LEN(A318)))))))/10))*1+1</f>
        <v>203 &amp; 503</v>
      </c>
      <c r="B319" s="106"/>
      <c r="C319" s="41"/>
      <c r="D319" s="41"/>
      <c r="E319" s="41">
        <v>0</v>
      </c>
      <c r="F319" s="41">
        <f>D319+E319</f>
        <v>0</v>
      </c>
      <c r="G319" s="41">
        <v>0</v>
      </c>
      <c r="H319" s="41">
        <f>F319*(($H$147)+1)+(IF(G319&lt;101,G319,IF(G319&lt;201,G319/2,IF(G319&lt;=301,G319/3,G319/4))))</f>
        <v>0</v>
      </c>
      <c r="I319" s="35"/>
    </row>
    <row r="320" spans="1:9" s="36" customFormat="1" ht="15.75" hidden="1" customHeight="1" x14ac:dyDescent="0.25">
      <c r="A320" s="105" t="str">
        <f ca="1">(SUMPRODUCT(MID(0&amp;(LEFT(A319,SUM(LEN(A319)-LEN(SUBSTITUTE(A319,{"0","1","2"},""))))), LARGE(INDEX(ISNUMBER(--MID((LEFT(A319,SUM(LEN(A319)-LEN(SUBSTITUTE(A319,{"0","1","2"},""))))), ROW(INDIRECT("1:"&amp;LEN((LEFT(A319,SUM(LEN(A319)-LEN(SUBSTITUTE(A319,{"0","1","2"},"")))))))), 1)) * ROW(INDIRECT("1:"&amp;LEN((LEFT(A319,SUM(LEN(A319)-LEN(SUBSTITUTE(A319,{"0","1","2"},"")))))))), 0), ROW(INDIRECT("1:"&amp;LEN((LEFT(A319,SUM(LEN(A319)-LEN(SUBSTITUTE(A319,{"0","1","2"},"")))))))))+1, 1) * 10^ROW(INDIRECT("1:"&amp;LEN((LEFT(A319,SUM(LEN(A319)-LEN(SUBSTITUTE(A319,{"0","1","2"},""))))))))/10))*1+1&amp;""&amp;" &amp; "&amp;""&amp;(SUMPRODUCT(MID(0&amp;(--TRIM(RIGHT(SUBSTITUTE(LEFT(A319,_xlfn.AGGREGATE(16,6,FIND({0,1,2,3,4,5,6,7,8,9},A319,ROW(INDIRECT("1:"&amp;LEN(A319)))),1))," ",REPT(" ",LEN(A319))),LEN(A319)))), LARGE(INDEX(ISNUMBER(--MID((--TRIM(RIGHT(SUBSTITUTE(LEFT(A319,_xlfn.AGGREGATE(16,6,FIND({0,1,2,3,4,5,6,7,8,9},A319,ROW(INDIRECT("1:"&amp;LEN(A319)))),1))," ",REPT(" ",LEN(A319))),LEN(A319)))), ROW(INDIRECT("1:"&amp;LEN((--TRIM(RIGHT(SUBSTITUTE(LEFT(A319,_xlfn.AGGREGATE(16,6,FIND({0,1,2,3,4,5,6,7,8,9},A319,ROW(INDIRECT("1:"&amp;LEN(A319)))),1))," ",REPT(" ",LEN(A319))),LEN(A319))))))), 1)) * ROW(INDIRECT("1:"&amp;LEN((--TRIM(RIGHT(SUBSTITUTE(LEFT(A319,_xlfn.AGGREGATE(16,6,FIND({0,1,2,3,4,5,6,7,8,9},A319,ROW(INDIRECT("1:"&amp;LEN(A319)))),1))," ",REPT(" ",LEN(A319))),LEN(A319))))))), 0), ROW(INDIRECT("1:"&amp;LEN((--TRIM(RIGHT(SUBSTITUTE(LEFT(A319,_xlfn.AGGREGATE(16,6,FIND({0,1,2,3,4,5,6,7,8,9},A319,ROW(INDIRECT("1:"&amp;LEN(A319)))),1))," ",REPT(" ",LEN(A319))),LEN(A319))))))))+1, 1) * 10^ROW(INDIRECT("1:"&amp;LEN((--TRIM(RIGHT(SUBSTITUTE(LEFT(A319,_xlfn.AGGREGATE(16,6,FIND({0,1,2,3,4,5,6,7,8,9},A319,ROW(INDIRECT("1:"&amp;LEN(A319)))),1))," ",REPT(" ",LEN(A319))),LEN(A319)))))))/10))*1+1</f>
        <v>204 &amp; 504</v>
      </c>
      <c r="B320" s="106"/>
      <c r="C320" s="41"/>
      <c r="D320" s="41"/>
      <c r="E320" s="41">
        <v>0</v>
      </c>
      <c r="F320" s="41">
        <f>D320+E320</f>
        <v>0</v>
      </c>
      <c r="G320" s="41">
        <v>0</v>
      </c>
      <c r="H320" s="41">
        <f>F320*(($H$147)+1)+(IF(G320&lt;101,G320,IF(G320&lt;201,G320/2,IF(G320&lt;=301,G320/3,G320/4))))</f>
        <v>0</v>
      </c>
      <c r="I320" s="35"/>
    </row>
    <row r="321" spans="1:20" s="36" customFormat="1" ht="15.75" hidden="1" customHeight="1" x14ac:dyDescent="0.25">
      <c r="A321" s="105" t="str">
        <f ca="1">(SUMPRODUCT(MID(0&amp;(LEFT(A320,SUM(LEN(A320)-LEN(SUBSTITUTE(A320,{"0","1","2"},""))))), LARGE(INDEX(ISNUMBER(--MID((LEFT(A320,SUM(LEN(A320)-LEN(SUBSTITUTE(A320,{"0","1","2"},""))))), ROW(INDIRECT("1:"&amp;LEN((LEFT(A320,SUM(LEN(A320)-LEN(SUBSTITUTE(A320,{"0","1","2"},"")))))))), 1)) * ROW(INDIRECT("1:"&amp;LEN((LEFT(A320,SUM(LEN(A320)-LEN(SUBSTITUTE(A320,{"0","1","2"},"")))))))), 0), ROW(INDIRECT("1:"&amp;LEN((LEFT(A320,SUM(LEN(A320)-LEN(SUBSTITUTE(A320,{"0","1","2"},"")))))))))+1, 1) * 10^ROW(INDIRECT("1:"&amp;LEN((LEFT(A320,SUM(LEN(A320)-LEN(SUBSTITUTE(A320,{"0","1","2"},""))))))))/10))*1+1&amp;""&amp;" &amp; "&amp;""&amp;(SUMPRODUCT(MID(0&amp;(--TRIM(RIGHT(SUBSTITUTE(LEFT(A320,_xlfn.AGGREGATE(16,6,FIND({0,1,2,3,4,5,6,7,8,9},A320,ROW(INDIRECT("1:"&amp;LEN(A320)))),1))," ",REPT(" ",LEN(A320))),LEN(A320)))), LARGE(INDEX(ISNUMBER(--MID((--TRIM(RIGHT(SUBSTITUTE(LEFT(A320,_xlfn.AGGREGATE(16,6,FIND({0,1,2,3,4,5,6,7,8,9},A320,ROW(INDIRECT("1:"&amp;LEN(A320)))),1))," ",REPT(" ",LEN(A320))),LEN(A320)))), ROW(INDIRECT("1:"&amp;LEN((--TRIM(RIGHT(SUBSTITUTE(LEFT(A320,_xlfn.AGGREGATE(16,6,FIND({0,1,2,3,4,5,6,7,8,9},A320,ROW(INDIRECT("1:"&amp;LEN(A320)))),1))," ",REPT(" ",LEN(A320))),LEN(A320))))))), 1)) * ROW(INDIRECT("1:"&amp;LEN((--TRIM(RIGHT(SUBSTITUTE(LEFT(A320,_xlfn.AGGREGATE(16,6,FIND({0,1,2,3,4,5,6,7,8,9},A320,ROW(INDIRECT("1:"&amp;LEN(A320)))),1))," ",REPT(" ",LEN(A320))),LEN(A320))))))), 0), ROW(INDIRECT("1:"&amp;LEN((--TRIM(RIGHT(SUBSTITUTE(LEFT(A320,_xlfn.AGGREGATE(16,6,FIND({0,1,2,3,4,5,6,7,8,9},A320,ROW(INDIRECT("1:"&amp;LEN(A320)))),1))," ",REPT(" ",LEN(A320))),LEN(A320))))))))+1, 1) * 10^ROW(INDIRECT("1:"&amp;LEN((--TRIM(RIGHT(SUBSTITUTE(LEFT(A320,_xlfn.AGGREGATE(16,6,FIND({0,1,2,3,4,5,6,7,8,9},A320,ROW(INDIRECT("1:"&amp;LEN(A320)))),1))," ",REPT(" ",LEN(A320))),LEN(A320)))))))/10))*1+1</f>
        <v>205 &amp; 505</v>
      </c>
      <c r="B321" s="106"/>
      <c r="C321" s="41"/>
      <c r="D321" s="41"/>
      <c r="E321" s="41">
        <v>0</v>
      </c>
      <c r="F321" s="41">
        <f>D321+E321</f>
        <v>0</v>
      </c>
      <c r="G321" s="41">
        <v>0</v>
      </c>
      <c r="H321" s="41">
        <f>F321*(($H$147)+1)+(IF(G321&lt;101,G321,IF(G321&lt;201,G321/2,IF(G321&lt;=301,G321/3,G321/4))))</f>
        <v>0</v>
      </c>
      <c r="I321" s="35"/>
    </row>
    <row r="322" spans="1:20" s="34" customFormat="1" x14ac:dyDescent="0.25">
      <c r="A322" s="284" t="s">
        <v>64</v>
      </c>
      <c r="B322" s="284"/>
      <c r="C322" s="284"/>
      <c r="D322" s="284"/>
      <c r="E322" s="284"/>
      <c r="F322" s="284"/>
      <c r="G322" s="284"/>
      <c r="H322" s="284"/>
      <c r="T322" s="36"/>
    </row>
    <row r="323" spans="1:20" s="34" customFormat="1" hidden="1" x14ac:dyDescent="0.25">
      <c r="A323" s="91" t="s">
        <v>153</v>
      </c>
      <c r="B323" s="152" t="s">
        <v>407</v>
      </c>
      <c r="C323" s="153"/>
      <c r="D323" s="153"/>
      <c r="E323" s="153"/>
      <c r="F323" s="153"/>
      <c r="G323" s="153"/>
      <c r="H323" s="154"/>
      <c r="T323" s="92"/>
    </row>
    <row r="324" spans="1:20" s="34" customFormat="1" ht="15.75" customHeight="1" x14ac:dyDescent="0.25">
      <c r="A324" s="96" t="s">
        <v>153</v>
      </c>
      <c r="B324" s="152" t="s">
        <v>406</v>
      </c>
      <c r="C324" s="153"/>
      <c r="D324" s="153"/>
      <c r="E324" s="153"/>
      <c r="F324" s="153"/>
      <c r="G324" s="153"/>
      <c r="H324" s="154"/>
      <c r="T324" s="97"/>
    </row>
    <row r="325" spans="1:20" s="34" customFormat="1" ht="31.5" hidden="1" customHeight="1" x14ac:dyDescent="0.25">
      <c r="A325" s="44" t="s">
        <v>153</v>
      </c>
      <c r="B325" s="147" t="s">
        <v>418</v>
      </c>
      <c r="C325" s="148"/>
      <c r="D325" s="148"/>
      <c r="E325" s="148"/>
      <c r="F325" s="148"/>
      <c r="G325" s="148"/>
      <c r="H325" s="149"/>
      <c r="T325" s="36"/>
    </row>
    <row r="326" spans="1:20" s="34" customFormat="1" x14ac:dyDescent="0.25">
      <c r="A326" s="44" t="s">
        <v>153</v>
      </c>
      <c r="B326" s="152" t="str">
        <f>(IF(H146="Saleable area Loading :","We have considered Saleable area of Flats as per our Calculation.","We considered Saleable area of Flat as per Builder area Sheet."))</f>
        <v>We have considered Saleable area of Flats as per our Calculation.</v>
      </c>
      <c r="C326" s="153"/>
      <c r="D326" s="153"/>
      <c r="E326" s="153"/>
      <c r="F326" s="153"/>
      <c r="G326" s="153"/>
      <c r="H326" s="154"/>
      <c r="T326" s="36"/>
    </row>
    <row r="327" spans="1:20" s="34" customFormat="1" x14ac:dyDescent="0.25">
      <c r="A327" s="44" t="s">
        <v>153</v>
      </c>
      <c r="B327" s="152" t="str">
        <f>(IF(H129="Saleable area Loading :","We have considered Saleable area of Commercial as per our Calculation.","We considered Saleable area of Commercial as per Builder area Sheet."))</f>
        <v>We have considered Saleable area of Commercial as per our Calculation.</v>
      </c>
      <c r="C327" s="153"/>
      <c r="D327" s="153"/>
      <c r="E327" s="153"/>
      <c r="F327" s="153"/>
      <c r="G327" s="153"/>
      <c r="H327" s="154"/>
      <c r="T327" s="36"/>
    </row>
    <row r="328" spans="1:20" s="34" customFormat="1" x14ac:dyDescent="0.25">
      <c r="A328" s="44" t="s">
        <v>153</v>
      </c>
      <c r="B328" s="139" t="s">
        <v>120</v>
      </c>
      <c r="C328" s="140"/>
      <c r="D328" s="140"/>
      <c r="E328" s="140"/>
      <c r="F328" s="140"/>
      <c r="G328" s="140"/>
      <c r="H328" s="141"/>
      <c r="T328" s="36"/>
    </row>
    <row r="329" spans="1:20" s="34" customFormat="1" x14ac:dyDescent="0.25">
      <c r="A329" s="44" t="s">
        <v>153</v>
      </c>
      <c r="B329" s="152" t="s">
        <v>468</v>
      </c>
      <c r="C329" s="153"/>
      <c r="D329" s="153"/>
      <c r="E329" s="153"/>
      <c r="F329" s="153"/>
      <c r="G329" s="153"/>
      <c r="H329" s="154"/>
      <c r="T329" s="36"/>
    </row>
    <row r="330" spans="1:20" s="34" customFormat="1" x14ac:dyDescent="0.25">
      <c r="A330" s="44" t="s">
        <v>153</v>
      </c>
      <c r="B330" s="139" t="s">
        <v>152</v>
      </c>
      <c r="C330" s="140"/>
      <c r="D330" s="140"/>
      <c r="E330" s="140"/>
      <c r="F330" s="140"/>
      <c r="G330" s="140"/>
      <c r="H330" s="141"/>
    </row>
    <row r="331" spans="1:20" s="34" customFormat="1" x14ac:dyDescent="0.25">
      <c r="A331" s="44" t="s">
        <v>153</v>
      </c>
      <c r="B331" s="139" t="s">
        <v>121</v>
      </c>
      <c r="C331" s="140"/>
      <c r="D331" s="140"/>
      <c r="E331" s="140"/>
      <c r="F331" s="140"/>
      <c r="G331" s="140"/>
      <c r="H331" s="141"/>
    </row>
    <row r="332" spans="1:20" s="34" customFormat="1" ht="34.5" customHeight="1" x14ac:dyDescent="0.25">
      <c r="A332" s="44" t="s">
        <v>153</v>
      </c>
      <c r="B332" s="152" t="s">
        <v>154</v>
      </c>
      <c r="C332" s="153"/>
      <c r="D332" s="153"/>
      <c r="E332" s="153"/>
      <c r="F332" s="153"/>
      <c r="G332" s="153"/>
      <c r="H332" s="154"/>
    </row>
    <row r="333" spans="1:20" s="34" customFormat="1" x14ac:dyDescent="0.25">
      <c r="A333" s="44" t="s">
        <v>153</v>
      </c>
      <c r="B333" s="139" t="s">
        <v>122</v>
      </c>
      <c r="C333" s="140"/>
      <c r="D333" s="140"/>
      <c r="E333" s="140"/>
      <c r="F333" s="140"/>
      <c r="G333" s="140"/>
      <c r="H333" s="141"/>
    </row>
    <row r="334" spans="1:20" s="34" customFormat="1" ht="32.25" hidden="1" customHeight="1" x14ac:dyDescent="0.25">
      <c r="A334" s="44" t="s">
        <v>153</v>
      </c>
      <c r="B334" s="147" t="s">
        <v>177</v>
      </c>
      <c r="C334" s="148"/>
      <c r="D334" s="148"/>
      <c r="E334" s="148"/>
      <c r="F334" s="148"/>
      <c r="G334" s="148"/>
      <c r="H334" s="149"/>
    </row>
    <row r="335" spans="1:20" s="34" customFormat="1" x14ac:dyDescent="0.25">
      <c r="A335" s="44" t="s">
        <v>153</v>
      </c>
      <c r="B335" s="152" t="s">
        <v>470</v>
      </c>
      <c r="C335" s="153"/>
      <c r="D335" s="153"/>
      <c r="E335" s="153"/>
      <c r="F335" s="153"/>
      <c r="G335" s="153"/>
      <c r="H335" s="154"/>
    </row>
    <row r="336" spans="1:20" s="34" customFormat="1" hidden="1" x14ac:dyDescent="0.25">
      <c r="A336" s="44" t="s">
        <v>153</v>
      </c>
      <c r="B336" s="147" t="s">
        <v>349</v>
      </c>
      <c r="C336" s="148"/>
      <c r="D336" s="148"/>
      <c r="E336" s="148"/>
      <c r="F336" s="148"/>
      <c r="G336" s="148"/>
      <c r="H336" s="149"/>
    </row>
    <row r="337" spans="1:20" s="34" customFormat="1" hidden="1" x14ac:dyDescent="0.25">
      <c r="A337" s="44" t="s">
        <v>153</v>
      </c>
      <c r="B337" s="147" t="str">
        <f ca="1">IF(G52&gt;EDATE(E3,-48),"NO REMARK FOR CC","REMARK FOR CC")</f>
        <v>NO REMARK FOR CC</v>
      </c>
      <c r="C337" s="148"/>
      <c r="D337" s="148"/>
      <c r="E337" s="148"/>
      <c r="F337" s="148"/>
      <c r="G337" s="148"/>
      <c r="H337" s="149"/>
    </row>
    <row r="338" spans="1:20" s="34" customFormat="1" ht="81.75" hidden="1" customHeight="1" x14ac:dyDescent="0.25">
      <c r="A338" s="44" t="s">
        <v>153</v>
      </c>
      <c r="B338" s="147" t="s">
        <v>350</v>
      </c>
      <c r="C338" s="148"/>
      <c r="D338" s="148"/>
      <c r="E338" s="148"/>
      <c r="F338" s="148"/>
      <c r="G338" s="148"/>
      <c r="H338" s="149"/>
    </row>
    <row r="339" spans="1:20" x14ac:dyDescent="0.25">
      <c r="A339" s="248" t="s">
        <v>57</v>
      </c>
      <c r="B339" s="248"/>
      <c r="C339" s="248"/>
      <c r="D339" s="248"/>
      <c r="E339" s="248"/>
      <c r="F339" s="248"/>
      <c r="G339" s="248"/>
      <c r="H339" s="248"/>
      <c r="T339" s="34"/>
    </row>
    <row r="340" spans="1:20" x14ac:dyDescent="0.25">
      <c r="A340" s="146" t="s">
        <v>58</v>
      </c>
      <c r="B340" s="146"/>
      <c r="C340" s="146"/>
      <c r="D340" s="146"/>
      <c r="E340" s="146"/>
      <c r="F340" s="146"/>
      <c r="G340" s="146"/>
      <c r="H340" s="146"/>
      <c r="J340" s="22"/>
      <c r="T340" s="34"/>
    </row>
    <row r="341" spans="1:20" ht="15.75" customHeight="1" x14ac:dyDescent="0.25">
      <c r="A341" s="271" t="s">
        <v>59</v>
      </c>
      <c r="B341" s="271"/>
      <c r="C341" s="271"/>
      <c r="D341" s="271"/>
      <c r="E341" s="271"/>
      <c r="F341" s="271"/>
      <c r="G341" s="271"/>
      <c r="H341" s="271"/>
      <c r="T341" s="34"/>
    </row>
    <row r="342" spans="1:20" x14ac:dyDescent="0.25">
      <c r="A342" s="146" t="s">
        <v>60</v>
      </c>
      <c r="B342" s="146"/>
      <c r="C342" s="146"/>
      <c r="D342" s="146"/>
      <c r="E342" s="146"/>
      <c r="F342" s="146"/>
      <c r="G342" s="146"/>
      <c r="H342" s="146"/>
      <c r="T342" s="34"/>
    </row>
    <row r="343" spans="1:20" x14ac:dyDescent="0.25">
      <c r="A343" s="146" t="s">
        <v>61</v>
      </c>
      <c r="B343" s="146"/>
      <c r="C343" s="146"/>
      <c r="D343" s="146"/>
      <c r="E343" s="146"/>
      <c r="F343" s="146"/>
      <c r="G343" s="146"/>
      <c r="H343" s="146"/>
      <c r="I343" s="22"/>
      <c r="T343" s="34"/>
    </row>
    <row r="344" spans="1:20" x14ac:dyDescent="0.25">
      <c r="A344" s="146" t="s">
        <v>123</v>
      </c>
      <c r="B344" s="146"/>
      <c r="C344" s="146"/>
      <c r="D344" s="146"/>
      <c r="E344" s="146"/>
      <c r="F344" s="146"/>
      <c r="G344" s="146"/>
      <c r="H344" s="146"/>
      <c r="T344" s="34"/>
    </row>
    <row r="345" spans="1:20" ht="33.950000000000003" customHeight="1" x14ac:dyDescent="0.25">
      <c r="A345" s="186" t="s">
        <v>124</v>
      </c>
      <c r="B345" s="186"/>
      <c r="C345" s="186"/>
      <c r="D345" s="186"/>
      <c r="E345" s="186"/>
      <c r="F345" s="186"/>
      <c r="G345" s="186"/>
      <c r="H345" s="186"/>
    </row>
    <row r="346" spans="1:20" x14ac:dyDescent="0.25">
      <c r="A346" s="263" t="s">
        <v>73</v>
      </c>
      <c r="B346" s="263"/>
      <c r="C346" s="263" t="s">
        <v>409</v>
      </c>
      <c r="D346" s="263"/>
      <c r="E346" s="263" t="s">
        <v>103</v>
      </c>
      <c r="F346" s="263"/>
      <c r="G346" s="263" t="s">
        <v>405</v>
      </c>
      <c r="H346" s="263"/>
    </row>
    <row r="347" spans="1:20" x14ac:dyDescent="0.25">
      <c r="A347" s="262" t="s">
        <v>75</v>
      </c>
      <c r="B347" s="262"/>
      <c r="C347" s="262"/>
      <c r="D347" s="262"/>
      <c r="E347" s="262"/>
      <c r="F347" s="262"/>
      <c r="G347" s="262"/>
      <c r="H347" s="262"/>
    </row>
    <row r="348" spans="1:20" x14ac:dyDescent="0.25">
      <c r="A348" s="262"/>
      <c r="B348" s="262"/>
      <c r="C348" s="262"/>
      <c r="D348" s="262"/>
      <c r="E348" s="262"/>
      <c r="F348" s="262"/>
      <c r="G348" s="262"/>
      <c r="H348" s="262"/>
    </row>
    <row r="349" spans="1:20" ht="11.25" customHeight="1" x14ac:dyDescent="0.25">
      <c r="A349" s="262"/>
      <c r="B349" s="262"/>
      <c r="C349" s="262"/>
      <c r="D349" s="262"/>
      <c r="E349" s="262"/>
      <c r="F349" s="262"/>
      <c r="G349" s="262"/>
      <c r="H349" s="262"/>
    </row>
    <row r="350" spans="1:20" ht="12.75" customHeight="1" x14ac:dyDescent="0.25">
      <c r="A350" s="262"/>
      <c r="B350" s="262"/>
      <c r="C350" s="262"/>
      <c r="D350" s="262"/>
      <c r="E350" s="262"/>
      <c r="F350" s="262"/>
      <c r="G350" s="262"/>
      <c r="H350" s="262"/>
    </row>
    <row r="351" spans="1:20" x14ac:dyDescent="0.25">
      <c r="A351" s="37" t="s">
        <v>62</v>
      </c>
      <c r="B351" s="38"/>
      <c r="C351" s="38"/>
      <c r="D351" s="37" t="str">
        <f>E9</f>
        <v>Sector B- Tower A and B</v>
      </c>
      <c r="F351" s="38"/>
      <c r="G351" s="38"/>
      <c r="H351" s="38"/>
    </row>
    <row r="352" spans="1:20" x14ac:dyDescent="0.25">
      <c r="A352" s="38"/>
      <c r="B352" s="38"/>
      <c r="C352" s="38"/>
      <c r="D352" s="38"/>
      <c r="E352" s="38"/>
      <c r="F352" s="38"/>
      <c r="G352" s="38"/>
      <c r="H352" s="38"/>
    </row>
    <row r="353" spans="1:8" x14ac:dyDescent="0.25">
      <c r="A353" s="38"/>
      <c r="B353" s="38"/>
      <c r="C353" s="38"/>
      <c r="D353" s="38"/>
      <c r="E353" s="38"/>
      <c r="F353" s="38"/>
      <c r="G353" s="38"/>
      <c r="H353" s="38"/>
    </row>
    <row r="354" spans="1:8" ht="15" customHeight="1" x14ac:dyDescent="0.25"/>
    <row r="384" hidden="1" x14ac:dyDescent="0.25"/>
    <row r="385" spans="1:1" hidden="1" x14ac:dyDescent="0.25"/>
    <row r="386" spans="1:1" hidden="1" x14ac:dyDescent="0.25"/>
    <row r="387" spans="1:1" hidden="1" x14ac:dyDescent="0.25"/>
    <row r="388" spans="1:1" hidden="1" x14ac:dyDescent="0.25"/>
    <row r="389" spans="1:1" hidden="1" x14ac:dyDescent="0.25"/>
    <row r="390" spans="1:1" hidden="1" x14ac:dyDescent="0.25"/>
    <row r="395" spans="1:1" x14ac:dyDescent="0.25">
      <c r="A395" s="40" t="s">
        <v>469</v>
      </c>
    </row>
    <row r="439" spans="1:1" x14ac:dyDescent="0.25">
      <c r="A439" s="40" t="s">
        <v>63</v>
      </c>
    </row>
  </sheetData>
  <mergeCells count="623">
    <mergeCell ref="L157:M157"/>
    <mergeCell ref="D151:H151"/>
    <mergeCell ref="D152:H152"/>
    <mergeCell ref="D153:H153"/>
    <mergeCell ref="L152:M152"/>
    <mergeCell ref="A153:B153"/>
    <mergeCell ref="L153:M153"/>
    <mergeCell ref="A154:B154"/>
    <mergeCell ref="L154:M154"/>
    <mergeCell ref="A155:B155"/>
    <mergeCell ref="L155:M155"/>
    <mergeCell ref="A156:B156"/>
    <mergeCell ref="L156:M156"/>
    <mergeCell ref="L136:M136"/>
    <mergeCell ref="A137:H137"/>
    <mergeCell ref="A138:H138"/>
    <mergeCell ref="A139:B139"/>
    <mergeCell ref="L139:M139"/>
    <mergeCell ref="A148:H148"/>
    <mergeCell ref="A149:H149"/>
    <mergeCell ref="A150:H150"/>
    <mergeCell ref="A151:B151"/>
    <mergeCell ref="L151:M151"/>
    <mergeCell ref="I37:K37"/>
    <mergeCell ref="J65:N65"/>
    <mergeCell ref="B324:H324"/>
    <mergeCell ref="B323:H323"/>
    <mergeCell ref="A84:B84"/>
    <mergeCell ref="A50:B50"/>
    <mergeCell ref="D68:H68"/>
    <mergeCell ref="A322:H322"/>
    <mergeCell ref="A314:B314"/>
    <mergeCell ref="A315:B315"/>
    <mergeCell ref="A310:H310"/>
    <mergeCell ref="A304:H304"/>
    <mergeCell ref="A319:B319"/>
    <mergeCell ref="A316:H316"/>
    <mergeCell ref="A72:C72"/>
    <mergeCell ref="D73:H73"/>
    <mergeCell ref="A79:B79"/>
    <mergeCell ref="G78:H78"/>
    <mergeCell ref="A87:B87"/>
    <mergeCell ref="A88:B88"/>
    <mergeCell ref="A83:B83"/>
    <mergeCell ref="A82:B82"/>
    <mergeCell ref="E78:F78"/>
    <mergeCell ref="A80:B80"/>
    <mergeCell ref="A85:B85"/>
    <mergeCell ref="I15:P15"/>
    <mergeCell ref="F113:H113"/>
    <mergeCell ref="F111:H111"/>
    <mergeCell ref="A306:B306"/>
    <mergeCell ref="A128:H128"/>
    <mergeCell ref="G117:H117"/>
    <mergeCell ref="A112:E112"/>
    <mergeCell ref="A142:B142"/>
    <mergeCell ref="A61:B61"/>
    <mergeCell ref="C61:E61"/>
    <mergeCell ref="D63:H63"/>
    <mergeCell ref="F112:H112"/>
    <mergeCell ref="E117:F117"/>
    <mergeCell ref="A117:B117"/>
    <mergeCell ref="A119:B119"/>
    <mergeCell ref="C122:D122"/>
    <mergeCell ref="D72:H72"/>
    <mergeCell ref="I50:K50"/>
    <mergeCell ref="L50:M50"/>
    <mergeCell ref="I53:N53"/>
    <mergeCell ref="I34:K34"/>
    <mergeCell ref="I35:K35"/>
    <mergeCell ref="I36:K36"/>
    <mergeCell ref="A341:H341"/>
    <mergeCell ref="A299:B299"/>
    <mergeCell ref="A122:B122"/>
    <mergeCell ref="D146:D147"/>
    <mergeCell ref="E146:E147"/>
    <mergeCell ref="A97:B97"/>
    <mergeCell ref="A99:B99"/>
    <mergeCell ref="F104:H104"/>
    <mergeCell ref="G118:H118"/>
    <mergeCell ref="A102:B102"/>
    <mergeCell ref="F110:H110"/>
    <mergeCell ref="C117:D117"/>
    <mergeCell ref="C125:D125"/>
    <mergeCell ref="A293:H293"/>
    <mergeCell ref="A308:B308"/>
    <mergeCell ref="B329:H329"/>
    <mergeCell ref="A317:B317"/>
    <mergeCell ref="A318:B318"/>
    <mergeCell ref="A321:B321"/>
    <mergeCell ref="E122:F122"/>
    <mergeCell ref="A127:H127"/>
    <mergeCell ref="A146:A147"/>
    <mergeCell ref="F146:F147"/>
    <mergeCell ref="A340:H340"/>
    <mergeCell ref="B334:H334"/>
    <mergeCell ref="A126:B126"/>
    <mergeCell ref="A101:B101"/>
    <mergeCell ref="A106:E106"/>
    <mergeCell ref="A103:E103"/>
    <mergeCell ref="F107:H107"/>
    <mergeCell ref="A309:B309"/>
    <mergeCell ref="A107:E107"/>
    <mergeCell ref="A297:B297"/>
    <mergeCell ref="B332:H332"/>
    <mergeCell ref="G129:G130"/>
    <mergeCell ref="A312:B312"/>
    <mergeCell ref="A320:B320"/>
    <mergeCell ref="B325:H325"/>
    <mergeCell ref="B326:H326"/>
    <mergeCell ref="B328:H328"/>
    <mergeCell ref="F103:H103"/>
    <mergeCell ref="F108:H108"/>
    <mergeCell ref="A145:H145"/>
    <mergeCell ref="A109:E109"/>
    <mergeCell ref="A140:H140"/>
    <mergeCell ref="E129:E130"/>
    <mergeCell ref="A124:B124"/>
    <mergeCell ref="E126:F126"/>
    <mergeCell ref="A347:H350"/>
    <mergeCell ref="A346:B346"/>
    <mergeCell ref="E346:F346"/>
    <mergeCell ref="C346:D346"/>
    <mergeCell ref="G346:H346"/>
    <mergeCell ref="A116:H116"/>
    <mergeCell ref="A114:E114"/>
    <mergeCell ref="F114:H114"/>
    <mergeCell ref="A115:E115"/>
    <mergeCell ref="F115:H115"/>
    <mergeCell ref="A298:H298"/>
    <mergeCell ref="A123:B123"/>
    <mergeCell ref="A307:B307"/>
    <mergeCell ref="A118:B118"/>
    <mergeCell ref="A342:H342"/>
    <mergeCell ref="A121:H121"/>
    <mergeCell ref="A345:H345"/>
    <mergeCell ref="A343:H343"/>
    <mergeCell ref="A339:H339"/>
    <mergeCell ref="B337:H337"/>
    <mergeCell ref="B336:H336"/>
    <mergeCell ref="A344:H344"/>
    <mergeCell ref="D129:D130"/>
    <mergeCell ref="G124:H12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E23:H24"/>
    <mergeCell ref="E27:H27"/>
    <mergeCell ref="A29:D29"/>
    <mergeCell ref="E29:H29"/>
    <mergeCell ref="A26:D26"/>
    <mergeCell ref="E26:H26"/>
    <mergeCell ref="A28:D28"/>
    <mergeCell ref="E28:H28"/>
    <mergeCell ref="A15:D15"/>
    <mergeCell ref="E20:F20"/>
    <mergeCell ref="G20:H20"/>
    <mergeCell ref="A21:B21"/>
    <mergeCell ref="C21:D21"/>
    <mergeCell ref="E21:F21"/>
    <mergeCell ref="G21:H21"/>
    <mergeCell ref="A22:B22"/>
    <mergeCell ref="C22:D22"/>
    <mergeCell ref="E22:F22"/>
    <mergeCell ref="G22:H22"/>
    <mergeCell ref="A37:B37"/>
    <mergeCell ref="C37:E37"/>
    <mergeCell ref="A42:D42"/>
    <mergeCell ref="F37:H37"/>
    <mergeCell ref="A39:B39"/>
    <mergeCell ref="C39:H39"/>
    <mergeCell ref="A25:D25"/>
    <mergeCell ref="E25:H25"/>
    <mergeCell ref="A30:D30"/>
    <mergeCell ref="E30:H30"/>
    <mergeCell ref="A27:D27"/>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D74:H74"/>
    <mergeCell ref="A73:C73"/>
    <mergeCell ref="A58:B60"/>
    <mergeCell ref="C60:H60"/>
    <mergeCell ref="C58:E59"/>
    <mergeCell ref="D64:H64"/>
    <mergeCell ref="G61:H61"/>
    <mergeCell ref="E43:H43"/>
    <mergeCell ref="A43:D43"/>
    <mergeCell ref="A48:H48"/>
    <mergeCell ref="D65:H65"/>
    <mergeCell ref="A65:C65"/>
    <mergeCell ref="A45:D45"/>
    <mergeCell ref="A49:B49"/>
    <mergeCell ref="C49:H49"/>
    <mergeCell ref="G52:H52"/>
    <mergeCell ref="A62:H62"/>
    <mergeCell ref="A54:B55"/>
    <mergeCell ref="C51:E51"/>
    <mergeCell ref="C50:E50"/>
    <mergeCell ref="G50:H50"/>
    <mergeCell ref="A51:B51"/>
    <mergeCell ref="G56:H56"/>
    <mergeCell ref="G58:H58"/>
    <mergeCell ref="G51:H51"/>
    <mergeCell ref="C55:H55"/>
    <mergeCell ref="A52:B53"/>
    <mergeCell ref="C54:E54"/>
    <mergeCell ref="C52:E52"/>
    <mergeCell ref="A38:H38"/>
    <mergeCell ref="E42:H42"/>
    <mergeCell ref="A41:H41"/>
    <mergeCell ref="A46:D46"/>
    <mergeCell ref="A47:D47"/>
    <mergeCell ref="A44:D44"/>
    <mergeCell ref="E44:H44"/>
    <mergeCell ref="A40:B40"/>
    <mergeCell ref="C40:H40"/>
    <mergeCell ref="E45:H45"/>
    <mergeCell ref="E46:H46"/>
    <mergeCell ref="E47:H47"/>
    <mergeCell ref="C53:H53"/>
    <mergeCell ref="C56:E56"/>
    <mergeCell ref="G54:H54"/>
    <mergeCell ref="A56:B57"/>
    <mergeCell ref="A63:C63"/>
    <mergeCell ref="A68:C68"/>
    <mergeCell ref="A69:C69"/>
    <mergeCell ref="A64:C64"/>
    <mergeCell ref="G59:H59"/>
    <mergeCell ref="A78:B78"/>
    <mergeCell ref="D69:H69"/>
    <mergeCell ref="A66:C67"/>
    <mergeCell ref="D66:H66"/>
    <mergeCell ref="D67:H67"/>
    <mergeCell ref="A77:B77"/>
    <mergeCell ref="A75:B75"/>
    <mergeCell ref="C75:H75"/>
    <mergeCell ref="A70:C70"/>
    <mergeCell ref="D70:H70"/>
    <mergeCell ref="C57:H57"/>
    <mergeCell ref="C77:H77"/>
    <mergeCell ref="A71:C71"/>
    <mergeCell ref="D71:H71"/>
    <mergeCell ref="A74:C74"/>
    <mergeCell ref="A81:B81"/>
    <mergeCell ref="A86:B86"/>
    <mergeCell ref="C123:D123"/>
    <mergeCell ref="E123:F123"/>
    <mergeCell ref="G123:H123"/>
    <mergeCell ref="A104:E104"/>
    <mergeCell ref="A89:B89"/>
    <mergeCell ref="C89:H89"/>
    <mergeCell ref="A93:B93"/>
    <mergeCell ref="C91:H91"/>
    <mergeCell ref="A94:B94"/>
    <mergeCell ref="A95:B95"/>
    <mergeCell ref="G120:H120"/>
    <mergeCell ref="G93:H102"/>
    <mergeCell ref="A96:B96"/>
    <mergeCell ref="F105:H105"/>
    <mergeCell ref="A105:E105"/>
    <mergeCell ref="E79:F88"/>
    <mergeCell ref="G79:H88"/>
    <mergeCell ref="A91:B91"/>
    <mergeCell ref="L144:M144"/>
    <mergeCell ref="L143:M143"/>
    <mergeCell ref="L142:M142"/>
    <mergeCell ref="L141:M141"/>
    <mergeCell ref="F129:F130"/>
    <mergeCell ref="C118:D118"/>
    <mergeCell ref="E118:F118"/>
    <mergeCell ref="B129:B130"/>
    <mergeCell ref="A129:A130"/>
    <mergeCell ref="G126:H126"/>
    <mergeCell ref="C126:D126"/>
    <mergeCell ref="A144:B144"/>
    <mergeCell ref="A143:B143"/>
    <mergeCell ref="A120:B120"/>
    <mergeCell ref="C120:D120"/>
    <mergeCell ref="E120:F120"/>
    <mergeCell ref="G122:H122"/>
    <mergeCell ref="A132:H132"/>
    <mergeCell ref="A131:H131"/>
    <mergeCell ref="A133:H133"/>
    <mergeCell ref="A134:H134"/>
    <mergeCell ref="A135:B135"/>
    <mergeCell ref="L135:M135"/>
    <mergeCell ref="L298:M298"/>
    <mergeCell ref="A303:B303"/>
    <mergeCell ref="A300:B300"/>
    <mergeCell ref="A301:B301"/>
    <mergeCell ref="A311:B311"/>
    <mergeCell ref="L297:M297"/>
    <mergeCell ref="L294:M294"/>
    <mergeCell ref="A295:B295"/>
    <mergeCell ref="L295:M295"/>
    <mergeCell ref="A296:B296"/>
    <mergeCell ref="L296:M296"/>
    <mergeCell ref="A302:B302"/>
    <mergeCell ref="A294:B294"/>
    <mergeCell ref="B338:H338"/>
    <mergeCell ref="C129:C130"/>
    <mergeCell ref="B146:B147"/>
    <mergeCell ref="B327:H327"/>
    <mergeCell ref="A92:B92"/>
    <mergeCell ref="E92:F92"/>
    <mergeCell ref="E93:F102"/>
    <mergeCell ref="B335:H335"/>
    <mergeCell ref="A108:E108"/>
    <mergeCell ref="A125:B125"/>
    <mergeCell ref="E125:F125"/>
    <mergeCell ref="A113:E113"/>
    <mergeCell ref="G125:H125"/>
    <mergeCell ref="C119:D119"/>
    <mergeCell ref="E119:F119"/>
    <mergeCell ref="G119:H119"/>
    <mergeCell ref="C124:D124"/>
    <mergeCell ref="E124:F124"/>
    <mergeCell ref="B331:H331"/>
    <mergeCell ref="A141:B141"/>
    <mergeCell ref="C146:C147"/>
    <mergeCell ref="G146:G147"/>
    <mergeCell ref="F109:H109"/>
    <mergeCell ref="A111:E111"/>
    <mergeCell ref="B330:H330"/>
    <mergeCell ref="A313:B313"/>
    <mergeCell ref="A98:B98"/>
    <mergeCell ref="G92:H92"/>
    <mergeCell ref="B333:H333"/>
    <mergeCell ref="A100:B100"/>
    <mergeCell ref="A305:B305"/>
    <mergeCell ref="F106:H106"/>
    <mergeCell ref="A110:E110"/>
    <mergeCell ref="A136:B136"/>
    <mergeCell ref="A152:B152"/>
    <mergeCell ref="A157:B157"/>
    <mergeCell ref="A158:H158"/>
    <mergeCell ref="A159:B159"/>
    <mergeCell ref="D159:H159"/>
    <mergeCell ref="A163:B163"/>
    <mergeCell ref="A169:B169"/>
    <mergeCell ref="D169:H169"/>
    <mergeCell ref="A174:B174"/>
    <mergeCell ref="A180:B180"/>
    <mergeCell ref="A186:B186"/>
    <mergeCell ref="A191:B191"/>
    <mergeCell ref="A198:B198"/>
    <mergeCell ref="A199:B199"/>
    <mergeCell ref="L159:M159"/>
    <mergeCell ref="A160:B160"/>
    <mergeCell ref="D160:H160"/>
    <mergeCell ref="L160:M160"/>
    <mergeCell ref="A161:B161"/>
    <mergeCell ref="D161:H161"/>
    <mergeCell ref="L161:M161"/>
    <mergeCell ref="A162:B162"/>
    <mergeCell ref="L162:M162"/>
    <mergeCell ref="L163:M163"/>
    <mergeCell ref="A164:B164"/>
    <mergeCell ref="L164:M164"/>
    <mergeCell ref="A165:B165"/>
    <mergeCell ref="L165:M165"/>
    <mergeCell ref="A166:H166"/>
    <mergeCell ref="A167:H167"/>
    <mergeCell ref="A168:B168"/>
    <mergeCell ref="D168:H168"/>
    <mergeCell ref="L168:M168"/>
    <mergeCell ref="L169:M169"/>
    <mergeCell ref="A170:B170"/>
    <mergeCell ref="D170:H170"/>
    <mergeCell ref="L170:M170"/>
    <mergeCell ref="A171:B171"/>
    <mergeCell ref="L171:M171"/>
    <mergeCell ref="A172:B172"/>
    <mergeCell ref="L172:M172"/>
    <mergeCell ref="A173:B173"/>
    <mergeCell ref="L173:M173"/>
    <mergeCell ref="L174:M174"/>
    <mergeCell ref="A175:H175"/>
    <mergeCell ref="A176:H176"/>
    <mergeCell ref="A177:B177"/>
    <mergeCell ref="L177:M177"/>
    <mergeCell ref="A178:B178"/>
    <mergeCell ref="L178:M178"/>
    <mergeCell ref="A179:B179"/>
    <mergeCell ref="L179:M179"/>
    <mergeCell ref="L180:M180"/>
    <mergeCell ref="A181:B181"/>
    <mergeCell ref="L181:M181"/>
    <mergeCell ref="A182:B182"/>
    <mergeCell ref="L182:M182"/>
    <mergeCell ref="A183:B183"/>
    <mergeCell ref="L183:M183"/>
    <mergeCell ref="A184:H184"/>
    <mergeCell ref="A185:B185"/>
    <mergeCell ref="L185:M185"/>
    <mergeCell ref="L186:M186"/>
    <mergeCell ref="A187:B187"/>
    <mergeCell ref="L187:M187"/>
    <mergeCell ref="A188:B188"/>
    <mergeCell ref="L188:M188"/>
    <mergeCell ref="A189:B189"/>
    <mergeCell ref="L189:M189"/>
    <mergeCell ref="A190:B190"/>
    <mergeCell ref="L190:M190"/>
    <mergeCell ref="L191:M191"/>
    <mergeCell ref="D188:H188"/>
    <mergeCell ref="A192:H192"/>
    <mergeCell ref="L192:M192"/>
    <mergeCell ref="A193:B193"/>
    <mergeCell ref="A194:B194"/>
    <mergeCell ref="A195:B195"/>
    <mergeCell ref="A196:B196"/>
    <mergeCell ref="A197:B197"/>
    <mergeCell ref="D196:H198"/>
    <mergeCell ref="A200:H200"/>
    <mergeCell ref="A201:B201"/>
    <mergeCell ref="L201:M201"/>
    <mergeCell ref="A202:B202"/>
    <mergeCell ref="L202:M202"/>
    <mergeCell ref="A203:B203"/>
    <mergeCell ref="L203:M203"/>
    <mergeCell ref="A204:B204"/>
    <mergeCell ref="L204:M204"/>
    <mergeCell ref="A205:B205"/>
    <mergeCell ref="L205:M205"/>
    <mergeCell ref="A206:B206"/>
    <mergeCell ref="L206:M206"/>
    <mergeCell ref="A207:B207"/>
    <mergeCell ref="L207:M207"/>
    <mergeCell ref="D203:H203"/>
    <mergeCell ref="D207:H207"/>
    <mergeCell ref="A208:H208"/>
    <mergeCell ref="A209:B209"/>
    <mergeCell ref="L209:M209"/>
    <mergeCell ref="A210:B210"/>
    <mergeCell ref="L210:M210"/>
    <mergeCell ref="A211:B211"/>
    <mergeCell ref="D211:H211"/>
    <mergeCell ref="L211:M211"/>
    <mergeCell ref="A212:B212"/>
    <mergeCell ref="L212:M212"/>
    <mergeCell ref="A213:B213"/>
    <mergeCell ref="L213:M213"/>
    <mergeCell ref="A214:B214"/>
    <mergeCell ref="L214:M214"/>
    <mergeCell ref="A215:B215"/>
    <mergeCell ref="D215:H215"/>
    <mergeCell ref="L215:M215"/>
    <mergeCell ref="A216:H216"/>
    <mergeCell ref="A219:H219"/>
    <mergeCell ref="A217:H217"/>
    <mergeCell ref="A218:H218"/>
    <mergeCell ref="A220:H220"/>
    <mergeCell ref="L220:M220"/>
    <mergeCell ref="A221:B221"/>
    <mergeCell ref="A222:B222"/>
    <mergeCell ref="A223:B223"/>
    <mergeCell ref="A224:B224"/>
    <mergeCell ref="A225:B225"/>
    <mergeCell ref="A226:B226"/>
    <mergeCell ref="A227:B227"/>
    <mergeCell ref="D221:H223"/>
    <mergeCell ref="D227:H227"/>
    <mergeCell ref="A228:H228"/>
    <mergeCell ref="A229:B229"/>
    <mergeCell ref="L229:M229"/>
    <mergeCell ref="A230:B230"/>
    <mergeCell ref="L230:M230"/>
    <mergeCell ref="A231:B231"/>
    <mergeCell ref="L231:M231"/>
    <mergeCell ref="A232:B232"/>
    <mergeCell ref="L232:M232"/>
    <mergeCell ref="A233:B233"/>
    <mergeCell ref="L233:M233"/>
    <mergeCell ref="A234:B234"/>
    <mergeCell ref="L234:M234"/>
    <mergeCell ref="A235:B235"/>
    <mergeCell ref="L235:M235"/>
    <mergeCell ref="D229:H231"/>
    <mergeCell ref="D235:H235"/>
    <mergeCell ref="A236:H236"/>
    <mergeCell ref="A241:B241"/>
    <mergeCell ref="L241:M241"/>
    <mergeCell ref="A242:B242"/>
    <mergeCell ref="L242:M242"/>
    <mergeCell ref="A243:B243"/>
    <mergeCell ref="L243:M243"/>
    <mergeCell ref="D237:H237"/>
    <mergeCell ref="D238:H238"/>
    <mergeCell ref="D239:H239"/>
    <mergeCell ref="D242:H243"/>
    <mergeCell ref="A237:B237"/>
    <mergeCell ref="L237:M237"/>
    <mergeCell ref="A238:B238"/>
    <mergeCell ref="L238:M238"/>
    <mergeCell ref="A239:B239"/>
    <mergeCell ref="L239:M239"/>
    <mergeCell ref="A240:B240"/>
    <mergeCell ref="L240:M240"/>
    <mergeCell ref="A244:H244"/>
    <mergeCell ref="A245:H245"/>
    <mergeCell ref="L245:M245"/>
    <mergeCell ref="A246:B246"/>
    <mergeCell ref="A247:B247"/>
    <mergeCell ref="A248:B248"/>
    <mergeCell ref="A249:B249"/>
    <mergeCell ref="A250:B250"/>
    <mergeCell ref="A251:B251"/>
    <mergeCell ref="A252:B252"/>
    <mergeCell ref="A253:H253"/>
    <mergeCell ref="L253:M253"/>
    <mergeCell ref="A254:B254"/>
    <mergeCell ref="A255:B255"/>
    <mergeCell ref="A256:B256"/>
    <mergeCell ref="A257:B257"/>
    <mergeCell ref="A258:B258"/>
    <mergeCell ref="A259:B259"/>
    <mergeCell ref="A260:B260"/>
    <mergeCell ref="D257:H257"/>
    <mergeCell ref="A261:H261"/>
    <mergeCell ref="L261:M261"/>
    <mergeCell ref="A262:B262"/>
    <mergeCell ref="A263:B263"/>
    <mergeCell ref="A264:B264"/>
    <mergeCell ref="A265:B265"/>
    <mergeCell ref="A266:B266"/>
    <mergeCell ref="A267:B267"/>
    <mergeCell ref="A268:B268"/>
    <mergeCell ref="A269:H269"/>
    <mergeCell ref="L269:M269"/>
    <mergeCell ref="A270:B270"/>
    <mergeCell ref="A271:B271"/>
    <mergeCell ref="A272:B272"/>
    <mergeCell ref="A273:B273"/>
    <mergeCell ref="A274:B274"/>
    <mergeCell ref="A275:B275"/>
    <mergeCell ref="A276:B276"/>
    <mergeCell ref="D274:H275"/>
    <mergeCell ref="A277:H277"/>
    <mergeCell ref="A278:B278"/>
    <mergeCell ref="L278:M278"/>
    <mergeCell ref="A279:B279"/>
    <mergeCell ref="L279:M279"/>
    <mergeCell ref="A280:B280"/>
    <mergeCell ref="L280:M280"/>
    <mergeCell ref="A281:B281"/>
    <mergeCell ref="L281:M281"/>
    <mergeCell ref="A282:B282"/>
    <mergeCell ref="L282:M282"/>
    <mergeCell ref="A283:B283"/>
    <mergeCell ref="L283:M283"/>
    <mergeCell ref="A284:B284"/>
    <mergeCell ref="L284:M284"/>
    <mergeCell ref="D280:H280"/>
    <mergeCell ref="D284:H284"/>
    <mergeCell ref="A290:B290"/>
    <mergeCell ref="L290:M290"/>
    <mergeCell ref="A291:B291"/>
    <mergeCell ref="L291:M291"/>
    <mergeCell ref="A292:B292"/>
    <mergeCell ref="D292:H292"/>
    <mergeCell ref="L292:M292"/>
    <mergeCell ref="A285:H285"/>
    <mergeCell ref="A286:B286"/>
    <mergeCell ref="L286:M286"/>
    <mergeCell ref="A287:B287"/>
    <mergeCell ref="L287:M287"/>
    <mergeCell ref="A288:B288"/>
    <mergeCell ref="D288:H288"/>
    <mergeCell ref="L288:M288"/>
    <mergeCell ref="A289:B289"/>
    <mergeCell ref="L289:M289"/>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346:H346">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9:B130">
      <formula1>"Shop No. (Sale Plan),Sale / Rehab,Sale / Mhada"</formula1>
    </dataValidation>
    <dataValidation type="list" allowBlank="1" showInputMessage="1" showErrorMessage="1" sqref="B146:B14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6:E147">
      <formula1>"Fungible area,Balcony Area,Chajja Area,Cornice Area,AP Area,WS Area"</formula1>
    </dataValidation>
    <dataValidation type="list" allowBlank="1" showInputMessage="1" showErrorMessage="1" sqref="H130 H14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9 H146">
      <formula1>"Saleable area Loading :,Builder Saleable Area"</formula1>
    </dataValidation>
    <dataValidation type="list" allowBlank="1" showInputMessage="1" showErrorMessage="1" sqref="D129:D130">
      <formula1>"Carpet area,RERA Carpet area"</formula1>
    </dataValidation>
    <dataValidation type="list" allowBlank="1" showInputMessage="1" showErrorMessage="1" sqref="D146:D147">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7" manualBreakCount="7">
    <brk id="115" max="7" man="1"/>
    <brk id="157" max="7" man="1"/>
    <brk id="199" max="7" man="1"/>
    <brk id="240" max="16383" man="1"/>
    <brk id="350" max="16383" man="1"/>
    <brk id="394" max="7" man="1"/>
    <brk id="43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5" t="s">
        <v>104</v>
      </c>
      <c r="C3" s="285"/>
      <c r="D3" s="285"/>
      <c r="E3" s="285"/>
      <c r="F3" s="285"/>
      <c r="G3" s="285"/>
      <c r="H3" s="285"/>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178</v>
      </c>
      <c r="E4" s="52" t="s">
        <v>188</v>
      </c>
      <c r="F4" s="52" t="s">
        <v>171</v>
      </c>
      <c r="G4" s="52" t="s">
        <v>193</v>
      </c>
      <c r="H4" s="52" t="s">
        <v>211</v>
      </c>
      <c r="J4" t="s">
        <v>193</v>
      </c>
      <c r="K4" t="s">
        <v>209</v>
      </c>
    </row>
    <row r="5" spans="2:11" x14ac:dyDescent="0.25">
      <c r="B5" s="51"/>
      <c r="C5" s="51"/>
      <c r="D5" s="52" t="s">
        <v>179</v>
      </c>
      <c r="E5" s="52" t="s">
        <v>186</v>
      </c>
      <c r="F5" s="52" t="s">
        <v>208</v>
      </c>
      <c r="G5" s="52" t="s">
        <v>194</v>
      </c>
      <c r="H5" s="52" t="s">
        <v>212</v>
      </c>
    </row>
    <row r="6" spans="2:11" x14ac:dyDescent="0.25">
      <c r="B6" s="51"/>
      <c r="C6" s="51"/>
      <c r="D6" s="52" t="s">
        <v>180</v>
      </c>
      <c r="E6" s="52" t="s">
        <v>187</v>
      </c>
      <c r="F6" s="52" t="s">
        <v>209</v>
      </c>
      <c r="G6" s="52" t="s">
        <v>195</v>
      </c>
      <c r="H6" s="52" t="s">
        <v>225</v>
      </c>
    </row>
    <row r="7" spans="2:11" x14ac:dyDescent="0.25">
      <c r="B7" s="51"/>
      <c r="C7" s="51"/>
      <c r="D7" s="52" t="s">
        <v>181</v>
      </c>
      <c r="E7" s="52" t="s">
        <v>189</v>
      </c>
      <c r="F7" s="52" t="s">
        <v>210</v>
      </c>
      <c r="G7" s="52" t="s">
        <v>196</v>
      </c>
      <c r="H7" s="52" t="s">
        <v>213</v>
      </c>
    </row>
    <row r="8" spans="2:11" x14ac:dyDescent="0.25">
      <c r="B8" s="51"/>
      <c r="C8" s="51"/>
      <c r="D8" s="52" t="s">
        <v>182</v>
      </c>
      <c r="E8" s="52" t="s">
        <v>190</v>
      </c>
      <c r="F8" s="52"/>
      <c r="G8" s="52" t="s">
        <v>197</v>
      </c>
      <c r="H8" s="52" t="s">
        <v>214</v>
      </c>
    </row>
    <row r="9" spans="2:11" x14ac:dyDescent="0.25">
      <c r="B9" s="51"/>
      <c r="C9" s="51"/>
      <c r="D9" s="52" t="s">
        <v>183</v>
      </c>
      <c r="E9" s="52" t="s">
        <v>188</v>
      </c>
      <c r="F9" s="52"/>
      <c r="G9" s="52" t="s">
        <v>198</v>
      </c>
      <c r="H9" s="52" t="s">
        <v>215</v>
      </c>
    </row>
    <row r="10" spans="2:11" x14ac:dyDescent="0.25">
      <c r="B10" s="51"/>
      <c r="C10" s="51"/>
      <c r="D10" s="52" t="s">
        <v>184</v>
      </c>
      <c r="E10" s="52" t="s">
        <v>191</v>
      </c>
      <c r="F10" s="52"/>
      <c r="G10" s="52" t="s">
        <v>199</v>
      </c>
      <c r="H10" s="52" t="s">
        <v>216</v>
      </c>
    </row>
    <row r="11" spans="2:11" x14ac:dyDescent="0.25">
      <c r="B11" s="51"/>
      <c r="C11" s="51"/>
      <c r="D11" s="52" t="s">
        <v>185</v>
      </c>
      <c r="E11" s="52" t="s">
        <v>192</v>
      </c>
      <c r="F11" s="52"/>
      <c r="G11" s="52" t="s">
        <v>200</v>
      </c>
      <c r="H11" s="52" t="s">
        <v>217</v>
      </c>
    </row>
    <row r="12" spans="2:11" x14ac:dyDescent="0.25">
      <c r="B12" s="51"/>
      <c r="C12" s="51"/>
      <c r="D12" s="52"/>
      <c r="E12" s="52"/>
      <c r="F12" s="52"/>
      <c r="G12" s="52" t="s">
        <v>201</v>
      </c>
      <c r="H12" s="52" t="s">
        <v>218</v>
      </c>
    </row>
    <row r="13" spans="2:11" x14ac:dyDescent="0.25">
      <c r="B13" s="51"/>
      <c r="C13" s="51"/>
      <c r="D13" s="52"/>
      <c r="E13" s="52"/>
      <c r="F13" s="52"/>
      <c r="G13" s="52" t="s">
        <v>202</v>
      </c>
      <c r="H13" s="52" t="s">
        <v>219</v>
      </c>
    </row>
    <row r="14" spans="2:11" x14ac:dyDescent="0.25">
      <c r="B14" s="51"/>
      <c r="C14" s="51"/>
      <c r="D14" s="52"/>
      <c r="E14" s="52"/>
      <c r="F14" s="52"/>
      <c r="G14" s="52" t="s">
        <v>203</v>
      </c>
      <c r="H14" s="52" t="s">
        <v>220</v>
      </c>
    </row>
    <row r="15" spans="2:11" x14ac:dyDescent="0.25">
      <c r="B15" s="51"/>
      <c r="C15" s="51"/>
      <c r="D15" s="52"/>
      <c r="E15" s="52"/>
      <c r="F15" s="52"/>
      <c r="G15" s="52" t="s">
        <v>204</v>
      </c>
      <c r="H15" s="52" t="s">
        <v>221</v>
      </c>
    </row>
    <row r="16" spans="2:11" x14ac:dyDescent="0.25">
      <c r="B16" s="51"/>
      <c r="C16" s="51"/>
      <c r="D16" s="52"/>
      <c r="E16" s="52"/>
      <c r="F16" s="52"/>
      <c r="G16" s="52" t="s">
        <v>205</v>
      </c>
      <c r="H16" s="52" t="s">
        <v>222</v>
      </c>
    </row>
    <row r="17" spans="2:8" x14ac:dyDescent="0.25">
      <c r="B17" s="51"/>
      <c r="C17" s="51"/>
      <c r="D17" s="52"/>
      <c r="E17" s="52"/>
      <c r="F17" s="52"/>
      <c r="G17" s="52" t="s">
        <v>206</v>
      </c>
      <c r="H17" s="52" t="s">
        <v>223</v>
      </c>
    </row>
    <row r="18" spans="2:8" x14ac:dyDescent="0.25">
      <c r="B18" s="51"/>
      <c r="C18" s="51"/>
      <c r="D18" s="52"/>
      <c r="E18" s="52"/>
      <c r="F18" s="52"/>
      <c r="G18" s="52" t="s">
        <v>207</v>
      </c>
      <c r="H18" s="52"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53" t="s">
        <v>236</v>
      </c>
      <c r="D34" s="52" t="s">
        <v>234</v>
      </c>
      <c r="E34" s="52" t="s">
        <v>239</v>
      </c>
      <c r="F34" s="52" t="s">
        <v>237</v>
      </c>
      <c r="G34" s="52" t="s">
        <v>238</v>
      </c>
      <c r="H34" s="52" t="s">
        <v>240</v>
      </c>
      <c r="J34" t="s">
        <v>193</v>
      </c>
      <c r="K34" t="s">
        <v>209</v>
      </c>
    </row>
    <row r="35" spans="3:11" x14ac:dyDescent="0.25">
      <c r="C35" s="51" t="s">
        <v>235</v>
      </c>
      <c r="D35" s="52" t="s">
        <v>169</v>
      </c>
      <c r="E35" s="52" t="s">
        <v>244</v>
      </c>
      <c r="F35" s="52" t="s">
        <v>246</v>
      </c>
      <c r="G35" s="52" t="s">
        <v>248</v>
      </c>
      <c r="H35" s="52"/>
    </row>
    <row r="36" spans="3:11" x14ac:dyDescent="0.25">
      <c r="C36" s="51"/>
      <c r="D36" s="52" t="s">
        <v>241</v>
      </c>
      <c r="E36" s="52" t="s">
        <v>245</v>
      </c>
      <c r="F36" s="52" t="s">
        <v>247</v>
      </c>
      <c r="G36" s="52" t="s">
        <v>249</v>
      </c>
      <c r="H36" s="52"/>
    </row>
    <row r="37" spans="3:11" x14ac:dyDescent="0.25">
      <c r="C37" s="51"/>
      <c r="D37" s="52" t="s">
        <v>242</v>
      </c>
      <c r="E37" s="52"/>
      <c r="F37" s="52"/>
      <c r="G37" s="52" t="s">
        <v>250</v>
      </c>
      <c r="H37" s="52"/>
    </row>
    <row r="38" spans="3:11" x14ac:dyDescent="0.25">
      <c r="C38" s="51"/>
      <c r="D38" s="52" t="s">
        <v>243</v>
      </c>
      <c r="E38" s="52"/>
      <c r="F38" s="52"/>
      <c r="G38" s="52" t="s">
        <v>250</v>
      </c>
      <c r="H38" s="52"/>
    </row>
    <row r="39" spans="3:11" x14ac:dyDescent="0.25">
      <c r="C39" s="51"/>
      <c r="D39" s="52"/>
      <c r="E39" s="52"/>
      <c r="F39" s="52"/>
      <c r="G39" s="52" t="s">
        <v>251</v>
      </c>
      <c r="H39" s="52"/>
    </row>
    <row r="40" spans="3:11" x14ac:dyDescent="0.25">
      <c r="C40" s="51"/>
      <c r="D40" s="52"/>
      <c r="E40" s="52"/>
      <c r="F40" s="52"/>
      <c r="G40" s="52" t="s">
        <v>252</v>
      </c>
      <c r="H40" s="52"/>
    </row>
    <row r="41" spans="3:11" x14ac:dyDescent="0.25">
      <c r="C41" s="51"/>
      <c r="D41" s="52"/>
      <c r="E41" s="52"/>
      <c r="F41" s="52"/>
      <c r="G41" s="52"/>
      <c r="H41" s="52"/>
    </row>
    <row r="43" spans="3:11" x14ac:dyDescent="0.25">
      <c r="C43" t="s">
        <v>253</v>
      </c>
    </row>
    <row r="44" spans="3:11" x14ac:dyDescent="0.25">
      <c r="C44" t="s">
        <v>171</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0" zoomScaleNormal="100" workbookViewId="0">
      <selection activeCell="C47" sqref="C47"/>
    </sheetView>
  </sheetViews>
  <sheetFormatPr defaultRowHeight="15" x14ac:dyDescent="0.25"/>
  <cols>
    <col min="2" max="2" width="3" bestFit="1" customWidth="1"/>
    <col min="3" max="3" width="155.28515625" customWidth="1"/>
  </cols>
  <sheetData>
    <row r="2" spans="2:3" ht="15" customHeight="1" x14ac:dyDescent="0.25">
      <c r="B2" s="54">
        <v>1</v>
      </c>
      <c r="C2" s="56" t="s">
        <v>283</v>
      </c>
    </row>
    <row r="3" spans="2:3" x14ac:dyDescent="0.25">
      <c r="B3" s="54">
        <v>2</v>
      </c>
      <c r="C3" s="55" t="s">
        <v>284</v>
      </c>
    </row>
    <row r="4" spans="2:3" x14ac:dyDescent="0.25">
      <c r="B4" s="54">
        <v>3</v>
      </c>
      <c r="C4" s="54" t="s">
        <v>285</v>
      </c>
    </row>
    <row r="5" spans="2:3" x14ac:dyDescent="0.25">
      <c r="B5" s="54">
        <v>4</v>
      </c>
      <c r="C5" s="55" t="s">
        <v>286</v>
      </c>
    </row>
    <row r="6" spans="2:3" x14ac:dyDescent="0.25">
      <c r="B6" s="54">
        <v>5</v>
      </c>
      <c r="C6" s="54" t="s">
        <v>287</v>
      </c>
    </row>
    <row r="7" spans="2:3" ht="30" x14ac:dyDescent="0.25">
      <c r="B7" s="54">
        <v>6</v>
      </c>
      <c r="C7" s="55" t="s">
        <v>288</v>
      </c>
    </row>
    <row r="8" spans="2:3" ht="75" x14ac:dyDescent="0.25">
      <c r="B8" s="54">
        <v>7</v>
      </c>
      <c r="C8" s="55" t="s">
        <v>289</v>
      </c>
    </row>
    <row r="9" spans="2:3" x14ac:dyDescent="0.25">
      <c r="B9" s="54">
        <v>8</v>
      </c>
      <c r="C9" s="54" t="s">
        <v>290</v>
      </c>
    </row>
    <row r="10" spans="2:3" x14ac:dyDescent="0.25">
      <c r="B10" s="54">
        <v>9</v>
      </c>
      <c r="C10" s="54" t="s">
        <v>291</v>
      </c>
    </row>
    <row r="11" spans="2:3" x14ac:dyDescent="0.25">
      <c r="B11" s="54">
        <v>10</v>
      </c>
      <c r="C11" s="54" t="s">
        <v>292</v>
      </c>
    </row>
    <row r="12" spans="2:3" x14ac:dyDescent="0.25">
      <c r="B12" s="54">
        <v>11</v>
      </c>
      <c r="C12" s="54" t="s">
        <v>293</v>
      </c>
    </row>
    <row r="13" spans="2:3" x14ac:dyDescent="0.25">
      <c r="B13" s="54">
        <v>12</v>
      </c>
      <c r="C13" s="54" t="s">
        <v>294</v>
      </c>
    </row>
    <row r="14" spans="2:3" x14ac:dyDescent="0.25">
      <c r="B14" s="54">
        <v>13</v>
      </c>
      <c r="C14" s="54" t="s">
        <v>295</v>
      </c>
    </row>
    <row r="15" spans="2:3" x14ac:dyDescent="0.25">
      <c r="B15" s="54">
        <v>14</v>
      </c>
      <c r="C15" s="54" t="s">
        <v>285</v>
      </c>
    </row>
    <row r="16" spans="2:3" x14ac:dyDescent="0.25">
      <c r="B16" s="54">
        <v>15</v>
      </c>
      <c r="C16" s="54" t="s">
        <v>297</v>
      </c>
    </row>
    <row r="17" spans="2:3" x14ac:dyDescent="0.25">
      <c r="B17" s="72">
        <v>16</v>
      </c>
      <c r="C17" s="59" t="s">
        <v>298</v>
      </c>
    </row>
    <row r="18" spans="2:3" x14ac:dyDescent="0.25">
      <c r="B18" s="58">
        <v>17</v>
      </c>
      <c r="C18" s="59" t="s">
        <v>299</v>
      </c>
    </row>
    <row r="19" spans="2:3" x14ac:dyDescent="0.25">
      <c r="B19" s="57">
        <v>18</v>
      </c>
      <c r="C19" s="54" t="s">
        <v>300</v>
      </c>
    </row>
    <row r="20" spans="2:3" x14ac:dyDescent="0.25">
      <c r="B20" s="58">
        <v>19</v>
      </c>
      <c r="C20" s="54" t="s">
        <v>336</v>
      </c>
    </row>
    <row r="21" spans="2:3" x14ac:dyDescent="0.25">
      <c r="B21" s="54">
        <v>20</v>
      </c>
      <c r="C21" s="54" t="s">
        <v>301</v>
      </c>
    </row>
    <row r="22" spans="2:3" x14ac:dyDescent="0.25">
      <c r="B22" s="58">
        <v>21</v>
      </c>
      <c r="C22" s="54" t="s">
        <v>300</v>
      </c>
    </row>
    <row r="23" spans="2:3" s="67" customFormat="1" ht="29.25" customHeight="1" x14ac:dyDescent="0.25">
      <c r="B23" s="66">
        <v>22</v>
      </c>
      <c r="C23" s="56" t="s">
        <v>328</v>
      </c>
    </row>
    <row r="24" spans="2:3" s="67" customFormat="1" ht="30.75" customHeight="1" x14ac:dyDescent="0.25">
      <c r="B24" s="68">
        <v>23</v>
      </c>
      <c r="C24" s="56" t="s">
        <v>329</v>
      </c>
    </row>
    <row r="25" spans="2:3" x14ac:dyDescent="0.25">
      <c r="B25" s="54">
        <v>24</v>
      </c>
      <c r="C25" s="54" t="s">
        <v>332</v>
      </c>
    </row>
    <row r="26" spans="2:3" x14ac:dyDescent="0.25">
      <c r="B26" s="58">
        <v>25</v>
      </c>
      <c r="C26" s="54" t="s">
        <v>330</v>
      </c>
    </row>
    <row r="27" spans="2:3" x14ac:dyDescent="0.25">
      <c r="B27" s="68">
        <v>26</v>
      </c>
      <c r="C27" s="54" t="s">
        <v>331</v>
      </c>
    </row>
    <row r="28" spans="2:3" x14ac:dyDescent="0.25">
      <c r="B28" s="58">
        <v>27</v>
      </c>
      <c r="C28" s="54" t="s">
        <v>333</v>
      </c>
    </row>
    <row r="29" spans="2:3" ht="60" x14ac:dyDescent="0.25">
      <c r="B29" s="71">
        <v>28</v>
      </c>
      <c r="C29" s="55" t="s">
        <v>334</v>
      </c>
    </row>
    <row r="30" spans="2:3" x14ac:dyDescent="0.25">
      <c r="B30" s="68">
        <v>29</v>
      </c>
      <c r="C30" s="54" t="s">
        <v>335</v>
      </c>
    </row>
    <row r="31" spans="2:3" ht="30" x14ac:dyDescent="0.25">
      <c r="B31" s="68">
        <v>30</v>
      </c>
      <c r="C31" s="55" t="s">
        <v>337</v>
      </c>
    </row>
    <row r="32" spans="2:3" x14ac:dyDescent="0.25">
      <c r="B32" s="68">
        <v>31</v>
      </c>
      <c r="C32" s="54" t="s">
        <v>338</v>
      </c>
    </row>
    <row r="33" spans="2:4" x14ac:dyDescent="0.25">
      <c r="B33" s="68">
        <v>32</v>
      </c>
      <c r="C33" s="54" t="s">
        <v>339</v>
      </c>
    </row>
    <row r="34" spans="2:4" ht="36.75" customHeight="1" x14ac:dyDescent="0.25">
      <c r="B34" s="68">
        <v>33</v>
      </c>
      <c r="C34" s="59" t="s">
        <v>340</v>
      </c>
    </row>
    <row r="35" spans="2:4" x14ac:dyDescent="0.25">
      <c r="B35" s="66">
        <v>34</v>
      </c>
      <c r="C35" s="54" t="s">
        <v>348</v>
      </c>
    </row>
    <row r="36" spans="2:4" ht="60" x14ac:dyDescent="0.25">
      <c r="B36" s="66">
        <v>35</v>
      </c>
      <c r="C36" s="55" t="s">
        <v>350</v>
      </c>
    </row>
    <row r="37" spans="2:4" x14ac:dyDescent="0.25">
      <c r="B37" s="54">
        <v>36</v>
      </c>
      <c r="C37" s="55" t="s">
        <v>361</v>
      </c>
    </row>
    <row r="38" spans="2:4" x14ac:dyDescent="0.25">
      <c r="B38" s="54">
        <f t="shared" ref="B38:B44" si="0">B37+1</f>
        <v>37</v>
      </c>
      <c r="C38" s="54" t="s">
        <v>357</v>
      </c>
    </row>
    <row r="39" spans="2:4" x14ac:dyDescent="0.25">
      <c r="B39" s="54">
        <f t="shared" si="0"/>
        <v>38</v>
      </c>
      <c r="C39" s="54" t="s">
        <v>358</v>
      </c>
    </row>
    <row r="40" spans="2:4" x14ac:dyDescent="0.25">
      <c r="B40" s="54">
        <f t="shared" si="0"/>
        <v>39</v>
      </c>
      <c r="C40" s="54" t="s">
        <v>359</v>
      </c>
    </row>
    <row r="41" spans="2:4" x14ac:dyDescent="0.25">
      <c r="B41" s="54">
        <f t="shared" si="0"/>
        <v>40</v>
      </c>
      <c r="C41" s="54" t="s">
        <v>360</v>
      </c>
    </row>
    <row r="42" spans="2:4" ht="30.75" thickBot="1" x14ac:dyDescent="0.3">
      <c r="B42" s="75">
        <f t="shared" si="0"/>
        <v>41</v>
      </c>
      <c r="C42" s="76" t="s">
        <v>362</v>
      </c>
    </row>
    <row r="43" spans="2:4" ht="30" x14ac:dyDescent="0.25">
      <c r="B43" s="79">
        <f t="shared" si="0"/>
        <v>42</v>
      </c>
      <c r="C43" s="84" t="s">
        <v>367</v>
      </c>
      <c r="D43" t="s">
        <v>368</v>
      </c>
    </row>
    <row r="44" spans="2:4" ht="15.75" thickBot="1" x14ac:dyDescent="0.3">
      <c r="B44" s="81">
        <f t="shared" si="0"/>
        <v>43</v>
      </c>
      <c r="C44" s="83" t="s">
        <v>363</v>
      </c>
    </row>
    <row r="45" spans="2:4" ht="15.75" thickBot="1" x14ac:dyDescent="0.3">
      <c r="B45" s="77">
        <f t="shared" ref="B45:B54" si="1">B44+1</f>
        <v>44</v>
      </c>
      <c r="C45" s="78" t="s">
        <v>364</v>
      </c>
    </row>
    <row r="46" spans="2:4" ht="30" x14ac:dyDescent="0.25">
      <c r="B46" s="79">
        <f t="shared" si="1"/>
        <v>45</v>
      </c>
      <c r="C46" s="80" t="s">
        <v>365</v>
      </c>
    </row>
    <row r="47" spans="2:4" ht="15.75" thickBot="1" x14ac:dyDescent="0.3">
      <c r="B47" s="81">
        <f t="shared" si="1"/>
        <v>46</v>
      </c>
      <c r="C47" s="82" t="s">
        <v>366</v>
      </c>
    </row>
    <row r="48" spans="2:4" x14ac:dyDescent="0.25">
      <c r="B48" s="85">
        <f t="shared" si="1"/>
        <v>47</v>
      </c>
      <c r="C48" s="86" t="s">
        <v>369</v>
      </c>
    </row>
    <row r="49" spans="2:4" x14ac:dyDescent="0.25">
      <c r="B49" s="85">
        <f t="shared" si="1"/>
        <v>48</v>
      </c>
      <c r="C49" s="86" t="s">
        <v>370</v>
      </c>
    </row>
    <row r="50" spans="2:4" x14ac:dyDescent="0.25">
      <c r="B50" s="85">
        <f t="shared" si="1"/>
        <v>49</v>
      </c>
      <c r="C50" s="86" t="s">
        <v>372</v>
      </c>
      <c r="D50" t="s">
        <v>371</v>
      </c>
    </row>
    <row r="51" spans="2:4" ht="30" x14ac:dyDescent="0.25">
      <c r="B51" s="87">
        <f t="shared" si="1"/>
        <v>50</v>
      </c>
      <c r="C51" s="88" t="s">
        <v>373</v>
      </c>
    </row>
    <row r="52" spans="2:4" x14ac:dyDescent="0.25">
      <c r="B52" s="87">
        <f t="shared" si="1"/>
        <v>51</v>
      </c>
      <c r="C52" s="89" t="s">
        <v>376</v>
      </c>
      <c r="D52" t="s">
        <v>377</v>
      </c>
    </row>
    <row r="53" spans="2:4" x14ac:dyDescent="0.25">
      <c r="B53" s="87">
        <f t="shared" si="1"/>
        <v>52</v>
      </c>
      <c r="C53" s="89" t="s">
        <v>379</v>
      </c>
      <c r="D53" t="s">
        <v>380</v>
      </c>
    </row>
    <row r="54" spans="2:4" ht="45" x14ac:dyDescent="0.25">
      <c r="B54" s="87">
        <f t="shared" si="1"/>
        <v>53</v>
      </c>
      <c r="C54" s="59" t="s">
        <v>384</v>
      </c>
      <c r="D54" t="s">
        <v>383</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0" t="s">
        <v>302</v>
      </c>
      <c r="C2" s="286"/>
      <c r="D2" s="286"/>
    </row>
    <row r="3" spans="1:12" x14ac:dyDescent="0.25">
      <c r="D3" s="61"/>
      <c r="E3" s="61"/>
      <c r="F3" s="61"/>
      <c r="G3" s="61"/>
      <c r="H3" s="61"/>
      <c r="I3" s="61"/>
    </row>
    <row r="4" spans="1:12" x14ac:dyDescent="0.25">
      <c r="A4" s="60" t="s">
        <v>65</v>
      </c>
      <c r="B4" s="62" t="s">
        <v>303</v>
      </c>
      <c r="C4" s="287" t="s">
        <v>304</v>
      </c>
      <c r="D4" s="287"/>
      <c r="E4" s="287"/>
      <c r="F4" s="62"/>
      <c r="G4" s="288" t="s">
        <v>305</v>
      </c>
      <c r="H4" s="288"/>
      <c r="I4" s="288"/>
      <c r="J4" s="289" t="s">
        <v>306</v>
      </c>
      <c r="K4" s="289"/>
      <c r="L4" s="289"/>
    </row>
    <row r="5" spans="1:12" x14ac:dyDescent="0.25">
      <c r="A5" s="60"/>
      <c r="B5" s="62"/>
      <c r="C5" s="62" t="s">
        <v>307</v>
      </c>
      <c r="D5" s="62" t="s">
        <v>308</v>
      </c>
      <c r="E5" s="62" t="s">
        <v>309</v>
      </c>
      <c r="F5" s="62"/>
      <c r="G5" s="62" t="s">
        <v>307</v>
      </c>
      <c r="H5" s="62" t="s">
        <v>308</v>
      </c>
      <c r="I5" s="62" t="s">
        <v>309</v>
      </c>
      <c r="J5" s="62" t="s">
        <v>307</v>
      </c>
      <c r="K5" s="62" t="s">
        <v>308</v>
      </c>
      <c r="L5" s="62" t="s">
        <v>309</v>
      </c>
    </row>
    <row r="6" spans="1:12" x14ac:dyDescent="0.25">
      <c r="B6" s="52" t="s">
        <v>310</v>
      </c>
      <c r="C6" s="52"/>
      <c r="D6" s="52"/>
      <c r="E6" s="52">
        <f>C6*D6</f>
        <v>0</v>
      </c>
      <c r="F6" s="52" t="s">
        <v>327</v>
      </c>
      <c r="G6" s="52"/>
      <c r="H6" s="52"/>
      <c r="I6" s="52">
        <f>G6*H6</f>
        <v>0</v>
      </c>
      <c r="J6" s="52"/>
      <c r="K6" s="52"/>
      <c r="L6" s="52">
        <f>J6*K6</f>
        <v>0</v>
      </c>
    </row>
    <row r="7" spans="1:12" x14ac:dyDescent="0.25">
      <c r="B7" s="52"/>
      <c r="C7" s="52"/>
      <c r="D7" s="52"/>
      <c r="E7" s="52">
        <f t="shared" ref="E7:E41" si="0">C7*D7</f>
        <v>0</v>
      </c>
      <c r="F7" s="52" t="s">
        <v>327</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311</v>
      </c>
      <c r="G9" s="52"/>
      <c r="H9" s="52"/>
      <c r="I9" s="52">
        <f t="shared" si="1"/>
        <v>0</v>
      </c>
      <c r="J9" s="52"/>
      <c r="K9" s="52"/>
      <c r="L9" s="52">
        <f t="shared" si="2"/>
        <v>0</v>
      </c>
    </row>
    <row r="10" spans="1:12" x14ac:dyDescent="0.25">
      <c r="B10" s="52" t="s">
        <v>312</v>
      </c>
      <c r="C10" s="52"/>
      <c r="D10" s="52"/>
      <c r="E10" s="52">
        <f t="shared" si="0"/>
        <v>0</v>
      </c>
      <c r="F10" s="52" t="s">
        <v>311</v>
      </c>
      <c r="G10" s="52"/>
      <c r="H10" s="52"/>
      <c r="I10" s="52">
        <f t="shared" si="1"/>
        <v>0</v>
      </c>
      <c r="J10" s="52"/>
      <c r="K10" s="52"/>
      <c r="L10" s="52">
        <f t="shared" si="2"/>
        <v>0</v>
      </c>
    </row>
    <row r="11" spans="1:12" x14ac:dyDescent="0.25">
      <c r="B11" s="52"/>
      <c r="C11" s="52"/>
      <c r="D11" s="52"/>
      <c r="E11" s="52">
        <f t="shared" si="0"/>
        <v>0</v>
      </c>
      <c r="F11" s="52" t="s">
        <v>313</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314</v>
      </c>
      <c r="C14" s="52"/>
      <c r="D14" s="52"/>
      <c r="E14" s="52">
        <f t="shared" si="0"/>
        <v>0</v>
      </c>
      <c r="F14" s="52" t="s">
        <v>311</v>
      </c>
      <c r="G14" s="52"/>
      <c r="H14" s="52"/>
      <c r="I14" s="52">
        <f t="shared" si="1"/>
        <v>0</v>
      </c>
      <c r="J14" s="52"/>
      <c r="K14" s="52"/>
      <c r="L14" s="52">
        <f t="shared" si="2"/>
        <v>0</v>
      </c>
    </row>
    <row r="15" spans="1:12" x14ac:dyDescent="0.25">
      <c r="B15" s="52"/>
      <c r="C15" s="52"/>
      <c r="D15" s="52"/>
      <c r="E15" s="52">
        <f t="shared" si="0"/>
        <v>0</v>
      </c>
      <c r="F15" s="52" t="s">
        <v>313</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315</v>
      </c>
      <c r="C18" s="52"/>
      <c r="D18" s="52"/>
      <c r="E18" s="52">
        <f t="shared" si="0"/>
        <v>0</v>
      </c>
      <c r="F18" s="52" t="s">
        <v>311</v>
      </c>
      <c r="G18" s="52"/>
      <c r="H18" s="52"/>
      <c r="I18" s="52">
        <f t="shared" si="1"/>
        <v>0</v>
      </c>
      <c r="J18" s="52"/>
      <c r="K18" s="52"/>
      <c r="L18" s="52">
        <f t="shared" si="2"/>
        <v>0</v>
      </c>
    </row>
    <row r="19" spans="2:12" x14ac:dyDescent="0.25">
      <c r="B19" s="52"/>
      <c r="C19" s="52"/>
      <c r="D19" s="52"/>
      <c r="E19" s="52">
        <f t="shared" si="0"/>
        <v>0</v>
      </c>
      <c r="F19" s="52" t="s">
        <v>313</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316</v>
      </c>
      <c r="C21" s="52"/>
      <c r="D21" s="52"/>
      <c r="E21" s="52">
        <f t="shared" si="0"/>
        <v>0</v>
      </c>
      <c r="F21" s="52" t="s">
        <v>311</v>
      </c>
      <c r="G21" s="52"/>
      <c r="H21" s="52"/>
      <c r="I21" s="52">
        <f t="shared" si="1"/>
        <v>0</v>
      </c>
      <c r="J21" s="52"/>
      <c r="K21" s="52"/>
      <c r="L21" s="52">
        <f t="shared" si="2"/>
        <v>0</v>
      </c>
    </row>
    <row r="22" spans="2:12" x14ac:dyDescent="0.25">
      <c r="B22" s="52"/>
      <c r="C22" s="52"/>
      <c r="D22" s="52"/>
      <c r="E22" s="52">
        <f t="shared" si="0"/>
        <v>0</v>
      </c>
      <c r="F22" s="52" t="s">
        <v>313</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317</v>
      </c>
      <c r="C24" s="52"/>
      <c r="D24" s="52"/>
      <c r="E24" s="52">
        <f t="shared" si="0"/>
        <v>0</v>
      </c>
      <c r="F24" s="52" t="s">
        <v>318</v>
      </c>
      <c r="G24" s="52"/>
      <c r="H24" s="52"/>
      <c r="I24" s="52">
        <f t="shared" si="1"/>
        <v>0</v>
      </c>
      <c r="J24" s="52"/>
      <c r="K24" s="52"/>
      <c r="L24" s="52">
        <f t="shared" si="2"/>
        <v>0</v>
      </c>
    </row>
    <row r="25" spans="2:12" x14ac:dyDescent="0.25">
      <c r="B25" s="52"/>
      <c r="C25" s="52"/>
      <c r="D25" s="52"/>
      <c r="E25" s="52">
        <f>C25*D25</f>
        <v>0</v>
      </c>
      <c r="F25" s="52" t="s">
        <v>318</v>
      </c>
      <c r="G25" s="52"/>
      <c r="H25" s="52"/>
      <c r="I25" s="52">
        <f>G25*H25</f>
        <v>0</v>
      </c>
      <c r="J25" s="52"/>
      <c r="K25" s="52"/>
      <c r="L25" s="52">
        <f>J25*K25</f>
        <v>0</v>
      </c>
    </row>
    <row r="26" spans="2:12" x14ac:dyDescent="0.25">
      <c r="B26" s="52"/>
      <c r="C26" s="52"/>
      <c r="D26" s="52"/>
      <c r="E26" s="52">
        <f>C26*D26</f>
        <v>0</v>
      </c>
      <c r="F26" s="52" t="s">
        <v>318</v>
      </c>
      <c r="G26" s="52"/>
      <c r="H26" s="52"/>
      <c r="I26" s="52">
        <f>G26*H26</f>
        <v>0</v>
      </c>
      <c r="J26" s="52"/>
      <c r="K26" s="52"/>
      <c r="L26" s="52">
        <f>J26*K26</f>
        <v>0</v>
      </c>
    </row>
    <row r="27" spans="2:12" x14ac:dyDescent="0.25">
      <c r="B27" s="52"/>
      <c r="C27" s="52"/>
      <c r="D27" s="52"/>
      <c r="E27" s="52">
        <f>C27*D27</f>
        <v>0</v>
      </c>
      <c r="F27" s="52" t="s">
        <v>318</v>
      </c>
      <c r="G27" s="52"/>
      <c r="H27" s="52"/>
      <c r="I27" s="52">
        <f>G27*H27</f>
        <v>0</v>
      </c>
      <c r="J27" s="52"/>
      <c r="K27" s="52"/>
      <c r="L27" s="52">
        <f>J27*K27</f>
        <v>0</v>
      </c>
    </row>
    <row r="28" spans="2:12" x14ac:dyDescent="0.25">
      <c r="B28" s="52" t="s">
        <v>319</v>
      </c>
      <c r="C28" s="52"/>
      <c r="D28" s="52"/>
      <c r="E28" s="52">
        <f t="shared" si="0"/>
        <v>0</v>
      </c>
      <c r="F28" s="52" t="s">
        <v>318</v>
      </c>
      <c r="G28" s="52"/>
      <c r="H28" s="52"/>
      <c r="I28" s="52">
        <f t="shared" si="1"/>
        <v>0</v>
      </c>
      <c r="J28" s="52"/>
      <c r="K28" s="52"/>
      <c r="L28" s="52">
        <f t="shared" si="2"/>
        <v>0</v>
      </c>
    </row>
    <row r="29" spans="2:12" x14ac:dyDescent="0.25">
      <c r="B29" s="52" t="s">
        <v>320</v>
      </c>
      <c r="C29" s="52"/>
      <c r="D29" s="52"/>
      <c r="E29" s="52">
        <f t="shared" si="0"/>
        <v>0</v>
      </c>
      <c r="F29" s="52" t="s">
        <v>318</v>
      </c>
      <c r="G29" s="52"/>
      <c r="H29" s="52"/>
      <c r="I29" s="52">
        <f t="shared" si="1"/>
        <v>0</v>
      </c>
      <c r="J29" s="52"/>
      <c r="K29" s="52"/>
      <c r="L29" s="52">
        <f t="shared" si="2"/>
        <v>0</v>
      </c>
    </row>
    <row r="30" spans="2:12" x14ac:dyDescent="0.25">
      <c r="B30" s="52" t="s">
        <v>324</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321</v>
      </c>
      <c r="C33" s="52"/>
      <c r="D33" s="52"/>
      <c r="E33" s="52">
        <f t="shared" si="0"/>
        <v>0</v>
      </c>
      <c r="F33" s="52"/>
      <c r="G33" s="52"/>
      <c r="H33" s="52"/>
      <c r="I33" s="52">
        <f t="shared" si="1"/>
        <v>0</v>
      </c>
      <c r="J33" s="52"/>
      <c r="K33" s="52"/>
      <c r="L33" s="52">
        <f t="shared" si="2"/>
        <v>0</v>
      </c>
    </row>
    <row r="34" spans="2:12" x14ac:dyDescent="0.25">
      <c r="B34" s="52" t="s">
        <v>325</v>
      </c>
      <c r="C34" s="52"/>
      <c r="D34" s="52"/>
      <c r="E34" s="52">
        <f t="shared" si="0"/>
        <v>0</v>
      </c>
      <c r="F34" s="52"/>
      <c r="G34" s="52"/>
      <c r="H34" s="52"/>
      <c r="I34" s="52">
        <f t="shared" si="1"/>
        <v>0</v>
      </c>
      <c r="J34" s="52"/>
      <c r="K34" s="52"/>
      <c r="L34" s="52">
        <f t="shared" si="2"/>
        <v>0</v>
      </c>
    </row>
    <row r="35" spans="2:12" x14ac:dyDescent="0.25">
      <c r="B35" s="52" t="s">
        <v>322</v>
      </c>
      <c r="C35" s="52"/>
      <c r="D35" s="52"/>
      <c r="E35" s="52">
        <f t="shared" si="0"/>
        <v>0</v>
      </c>
      <c r="F35" s="52"/>
      <c r="G35" s="52"/>
      <c r="H35" s="52"/>
      <c r="I35" s="52">
        <f t="shared" si="1"/>
        <v>0</v>
      </c>
      <c r="J35" s="52"/>
      <c r="K35" s="52"/>
      <c r="L35" s="52">
        <f t="shared" si="2"/>
        <v>0</v>
      </c>
    </row>
    <row r="36" spans="2:12" x14ac:dyDescent="0.25">
      <c r="B36" s="52" t="s">
        <v>323</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326</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150</v>
      </c>
      <c r="C42" s="52"/>
      <c r="D42" s="52">
        <f>E42*10.764</f>
        <v>0</v>
      </c>
      <c r="E42" s="65">
        <f>SUM(E6:E41)</f>
        <v>0</v>
      </c>
      <c r="F42" s="52"/>
      <c r="G42" s="52"/>
      <c r="H42" s="52">
        <f>I42*10.764</f>
        <v>0</v>
      </c>
      <c r="I42" s="64">
        <f>SUM(I6:I41)</f>
        <v>0</v>
      </c>
      <c r="J42" s="52"/>
      <c r="K42" s="52">
        <f>L42*10.764</f>
        <v>0</v>
      </c>
      <c r="L42" s="63">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2025-07-31T09:57:56Z</cp:lastPrinted>
  <dcterms:created xsi:type="dcterms:W3CDTF">2019-07-16T09:29:46Z</dcterms:created>
  <dcterms:modified xsi:type="dcterms:W3CDTF">2025-07-31T10:01:01Z</dcterms:modified>
</cp:coreProperties>
</file>