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PF\25-26\July 2025\AXIS\Update\Pranita\14228 - Raheja Lunaris 1 (Calisto)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6" i="1" l="1"/>
  <c r="I157" i="1" l="1"/>
  <c r="I156" i="1"/>
  <c r="I153" i="1"/>
  <c r="D209" i="1"/>
  <c r="D208" i="1"/>
  <c r="D207" i="1"/>
  <c r="D205" i="1"/>
  <c r="D204" i="1"/>
  <c r="D203" i="1"/>
  <c r="D190" i="1"/>
  <c r="D189" i="1"/>
  <c r="D188" i="1"/>
  <c r="D186" i="1"/>
  <c r="D185" i="1"/>
  <c r="D184" i="1"/>
  <c r="D171" i="1"/>
  <c r="D170" i="1"/>
  <c r="D169" i="1"/>
  <c r="D167" i="1"/>
  <c r="D166" i="1"/>
  <c r="D165" i="1"/>
  <c r="D159" i="1"/>
  <c r="D200" i="1"/>
  <c r="D201" i="1"/>
  <c r="D199" i="1"/>
  <c r="D198" i="1"/>
  <c r="D197" i="1"/>
  <c r="D196" i="1"/>
  <c r="D181" i="1"/>
  <c r="D180" i="1"/>
  <c r="D179" i="1"/>
  <c r="D178" i="1"/>
  <c r="D182" i="1"/>
  <c r="D177" i="1"/>
  <c r="D163" i="1"/>
  <c r="D162" i="1"/>
  <c r="D161" i="1"/>
  <c r="D160" i="1"/>
  <c r="J158" i="1"/>
  <c r="J157" i="1"/>
  <c r="J156" i="1"/>
  <c r="J155" i="1"/>
  <c r="D158" i="1"/>
  <c r="I154" i="1"/>
  <c r="G177" i="1"/>
  <c r="D149" i="1"/>
  <c r="F149" i="1" s="1"/>
  <c r="D150" i="1"/>
  <c r="F150" i="1" s="1"/>
  <c r="D146" i="1"/>
  <c r="F146" i="1" s="1"/>
  <c r="D147" i="1"/>
  <c r="F147" i="1" s="1"/>
  <c r="D148" i="1"/>
  <c r="F148" i="1" s="1"/>
  <c r="D145" i="1"/>
  <c r="F145" i="1" s="1"/>
  <c r="D142" i="1"/>
  <c r="F142" i="1" s="1"/>
  <c r="I142" i="1" s="1"/>
  <c r="D143" i="1"/>
  <c r="F143" i="1" s="1"/>
  <c r="D144" i="1"/>
  <c r="F144" i="1" s="1"/>
  <c r="D141" i="1"/>
  <c r="F141" i="1" s="1"/>
  <c r="A142" i="1"/>
  <c r="A143" i="1" s="1"/>
  <c r="A144" i="1" s="1"/>
  <c r="A145" i="1" s="1"/>
  <c r="A146" i="1" s="1"/>
  <c r="A147" i="1" s="1"/>
  <c r="A148" i="1" s="1"/>
  <c r="A149" i="1" s="1"/>
  <c r="A150" i="1" s="1"/>
  <c r="G141" i="1"/>
  <c r="D139" i="1"/>
  <c r="D138" i="1"/>
  <c r="F138" i="1" s="1"/>
  <c r="D137" i="1"/>
  <c r="F137" i="1" s="1"/>
  <c r="D136" i="1"/>
  <c r="F136" i="1" s="1"/>
  <c r="I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8" i="1"/>
  <c r="F128" i="1" s="1"/>
  <c r="D129" i="1"/>
  <c r="F129" i="1" s="1"/>
  <c r="F139" i="1"/>
  <c r="C87" i="1"/>
  <c r="D100" i="1"/>
  <c r="J99" i="1"/>
  <c r="D99" i="1"/>
  <c r="J98" i="1"/>
  <c r="D98" i="1"/>
  <c r="D97" i="1"/>
  <c r="D96" i="1"/>
  <c r="D95" i="1"/>
  <c r="D94" i="1"/>
  <c r="J93" i="1"/>
  <c r="J94" i="1" s="1"/>
  <c r="D93" i="1"/>
  <c r="J92" i="1"/>
  <c r="D92" i="1"/>
  <c r="J91" i="1"/>
  <c r="C91" i="1" s="1"/>
  <c r="E91" i="1"/>
  <c r="J90" i="1"/>
  <c r="J87" i="1"/>
  <c r="J89" i="1" s="1"/>
  <c r="C73" i="1"/>
  <c r="E117" i="1" l="1"/>
  <c r="C118" i="1"/>
  <c r="G112" i="1"/>
  <c r="G113" i="1" s="1"/>
  <c r="C116" i="1"/>
  <c r="E118" i="1"/>
  <c r="C112" i="1"/>
  <c r="C113" i="1" s="1"/>
  <c r="E116" i="1"/>
  <c r="C117" i="1"/>
  <c r="E112" i="1"/>
  <c r="E113" i="1" s="1"/>
  <c r="D91" i="1"/>
  <c r="I88" i="1" s="1"/>
  <c r="I89" i="1" s="1"/>
  <c r="G91" i="1"/>
  <c r="J95" i="1"/>
  <c r="J96" i="1" s="1"/>
  <c r="J97" i="1" s="1"/>
  <c r="J84" i="1"/>
  <c r="J88" i="1" l="1"/>
  <c r="I87" i="1" s="1"/>
  <c r="C89" i="1" s="1"/>
  <c r="J100" i="1"/>
  <c r="J78" i="1"/>
  <c r="J76" i="1"/>
  <c r="J73" i="1"/>
  <c r="J75" i="1" s="1"/>
  <c r="D86" i="1"/>
  <c r="D84" i="1"/>
  <c r="D82" i="1"/>
  <c r="D80" i="1"/>
  <c r="D85" i="1"/>
  <c r="D83" i="1"/>
  <c r="D81" i="1"/>
  <c r="D79" i="1"/>
  <c r="J77" i="1"/>
  <c r="C77" i="1" s="1"/>
  <c r="D77" i="1" s="1"/>
  <c r="J79" i="1"/>
  <c r="J80" i="1" s="1"/>
  <c r="J85" i="1" l="1"/>
  <c r="J81" i="1"/>
  <c r="J82" i="1" s="1"/>
  <c r="J83" i="1" s="1"/>
  <c r="E77" i="1"/>
  <c r="D78" i="1"/>
  <c r="I74" i="1" s="1"/>
  <c r="I75" i="1" s="1"/>
  <c r="G77" i="1"/>
  <c r="D71" i="1" s="1"/>
  <c r="J74" i="1"/>
  <c r="J86" i="1" l="1"/>
  <c r="I73" i="1"/>
  <c r="C75" i="1" s="1"/>
  <c r="E41" i="1" l="1"/>
  <c r="F109" i="1" l="1"/>
  <c r="J55" i="1" l="1"/>
  <c r="J53" i="1"/>
  <c r="D61" i="1" l="1"/>
  <c r="I41" i="1"/>
  <c r="I42" i="1" s="1"/>
  <c r="K59" i="1" l="1"/>
  <c r="J59" i="1"/>
  <c r="F209" i="1"/>
  <c r="F208" i="1"/>
  <c r="F207" i="1"/>
  <c r="F205" i="1"/>
  <c r="F204" i="1"/>
  <c r="A204" i="1"/>
  <c r="A205" i="1" s="1"/>
  <c r="A207" i="1" s="1"/>
  <c r="A208" i="1" s="1"/>
  <c r="A209" i="1" s="1"/>
  <c r="G203" i="1"/>
  <c r="F203" i="1"/>
  <c r="F200" i="1"/>
  <c r="F197" i="1"/>
  <c r="F201" i="1"/>
  <c r="F199" i="1"/>
  <c r="F198" i="1"/>
  <c r="A197" i="1"/>
  <c r="A198" i="1" s="1"/>
  <c r="A199" i="1" s="1"/>
  <c r="A200" i="1" s="1"/>
  <c r="A201" i="1" s="1"/>
  <c r="G196" i="1"/>
  <c r="F196" i="1"/>
  <c r="F190" i="1"/>
  <c r="F189" i="1"/>
  <c r="F188" i="1"/>
  <c r="F186" i="1"/>
  <c r="F185" i="1"/>
  <c r="A185" i="1"/>
  <c r="A186" i="1" s="1"/>
  <c r="A188" i="1" s="1"/>
  <c r="A189" i="1" s="1"/>
  <c r="A190" i="1" s="1"/>
  <c r="G184" i="1"/>
  <c r="F184" i="1"/>
  <c r="F165" i="1"/>
  <c r="F182" i="1"/>
  <c r="F181" i="1"/>
  <c r="F180" i="1"/>
  <c r="F179" i="1"/>
  <c r="F178" i="1"/>
  <c r="A178" i="1"/>
  <c r="A179" i="1" s="1"/>
  <c r="A180" i="1" s="1"/>
  <c r="A181" i="1" s="1"/>
  <c r="A182" i="1" s="1"/>
  <c r="F177" i="1"/>
  <c r="I175" i="1" s="1"/>
  <c r="F162" i="1"/>
  <c r="K160" i="1" s="1"/>
  <c r="F169" i="1"/>
  <c r="F166" i="1"/>
  <c r="I165" i="1" s="1"/>
  <c r="F159" i="1"/>
  <c r="K157" i="1" s="1"/>
  <c r="F171" i="1"/>
  <c r="F170" i="1"/>
  <c r="F167" i="1"/>
  <c r="A166" i="1"/>
  <c r="G165" i="1"/>
  <c r="I139" i="1"/>
  <c r="F163" i="1"/>
  <c r="K161" i="1" s="1"/>
  <c r="F160" i="1"/>
  <c r="K158" i="1" s="1"/>
  <c r="F161" i="1"/>
  <c r="K159" i="1" s="1"/>
  <c r="A159" i="1"/>
  <c r="A160" i="1" s="1"/>
  <c r="A161" i="1" s="1"/>
  <c r="A162" i="1" s="1"/>
  <c r="A163" i="1" s="1"/>
  <c r="G158" i="1"/>
  <c r="J51" i="1"/>
  <c r="G49" i="1"/>
  <c r="C49" i="1"/>
  <c r="G117" i="1" l="1"/>
  <c r="G118" i="1"/>
  <c r="F158" i="1"/>
  <c r="A167" i="1"/>
  <c r="A169" i="1" s="1"/>
  <c r="A170" i="1" s="1"/>
  <c r="A171" i="1" s="1"/>
  <c r="G116" i="1" l="1"/>
  <c r="K156" i="1"/>
  <c r="M156" i="1" s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G128" i="1"/>
  <c r="J101" i="1" l="1"/>
  <c r="G119" i="1" l="1"/>
  <c r="G120" i="1" s="1"/>
  <c r="C14" i="1"/>
  <c r="C119" i="1" l="1"/>
  <c r="C120" i="1" s="1"/>
  <c r="E119" i="1"/>
  <c r="E120" i="1" s="1"/>
  <c r="E29" i="1"/>
  <c r="B213" i="1" l="1"/>
  <c r="B21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6" i="1"/>
  <c r="E42" i="1"/>
  <c r="E43" i="1" s="1"/>
  <c r="E26" i="1"/>
  <c r="E24" i="1"/>
  <c r="E7" i="1"/>
  <c r="E3" i="1"/>
  <c r="D67" i="1" l="1"/>
  <c r="F72" i="1" l="1"/>
  <c r="D72" i="1" l="1"/>
</calcChain>
</file>

<file path=xl/sharedStrings.xml><?xml version="1.0" encoding="utf-8"?>
<sst xmlns="http://schemas.openxmlformats.org/spreadsheetml/2006/main" count="398" uniqueCount="243">
  <si>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</si>
  <si>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</si>
  <si>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</si>
  <si>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</si>
  <si>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</si>
  <si>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</si>
  <si>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</si>
  <si>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</si>
  <si>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</si>
  <si>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</si>
  <si>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</si>
  <si>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</si>
  <si>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</si>
  <si>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</si>
  <si>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</si>
  <si>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</si>
  <si>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</si>
  <si>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</si>
  <si>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</si>
  <si>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</si>
  <si>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</si>
  <si>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</si>
  <si>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</si>
  <si>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</si>
  <si>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</si>
  <si>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</si>
  <si>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</si>
  <si>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</si>
  <si>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</si>
  <si>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</si>
  <si>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</si>
  <si>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</si>
  <si>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</si>
  <si>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</si>
  <si>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</si>
  <si>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</si>
  <si>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</si>
  <si>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</si>
  <si>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</si>
  <si>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</si>
  <si>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</si>
  <si>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</si>
  <si>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</si>
  <si>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</si>
  <si>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</si>
  <si>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</si>
  <si>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</si>
  <si>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</si>
  <si>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</si>
  <si>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</si>
  <si>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</si>
  <si>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</si>
  <si>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</si>
  <si>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</si>
  <si>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</si>
  <si>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</si>
  <si>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</si>
  <si>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</si>
  <si>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</si>
  <si>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</si>
  <si>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</si>
  <si>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</si>
  <si>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</si>
  <si>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</si>
  <si>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</si>
  <si>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</si>
  <si>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</si>
  <si>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</si>
  <si>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</si>
  <si>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</si>
  <si>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</si>
  <si>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</si>
  <si>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</si>
  <si>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</si>
  <si>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</si>
  <si>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</si>
  <si>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</si>
  <si>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</si>
  <si>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</si>
  <si>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</si>
  <si>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</si>
  <si>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</si>
  <si>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</si>
  <si>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</si>
  <si>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</si>
  <si>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</si>
  <si>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Restrictive Covenants in regard to Land Use</t>
  </si>
  <si>
    <t>Boundries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</si>
  <si>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</si>
  <si>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</si>
  <si>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</si>
  <si>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</si>
  <si>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</si>
  <si>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</si>
  <si>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</si>
  <si>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</si>
  <si>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</si>
  <si>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</si>
  <si>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</si>
  <si>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</si>
  <si>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</si>
  <si>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</si>
  <si>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</si>
  <si>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</si>
  <si>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</si>
  <si>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</si>
  <si>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</si>
  <si>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</si>
  <si>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</si>
  <si>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</si>
  <si>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</si>
  <si>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</si>
  <si>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</si>
  <si>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</si>
  <si>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</si>
  <si>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</si>
  <si>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</si>
  <si>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</si>
  <si>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</si>
  <si>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</si>
  <si>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</si>
  <si>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</si>
  <si>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</si>
  <si>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</si>
  <si>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</si>
  <si>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</si>
  <si>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</si>
  <si>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</si>
  <si>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</si>
  <si>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</si>
  <si>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</si>
  <si>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</si>
  <si>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</si>
  <si>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</si>
  <si>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</si>
  <si>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</si>
  <si>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</si>
  <si>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</si>
  <si>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</si>
  <si>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</si>
  <si>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</si>
  <si>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</si>
  <si>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</si>
  <si>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</si>
  <si>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</si>
  <si>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</si>
  <si>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</si>
  <si>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</si>
  <si>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</si>
  <si>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</si>
  <si>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</si>
  <si>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Village</t>
  </si>
  <si>
    <t xml:space="preserve">O. Certificate No.: 
Approved upto : </t>
  </si>
  <si>
    <t>Axis Thane</t>
  </si>
  <si>
    <t>Raheja Universal (Pvt.) Ltd</t>
  </si>
  <si>
    <t>T.T.C. Industrial Area</t>
  </si>
  <si>
    <t>Maharashtra Industrial Development Corporation</t>
  </si>
  <si>
    <t>Shop</t>
  </si>
  <si>
    <t>Ground Floor For Commercial</t>
  </si>
  <si>
    <t>Refuge Area</t>
  </si>
  <si>
    <t>Juinagar</t>
  </si>
  <si>
    <t>Juinagar East</t>
  </si>
  <si>
    <t>K Raheja Mindspace Juinagar</t>
  </si>
  <si>
    <t>1.4 KM from Juinagar Railway Station</t>
  </si>
  <si>
    <t>Thane</t>
  </si>
  <si>
    <t>Mindspace Juinagar</t>
  </si>
  <si>
    <t>MIDC IOC Terminal Road</t>
  </si>
  <si>
    <t>9920027688/7718010687/7066882368</t>
  </si>
  <si>
    <t>Wing 1A</t>
  </si>
  <si>
    <t>2BHK</t>
  </si>
  <si>
    <t>Wing 1B</t>
  </si>
  <si>
    <t>Club House Charges</t>
  </si>
  <si>
    <t>Floor rise (From 2nd Floor)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</si>
  <si>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</si>
  <si>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Documents Provided</t>
  </si>
  <si>
    <t>Plot No</t>
  </si>
  <si>
    <t>Grand Total</t>
  </si>
  <si>
    <t>Advance Maintenance Charges (9 Month)</t>
  </si>
  <si>
    <t>Layout Plan :</t>
  </si>
  <si>
    <t>Site Meet Person Contact Details ( Name &amp; Contact No.)</t>
  </si>
  <si>
    <t>Latitude,Longitude</t>
  </si>
  <si>
    <t>As per Layout</t>
  </si>
  <si>
    <t>34.50M Wide DP Road</t>
  </si>
  <si>
    <t>Other Plot</t>
  </si>
  <si>
    <t xml:space="preserve">EE/Dn. II/MHP/SPA/I/58000/of 2024 </t>
  </si>
  <si>
    <t>Gymnasium, Swimming Pool, Multipurpose Court, Jogging Track, Games Room, Pool Deck, Pergola, Sit out Space for Senior Citizens etc.</t>
  </si>
  <si>
    <t>1.5BHK</t>
  </si>
  <si>
    <t>2.5BHK</t>
  </si>
  <si>
    <t>-</t>
  </si>
  <si>
    <t>Mayur Ranvare</t>
  </si>
  <si>
    <t>https://lunaris-juinagar.com/Raheja/?tm=tt&amp;ap=gads&amp;aaid=adauWHbALRFPS&amp;pp_pg=google&amp;pp_mobile=1&amp;pp_chatbox=1&amp;utm_source=website&amp;utm_medium=ppmcc&amp;utm_campaign=google-search&amp;Keyword=raheja%20lunaris&amp;Device=c&amp;ads_id=TBD&amp;ads_group_id=165880764458&amp;ads_extension_id=&amp;ads_set_name=Raheja-Solaris-Juinagar-Mumbai-s-l2-98-p&amp;campaign_id=21475624253&amp;campaign_name=Raheja-Solaris-Juinagar-Mumbai-s-l2&amp;keyword_type=p&amp;physical_location=9303628&amp;ad_strategy=s-l2&amp;gad_source=1&amp;gclid=Cj0KCQjwjY64BhCaARIsAIfc7YZQgLg3bG7blDQprNEA5BFzctOES3KjzDKTKn0EFk5XyQc0vdrnXE0aAsz2EALw_wcB</t>
  </si>
  <si>
    <t>Total Permissible Builtup area of the project (Sq.Mt)</t>
  </si>
  <si>
    <t xml:space="preserve">Environment Clearance  No
Valid Up to: </t>
  </si>
  <si>
    <t xml:space="preserve">Fire Noc No
Valid Up to: </t>
  </si>
  <si>
    <t>SEAC-2014/CR-91/TC-1</t>
  </si>
  <si>
    <t>Net Plot Area = 247778.87 Sqm
Built Up Area = 495522.00 Sqm
Total 9 Buildings - G + Podium + 27 Floor</t>
  </si>
  <si>
    <t>MIDC/Fire/D-94249</t>
  </si>
  <si>
    <t>Raheja Lunaris 1 (Calisto)</t>
  </si>
  <si>
    <t>Wing 4A = 1B + LG + UG + 1st to 31st Floor
Wing 4B &amp; 4C = 1B + LG + UG + 1st to 20th Floor</t>
  </si>
  <si>
    <t>1370, Shops - 29</t>
  </si>
  <si>
    <t>As per RERA - 31/12/2030</t>
  </si>
  <si>
    <t>Fire NOC Query</t>
  </si>
  <si>
    <t>FR added by Smith on 07/01/2025 for Case A2304</t>
  </si>
  <si>
    <t>Contact Details (Name &amp; Contact No.)</t>
  </si>
  <si>
    <t>RERA Name &amp; No..</t>
  </si>
  <si>
    <t>Wing 1A, 1B &amp; 1C &amp; Shopping Wing</t>
  </si>
  <si>
    <t>Pranita Mhatre</t>
  </si>
  <si>
    <t>Raheja Lunaris 1 Calisto (P51700076867)</t>
  </si>
  <si>
    <t>Wing 1A, 1B, 1C &amp; Shopping Wing</t>
  </si>
  <si>
    <t>Gen-2/1/B/Part -1</t>
  </si>
  <si>
    <t>04 Wings</t>
  </si>
  <si>
    <t>19.053583,73.031667</t>
  </si>
  <si>
    <t>https://maps.app.goo.gl/ndacFwozaxidJaRj8</t>
  </si>
  <si>
    <t>Excavation work is in process at the time of Visit. (Slow Speed)</t>
  </si>
  <si>
    <t>S Central Road</t>
  </si>
  <si>
    <t>Raheja District-1</t>
  </si>
  <si>
    <t xml:space="preserve">EE/Dn. II/MHP/SPA/I/97268/of 2025 </t>
  </si>
  <si>
    <t>Wing 1A, 1B &amp; 1C = 4B + Gr + 1st to 32nd Floor</t>
  </si>
  <si>
    <t>Shopping Wing</t>
  </si>
  <si>
    <t>3rd &amp; 2nd Basement Floor For Domestic Tank, Rain Water Harvesting Tank, Fire Tank &amp; Pump Room</t>
  </si>
  <si>
    <t xml:space="preserve">1st Basement Floor For Commercial &amp; Tanks Area </t>
  </si>
  <si>
    <t xml:space="preserve">Details of Residential &amp; Commercial in Building   </t>
  </si>
  <si>
    <t>Building Details Floor Wise</t>
  </si>
  <si>
    <t xml:space="preserve">4th to 1st Basement Floor For Parking </t>
  </si>
  <si>
    <t>Wing 1C</t>
  </si>
  <si>
    <t>1st to 7th, 9th to 12th, 14th to 17th, 19th to 22nd, 24th to 27th, 29th to 32nd Floor For Residential</t>
  </si>
  <si>
    <t>8th, 13th, 18th, 23rd &amp; 28th Floor (Part Refuge Area)</t>
  </si>
  <si>
    <t>33rd Floor (Terrace Floor)</t>
  </si>
  <si>
    <t xml:space="preserve"> Commercial Area Details : (Shop)</t>
  </si>
  <si>
    <t>Residential Area Details :(Flat)</t>
  </si>
  <si>
    <t>Flats - 576, Shop = 22</t>
  </si>
  <si>
    <t>Wing 1A, 1B &amp; 1C = 4B + Gr + 1st to 32nd Floor
Shopping Wing  = 3B + Gr Floor</t>
  </si>
  <si>
    <t>Wing 1A, 1B &amp; 1C = 4B + Gr + 1st to 32nd Floor
Shopping Wing = 3B + Gr Floor</t>
  </si>
  <si>
    <t>Shopping Wing = 3B + Gr Floor</t>
  </si>
  <si>
    <r>
      <t xml:space="preserve">Shop/Restaurant No.
</t>
    </r>
    <r>
      <rPr>
        <b/>
        <sz val="11"/>
        <rFont val="Times New Roman"/>
        <family val="1"/>
      </rPr>
      <t>(Approved Plan)</t>
    </r>
  </si>
  <si>
    <t>As per approved plans dated 22/05/2024, the project consists of Wing 4A, 4B &amp; 4C.
But as per the revised approved plans dtd.30/01/2025 &amp; as per RERA, the project consists of Wing 1A, 1B &amp; 1C (Wing 4A is named as Wing 1C, Wing 4B is named as Wing 1B &amp; Wing 4C is named as Wing 1A)</t>
  </si>
  <si>
    <t>We considered Gross carpet area = Net carpet +  Balcony Area</t>
  </si>
  <si>
    <t>We have added Shopping Wing &amp; updated approved plans for Wing 1A, 1B &amp; 1C on 15/07/2025</t>
  </si>
  <si>
    <t>Recommended Rates / Other charges of the Property have been revised on  08/01/2025.</t>
  </si>
  <si>
    <t>Approved Plans, CC, Combined Approval Letter &amp; EC</t>
  </si>
  <si>
    <t xml:space="preserve">Combined Approval Letter No
Valid Up to: </t>
  </si>
  <si>
    <t xml:space="preserve">Ground Floor For Parking </t>
  </si>
  <si>
    <t>Please Check for Fire NOC. (Remove Remarked on 21/07/2025 as per smit 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</si>
</sst>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0.0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8"/>
      <color rgb="FFFF000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</cellStyleXfs>
  <cellXfs count="276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7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9" fillId="0" borderId="1" xfId="1" applyFont="1" applyBorder="1" applyAlignment="1" applyProtection="1">
      <alignment vertical="top"/>
      <protection locked="0"/>
    </xf>
    <xf numFmtId="169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66" fontId="8" fillId="0" borderId="0" xfId="1" applyNumberFormat="1" applyFont="1"/>
    <xf numFmtId="0" fontId="28" fillId="0" borderId="0" xfId="1" applyFont="1"/>
    <xf numFmtId="0" fontId="27" fillId="0" borderId="0" xfId="10"/>
    <xf numFmtId="0" fontId="8" fillId="0" borderId="0" xfId="1" applyFont="1" applyAlignment="1">
      <alignment wrapText="1"/>
    </xf>
    <xf numFmtId="0" fontId="17" fillId="2" borderId="0" xfId="1" applyFont="1" applyFill="1"/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0" xfId="1" applyFont="1" applyAlignment="1">
      <alignment horizontal="center" vertical="center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9" fontId="13" fillId="0" borderId="6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Border="1" applyAlignment="1" applyProtection="1">
      <alignment horizontal="center" vertical="center" wrapText="1"/>
      <protection locked="0"/>
    </xf>
    <xf numFmtId="169" fontId="7" fillId="0" borderId="0" xfId="1" applyNumberFormat="1" applyFont="1" applyBorder="1" applyAlignment="1" applyProtection="1">
      <alignment horizontal="center" vertical="center" wrapText="1"/>
      <protection locked="0"/>
    </xf>
    <xf numFmtId="1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69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68" fontId="8" fillId="0" borderId="0" xfId="1" applyNumberFormat="1" applyFont="1"/>
    <xf numFmtId="0" fontId="8" fillId="0" borderId="0" xfId="1" applyFont="1" applyAlignment="1">
      <alignment vertical="center"/>
    </xf>
    <xf numFmtId="1" fontId="14" fillId="0" borderId="2" xfId="1" applyNumberFormat="1" applyFont="1" applyBorder="1" applyAlignment="1" applyProtection="1">
      <alignment horizontal="center" vertical="top" wrapText="1"/>
      <protection locked="0"/>
    </xf>
    <xf numFmtId="9" fontId="14" fillId="0" borderId="15" xfId="8" applyFont="1" applyFill="1" applyBorder="1" applyAlignment="1" applyProtection="1">
      <alignment horizontal="center" vertical="top" wrapText="1"/>
      <protection locked="0"/>
    </xf>
    <xf numFmtId="1" fontId="14" fillId="0" borderId="7" xfId="1" applyNumberFormat="1" applyFont="1" applyBorder="1" applyAlignment="1" applyProtection="1">
      <alignment horizontal="center" vertical="center" wrapText="1"/>
      <protection locked="0"/>
    </xf>
    <xf numFmtId="1" fontId="14" fillId="0" borderId="20" xfId="1" applyNumberFormat="1" applyFont="1" applyBorder="1" applyAlignment="1" applyProtection="1">
      <alignment horizontal="center" vertical="center" wrapText="1"/>
      <protection locked="0"/>
    </xf>
    <xf numFmtId="1" fontId="14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6" xfId="1" applyNumberFormat="1" applyFont="1" applyBorder="1" applyAlignment="1" applyProtection="1">
      <alignment horizontal="center" vertical="center" wrapText="1"/>
      <protection locked="0"/>
    </xf>
    <xf numFmtId="1" fontId="13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24" xfId="1" applyNumberFormat="1" applyFont="1" applyBorder="1" applyAlignment="1" applyProtection="1">
      <alignment horizontal="center" vertical="center" wrapText="1"/>
      <protection locked="0"/>
    </xf>
    <xf numFmtId="1" fontId="13" fillId="0" borderId="25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9" fillId="0" borderId="7" xfId="0" applyNumberFormat="1" applyFont="1" applyBorder="1" applyAlignment="1" applyProtection="1">
      <alignment horizontal="center" vertical="center" wrapText="1"/>
      <protection locked="0"/>
    </xf>
    <xf numFmtId="1" fontId="9" fillId="0" borderId="20" xfId="0" applyNumberFormat="1" applyFont="1" applyBorder="1" applyAlignment="1" applyProtection="1">
      <alignment horizontal="center" vertical="center" wrapText="1"/>
      <protection locked="0"/>
    </xf>
    <xf numFmtId="1" fontId="9" fillId="0" borderId="8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9" fontId="13" fillId="0" borderId="16" xfId="8" applyFont="1" applyFill="1" applyBorder="1" applyAlignment="1" applyProtection="1">
      <alignment horizontal="center" vertical="center" wrapText="1"/>
      <protection locked="0"/>
    </xf>
    <xf numFmtId="9" fontId="13" fillId="0" borderId="17" xfId="8" applyFont="1" applyFill="1" applyBorder="1" applyAlignment="1" applyProtection="1">
      <alignment horizontal="center" vertical="center" wrapText="1"/>
      <protection locked="0"/>
    </xf>
    <xf numFmtId="9" fontId="13" fillId="0" borderId="24" xfId="8" applyFont="1" applyFill="1" applyBorder="1" applyAlignment="1" applyProtection="1">
      <alignment horizontal="center" vertical="center" wrapText="1"/>
      <protection locked="0"/>
    </xf>
    <xf numFmtId="9" fontId="13" fillId="0" borderId="25" xfId="8" applyFont="1" applyFill="1" applyBorder="1" applyAlignment="1" applyProtection="1">
      <alignment horizontal="center" vertical="center" wrapText="1"/>
      <protection locked="0"/>
    </xf>
    <xf numFmtId="9" fontId="13" fillId="0" borderId="27" xfId="8" applyFont="1" applyFill="1" applyBorder="1" applyAlignment="1" applyProtection="1">
      <alignment horizontal="center" vertical="center" wrapText="1"/>
      <protection locked="0"/>
    </xf>
    <xf numFmtId="9" fontId="13" fillId="0" borderId="28" xfId="8" applyFont="1" applyFill="1" applyBorder="1" applyAlignment="1" applyProtection="1">
      <alignment horizontal="center" vertical="center" wrapText="1"/>
      <protection locked="0"/>
    </xf>
    <xf numFmtId="14" fontId="16" fillId="0" borderId="7" xfId="1" applyNumberFormat="1" applyFont="1" applyBorder="1" applyAlignment="1" applyProtection="1">
      <alignment horizontal="left" vertical="top" wrapText="1"/>
      <protection locked="0"/>
    </xf>
    <xf numFmtId="14" fontId="16" fillId="0" borderId="8" xfId="1" applyNumberFormat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14" fillId="0" borderId="12" xfId="1" applyFont="1" applyBorder="1" applyAlignment="1" applyProtection="1">
      <alignment horizontal="left" vertical="top" wrapText="1"/>
      <protection locked="0"/>
    </xf>
    <xf numFmtId="0" fontId="14" fillId="0" borderId="13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1" fontId="9" fillId="0" borderId="7" xfId="0" applyNumberFormat="1" applyFont="1" applyBorder="1" applyAlignment="1" applyProtection="1">
      <alignment vertical="top" wrapText="1"/>
      <protection locked="0"/>
    </xf>
    <xf numFmtId="1" fontId="9" fillId="0" borderId="20" xfId="0" applyNumberFormat="1" applyFont="1" applyBorder="1" applyAlignment="1" applyProtection="1">
      <alignment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14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4" fillId="0" borderId="1" xfId="1" applyNumberFormat="1" applyFont="1" applyBorder="1" applyAlignment="1" applyProtection="1">
      <alignment horizontal="center" vertical="center" wrapText="1"/>
      <protection locked="0"/>
    </xf>
    <xf numFmtId="1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0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1" applyNumberFormat="1" applyFont="1" applyBorder="1" applyAlignment="1" applyProtection="1">
      <alignment horizontal="center" vertical="center" wrapText="1"/>
      <protection locked="0"/>
    </xf>
    <xf numFmtId="1" fontId="11" fillId="0" borderId="20" xfId="1" applyNumberFormat="1" applyFont="1" applyBorder="1" applyAlignment="1" applyProtection="1">
      <alignment horizontal="center" vertical="center" wrapText="1"/>
      <protection locked="0"/>
    </xf>
    <xf numFmtId="1" fontId="11" fillId="0" borderId="8" xfId="1" applyNumberFormat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20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1" fontId="14" fillId="0" borderId="2" xfId="1" applyNumberFormat="1" applyFont="1" applyBorder="1" applyAlignment="1" applyProtection="1">
      <alignment horizontal="center" vertical="top" wrapText="1"/>
      <protection locked="0"/>
    </xf>
    <xf numFmtId="1" fontId="14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1" xfId="11" applyFont="1" applyBorder="1" applyAlignment="1" applyProtection="1">
      <alignment horizontal="left" vertical="top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6" fontId="7" fillId="0" borderId="1" xfId="1" applyNumberFormat="1" applyFont="1" applyBorder="1" applyAlignment="1" applyProtection="1">
      <alignment horizontal="left" vertical="top"/>
      <protection locked="0"/>
    </xf>
    <xf numFmtId="2" fontId="8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4" fillId="3" borderId="15" xfId="1" applyFont="1" applyFill="1" applyBorder="1" applyAlignment="1" applyProtection="1">
      <alignment horizontal="center" vertical="top"/>
      <protection locked="0"/>
    </xf>
    <xf numFmtId="0" fontId="14" fillId="3" borderId="15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2" fontId="8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2" fontId="13" fillId="0" borderId="1" xfId="1" applyNumberFormat="1" applyFont="1" applyBorder="1" applyAlignment="1" applyProtection="1">
      <alignment horizontal="left" vertical="top"/>
      <protection locked="0"/>
    </xf>
    <xf numFmtId="14" fontId="9" fillId="0" borderId="7" xfId="1" applyNumberFormat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18" xfId="1" applyFont="1" applyBorder="1" applyAlignment="1" applyProtection="1">
      <alignment horizontal="left" vertical="top" wrapText="1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1" fillId="0" borderId="7" xfId="1" applyFont="1" applyBorder="1" applyAlignment="1" applyProtection="1">
      <alignment horizontal="left"/>
      <protection locked="0"/>
    </xf>
    <xf numFmtId="0" fontId="11" fillId="0" borderId="20" xfId="1" applyFont="1" applyBorder="1" applyAlignment="1" applyProtection="1">
      <alignment horizontal="left"/>
      <protection locked="0"/>
    </xf>
    <xf numFmtId="0" fontId="11" fillId="0" borderId="8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20" xfId="1" applyFont="1" applyBorder="1" applyAlignment="1" applyProtection="1">
      <alignment horizontal="left" vertical="top"/>
      <protection locked="0"/>
    </xf>
    <xf numFmtId="168" fontId="14" fillId="0" borderId="7" xfId="9" applyNumberFormat="1" applyFont="1" applyFill="1" applyBorder="1" applyAlignment="1" applyProtection="1">
      <alignment horizontal="left" vertical="top"/>
      <protection locked="0"/>
    </xf>
    <xf numFmtId="168" fontId="14" fillId="0" borderId="20" xfId="9" applyNumberFormat="1" applyFont="1" applyFill="1" applyBorder="1" applyAlignment="1" applyProtection="1">
      <alignment horizontal="left" vertical="top"/>
      <protection locked="0"/>
    </xf>
    <xf numFmtId="168" fontId="14" fillId="0" borderId="8" xfId="9" applyNumberFormat="1" applyFont="1" applyFill="1" applyBorder="1" applyAlignment="1" applyProtection="1">
      <alignment horizontal="left" vertical="top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32" xfId="0" applyNumberFormat="1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1" fontId="14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14" fillId="4" borderId="20" xfId="1" applyNumberFormat="1" applyFont="1" applyFill="1" applyBorder="1" applyAlignment="1" applyProtection="1">
      <alignment horizontal="center" vertical="center" wrapText="1"/>
      <protection locked="0"/>
    </xf>
    <xf numFmtId="1" fontId="14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68" fontId="14" fillId="0" borderId="1" xfId="9" applyNumberFormat="1" applyFont="1" applyFill="1" applyBorder="1" applyAlignment="1" applyProtection="1">
      <alignment horizontal="left" vertical="top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9" fontId="13" fillId="0" borderId="26" xfId="8" applyFont="1" applyFill="1" applyBorder="1" applyAlignment="1" applyProtection="1">
      <alignment horizontal="center" vertical="center" wrapText="1"/>
      <protection locked="0"/>
    </xf>
    <xf numFmtId="9" fontId="13" fillId="0" borderId="9" xfId="8" applyFont="1" applyFill="1" applyBorder="1" applyAlignment="1" applyProtection="1">
      <alignment horizontal="center" vertical="center" wrapText="1"/>
      <protection locked="0"/>
    </xf>
    <xf numFmtId="9" fontId="13" fillId="0" borderId="11" xfId="8" applyFont="1" applyFill="1" applyBorder="1" applyAlignment="1" applyProtection="1">
      <alignment horizontal="center" vertical="center" wrapText="1"/>
      <protection locked="0"/>
    </xf>
    <xf numFmtId="0" fontId="16" fillId="0" borderId="7" xfId="1" applyFont="1" applyBorder="1" applyAlignment="1" applyProtection="1">
      <alignment horizontal="left" vertical="top" wrapText="1"/>
      <protection locked="0"/>
    </xf>
    <xf numFmtId="0" fontId="16" fillId="0" borderId="20" xfId="1" applyFont="1" applyBorder="1" applyAlignment="1" applyProtection="1">
      <alignment horizontal="left" vertical="top" wrapText="1"/>
      <protection locked="0"/>
    </xf>
    <xf numFmtId="0" fontId="16" fillId="0" borderId="8" xfId="1" applyFont="1" applyBorder="1" applyAlignment="1" applyProtection="1">
      <alignment horizontal="left" vertical="top" wrapText="1"/>
      <protection locked="0"/>
    </xf>
    <xf numFmtId="1" fontId="29" fillId="0" borderId="2" xfId="1" applyNumberFormat="1" applyFont="1" applyBorder="1" applyAlignment="1" applyProtection="1">
      <alignment horizontal="center" vertical="top" wrapText="1"/>
      <protection locked="0"/>
    </xf>
    <xf numFmtId="1" fontId="29" fillId="0" borderId="15" xfId="1" applyNumberFormat="1" applyFont="1" applyBorder="1" applyAlignment="1" applyProtection="1">
      <alignment horizontal="center" vertical="top" wrapText="1"/>
      <protection locked="0"/>
    </xf>
    <xf numFmtId="1" fontId="14" fillId="0" borderId="16" xfId="1" applyNumberFormat="1" applyFont="1" applyBorder="1" applyAlignment="1" applyProtection="1">
      <alignment horizontal="center" vertical="top" wrapText="1"/>
      <protection locked="0"/>
    </xf>
    <xf numFmtId="1" fontId="14" fillId="0" borderId="17" xfId="1" applyNumberFormat="1" applyFont="1" applyBorder="1" applyAlignment="1" applyProtection="1">
      <alignment horizontal="center" vertical="top" wrapText="1"/>
      <protection locked="0"/>
    </xf>
    <xf numFmtId="1" fontId="14" fillId="0" borderId="18" xfId="1" applyNumberFormat="1" applyFont="1" applyBorder="1" applyAlignment="1" applyProtection="1">
      <alignment horizontal="center" vertical="top" wrapText="1"/>
      <protection locked="0"/>
    </xf>
    <xf numFmtId="1" fontId="14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69" fontId="7" fillId="0" borderId="7" xfId="1" applyNumberFormat="1" applyFont="1" applyBorder="1" applyAlignment="1" applyProtection="1">
      <alignment horizontal="center" vertical="center" wrapText="1"/>
      <protection locked="0"/>
    </xf>
    <xf numFmtId="169" fontId="7" fillId="0" borderId="20" xfId="1" applyNumberFormat="1" applyFont="1" applyBorder="1" applyAlignment="1" applyProtection="1">
      <alignment horizontal="center" vertical="center" wrapText="1"/>
      <protection locked="0"/>
    </xf>
    <xf numFmtId="169" fontId="7" fillId="0" borderId="8" xfId="1" applyNumberFormat="1" applyFont="1" applyBorder="1" applyAlignment="1" applyProtection="1">
      <alignment horizontal="center" vertical="center" wrapText="1"/>
      <protection locked="0"/>
    </xf>
    <xf numFmtId="169" fontId="13" fillId="0" borderId="7" xfId="1" applyNumberFormat="1" applyFont="1" applyBorder="1" applyAlignment="1" applyProtection="1">
      <alignment horizontal="center" vertical="center" wrapText="1"/>
      <protection locked="0"/>
    </xf>
    <xf numFmtId="169" fontId="13" fillId="0" borderId="20" xfId="1" applyNumberFormat="1" applyFont="1" applyBorder="1" applyAlignment="1" applyProtection="1">
      <alignment horizontal="center" vertical="center" wrapText="1"/>
      <protection locked="0"/>
    </xf>
    <xf numFmtId="169" fontId="13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Border="1" applyAlignment="1" applyProtection="1">
      <alignment horizontal="center" vertical="center" wrapText="1"/>
      <protection locked="0"/>
    </xf>
    <xf numFmtId="1" fontId="7" fillId="0" borderId="33" xfId="1" applyNumberFormat="1" applyFont="1" applyBorder="1" applyAlignment="1" applyProtection="1">
      <alignment horizontal="center" vertical="center" wrapText="1"/>
      <protection locked="0"/>
    </xf>
    <xf numFmtId="0" fontId="10" fillId="0" borderId="1" xfId="5" applyFont="1" applyBorder="1" applyAlignment="1">
      <alignment horizontal="left"/>
    </xf>
  </cellXfs>
  <cellStyles count="15">
    <cellStyle name="Comma" xfId="9" builtinId="3"/>
    <cellStyle name="Comma 2" xfId="6"/>
    <cellStyle name="Comma 2 2" xfId="14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2 2" xfId="12"/>
    <cellStyle name="Normal 3" xfId="1"/>
    <cellStyle name="Normal 3 2" xfId="11"/>
    <cellStyle name="Normal 3 3" xfId="7"/>
    <cellStyle name="Normal 4" xfId="5"/>
    <cellStyle name="Normal 4 2" xfId="13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348624</xdr:colOff>
      <xdr:row>249</xdr:row>
      <xdr:rowOff>2556</xdr:rowOff>
    </xdr:from>
    <xdr:to>
      <xdr:col>3</xdr:col>
      <xdr:colOff>101843</xdr:colOff>
      <xdr:row>250</xdr:row>
      <xdr:rowOff>183207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67774" y="66687081"/>
          <a:ext cx="1524869" cy="38067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8</xdr:col>
      <xdr:colOff>486415</xdr:colOff>
      <xdr:row>214</xdr:row>
      <xdr:rowOff>23533</xdr:rowOff>
    </xdr:from>
    <xdr:to>
      <xdr:col>8</xdr:col>
      <xdr:colOff>904874</xdr:colOff>
      <xdr:row>215</xdr:row>
      <xdr:rowOff>142875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011040" y="65917483"/>
          <a:ext cx="418459" cy="319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600" b="1"/>
        </a:p>
      </xdr:txBody>
    </xdr:sp>
    <xdr:clientData/>
  </xdr:twoCellAnchor>
  <xdr:twoCellAnchor editAs="oneCell">
    <xdr:from>
      <xdr:col>9</xdr:col>
      <xdr:colOff>571500</xdr:colOff>
      <xdr:row>50</xdr:row>
      <xdr:rowOff>28575</xdr:rowOff>
    </xdr:from>
    <xdr:to>
      <xdr:col>15</xdr:col>
      <xdr:colOff>380461</xdr:colOff>
      <xdr:row>65</xdr:row>
      <xdr:rowOff>13597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8175" y="16078200"/>
          <a:ext cx="4314286" cy="3276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639697</xdr:colOff>
      <xdr:row>271</xdr:row>
      <xdr:rowOff>195341</xdr:rowOff>
    </xdr:from>
    <xdr:to>
      <xdr:col>21</xdr:col>
      <xdr:colOff>174172</xdr:colOff>
      <xdr:row>290</xdr:row>
      <xdr:rowOff>148715</xdr:rowOff>
    </xdr:to>
    <xdr:grpSp>
      <xdr:nvGrpSpPr>
        <xdr:cNvPr id="57" name="Group 56"/>
        <xdr:cNvGrpSpPr/>
      </xdr:nvGrpSpPr>
      <xdr:grpSpPr>
        <a:xfrm>
          <a:off x="7172726" y="59362400"/>
          <a:ext cx="9025858" cy="3785786"/>
          <a:chOff x="225415" y="2711671"/>
          <a:chExt cx="5760000" cy="1877623"/>
        </a:xfrm>
      </xdr:grpSpPr>
      <xdr:grpSp>
        <xdr:nvGrpSpPr>
          <xdr:cNvPr id="58" name="Group 57"/>
          <xdr:cNvGrpSpPr/>
        </xdr:nvGrpSpPr>
        <xdr:grpSpPr>
          <a:xfrm>
            <a:off x="225415" y="2711671"/>
            <a:ext cx="5760000" cy="1877623"/>
            <a:chOff x="225415" y="2711671"/>
            <a:chExt cx="5760000" cy="1877623"/>
          </a:xfrm>
        </xdr:grpSpPr>
        <xdr:pic>
          <xdr:nvPicPr>
            <xdr:cNvPr id="60" name="Picture 59"/>
            <xdr:cNvPicPr>
              <a:picLocks noChangeAspect="1"/>
            </xdr:cNvPicPr>
          </xdr:nvPicPr>
          <xdr:blipFill>
            <a:blip xmlns:r="http://schemas.openxmlformats.org/officeDocument/2006/relationships" r:embed="rId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415" y="2711671"/>
              <a:ext cx="5760000" cy="187762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61" name="Rectangle 60"/>
            <xdr:cNvSpPr/>
          </xdr:nvSpPr>
          <xdr:spPr>
            <a:xfrm>
              <a:off x="2087246" y="3019424"/>
              <a:ext cx="784542" cy="609067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62" name="Rectangle 61"/>
            <xdr:cNvSpPr/>
          </xdr:nvSpPr>
          <xdr:spPr>
            <a:xfrm>
              <a:off x="5095875" y="3019424"/>
              <a:ext cx="623888" cy="195263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63" name="TextBox 98"/>
            <xdr:cNvSpPr txBox="1"/>
          </xdr:nvSpPr>
          <xdr:spPr>
            <a:xfrm>
              <a:off x="4480321" y="3475729"/>
              <a:ext cx="1239442" cy="23083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Raheja Lunaris Calisto</a:t>
              </a:r>
              <a:endParaRPr lang="en-IN" sz="900" b="1"/>
            </a:p>
          </xdr:txBody>
        </xdr:sp>
        <xdr:sp macro="" textlink="">
          <xdr:nvSpPr>
            <xdr:cNvPr id="64" name="TextBox 99"/>
            <xdr:cNvSpPr txBox="1"/>
          </xdr:nvSpPr>
          <xdr:spPr>
            <a:xfrm>
              <a:off x="5039898" y="2851964"/>
              <a:ext cx="312906" cy="2308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4A</a:t>
              </a:r>
              <a:endParaRPr lang="en-IN" sz="900" b="1"/>
            </a:p>
          </xdr:txBody>
        </xdr:sp>
        <xdr:sp macro="" textlink="">
          <xdr:nvSpPr>
            <xdr:cNvPr id="65" name="TextBox 100"/>
            <xdr:cNvSpPr txBox="1"/>
          </xdr:nvSpPr>
          <xdr:spPr>
            <a:xfrm>
              <a:off x="5251366" y="2851964"/>
              <a:ext cx="306494" cy="2308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4B</a:t>
              </a:r>
              <a:endParaRPr lang="en-IN" sz="900" b="1"/>
            </a:p>
          </xdr:txBody>
        </xdr:sp>
        <xdr:sp macro="" textlink="">
          <xdr:nvSpPr>
            <xdr:cNvPr id="66" name="TextBox 101"/>
            <xdr:cNvSpPr txBox="1"/>
          </xdr:nvSpPr>
          <xdr:spPr>
            <a:xfrm>
              <a:off x="5406857" y="2851964"/>
              <a:ext cx="303288" cy="2308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4C</a:t>
              </a:r>
              <a:endParaRPr lang="en-IN" sz="900" b="1"/>
            </a:p>
          </xdr:txBody>
        </xdr:sp>
        <xdr:cxnSp macro="">
          <xdr:nvCxnSpPr>
            <xdr:cNvPr id="67" name="Straight Arrow Connector 66"/>
            <xdr:cNvCxnSpPr/>
          </xdr:nvCxnSpPr>
          <xdr:spPr>
            <a:xfrm flipV="1">
              <a:off x="5095875" y="3223090"/>
              <a:ext cx="256929" cy="244011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8" name="TextBox 104"/>
            <xdr:cNvSpPr txBox="1"/>
          </xdr:nvSpPr>
          <xdr:spPr>
            <a:xfrm>
              <a:off x="4226242" y="4282774"/>
              <a:ext cx="886781" cy="23083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Raheja Solaris</a:t>
              </a:r>
              <a:endParaRPr lang="en-IN" sz="900" b="1"/>
            </a:p>
          </xdr:txBody>
        </xdr:sp>
        <xdr:sp macro="" textlink="">
          <xdr:nvSpPr>
            <xdr:cNvPr id="69" name="TextBox 105"/>
            <xdr:cNvSpPr txBox="1"/>
          </xdr:nvSpPr>
          <xdr:spPr>
            <a:xfrm>
              <a:off x="2077628" y="3015440"/>
              <a:ext cx="312906" cy="18277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1A</a:t>
              </a:r>
              <a:endParaRPr lang="en-IN" sz="900" b="1"/>
            </a:p>
          </xdr:txBody>
        </xdr:sp>
        <xdr:sp macro="" textlink="">
          <xdr:nvSpPr>
            <xdr:cNvPr id="70" name="TextBox 106"/>
            <xdr:cNvSpPr txBox="1"/>
          </xdr:nvSpPr>
          <xdr:spPr>
            <a:xfrm>
              <a:off x="2322719" y="2983855"/>
              <a:ext cx="312906" cy="2308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2A</a:t>
              </a:r>
              <a:endParaRPr lang="en-IN" sz="900" b="1"/>
            </a:p>
          </xdr:txBody>
        </xdr:sp>
        <xdr:sp macro="" textlink="">
          <xdr:nvSpPr>
            <xdr:cNvPr id="71" name="TextBox 107"/>
            <xdr:cNvSpPr txBox="1"/>
          </xdr:nvSpPr>
          <xdr:spPr>
            <a:xfrm>
              <a:off x="2533225" y="2976710"/>
              <a:ext cx="312906" cy="2308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3A</a:t>
              </a:r>
              <a:endParaRPr lang="en-IN" sz="900" b="1"/>
            </a:p>
          </xdr:txBody>
        </xdr:sp>
        <xdr:sp macro="" textlink="">
          <xdr:nvSpPr>
            <xdr:cNvPr id="72" name="TextBox 108"/>
            <xdr:cNvSpPr txBox="1"/>
          </xdr:nvSpPr>
          <xdr:spPr>
            <a:xfrm>
              <a:off x="2063192" y="3257401"/>
              <a:ext cx="306494" cy="2308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1B</a:t>
              </a:r>
              <a:endParaRPr lang="en-IN" sz="900" b="1"/>
            </a:p>
          </xdr:txBody>
        </xdr:sp>
        <xdr:sp macro="" textlink="">
          <xdr:nvSpPr>
            <xdr:cNvPr id="73" name="TextBox 109"/>
            <xdr:cNvSpPr txBox="1"/>
          </xdr:nvSpPr>
          <xdr:spPr>
            <a:xfrm>
              <a:off x="2322035" y="3248894"/>
              <a:ext cx="306494" cy="2308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2B</a:t>
              </a:r>
              <a:endParaRPr lang="en-IN" sz="900" b="1"/>
            </a:p>
          </xdr:txBody>
        </xdr:sp>
        <xdr:sp macro="" textlink="">
          <xdr:nvSpPr>
            <xdr:cNvPr id="74" name="TextBox 110"/>
            <xdr:cNvSpPr txBox="1"/>
          </xdr:nvSpPr>
          <xdr:spPr>
            <a:xfrm>
              <a:off x="2533225" y="3256039"/>
              <a:ext cx="306494" cy="2308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3B</a:t>
              </a:r>
              <a:endParaRPr lang="en-IN" sz="900" b="1"/>
            </a:p>
          </xdr:txBody>
        </xdr:sp>
      </xdr:grpSp>
      <xdr:cxnSp macro="">
        <xdr:nvCxnSpPr>
          <xdr:cNvPr id="59" name="Straight Arrow Connector 58"/>
          <xdr:cNvCxnSpPr/>
        </xdr:nvCxnSpPr>
        <xdr:spPr>
          <a:xfrm flipH="1" flipV="1">
            <a:off x="2871788" y="3345094"/>
            <a:ext cx="1354454" cy="1053096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322663</xdr:colOff>
      <xdr:row>290</xdr:row>
      <xdr:rowOff>60502</xdr:rowOff>
    </xdr:from>
    <xdr:to>
      <xdr:col>19</xdr:col>
      <xdr:colOff>149974</xdr:colOff>
      <xdr:row>301</xdr:row>
      <xdr:rowOff>115792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90663" y="63891609"/>
          <a:ext cx="3936668" cy="23004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418943</xdr:colOff>
      <xdr:row>320</xdr:row>
      <xdr:rowOff>112059</xdr:rowOff>
    </xdr:from>
    <xdr:to>
      <xdr:col>7</xdr:col>
      <xdr:colOff>212912</xdr:colOff>
      <xdr:row>353</xdr:row>
      <xdr:rowOff>158484</xdr:rowOff>
    </xdr:to>
    <xdr:grpSp>
      <xdr:nvGrpSpPr>
        <xdr:cNvPr id="34" name="Group 33"/>
        <xdr:cNvGrpSpPr/>
      </xdr:nvGrpSpPr>
      <xdr:grpSpPr>
        <a:xfrm>
          <a:off x="418943" y="69162706"/>
          <a:ext cx="5497763" cy="6702719"/>
          <a:chOff x="477375" y="64783607"/>
          <a:chExt cx="4651423" cy="6687869"/>
        </a:xfrm>
      </xdr:grpSpPr>
      <xdr:pic>
        <xdr:nvPicPr>
          <xdr:cNvPr id="76" name="Picture 7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99497" y="64783607"/>
            <a:ext cx="3799114" cy="348939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77375" y="68346194"/>
            <a:ext cx="4651423" cy="31252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77" name="Group 76"/>
          <xdr:cNvGrpSpPr/>
        </xdr:nvGrpSpPr>
        <xdr:grpSpPr>
          <a:xfrm>
            <a:off x="574198" y="68852005"/>
            <a:ext cx="4322883" cy="1385340"/>
            <a:chOff x="196981" y="4671805"/>
            <a:chExt cx="4328827" cy="1356963"/>
          </a:xfrm>
        </xdr:grpSpPr>
        <xdr:sp macro="" textlink="">
          <xdr:nvSpPr>
            <xdr:cNvPr id="79" name="Rectangle 78"/>
            <xdr:cNvSpPr/>
          </xdr:nvSpPr>
          <xdr:spPr>
            <a:xfrm>
              <a:off x="688795" y="5514418"/>
              <a:ext cx="752475" cy="514350"/>
            </a:xfrm>
            <a:prstGeom prst="rect">
              <a:avLst/>
            </a:prstGeom>
            <a:noFill/>
            <a:ln w="38100"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80" name="Rectangle 79"/>
            <xdr:cNvSpPr/>
          </xdr:nvSpPr>
          <xdr:spPr>
            <a:xfrm>
              <a:off x="3578660" y="5427345"/>
              <a:ext cx="518160" cy="129540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81" name="TextBox 121"/>
            <xdr:cNvSpPr txBox="1"/>
          </xdr:nvSpPr>
          <xdr:spPr>
            <a:xfrm>
              <a:off x="196981" y="5081525"/>
              <a:ext cx="1003801" cy="23655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>
                  <a:solidFill>
                    <a:schemeClr val="bg1"/>
                  </a:solidFill>
                </a:rPr>
                <a:t>Raheja Solaris</a:t>
              </a:r>
              <a:endParaRPr lang="en-IN" sz="1050" b="1">
                <a:solidFill>
                  <a:schemeClr val="bg1"/>
                </a:solidFill>
              </a:endParaRPr>
            </a:p>
          </xdr:txBody>
        </xdr:sp>
        <xdr:cxnSp macro="">
          <xdr:nvCxnSpPr>
            <xdr:cNvPr id="82" name="Straight Arrow Connector 81"/>
            <xdr:cNvCxnSpPr>
              <a:endCxn id="79" idx="0"/>
            </xdr:cNvCxnSpPr>
          </xdr:nvCxnSpPr>
          <xdr:spPr>
            <a:xfrm>
              <a:off x="796330" y="5286774"/>
              <a:ext cx="268703" cy="227645"/>
            </a:xfrm>
            <a:prstGeom prst="straightConnector1">
              <a:avLst/>
            </a:prstGeom>
            <a:ln>
              <a:solidFill>
                <a:schemeClr val="bg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3" name="TextBox 124"/>
            <xdr:cNvSpPr txBox="1"/>
          </xdr:nvSpPr>
          <xdr:spPr>
            <a:xfrm>
              <a:off x="2741295" y="4671805"/>
              <a:ext cx="1784513" cy="39075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rgbClr val="FFFF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Raheja Lunaris</a:t>
              </a:r>
              <a:r>
                <a:rPr lang="en-US" sz="1200" b="1" baseline="0">
                  <a:solidFill>
                    <a:srgbClr val="FFFF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1050" b="1">
                  <a:solidFill>
                    <a:srgbClr val="FFFF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Calisto </a:t>
              </a:r>
            </a:p>
            <a:p>
              <a:endParaRPr lang="en-IN" sz="105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84" name="Straight Arrow Connector 83"/>
            <xdr:cNvCxnSpPr/>
          </xdr:nvCxnSpPr>
          <xdr:spPr>
            <a:xfrm>
              <a:off x="3295534" y="4971388"/>
              <a:ext cx="447118" cy="428669"/>
            </a:xfrm>
            <a:prstGeom prst="straightConnector1">
              <a:avLst/>
            </a:prstGeom>
            <a:ln w="3810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8</xdr:col>
      <xdr:colOff>104775</xdr:colOff>
      <xdr:row>47</xdr:row>
      <xdr:rowOff>0</xdr:rowOff>
    </xdr:from>
    <xdr:to>
      <xdr:col>11</xdr:col>
      <xdr:colOff>342536</xdr:colOff>
      <xdr:row>48</xdr:row>
      <xdr:rowOff>106418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29400" y="15211425"/>
          <a:ext cx="2914286" cy="3047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123825</xdr:colOff>
      <xdr:row>40</xdr:row>
      <xdr:rowOff>9525</xdr:rowOff>
    </xdr:from>
    <xdr:to>
      <xdr:col>13</xdr:col>
      <xdr:colOff>628306</xdr:colOff>
      <xdr:row>47</xdr:row>
      <xdr:rowOff>66463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500" y="9039225"/>
          <a:ext cx="2752381" cy="16857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638175</xdr:colOff>
      <xdr:row>61</xdr:row>
      <xdr:rowOff>952500</xdr:rowOff>
    </xdr:from>
    <xdr:to>
      <xdr:col>13</xdr:col>
      <xdr:colOff>637654</xdr:colOff>
      <xdr:row>62</xdr:row>
      <xdr:rowOff>266667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62800" y="19640550"/>
          <a:ext cx="4171429" cy="266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304800</xdr:colOff>
      <xdr:row>49</xdr:row>
      <xdr:rowOff>9525</xdr:rowOff>
    </xdr:from>
    <xdr:to>
      <xdr:col>15</xdr:col>
      <xdr:colOff>494568</xdr:colOff>
      <xdr:row>53</xdr:row>
      <xdr:rowOff>116370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29425" y="15859125"/>
          <a:ext cx="5857143" cy="1361905"/>
        </a:xfrm>
        <a:prstGeom prst="rect">
          <a:avLst/>
        </a:prstGeom>
      </xdr:spPr>
    </xdr:pic>
    <xdr:clientData/>
  </xdr:twoCellAnchor>
  <xdr:twoCellAnchor>
    <xdr:from>
      <xdr:col>8</xdr:col>
      <xdr:colOff>1008786</xdr:colOff>
      <xdr:row>228</xdr:row>
      <xdr:rowOff>190500</xdr:rowOff>
    </xdr:from>
    <xdr:to>
      <xdr:col>16</xdr:col>
      <xdr:colOff>388330</xdr:colOff>
      <xdr:row>260</xdr:row>
      <xdr:rowOff>57060</xdr:rowOff>
    </xdr:to>
    <xdr:grpSp>
      <xdr:nvGrpSpPr>
        <xdr:cNvPr id="3" name="Group 2"/>
        <xdr:cNvGrpSpPr/>
      </xdr:nvGrpSpPr>
      <xdr:grpSpPr>
        <a:xfrm>
          <a:off x="7541815" y="50684206"/>
          <a:ext cx="5845339" cy="6321148"/>
          <a:chOff x="381000" y="44215050"/>
          <a:chExt cx="6111801" cy="5155567"/>
        </a:xfrm>
      </xdr:grpSpPr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0240" y="47210617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6776" y="44215050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/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81000" y="44215050"/>
            <a:ext cx="3820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2041" y="47210617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4525" y="4721061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553440</xdr:colOff>
      <xdr:row>0</xdr:row>
      <xdr:rowOff>0</xdr:rowOff>
    </xdr:from>
    <xdr:to>
      <xdr:col>13</xdr:col>
      <xdr:colOff>17826</xdr:colOff>
      <xdr:row>10</xdr:row>
      <xdr:rowOff>197241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065076" y="0"/>
          <a:ext cx="3638068" cy="2621786"/>
        </a:xfrm>
        <a:prstGeom prst="rect">
          <a:avLst/>
        </a:prstGeom>
      </xdr:spPr>
    </xdr:pic>
    <xdr:clientData/>
  </xdr:twoCellAnchor>
  <xdr:twoCellAnchor editAs="oneCell">
    <xdr:from>
      <xdr:col>8</xdr:col>
      <xdr:colOff>661147</xdr:colOff>
      <xdr:row>12</xdr:row>
      <xdr:rowOff>336178</xdr:rowOff>
    </xdr:from>
    <xdr:to>
      <xdr:col>13</xdr:col>
      <xdr:colOff>577674</xdr:colOff>
      <xdr:row>28</xdr:row>
      <xdr:rowOff>1662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94176" y="3171266"/>
          <a:ext cx="4096322" cy="3867690"/>
        </a:xfrm>
        <a:prstGeom prst="rect">
          <a:avLst/>
        </a:prstGeom>
      </xdr:spPr>
    </xdr:pic>
    <xdr:clientData/>
  </xdr:twoCellAnchor>
  <xdr:twoCellAnchor editAs="oneCell">
    <xdr:from>
      <xdr:col>11</xdr:col>
      <xdr:colOff>271997</xdr:colOff>
      <xdr:row>26</xdr:row>
      <xdr:rowOff>34637</xdr:rowOff>
    </xdr:from>
    <xdr:to>
      <xdr:col>20</xdr:col>
      <xdr:colOff>441843</xdr:colOff>
      <xdr:row>38</xdr:row>
      <xdr:rowOff>33854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450633" y="6736773"/>
          <a:ext cx="6369755" cy="2475717"/>
        </a:xfrm>
        <a:prstGeom prst="rect">
          <a:avLst/>
        </a:prstGeom>
      </xdr:spPr>
    </xdr:pic>
    <xdr:clientData/>
  </xdr:twoCellAnchor>
  <xdr:twoCellAnchor editAs="oneCell">
    <xdr:from>
      <xdr:col>14</xdr:col>
      <xdr:colOff>315800</xdr:colOff>
      <xdr:row>4</xdr:row>
      <xdr:rowOff>114097</xdr:rowOff>
    </xdr:from>
    <xdr:to>
      <xdr:col>23</xdr:col>
      <xdr:colOff>146802</xdr:colOff>
      <xdr:row>13</xdr:row>
      <xdr:rowOff>566138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832391" y="1309052"/>
          <a:ext cx="5511366" cy="2827229"/>
        </a:xfrm>
        <a:prstGeom prst="rect">
          <a:avLst/>
        </a:prstGeom>
      </xdr:spPr>
    </xdr:pic>
    <xdr:clientData/>
  </xdr:twoCellAnchor>
  <xdr:twoCellAnchor editAs="oneCell">
    <xdr:from>
      <xdr:col>28</xdr:col>
      <xdr:colOff>548580</xdr:colOff>
      <xdr:row>278</xdr:row>
      <xdr:rowOff>143740</xdr:rowOff>
    </xdr:from>
    <xdr:to>
      <xdr:col>38</xdr:col>
      <xdr:colOff>291925</xdr:colOff>
      <xdr:row>295</xdr:row>
      <xdr:rowOff>163906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970180" y="58322440"/>
          <a:ext cx="5839345" cy="3258666"/>
        </a:xfrm>
        <a:prstGeom prst="rect">
          <a:avLst/>
        </a:prstGeom>
      </xdr:spPr>
    </xdr:pic>
    <xdr:clientData/>
  </xdr:twoCellAnchor>
  <xdr:twoCellAnchor editAs="oneCell">
    <xdr:from>
      <xdr:col>9</xdr:col>
      <xdr:colOff>67700</xdr:colOff>
      <xdr:row>287</xdr:row>
      <xdr:rowOff>199086</xdr:rowOff>
    </xdr:from>
    <xdr:to>
      <xdr:col>22</xdr:col>
      <xdr:colOff>237118</xdr:colOff>
      <xdr:row>310</xdr:row>
      <xdr:rowOff>23004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28521" y="63417872"/>
          <a:ext cx="9122918" cy="4518380"/>
        </a:xfrm>
        <a:prstGeom prst="rect">
          <a:avLst/>
        </a:prstGeom>
      </xdr:spPr>
    </xdr:pic>
    <xdr:clientData/>
  </xdr:twoCellAnchor>
  <xdr:twoCellAnchor>
    <xdr:from>
      <xdr:col>0</xdr:col>
      <xdr:colOff>273689</xdr:colOff>
      <xdr:row>278</xdr:row>
      <xdr:rowOff>144729</xdr:rowOff>
    </xdr:from>
    <xdr:to>
      <xdr:col>7</xdr:col>
      <xdr:colOff>525907</xdr:colOff>
      <xdr:row>312</xdr:row>
      <xdr:rowOff>181885</xdr:rowOff>
    </xdr:to>
    <xdr:grpSp>
      <xdr:nvGrpSpPr>
        <xdr:cNvPr id="15" name="Group 14"/>
        <xdr:cNvGrpSpPr/>
      </xdr:nvGrpSpPr>
      <xdr:grpSpPr>
        <a:xfrm>
          <a:off x="273689" y="60723729"/>
          <a:ext cx="5956012" cy="6895156"/>
          <a:chOff x="273689" y="55781935"/>
          <a:chExt cx="5956012" cy="6895156"/>
        </a:xfrm>
      </xdr:grpSpPr>
      <xdr:grpSp>
        <xdr:nvGrpSpPr>
          <xdr:cNvPr id="14" name="Group 13"/>
          <xdr:cNvGrpSpPr/>
        </xdr:nvGrpSpPr>
        <xdr:grpSpPr>
          <a:xfrm>
            <a:off x="273689" y="55781935"/>
            <a:ext cx="5956012" cy="6895156"/>
            <a:chOff x="273689" y="55781935"/>
            <a:chExt cx="5956012" cy="6895156"/>
          </a:xfrm>
        </xdr:grpSpPr>
        <xdr:grpSp>
          <xdr:nvGrpSpPr>
            <xdr:cNvPr id="13" name="Group 12"/>
            <xdr:cNvGrpSpPr/>
          </xdr:nvGrpSpPr>
          <xdr:grpSpPr>
            <a:xfrm>
              <a:off x="273689" y="55781935"/>
              <a:ext cx="5956012" cy="6895156"/>
              <a:chOff x="300904" y="55249517"/>
              <a:chExt cx="5942370" cy="6795764"/>
            </a:xfrm>
          </xdr:grpSpPr>
          <xdr:pic>
            <xdr:nvPicPr>
              <xdr:cNvPr id="9" name="Picture 8"/>
              <xdr:cNvPicPr>
                <a:picLocks noChangeAspect="1"/>
              </xdr:cNvPicPr>
            </xdr:nvPicPr>
            <xdr:blipFill>
              <a:blip xmlns:r="http://schemas.openxmlformats.org/officeDocument/2006/relationships" r:embed="rId21"/>
              <a:stretch>
                <a:fillRect/>
              </a:stretch>
            </xdr:blipFill>
            <xdr:spPr>
              <a:xfrm>
                <a:off x="443777" y="58325129"/>
                <a:ext cx="5748602" cy="3720152"/>
              </a:xfrm>
              <a:prstGeom prst="rect">
                <a:avLst/>
              </a:prstGeom>
              <a:ln>
                <a:solidFill>
                  <a:sysClr val="windowText" lastClr="000000"/>
                </a:solidFill>
              </a:ln>
            </xdr:spPr>
          </xdr:pic>
          <xdr:pic>
            <xdr:nvPicPr>
              <xdr:cNvPr id="10" name="Picture 9"/>
              <xdr:cNvPicPr>
                <a:picLocks noChangeAspect="1"/>
              </xdr:cNvPicPr>
            </xdr:nvPicPr>
            <xdr:blipFill>
              <a:blip xmlns:r="http://schemas.openxmlformats.org/officeDocument/2006/relationships" r:embed="rId22"/>
              <a:stretch>
                <a:fillRect/>
              </a:stretch>
            </xdr:blipFill>
            <xdr:spPr>
              <a:xfrm>
                <a:off x="300904" y="55249517"/>
                <a:ext cx="5942370" cy="2940141"/>
              </a:xfrm>
              <a:prstGeom prst="rect">
                <a:avLst/>
              </a:prstGeom>
              <a:ln>
                <a:solidFill>
                  <a:sysClr val="windowText" lastClr="000000"/>
                </a:solidFill>
              </a:ln>
            </xdr:spPr>
          </xdr:pic>
          <xdr:sp macro="" textlink="">
            <xdr:nvSpPr>
              <xdr:cNvPr id="93" name="Rectangle 92"/>
              <xdr:cNvSpPr/>
            </xdr:nvSpPr>
            <xdr:spPr>
              <a:xfrm>
                <a:off x="5022733" y="55710105"/>
                <a:ext cx="463046" cy="397688"/>
              </a:xfrm>
              <a:prstGeom prst="rect">
                <a:avLst/>
              </a:prstGeom>
              <a:noFill/>
              <a:ln w="381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sp macro="" textlink="">
            <xdr:nvSpPr>
              <xdr:cNvPr id="95" name="Rectangle 94"/>
              <xdr:cNvSpPr/>
            </xdr:nvSpPr>
            <xdr:spPr>
              <a:xfrm>
                <a:off x="4509626" y="55705995"/>
                <a:ext cx="460561" cy="397688"/>
              </a:xfrm>
              <a:prstGeom prst="rect">
                <a:avLst/>
              </a:prstGeom>
              <a:noFill/>
              <a:ln w="381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sp macro="" textlink="">
            <xdr:nvSpPr>
              <xdr:cNvPr id="96" name="TextBox 105"/>
              <xdr:cNvSpPr txBox="1"/>
            </xdr:nvSpPr>
            <xdr:spPr>
              <a:xfrm>
                <a:off x="5562528" y="56084855"/>
                <a:ext cx="488640" cy="359968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>
                    <a:solidFill>
                      <a:srgbClr val="0000FF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1A</a:t>
                </a:r>
                <a:endParaRPr lang="en-IN" sz="1200" b="1">
                  <a:solidFill>
                    <a:srgbClr val="0000FF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97" name="TextBox 105"/>
              <xdr:cNvSpPr txBox="1"/>
            </xdr:nvSpPr>
            <xdr:spPr>
              <a:xfrm>
                <a:off x="5103411" y="56083131"/>
                <a:ext cx="489934" cy="359968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>
                    <a:solidFill>
                      <a:srgbClr val="0000FF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1B</a:t>
                </a:r>
                <a:endParaRPr lang="en-IN" sz="1200" b="1">
                  <a:solidFill>
                    <a:srgbClr val="0000FF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98" name="TextBox 105"/>
              <xdr:cNvSpPr txBox="1"/>
            </xdr:nvSpPr>
            <xdr:spPr>
              <a:xfrm>
                <a:off x="4557223" y="56079437"/>
                <a:ext cx="488640" cy="359968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 b="1">
                    <a:solidFill>
                      <a:srgbClr val="0000FF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1C</a:t>
                </a:r>
                <a:endParaRPr lang="en-IN" sz="1200" b="1">
                  <a:solidFill>
                    <a:srgbClr val="0000FF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Freeform 11"/>
              <xdr:cNvSpPr/>
            </xdr:nvSpPr>
            <xdr:spPr>
              <a:xfrm>
                <a:off x="3881134" y="55592869"/>
                <a:ext cx="2212430" cy="149087"/>
              </a:xfrm>
              <a:custGeom>
                <a:avLst/>
                <a:gdLst>
                  <a:gd name="connsiteX0" fmla="*/ 78441 w 5244353"/>
                  <a:gd name="connsiteY0" fmla="*/ 0 h 381000"/>
                  <a:gd name="connsiteX1" fmla="*/ 5233147 w 5244353"/>
                  <a:gd name="connsiteY1" fmla="*/ 0 h 381000"/>
                  <a:gd name="connsiteX2" fmla="*/ 5244353 w 5244353"/>
                  <a:gd name="connsiteY2" fmla="*/ 168089 h 381000"/>
                  <a:gd name="connsiteX3" fmla="*/ 1848971 w 5244353"/>
                  <a:gd name="connsiteY3" fmla="*/ 156883 h 381000"/>
                  <a:gd name="connsiteX4" fmla="*/ 1591235 w 5244353"/>
                  <a:gd name="connsiteY4" fmla="*/ 381000 h 381000"/>
                  <a:gd name="connsiteX5" fmla="*/ 0 w 5244353"/>
                  <a:gd name="connsiteY5" fmla="*/ 336177 h 381000"/>
                  <a:gd name="connsiteX6" fmla="*/ 78441 w 5244353"/>
                  <a:gd name="connsiteY6" fmla="*/ 0 h 381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244353" h="381000">
                    <a:moveTo>
                      <a:pt x="78441" y="0"/>
                    </a:moveTo>
                    <a:lnTo>
                      <a:pt x="5233147" y="0"/>
                    </a:lnTo>
                    <a:lnTo>
                      <a:pt x="5244353" y="168089"/>
                    </a:lnTo>
                    <a:lnTo>
                      <a:pt x="1848971" y="156883"/>
                    </a:lnTo>
                    <a:lnTo>
                      <a:pt x="1591235" y="381000"/>
                    </a:lnTo>
                    <a:lnTo>
                      <a:pt x="0" y="336177"/>
                    </a:lnTo>
                    <a:lnTo>
                      <a:pt x="78441" y="0"/>
                    </a:lnTo>
                    <a:close/>
                  </a:path>
                </a:pathLst>
              </a:cu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sp macro="" textlink="">
            <xdr:nvSpPr>
              <xdr:cNvPr id="100" name="Rectangle 99"/>
              <xdr:cNvSpPr/>
            </xdr:nvSpPr>
            <xdr:spPr>
              <a:xfrm>
                <a:off x="5544538" y="55701822"/>
                <a:ext cx="463046" cy="397688"/>
              </a:xfrm>
              <a:prstGeom prst="rect">
                <a:avLst/>
              </a:prstGeom>
              <a:noFill/>
              <a:ln w="381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</xdr:grpSp>
        <xdr:sp macro="" textlink="">
          <xdr:nvSpPr>
            <xdr:cNvPr id="99" name="TextBox 105"/>
            <xdr:cNvSpPr txBox="1"/>
          </xdr:nvSpPr>
          <xdr:spPr>
            <a:xfrm>
              <a:off x="3863747" y="55852509"/>
              <a:ext cx="1766282" cy="36413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Shopping</a:t>
              </a:r>
              <a:r>
                <a:rPr lang="en-US" sz="1200" b="1" baseline="0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Wing</a:t>
              </a:r>
              <a:endParaRPr lang="en-IN" sz="12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101" name="Group 100"/>
          <xdr:cNvGrpSpPr/>
        </xdr:nvGrpSpPr>
        <xdr:grpSpPr>
          <a:xfrm rot="17155958">
            <a:off x="2963100" y="61911551"/>
            <a:ext cx="497545" cy="655384"/>
            <a:chOff x="141426" y="-157281"/>
            <a:chExt cx="474784" cy="1083380"/>
          </a:xfrm>
        </xdr:grpSpPr>
        <xdr:sp macro="" textlink="">
          <xdr:nvSpPr>
            <xdr:cNvPr id="102" name="Right Arrow 101"/>
            <xdr:cNvSpPr/>
          </xdr:nvSpPr>
          <xdr:spPr>
            <a:xfrm rot="16200000">
              <a:off x="215550" y="630633"/>
              <a:ext cx="386861" cy="204072"/>
            </a:xfrm>
            <a:prstGeom prst="rightArrow">
              <a:avLst/>
            </a:prstGeom>
            <a:solidFill>
              <a:schemeClr val="tx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N" sz="1400"/>
            </a:p>
          </xdr:txBody>
        </xdr:sp>
        <xdr:sp macro="" textlink="">
          <xdr:nvSpPr>
            <xdr:cNvPr id="103" name="TextBox 7"/>
            <xdr:cNvSpPr txBox="1"/>
          </xdr:nvSpPr>
          <xdr:spPr>
            <a:xfrm>
              <a:off x="141426" y="-157281"/>
              <a:ext cx="474784" cy="7631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sz="24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endParaRPr lang="en-IN" sz="24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>
    <xdr:from>
      <xdr:col>0</xdr:col>
      <xdr:colOff>324972</xdr:colOff>
      <xdr:row>236</xdr:row>
      <xdr:rowOff>145677</xdr:rowOff>
    </xdr:from>
    <xdr:to>
      <xdr:col>7</xdr:col>
      <xdr:colOff>459442</xdr:colOff>
      <xdr:row>275</xdr:row>
      <xdr:rowOff>156882</xdr:rowOff>
    </xdr:to>
    <xdr:grpSp>
      <xdr:nvGrpSpPr>
        <xdr:cNvPr id="104" name="Group 103"/>
        <xdr:cNvGrpSpPr/>
      </xdr:nvGrpSpPr>
      <xdr:grpSpPr>
        <a:xfrm>
          <a:off x="324972" y="52253030"/>
          <a:ext cx="5838264" cy="7877734"/>
          <a:chOff x="602064" y="268977"/>
          <a:chExt cx="5779686" cy="8803311"/>
        </a:xfrm>
      </xdr:grpSpPr>
      <xdr:pic>
        <xdr:nvPicPr>
          <xdr:cNvPr id="105" name="Picture 104" descr="https://vsjcllp.vsjadon.com/upload/insp-239718-1525.jp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7717"/>
          <a:stretch/>
        </xdr:blipFill>
        <xdr:spPr bwMode="auto">
          <a:xfrm>
            <a:off x="3361594" y="7295072"/>
            <a:ext cx="1337078" cy="174870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6" name="Picture 105" descr="https://vsjcllp.vsjadon.com/upload/insp-23971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18744" y="4775215"/>
            <a:ext cx="1781906" cy="236847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7" name="Picture 106" descr="https://vsjcllp.vsjadon.com/upload/insp-239718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6696" y="4775215"/>
            <a:ext cx="1781906" cy="236847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8" name="Picture 107" descr="https://vsjcllp.vsjadon.com/upload/insp-239718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2064" y="268977"/>
            <a:ext cx="5779686" cy="43548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9" name="Picture 108" descr="https://vsjcllp.vsjadon.com/upload/insp-239718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91116" y="7295072"/>
            <a:ext cx="1331524" cy="17772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1075764</xdr:colOff>
      <xdr:row>53</xdr:row>
      <xdr:rowOff>11206</xdr:rowOff>
    </xdr:from>
    <xdr:to>
      <xdr:col>16</xdr:col>
      <xdr:colOff>563925</xdr:colOff>
      <xdr:row>75</xdr:row>
      <xdr:rowOff>104325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608793" y="12752294"/>
          <a:ext cx="5953956" cy="4810796"/>
        </a:xfrm>
        <a:prstGeom prst="rect">
          <a:avLst/>
        </a:prstGeom>
      </xdr:spPr>
    </xdr:pic>
    <xdr:clientData/>
  </xdr:twoCellAnchor>
  <xdr:twoCellAnchor editAs="oneCell">
    <xdr:from>
      <xdr:col>9</xdr:col>
      <xdr:colOff>89648</xdr:colOff>
      <xdr:row>180</xdr:row>
      <xdr:rowOff>12005</xdr:rowOff>
    </xdr:from>
    <xdr:to>
      <xdr:col>22</xdr:col>
      <xdr:colOff>21090</xdr:colOff>
      <xdr:row>195</xdr:row>
      <xdr:rowOff>63422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750469" y="39622398"/>
          <a:ext cx="8884942" cy="3113024"/>
        </a:xfrm>
        <a:prstGeom prst="rect">
          <a:avLst/>
        </a:prstGeom>
      </xdr:spPr>
    </xdr:pic>
    <xdr:clientData/>
  </xdr:twoCellAnchor>
  <xdr:twoCellAnchor editAs="oneCell">
    <xdr:from>
      <xdr:col>16</xdr:col>
      <xdr:colOff>417054</xdr:colOff>
      <xdr:row>156</xdr:row>
      <xdr:rowOff>89576</xdr:rowOff>
    </xdr:from>
    <xdr:to>
      <xdr:col>25</xdr:col>
      <xdr:colOff>475320</xdr:colOff>
      <xdr:row>178</xdr:row>
      <xdr:rowOff>160422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415878" y="34536458"/>
          <a:ext cx="5504324" cy="4508375"/>
        </a:xfrm>
        <a:prstGeom prst="rect">
          <a:avLst/>
        </a:prstGeom>
      </xdr:spPr>
    </xdr:pic>
    <xdr:clientData/>
  </xdr:twoCellAnchor>
  <xdr:twoCellAnchor editAs="oneCell">
    <xdr:from>
      <xdr:col>9</xdr:col>
      <xdr:colOff>312966</xdr:colOff>
      <xdr:row>304</xdr:row>
      <xdr:rowOff>176892</xdr:rowOff>
    </xdr:from>
    <xdr:to>
      <xdr:col>24</xdr:col>
      <xdr:colOff>399373</xdr:colOff>
      <xdr:row>319</xdr:row>
      <xdr:rowOff>117573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973787" y="66865499"/>
          <a:ext cx="10264550" cy="3002286"/>
        </a:xfrm>
        <a:prstGeom prst="rect">
          <a:avLst/>
        </a:prstGeom>
      </xdr:spPr>
    </xdr:pic>
    <xdr:clientData/>
  </xdr:twoCellAnchor>
  <xdr:twoCellAnchor editAs="oneCell">
    <xdr:from>
      <xdr:col>15</xdr:col>
      <xdr:colOff>183332</xdr:colOff>
      <xdr:row>146</xdr:row>
      <xdr:rowOff>148808</xdr:rowOff>
    </xdr:from>
    <xdr:to>
      <xdr:col>32</xdr:col>
      <xdr:colOff>14921</xdr:colOff>
      <xdr:row>162</xdr:row>
      <xdr:rowOff>191108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397744" y="32432955"/>
          <a:ext cx="10297883" cy="3696217"/>
        </a:xfrm>
        <a:prstGeom prst="rect">
          <a:avLst/>
        </a:prstGeom>
      </xdr:spPr>
    </xdr:pic>
    <xdr:clientData/>
  </xdr:twoCellAnchor>
  <xdr:twoCellAnchor editAs="oneCell">
    <xdr:from>
      <xdr:col>11</xdr:col>
      <xdr:colOff>98450</xdr:colOff>
      <xdr:row>160</xdr:row>
      <xdr:rowOff>51225</xdr:rowOff>
    </xdr:from>
    <xdr:to>
      <xdr:col>19</xdr:col>
      <xdr:colOff>227157</xdr:colOff>
      <xdr:row>177</xdr:row>
      <xdr:rowOff>155456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309685" y="35797990"/>
          <a:ext cx="5731648" cy="3533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ndacFwozaxidJaRj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20"/>
  <sheetViews>
    <sheetView tabSelected="1" view="pageBreakPreview" zoomScale="85" zoomScaleNormal="100" zoomScaleSheetLayoutView="85" workbookViewId="0">
      <selection activeCell="K12" sqref="K12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1.2851562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9" ht="46.5" customHeight="1" x14ac:dyDescent="0.3">
      <c r="A1" s="221" t="s">
        <v>173</v>
      </c>
      <c r="B1" s="221"/>
      <c r="C1" s="221"/>
      <c r="D1" s="221"/>
      <c r="E1" s="221"/>
      <c r="F1" s="221"/>
      <c r="G1" s="221"/>
      <c r="H1" s="221"/>
      <c r="I1" s="51" t="s">
        <v>201</v>
      </c>
    </row>
    <row r="2" spans="1:9" ht="16.5" customHeight="1" x14ac:dyDescent="0.25">
      <c r="A2" s="222" t="s">
        <v>0</v>
      </c>
      <c r="B2" s="222"/>
      <c r="C2" s="222"/>
      <c r="D2" s="222"/>
      <c r="E2" s="222"/>
      <c r="F2" s="222"/>
      <c r="G2" s="222"/>
      <c r="H2" s="222"/>
    </row>
    <row r="3" spans="1:9" x14ac:dyDescent="0.25">
      <c r="A3" s="133" t="s">
        <v>1</v>
      </c>
      <c r="B3" s="133"/>
      <c r="C3" s="133"/>
      <c r="D3" s="133"/>
      <c r="E3" s="133" t="str">
        <f ca="1">TEXT(TODAY(),"DD/MM/YYYY")</f>
        <v>21/07/2025</v>
      </c>
      <c r="F3" s="133"/>
      <c r="G3" s="133"/>
      <c r="H3" s="133"/>
    </row>
    <row r="4" spans="1:9" ht="15" customHeight="1" x14ac:dyDescent="0.25">
      <c r="A4" s="133" t="s">
        <v>2</v>
      </c>
      <c r="B4" s="133"/>
      <c r="C4" s="133"/>
      <c r="D4" s="133"/>
      <c r="E4" s="133" t="s">
        <v>153</v>
      </c>
      <c r="F4" s="133"/>
      <c r="G4" s="133"/>
      <c r="H4" s="133"/>
    </row>
    <row r="5" spans="1:9" x14ac:dyDescent="0.25">
      <c r="A5" s="133" t="s">
        <v>3</v>
      </c>
      <c r="B5" s="133"/>
      <c r="C5" s="133"/>
      <c r="D5" s="133"/>
      <c r="E5" s="223">
        <v>45849</v>
      </c>
      <c r="F5" s="133"/>
      <c r="G5" s="133"/>
      <c r="H5" s="133"/>
    </row>
    <row r="6" spans="1:9" ht="16.5" customHeight="1" x14ac:dyDescent="0.25">
      <c r="A6" s="133" t="s">
        <v>4</v>
      </c>
      <c r="B6" s="133"/>
      <c r="C6" s="133"/>
      <c r="D6" s="133"/>
      <c r="E6" s="133" t="s">
        <v>154</v>
      </c>
      <c r="F6" s="133"/>
      <c r="G6" s="133"/>
      <c r="H6" s="133"/>
    </row>
    <row r="7" spans="1:9" ht="15" customHeight="1" x14ac:dyDescent="0.25">
      <c r="A7" s="133" t="s">
        <v>5</v>
      </c>
      <c r="B7" s="133"/>
      <c r="C7" s="133"/>
      <c r="D7" s="133"/>
      <c r="E7" s="133" t="str">
        <f>E6</f>
        <v>Raheja Universal (Pvt.) Ltd</v>
      </c>
      <c r="F7" s="133"/>
      <c r="G7" s="133"/>
      <c r="H7" s="133"/>
    </row>
    <row r="8" spans="1:9" x14ac:dyDescent="0.25">
      <c r="A8" s="133" t="s">
        <v>6</v>
      </c>
      <c r="B8" s="133"/>
      <c r="C8" s="133"/>
      <c r="D8" s="133"/>
      <c r="E8" s="160" t="s">
        <v>197</v>
      </c>
      <c r="F8" s="159"/>
      <c r="G8" s="159"/>
      <c r="H8" s="159"/>
    </row>
    <row r="9" spans="1:9" x14ac:dyDescent="0.25">
      <c r="A9" s="133" t="s">
        <v>203</v>
      </c>
      <c r="B9" s="133"/>
      <c r="C9" s="133"/>
      <c r="D9" s="133"/>
      <c r="E9" s="133" t="s">
        <v>167</v>
      </c>
      <c r="F9" s="133"/>
      <c r="G9" s="133"/>
      <c r="H9" s="133"/>
    </row>
    <row r="10" spans="1:9" x14ac:dyDescent="0.25">
      <c r="A10" s="133" t="s">
        <v>179</v>
      </c>
      <c r="B10" s="133"/>
      <c r="C10" s="133"/>
      <c r="D10" s="133"/>
      <c r="E10" s="133">
        <v>7021968001</v>
      </c>
      <c r="F10" s="133"/>
      <c r="G10" s="133"/>
      <c r="H10" s="133"/>
    </row>
    <row r="11" spans="1:9" x14ac:dyDescent="0.25">
      <c r="A11" s="133" t="s">
        <v>7</v>
      </c>
      <c r="B11" s="133"/>
      <c r="C11" s="133"/>
      <c r="D11" s="133"/>
      <c r="E11" s="132" t="s">
        <v>205</v>
      </c>
      <c r="F11" s="133"/>
      <c r="G11" s="133"/>
      <c r="H11" s="133"/>
    </row>
    <row r="12" spans="1:9" ht="30" customHeight="1" x14ac:dyDescent="0.25">
      <c r="A12" s="134" t="s">
        <v>174</v>
      </c>
      <c r="B12" s="134"/>
      <c r="C12" s="134"/>
      <c r="D12" s="134"/>
      <c r="E12" s="132" t="s">
        <v>239</v>
      </c>
      <c r="F12" s="132"/>
      <c r="G12" s="132"/>
      <c r="H12" s="132"/>
    </row>
    <row r="13" spans="1:9" ht="44.25" customHeight="1" x14ac:dyDescent="0.25">
      <c r="A13" s="134" t="s">
        <v>204</v>
      </c>
      <c r="B13" s="134"/>
      <c r="C13" s="134"/>
      <c r="D13" s="134"/>
      <c r="E13" s="217" t="s">
        <v>207</v>
      </c>
      <c r="F13" s="218"/>
      <c r="G13" s="217" t="s">
        <v>208</v>
      </c>
      <c r="H13" s="218"/>
    </row>
    <row r="14" spans="1:9" ht="48" customHeight="1" x14ac:dyDescent="0.25">
      <c r="A14" s="135" t="s">
        <v>8</v>
      </c>
      <c r="B14" s="135"/>
      <c r="C14" s="13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Raheja Lunaris 1 (Calisto), Plot No.Gen-2/1/B/Part -1, near Mindspace Juinagar, MIDC IOC Terminal Road, T.T.C. Industrial Area, Juinagar, Juinagar East, Thane, Thane - 400705.</v>
      </c>
      <c r="D14" s="135"/>
      <c r="E14" s="135"/>
      <c r="F14" s="135"/>
      <c r="G14" s="135"/>
      <c r="H14" s="135"/>
    </row>
    <row r="15" spans="1:9" x14ac:dyDescent="0.25">
      <c r="A15" s="132" t="s">
        <v>175</v>
      </c>
      <c r="B15" s="132"/>
      <c r="C15" s="132" t="s">
        <v>209</v>
      </c>
      <c r="D15" s="132"/>
      <c r="E15" s="132"/>
      <c r="F15" s="132"/>
      <c r="G15" s="132"/>
      <c r="H15" s="132"/>
    </row>
    <row r="16" spans="1:9" ht="15.75" customHeight="1" x14ac:dyDescent="0.25">
      <c r="A16" s="123" t="s">
        <v>150</v>
      </c>
      <c r="B16" s="125"/>
      <c r="C16" s="123" t="s">
        <v>155</v>
      </c>
      <c r="D16" s="124"/>
      <c r="E16" s="124"/>
      <c r="F16" s="124"/>
      <c r="G16" s="124"/>
      <c r="H16" s="125"/>
    </row>
    <row r="17" spans="1:8" ht="15.75" customHeight="1" x14ac:dyDescent="0.25">
      <c r="A17" s="135" t="s">
        <v>9</v>
      </c>
      <c r="B17" s="135"/>
      <c r="C17" s="133" t="s">
        <v>166</v>
      </c>
      <c r="D17" s="133"/>
      <c r="E17" s="135" t="s">
        <v>151</v>
      </c>
      <c r="F17" s="135"/>
      <c r="G17" s="132" t="s">
        <v>160</v>
      </c>
      <c r="H17" s="132"/>
    </row>
    <row r="18" spans="1:8" x14ac:dyDescent="0.25">
      <c r="A18" s="134" t="s">
        <v>11</v>
      </c>
      <c r="B18" s="134"/>
      <c r="C18" s="132" t="s">
        <v>161</v>
      </c>
      <c r="D18" s="132"/>
      <c r="E18" s="135" t="s">
        <v>10</v>
      </c>
      <c r="F18" s="135"/>
      <c r="G18" s="219" t="s">
        <v>164</v>
      </c>
      <c r="H18" s="220"/>
    </row>
    <row r="19" spans="1:8" x14ac:dyDescent="0.25">
      <c r="A19" s="134" t="s">
        <v>68</v>
      </c>
      <c r="B19" s="134"/>
      <c r="C19" s="132" t="s">
        <v>164</v>
      </c>
      <c r="D19" s="132"/>
      <c r="E19" s="135" t="s">
        <v>12</v>
      </c>
      <c r="F19" s="135"/>
      <c r="G19" s="132">
        <v>400705</v>
      </c>
      <c r="H19" s="132"/>
    </row>
    <row r="20" spans="1:8" ht="32.25" customHeight="1" x14ac:dyDescent="0.25">
      <c r="A20" s="134" t="s">
        <v>110</v>
      </c>
      <c r="B20" s="134"/>
      <c r="C20" s="132" t="s">
        <v>165</v>
      </c>
      <c r="D20" s="132"/>
      <c r="E20" s="135" t="s">
        <v>13</v>
      </c>
      <c r="F20" s="135"/>
      <c r="G20" s="132" t="s">
        <v>163</v>
      </c>
      <c r="H20" s="132"/>
    </row>
    <row r="21" spans="1:8" ht="15" customHeight="1" x14ac:dyDescent="0.25">
      <c r="A21" s="135" t="s">
        <v>70</v>
      </c>
      <c r="B21" s="135"/>
      <c r="C21" s="135"/>
      <c r="D21" s="135"/>
      <c r="E21" s="133" t="s">
        <v>14</v>
      </c>
      <c r="F21" s="133"/>
      <c r="G21" s="133"/>
      <c r="H21" s="133"/>
    </row>
    <row r="22" spans="1:8" ht="18.75" customHeight="1" x14ac:dyDescent="0.25">
      <c r="A22" s="135"/>
      <c r="B22" s="135"/>
      <c r="C22" s="135"/>
      <c r="D22" s="135"/>
      <c r="E22" s="133"/>
      <c r="F22" s="133"/>
      <c r="G22" s="133"/>
      <c r="H22" s="133"/>
    </row>
    <row r="23" spans="1:8" ht="15" customHeight="1" x14ac:dyDescent="0.25">
      <c r="A23" s="135" t="s">
        <v>15</v>
      </c>
      <c r="B23" s="135"/>
      <c r="C23" s="135"/>
      <c r="D23" s="135"/>
      <c r="E23" s="132" t="s">
        <v>16</v>
      </c>
      <c r="F23" s="132"/>
      <c r="G23" s="132"/>
      <c r="H23" s="132"/>
    </row>
    <row r="24" spans="1:8" ht="15" customHeight="1" x14ac:dyDescent="0.25">
      <c r="A24" s="134" t="s">
        <v>17</v>
      </c>
      <c r="B24" s="134"/>
      <c r="C24" s="134"/>
      <c r="D24" s="134"/>
      <c r="E24" s="132" t="str">
        <f>IF(AND(G18="Mumbai"),"Upper Class","Middle Class")</f>
        <v>Middle Class</v>
      </c>
      <c r="F24" s="132"/>
      <c r="G24" s="132"/>
      <c r="H24" s="132"/>
    </row>
    <row r="25" spans="1:8" x14ac:dyDescent="0.25">
      <c r="A25" s="134" t="s">
        <v>18</v>
      </c>
      <c r="B25" s="134"/>
      <c r="C25" s="134"/>
      <c r="D25" s="134"/>
      <c r="E25" s="132" t="s">
        <v>19</v>
      </c>
      <c r="F25" s="132"/>
      <c r="G25" s="132"/>
      <c r="H25" s="132"/>
    </row>
    <row r="26" spans="1:8" ht="15.75" customHeight="1" x14ac:dyDescent="0.25">
      <c r="A26" s="134" t="s">
        <v>20</v>
      </c>
      <c r="B26" s="134"/>
      <c r="C26" s="134"/>
      <c r="D26" s="134"/>
      <c r="E26" s="132" t="str">
        <f>IF(AND(G18="Mumbai"),"Developed","Developing")</f>
        <v>Developing</v>
      </c>
      <c r="F26" s="132"/>
      <c r="G26" s="132"/>
      <c r="H26" s="132"/>
    </row>
    <row r="27" spans="1:8" x14ac:dyDescent="0.25">
      <c r="A27" s="134" t="s">
        <v>21</v>
      </c>
      <c r="B27" s="134"/>
      <c r="C27" s="134"/>
      <c r="D27" s="134"/>
      <c r="E27" s="132" t="s">
        <v>22</v>
      </c>
      <c r="F27" s="132"/>
      <c r="G27" s="132"/>
      <c r="H27" s="132"/>
    </row>
    <row r="28" spans="1:8" ht="15.75" customHeight="1" x14ac:dyDescent="0.25">
      <c r="A28" s="134" t="s">
        <v>75</v>
      </c>
      <c r="B28" s="134"/>
      <c r="C28" s="134"/>
      <c r="D28" s="134"/>
      <c r="E28" s="132" t="s">
        <v>76</v>
      </c>
      <c r="F28" s="132"/>
      <c r="G28" s="132"/>
      <c r="H28" s="132"/>
    </row>
    <row r="29" spans="1:8" ht="15" customHeight="1" x14ac:dyDescent="0.25">
      <c r="A29" s="134" t="s">
        <v>30</v>
      </c>
      <c r="B29" s="134"/>
      <c r="C29" s="134"/>
      <c r="D29" s="134"/>
      <c r="E29" s="132" t="str">
        <f>IF(AND(ISNUMBER(SEARCH("Flat",D62)),ISNUMBER(SEARCH("Shop",D62)),ISNUMBER(SEARCH("Office",D62))),"Residential + Commercial",IF(AND(ISNUMBER(SEARCH("Flat",D62)),ISNUMBER(SEARCH("Shop",D62))),"Residential + Commercial",IF(AND(ISNUMBER(SEARCH("Flat",D62)),ISNUMBER(SEARCH("Office",D62))),"Residential + Commercial",IF(AND(ISNUMBER(SEARCH("Shop",D62)),ISNUMBER(SEARCH("Office",D62))),"Commercial",IF(ISNUMBER(SEARCH("Shop",D62)),"Commercial",IF(ISNUMBER(SEARCH("Office",D62)),"Commercial",IF(ISNUMBER(SEARCH("Flat",D62)),"Residential")))))))</f>
        <v>Residential + Commercial</v>
      </c>
      <c r="F29" s="132"/>
      <c r="G29" s="132"/>
      <c r="H29" s="132"/>
    </row>
    <row r="30" spans="1:8" ht="15.75" customHeight="1" x14ac:dyDescent="0.25">
      <c r="A30" s="134" t="s">
        <v>86</v>
      </c>
      <c r="B30" s="134"/>
      <c r="C30" s="134"/>
      <c r="D30" s="134"/>
      <c r="E30" s="132" t="s">
        <v>31</v>
      </c>
      <c r="F30" s="132"/>
      <c r="G30" s="132"/>
      <c r="H30" s="132"/>
    </row>
    <row r="31" spans="1:8" s="19" customFormat="1" x14ac:dyDescent="0.25">
      <c r="A31" s="216" t="s">
        <v>87</v>
      </c>
      <c r="B31" s="216"/>
      <c r="C31" s="214" t="s">
        <v>181</v>
      </c>
      <c r="D31" s="214"/>
      <c r="E31" s="214"/>
      <c r="F31" s="215" t="s">
        <v>28</v>
      </c>
      <c r="G31" s="215"/>
      <c r="H31" s="215"/>
    </row>
    <row r="32" spans="1:8" s="19" customFormat="1" x14ac:dyDescent="0.25">
      <c r="A32" s="197" t="s">
        <v>23</v>
      </c>
      <c r="B32" s="197" t="s">
        <v>27</v>
      </c>
      <c r="C32" s="198" t="s">
        <v>183</v>
      </c>
      <c r="D32" s="198"/>
      <c r="E32" s="198"/>
      <c r="F32" s="200" t="s">
        <v>214</v>
      </c>
      <c r="G32" s="200"/>
      <c r="H32" s="200"/>
    </row>
    <row r="33" spans="1:9" x14ac:dyDescent="0.25">
      <c r="A33" s="197" t="s">
        <v>24</v>
      </c>
      <c r="B33" s="197" t="s">
        <v>27</v>
      </c>
      <c r="C33" s="198" t="s">
        <v>183</v>
      </c>
      <c r="D33" s="198"/>
      <c r="E33" s="198"/>
      <c r="F33" s="200" t="s">
        <v>215</v>
      </c>
      <c r="G33" s="200"/>
      <c r="H33" s="200"/>
    </row>
    <row r="34" spans="1:9" s="19" customFormat="1" x14ac:dyDescent="0.25">
      <c r="A34" s="197" t="s">
        <v>26</v>
      </c>
      <c r="B34" s="197" t="s">
        <v>27</v>
      </c>
      <c r="C34" s="198" t="s">
        <v>182</v>
      </c>
      <c r="D34" s="198"/>
      <c r="E34" s="198"/>
      <c r="F34" s="200" t="s">
        <v>166</v>
      </c>
      <c r="G34" s="200"/>
      <c r="H34" s="200"/>
    </row>
    <row r="35" spans="1:9" x14ac:dyDescent="0.25">
      <c r="A35" s="197" t="s">
        <v>25</v>
      </c>
      <c r="B35" s="197" t="s">
        <v>27</v>
      </c>
      <c r="C35" s="198" t="s">
        <v>183</v>
      </c>
      <c r="D35" s="198"/>
      <c r="E35" s="198"/>
      <c r="F35" s="200" t="s">
        <v>162</v>
      </c>
      <c r="G35" s="200"/>
      <c r="H35" s="200"/>
    </row>
    <row r="36" spans="1:9" x14ac:dyDescent="0.25">
      <c r="A36" s="134" t="s">
        <v>29</v>
      </c>
      <c r="B36" s="134"/>
      <c r="C36" s="134"/>
      <c r="D36" s="134"/>
      <c r="E36" s="134"/>
      <c r="F36" s="134"/>
      <c r="G36" s="134"/>
      <c r="H36" s="134"/>
    </row>
    <row r="37" spans="1:9" ht="15.75" customHeight="1" x14ac:dyDescent="0.25">
      <c r="A37" s="134" t="s">
        <v>180</v>
      </c>
      <c r="B37" s="134"/>
      <c r="C37" s="211" t="s">
        <v>211</v>
      </c>
      <c r="D37" s="212"/>
      <c r="E37" s="212"/>
      <c r="F37" s="212"/>
      <c r="G37" s="212"/>
      <c r="H37" s="213"/>
    </row>
    <row r="38" spans="1:9" x14ac:dyDescent="0.25">
      <c r="A38" s="134" t="s">
        <v>149</v>
      </c>
      <c r="B38" s="134"/>
      <c r="C38" s="210" t="s">
        <v>212</v>
      </c>
      <c r="D38" s="132"/>
      <c r="E38" s="132"/>
      <c r="F38" s="132"/>
      <c r="G38" s="132"/>
      <c r="H38" s="132"/>
    </row>
    <row r="39" spans="1:9" x14ac:dyDescent="0.25">
      <c r="A39" s="201" t="s">
        <v>32</v>
      </c>
      <c r="B39" s="201"/>
      <c r="C39" s="201"/>
      <c r="D39" s="201"/>
      <c r="E39" s="201"/>
      <c r="F39" s="201"/>
      <c r="G39" s="201"/>
      <c r="H39" s="201"/>
    </row>
    <row r="40" spans="1:9" x14ac:dyDescent="0.25">
      <c r="A40" s="134" t="s">
        <v>33</v>
      </c>
      <c r="B40" s="134"/>
      <c r="C40" s="134"/>
      <c r="D40" s="134"/>
      <c r="E40" s="199">
        <v>32020.34</v>
      </c>
      <c r="F40" s="199"/>
      <c r="G40" s="199"/>
      <c r="H40" s="199"/>
      <c r="I40" s="18">
        <v>275309.84999999998</v>
      </c>
    </row>
    <row r="41" spans="1:9" x14ac:dyDescent="0.25">
      <c r="A41" s="134" t="s">
        <v>34</v>
      </c>
      <c r="B41" s="134"/>
      <c r="C41" s="134"/>
      <c r="D41" s="134"/>
      <c r="E41" s="188">
        <f>32020.34/E40</f>
        <v>1</v>
      </c>
      <c r="F41" s="188"/>
      <c r="G41" s="188"/>
      <c r="H41" s="188"/>
      <c r="I41" s="50">
        <f>888274.6/I40</f>
        <v>3.2264541206934663</v>
      </c>
    </row>
    <row r="42" spans="1:9" x14ac:dyDescent="0.25">
      <c r="A42" s="134" t="s">
        <v>35</v>
      </c>
      <c r="B42" s="134"/>
      <c r="C42" s="134"/>
      <c r="D42" s="134"/>
      <c r="E42" s="188">
        <f>E44/E40-E41</f>
        <v>0.2850837936136843</v>
      </c>
      <c r="F42" s="188"/>
      <c r="G42" s="188"/>
      <c r="H42" s="188"/>
      <c r="I42" s="18">
        <f>I44/I40-I41</f>
        <v>5.5735528169442539</v>
      </c>
    </row>
    <row r="43" spans="1:9" x14ac:dyDescent="0.25">
      <c r="A43" s="134" t="s">
        <v>36</v>
      </c>
      <c r="B43" s="134"/>
      <c r="C43" s="134"/>
      <c r="D43" s="134"/>
      <c r="E43" s="188">
        <f>E41+E42</f>
        <v>1.2850837936136843</v>
      </c>
      <c r="F43" s="188"/>
      <c r="G43" s="188"/>
      <c r="H43" s="188"/>
    </row>
    <row r="44" spans="1:9" x14ac:dyDescent="0.25">
      <c r="A44" s="134" t="s">
        <v>191</v>
      </c>
      <c r="B44" s="134"/>
      <c r="C44" s="134"/>
      <c r="D44" s="134"/>
      <c r="E44" s="189">
        <v>41148.82</v>
      </c>
      <c r="F44" s="189"/>
      <c r="G44" s="189"/>
      <c r="H44" s="189"/>
      <c r="I44" s="18">
        <v>2422728.59</v>
      </c>
    </row>
    <row r="45" spans="1:9" x14ac:dyDescent="0.25">
      <c r="A45" s="133" t="s">
        <v>37</v>
      </c>
      <c r="B45" s="133"/>
      <c r="C45" s="133"/>
      <c r="D45" s="133"/>
      <c r="E45" s="190" t="s">
        <v>210</v>
      </c>
      <c r="F45" s="190"/>
      <c r="G45" s="190"/>
      <c r="H45" s="190"/>
    </row>
    <row r="46" spans="1:9" x14ac:dyDescent="0.25">
      <c r="A46" s="201" t="s">
        <v>38</v>
      </c>
      <c r="B46" s="201"/>
      <c r="C46" s="201"/>
      <c r="D46" s="201"/>
      <c r="E46" s="201"/>
      <c r="F46" s="201"/>
      <c r="G46" s="201"/>
      <c r="H46" s="201"/>
    </row>
    <row r="47" spans="1:9" ht="33.75" customHeight="1" x14ac:dyDescent="0.25">
      <c r="A47" s="195" t="s">
        <v>139</v>
      </c>
      <c r="B47" s="196"/>
      <c r="C47" s="179" t="s">
        <v>156</v>
      </c>
      <c r="D47" s="180"/>
      <c r="E47" s="180"/>
      <c r="F47" s="180"/>
      <c r="G47" s="180"/>
      <c r="H47" s="181"/>
    </row>
    <row r="48" spans="1:9" ht="15.75" customHeight="1" x14ac:dyDescent="0.25">
      <c r="A48" s="118" t="s">
        <v>39</v>
      </c>
      <c r="B48" s="120"/>
      <c r="C48" s="118" t="s">
        <v>216</v>
      </c>
      <c r="D48" s="119"/>
      <c r="E48" s="120"/>
      <c r="F48" s="47" t="s">
        <v>40</v>
      </c>
      <c r="G48" s="121">
        <v>45687</v>
      </c>
      <c r="H48" s="122"/>
    </row>
    <row r="49" spans="1:14" x14ac:dyDescent="0.25">
      <c r="A49" s="118" t="s">
        <v>41</v>
      </c>
      <c r="B49" s="120"/>
      <c r="C49" s="118" t="str">
        <f>C48</f>
        <v xml:space="preserve">EE/Dn. II/MHP/SPA/I/97268/of 2025 </v>
      </c>
      <c r="D49" s="119"/>
      <c r="E49" s="120"/>
      <c r="F49" s="47" t="s">
        <v>40</v>
      </c>
      <c r="G49" s="121">
        <f>G48</f>
        <v>45687</v>
      </c>
      <c r="H49" s="122"/>
    </row>
    <row r="50" spans="1:14" s="20" customFormat="1" ht="15.75" customHeight="1" x14ac:dyDescent="0.25">
      <c r="A50" s="114" t="s">
        <v>143</v>
      </c>
      <c r="B50" s="115"/>
      <c r="C50" s="118" t="s">
        <v>184</v>
      </c>
      <c r="D50" s="119"/>
      <c r="E50" s="120"/>
      <c r="F50" s="47" t="s">
        <v>40</v>
      </c>
      <c r="G50" s="121">
        <v>45434</v>
      </c>
      <c r="H50" s="120"/>
    </row>
    <row r="51" spans="1:14" s="20" customFormat="1" ht="33" customHeight="1" x14ac:dyDescent="0.25">
      <c r="A51" s="116"/>
      <c r="B51" s="117"/>
      <c r="C51" s="118" t="s">
        <v>198</v>
      </c>
      <c r="D51" s="119"/>
      <c r="E51" s="119"/>
      <c r="F51" s="119"/>
      <c r="G51" s="119"/>
      <c r="H51" s="120"/>
      <c r="J51" s="20">
        <f>258716.73+30056.28</f>
        <v>288773.01</v>
      </c>
    </row>
    <row r="52" spans="1:14" s="20" customFormat="1" ht="15.75" customHeight="1" x14ac:dyDescent="0.25">
      <c r="A52" s="114" t="s">
        <v>240</v>
      </c>
      <c r="B52" s="115"/>
      <c r="C52" s="118" t="s">
        <v>216</v>
      </c>
      <c r="D52" s="119"/>
      <c r="E52" s="120"/>
      <c r="F52" s="47" t="s">
        <v>40</v>
      </c>
      <c r="G52" s="121">
        <v>45687</v>
      </c>
      <c r="H52" s="122"/>
    </row>
    <row r="53" spans="1:14" s="20" customFormat="1" ht="34.5" customHeight="1" x14ac:dyDescent="0.25">
      <c r="A53" s="116"/>
      <c r="B53" s="117"/>
      <c r="C53" s="123" t="s">
        <v>231</v>
      </c>
      <c r="D53" s="124"/>
      <c r="E53" s="124"/>
      <c r="F53" s="124"/>
      <c r="G53" s="124"/>
      <c r="H53" s="125"/>
      <c r="J53" s="20">
        <f>258716.73+30056.28</f>
        <v>288773.01</v>
      </c>
    </row>
    <row r="54" spans="1:14" s="20" customFormat="1" ht="15.75" customHeight="1" x14ac:dyDescent="0.25">
      <c r="A54" s="114" t="s">
        <v>192</v>
      </c>
      <c r="B54" s="115"/>
      <c r="C54" s="118" t="s">
        <v>194</v>
      </c>
      <c r="D54" s="119"/>
      <c r="E54" s="120"/>
      <c r="F54" s="47" t="s">
        <v>40</v>
      </c>
      <c r="G54" s="121">
        <v>41999</v>
      </c>
      <c r="H54" s="122"/>
    </row>
    <row r="55" spans="1:14" s="20" customFormat="1" ht="33" customHeight="1" x14ac:dyDescent="0.25">
      <c r="A55" s="116"/>
      <c r="B55" s="117"/>
      <c r="C55" s="118" t="s">
        <v>195</v>
      </c>
      <c r="D55" s="119"/>
      <c r="E55" s="119"/>
      <c r="F55" s="119"/>
      <c r="G55" s="119"/>
      <c r="H55" s="120"/>
      <c r="J55" s="20">
        <f>258716.73+30056.28</f>
        <v>288773.01</v>
      </c>
    </row>
    <row r="56" spans="1:14" ht="32.25" hidden="1" customHeight="1" x14ac:dyDescent="0.25">
      <c r="A56" s="114" t="s">
        <v>193</v>
      </c>
      <c r="B56" s="115"/>
      <c r="C56" s="255" t="s">
        <v>196</v>
      </c>
      <c r="D56" s="256"/>
      <c r="E56" s="257"/>
      <c r="F56" s="64" t="s">
        <v>40</v>
      </c>
      <c r="G56" s="148">
        <v>44473</v>
      </c>
      <c r="H56" s="149"/>
    </row>
    <row r="57" spans="1:14" hidden="1" x14ac:dyDescent="0.25">
      <c r="A57" s="116"/>
      <c r="B57" s="117"/>
      <c r="C57" s="118"/>
      <c r="D57" s="119"/>
      <c r="E57" s="119"/>
      <c r="F57" s="119"/>
      <c r="G57" s="119"/>
      <c r="H57" s="120"/>
    </row>
    <row r="58" spans="1:14" x14ac:dyDescent="0.25">
      <c r="A58" s="206" t="s">
        <v>152</v>
      </c>
      <c r="B58" s="207"/>
      <c r="C58" s="150" t="s">
        <v>27</v>
      </c>
      <c r="D58" s="151"/>
      <c r="E58" s="152"/>
      <c r="F58" s="45" t="s">
        <v>40</v>
      </c>
      <c r="G58" s="204" t="s">
        <v>27</v>
      </c>
      <c r="H58" s="205"/>
    </row>
    <row r="59" spans="1:14" hidden="1" x14ac:dyDescent="0.25">
      <c r="A59" s="208"/>
      <c r="B59" s="209"/>
      <c r="C59" s="150"/>
      <c r="D59" s="151"/>
      <c r="E59" s="151"/>
      <c r="F59" s="151"/>
      <c r="G59" s="151"/>
      <c r="H59" s="152"/>
      <c r="J59" s="18">
        <f>20812.66+22852.63+23548.47</f>
        <v>67213.760000000009</v>
      </c>
      <c r="K59" s="18">
        <f>30056.28</f>
        <v>30056.28</v>
      </c>
    </row>
    <row r="60" spans="1:14" x14ac:dyDescent="0.25">
      <c r="A60" s="193" t="s">
        <v>43</v>
      </c>
      <c r="B60" s="193"/>
      <c r="C60" s="193"/>
      <c r="D60" s="193"/>
      <c r="E60" s="193"/>
      <c r="F60" s="193"/>
      <c r="G60" s="193"/>
      <c r="H60" s="193"/>
      <c r="I60" s="21" t="s">
        <v>199</v>
      </c>
    </row>
    <row r="61" spans="1:14" x14ac:dyDescent="0.25">
      <c r="A61" s="194" t="s">
        <v>85</v>
      </c>
      <c r="B61" s="194"/>
      <c r="C61" s="194"/>
      <c r="D61" s="203">
        <f>E44</f>
        <v>41148.82</v>
      </c>
      <c r="E61" s="133"/>
      <c r="F61" s="133"/>
      <c r="G61" s="133"/>
      <c r="H61" s="133"/>
      <c r="I61" s="53"/>
    </row>
    <row r="62" spans="1:14" x14ac:dyDescent="0.25">
      <c r="A62" s="132" t="s">
        <v>44</v>
      </c>
      <c r="B62" s="133"/>
      <c r="C62" s="133"/>
      <c r="D62" s="133" t="s">
        <v>230</v>
      </c>
      <c r="E62" s="133"/>
      <c r="F62" s="133"/>
      <c r="G62" s="133"/>
      <c r="H62" s="133"/>
    </row>
    <row r="63" spans="1:14" ht="33" customHeight="1" x14ac:dyDescent="0.25">
      <c r="A63" s="126" t="s">
        <v>45</v>
      </c>
      <c r="B63" s="127"/>
      <c r="C63" s="128"/>
      <c r="D63" s="137" t="s">
        <v>232</v>
      </c>
      <c r="E63" s="202"/>
      <c r="F63" s="202"/>
      <c r="G63" s="202"/>
      <c r="H63" s="202"/>
      <c r="J63" s="22"/>
      <c r="K63" s="21"/>
      <c r="N63" s="21"/>
    </row>
    <row r="64" spans="1:14" ht="15.75" customHeight="1" x14ac:dyDescent="0.25">
      <c r="A64" s="126" t="s">
        <v>83</v>
      </c>
      <c r="B64" s="127"/>
      <c r="C64" s="128"/>
      <c r="D64" s="132" t="s">
        <v>217</v>
      </c>
      <c r="E64" s="133"/>
      <c r="F64" s="133"/>
      <c r="G64" s="133"/>
      <c r="H64" s="133"/>
      <c r="N64" s="21"/>
    </row>
    <row r="65" spans="1:14" ht="15.75" customHeight="1" x14ac:dyDescent="0.25">
      <c r="A65" s="129"/>
      <c r="B65" s="130"/>
      <c r="C65" s="131"/>
      <c r="D65" s="132" t="s">
        <v>233</v>
      </c>
      <c r="E65" s="133"/>
      <c r="F65" s="133"/>
      <c r="G65" s="133"/>
      <c r="H65" s="133"/>
      <c r="N65" s="21"/>
    </row>
    <row r="66" spans="1:14" ht="15.75" customHeight="1" x14ac:dyDescent="0.25">
      <c r="A66" s="134" t="s">
        <v>42</v>
      </c>
      <c r="B66" s="134"/>
      <c r="C66" s="134"/>
      <c r="D66" s="186" t="s">
        <v>200</v>
      </c>
      <c r="E66" s="186"/>
      <c r="F66" s="186"/>
      <c r="G66" s="186"/>
      <c r="H66" s="186"/>
      <c r="J66" s="23"/>
      <c r="K66" s="23"/>
    </row>
    <row r="67" spans="1:14" x14ac:dyDescent="0.25">
      <c r="A67" s="134" t="s">
        <v>81</v>
      </c>
      <c r="B67" s="134"/>
      <c r="C67" s="134"/>
      <c r="D67" s="187" t="str">
        <f>(IF(G58="NA","60 Years After Completion",IF(G58&lt;&gt;"NA",""&amp;60-ROUNDDOWN((E3-G58)/360,0)&amp;" Years"," ")))</f>
        <v>60 Years After Completion</v>
      </c>
      <c r="E67" s="187"/>
      <c r="F67" s="187"/>
      <c r="G67" s="187"/>
      <c r="H67" s="187"/>
      <c r="I67" s="52" t="s">
        <v>190</v>
      </c>
    </row>
    <row r="68" spans="1:14" x14ac:dyDescent="0.25">
      <c r="A68" s="134" t="s">
        <v>82</v>
      </c>
      <c r="B68" s="134"/>
      <c r="C68" s="134"/>
      <c r="D68" s="135" t="s">
        <v>22</v>
      </c>
      <c r="E68" s="135"/>
      <c r="F68" s="135"/>
      <c r="G68" s="135"/>
      <c r="H68" s="135"/>
      <c r="I68" s="24"/>
      <c r="J68" s="24"/>
      <c r="K68" s="24"/>
      <c r="L68" s="24"/>
      <c r="M68" s="24"/>
      <c r="N68" s="24"/>
    </row>
    <row r="69" spans="1:14" ht="51" customHeight="1" x14ac:dyDescent="0.25">
      <c r="A69" s="134" t="s">
        <v>69</v>
      </c>
      <c r="B69" s="134"/>
      <c r="C69" s="134"/>
      <c r="D69" s="132" t="s">
        <v>185</v>
      </c>
      <c r="E69" s="135"/>
      <c r="F69" s="135"/>
      <c r="G69" s="135"/>
      <c r="H69" s="135"/>
      <c r="J69" s="23"/>
    </row>
    <row r="70" spans="1:14" x14ac:dyDescent="0.25">
      <c r="A70" s="135" t="s">
        <v>136</v>
      </c>
      <c r="B70" s="135"/>
      <c r="C70" s="135"/>
      <c r="D70" s="135" t="s">
        <v>27</v>
      </c>
      <c r="E70" s="135"/>
      <c r="F70" s="135"/>
      <c r="G70" s="135"/>
      <c r="H70" s="135"/>
    </row>
    <row r="71" spans="1:14" ht="15.75" customHeight="1" x14ac:dyDescent="0.25">
      <c r="A71" s="251" t="s">
        <v>80</v>
      </c>
      <c r="B71" s="251"/>
      <c r="C71" s="251"/>
      <c r="D71" s="137" t="str">
        <f>(IF(G77&gt;95%,"Nothing",IF(G77&gt;0%,"Cement, Aggregate, Steel, etc",IF(G77=0%,"Work not yet Started"))))</f>
        <v>Cement, Aggregate, Steel, etc</v>
      </c>
      <c r="E71" s="137"/>
      <c r="F71" s="137"/>
      <c r="G71" s="137"/>
      <c r="H71" s="137"/>
    </row>
    <row r="72" spans="1:14" ht="16.5" thickBot="1" x14ac:dyDescent="0.3">
      <c r="A72" s="136" t="s">
        <v>106</v>
      </c>
      <c r="B72" s="136"/>
      <c r="C72" s="136"/>
      <c r="D72" s="137" t="str">
        <f>(IF(D71="Nothing","Yes",IF(D71="Cement, Aggregate, Steel, etc","Under Construction",IF(D71="Work not yet Started","Work not yet Started"))))</f>
        <v>Under Construction</v>
      </c>
      <c r="E72" s="137"/>
      <c r="F72" s="137" t="str">
        <f>(IF(D71="Nothing","Yes",IF(D71="Cement, Aggregate, Steel, etc","Under Construction",IF(D71="Work not yet Started","Work not yet Started"))))</f>
        <v>Under Construction</v>
      </c>
      <c r="G72" s="137"/>
      <c r="H72" s="137"/>
    </row>
    <row r="73" spans="1:14" ht="15.75" customHeight="1" x14ac:dyDescent="0.25">
      <c r="A73" s="153" t="s">
        <v>128</v>
      </c>
      <c r="B73" s="154"/>
      <c r="C73" s="155" t="str">
        <f>D63</f>
        <v>Wing 1A, 1B &amp; 1C = 4B + Gr + 1st to 32nd Floor
Shopping Wing = 3B + Gr Floor</v>
      </c>
      <c r="D73" s="156"/>
      <c r="E73" s="156"/>
      <c r="F73" s="156"/>
      <c r="G73" s="156"/>
      <c r="H73" s="157"/>
      <c r="I73" s="41" t="str">
        <f>IF(D86=100%,"All work Completed. Possession granted to the Building.",IF(D85=100%,"All work Completed, Waiting for OC",I74&amp;""&amp;I75&amp;""&amp;J74&amp;""&amp;J73&amp;" "&amp;J75))</f>
        <v xml:space="preserve">Excavation work in process </v>
      </c>
      <c r="J73" s="42" t="str">
        <f>(IF(C79=(D74+F74+H74),"",IF(C79&gt;0,", RCC upto "&amp;C79&amp;" Slab","")))&amp;(IF(C80=H74,"",IF(C80&gt;0,", Brickwork upto "&amp;C80&amp;" Floor","")))&amp;(IF(C81=H74,"",IF(C81&gt;0,", Internal Plaster upto "&amp;C81&amp;" Floor","")))&amp;(IF(C82=H74,"",IF(C82&gt;0,", External Plaster upto "&amp;C82&amp;" Floor","")))&amp;(IF(C83=H74,"",IF(C83&gt;0,", Flooring upto "&amp;C83&amp;" Floor","")))&amp;(IF(C84=H74,"",IF(C84&gt;0,", Painting upto "&amp;C84&amp;" Floor","")))&amp;(IF(C85=H74,"",IF(C85&gt;0,", Finishing upto "&amp;C85&amp;" Floor","")))&amp;(IF(C86=H74,"",IF(C86&gt;0,", Possession upto "&amp;C86&amp;" Floor","")))</f>
        <v/>
      </c>
    </row>
    <row r="74" spans="1:14" ht="15.75" customHeight="1" x14ac:dyDescent="0.25">
      <c r="A74" s="16" t="s">
        <v>130</v>
      </c>
      <c r="B74" s="58">
        <v>4</v>
      </c>
      <c r="C74" s="58" t="s">
        <v>67</v>
      </c>
      <c r="D74" s="58">
        <v>1</v>
      </c>
      <c r="E74" s="58" t="s">
        <v>66</v>
      </c>
      <c r="F74" s="58">
        <v>0</v>
      </c>
      <c r="G74" s="58" t="s">
        <v>74</v>
      </c>
      <c r="H74" s="17">
        <v>32</v>
      </c>
      <c r="I74" s="43" t="str">
        <f>IF(D77=100%,"Excavation","")&amp;IF(D78=100%,", Plinth","")&amp;IF(D79=100%,", RCC Slab","")&amp;IF(D80=100%,", Brickwork","")&amp;IF(D81=100%,", Internal Plaster","")&amp;IF(D82=100%,", External Plaster","")&amp;IF(D83=100%,", Flooring","")&amp;IF(D84=100%,", Painting","")&amp;IF(D85=100%,", Building common Amenities","")</f>
        <v/>
      </c>
      <c r="J74" s="44" t="str">
        <f>(IF(C77=0,"Work not yet Started.",IF(D77=25%,"Piling work in process",IF(D77=50%,"Excavation work in process",IF(D77=100%,"","0")))))&amp;(IF(C78=0%,"",IF(C78=J79,", Footing work is process",IF(C78=J80,", Footing work Completed",IF(C78=J81,", 1st Basement Completed",IF(C78=J82,", 1st &amp; 2nd Basement Completed",IF(C78=J83,", 1st to 3rd Basement Completed",IF(C78=J84,", 1st to 4th Basement Completed",IF(C78=J85,", Plinth work is process",IF(C78=J86,"","0"))))))))))</f>
        <v>Excavation work in process</v>
      </c>
    </row>
    <row r="75" spans="1:14" ht="15.75" customHeight="1" x14ac:dyDescent="0.25">
      <c r="A75" s="158" t="s">
        <v>84</v>
      </c>
      <c r="B75" s="159"/>
      <c r="C75" s="160" t="str">
        <f>I73</f>
        <v xml:space="preserve">Excavation work in process </v>
      </c>
      <c r="D75" s="160"/>
      <c r="E75" s="160"/>
      <c r="F75" s="160"/>
      <c r="G75" s="160"/>
      <c r="H75" s="161"/>
      <c r="I75" s="43" t="str">
        <f>IF(I74&lt;&gt;""," Completed","")</f>
        <v/>
      </c>
      <c r="J75" s="44" t="str">
        <f>IF(J73&lt;&gt;"","Completed","")</f>
        <v/>
      </c>
    </row>
    <row r="76" spans="1:14" ht="15.75" customHeight="1" x14ac:dyDescent="0.25">
      <c r="A76" s="140" t="s">
        <v>46</v>
      </c>
      <c r="B76" s="141"/>
      <c r="C76" s="61" t="s">
        <v>127</v>
      </c>
      <c r="D76" s="61" t="s">
        <v>77</v>
      </c>
      <c r="E76" s="162" t="s">
        <v>79</v>
      </c>
      <c r="F76" s="162"/>
      <c r="G76" s="162" t="s">
        <v>78</v>
      </c>
      <c r="H76" s="163"/>
      <c r="I76" s="14" t="s">
        <v>129</v>
      </c>
      <c r="J76" s="25">
        <f>H74*25%</f>
        <v>8</v>
      </c>
    </row>
    <row r="77" spans="1:14" ht="15.75" customHeight="1" x14ac:dyDescent="0.25">
      <c r="A77" s="140" t="s">
        <v>116</v>
      </c>
      <c r="B77" s="141"/>
      <c r="C77" s="62">
        <f>J77</f>
        <v>16</v>
      </c>
      <c r="D77" s="65">
        <f>((100/H74)*C77)/100</f>
        <v>0.5</v>
      </c>
      <c r="E77" s="142">
        <f>(((C78/H74*10)+(40/(D74+F74+H74)*C79)+(7.5/(H74)*C80)+(7.5/(H74)*C81)+(10/H74*C82)+(10/H74*C83)+(5/H74*C84)+(5/H74*C85)+(5/H74*C86))/100)</f>
        <v>0</v>
      </c>
      <c r="F77" s="143"/>
      <c r="G77" s="142">
        <f>((((C77/H74)*20)+((C78/H74)*25)+(30/(H74+F74+D74)*C79)+(5/H74*C80)+(5/H74*C81)+(5/H74*C82)+(5/H74*C83)+(0/H74*C84)+(0/H74*C85)+(5/H74*C86))/100)</f>
        <v>0.1</v>
      </c>
      <c r="H77" s="252"/>
      <c r="I77" s="14" t="s">
        <v>89</v>
      </c>
      <c r="J77" s="26">
        <f>H74*50%</f>
        <v>16</v>
      </c>
    </row>
    <row r="78" spans="1:14" ht="15.75" customHeight="1" x14ac:dyDescent="0.25">
      <c r="A78" s="140" t="s">
        <v>47</v>
      </c>
      <c r="B78" s="141"/>
      <c r="C78" s="62">
        <v>0</v>
      </c>
      <c r="D78" s="65">
        <f>((100/H74)*C78)/100</f>
        <v>0</v>
      </c>
      <c r="E78" s="144"/>
      <c r="F78" s="145"/>
      <c r="G78" s="144"/>
      <c r="H78" s="253"/>
      <c r="I78" s="14" t="s">
        <v>90</v>
      </c>
      <c r="J78" s="26">
        <f>H74</f>
        <v>32</v>
      </c>
    </row>
    <row r="79" spans="1:14" ht="15.75" customHeight="1" x14ac:dyDescent="0.25">
      <c r="A79" s="140" t="s">
        <v>117</v>
      </c>
      <c r="B79" s="141"/>
      <c r="C79" s="62">
        <v>0</v>
      </c>
      <c r="D79" s="65">
        <f>((100/(D74+F74+H74))*C79)/100</f>
        <v>0</v>
      </c>
      <c r="E79" s="144"/>
      <c r="F79" s="145"/>
      <c r="G79" s="144"/>
      <c r="H79" s="253"/>
      <c r="I79" s="14" t="s">
        <v>91</v>
      </c>
      <c r="J79" s="27">
        <f>(IF(B74&gt;1,(H74/(B74+2)),H74/4))</f>
        <v>5.333333333333333</v>
      </c>
    </row>
    <row r="80" spans="1:14" ht="15" customHeight="1" x14ac:dyDescent="0.25">
      <c r="A80" s="140" t="s">
        <v>124</v>
      </c>
      <c r="B80" s="141" t="s">
        <v>118</v>
      </c>
      <c r="C80" s="62">
        <v>0</v>
      </c>
      <c r="D80" s="65">
        <f>((100/H74)*C80)/100</f>
        <v>0</v>
      </c>
      <c r="E80" s="144"/>
      <c r="F80" s="145"/>
      <c r="G80" s="144"/>
      <c r="H80" s="253"/>
      <c r="I80" s="14" t="s">
        <v>92</v>
      </c>
      <c r="J80" s="27">
        <f>(IF(B74&gt;1,(H74/(B74+2)+J79),H74/4+J79))</f>
        <v>10.666666666666666</v>
      </c>
    </row>
    <row r="81" spans="1:12" ht="15.75" customHeight="1" x14ac:dyDescent="0.25">
      <c r="A81" s="140" t="s">
        <v>125</v>
      </c>
      <c r="B81" s="141" t="s">
        <v>118</v>
      </c>
      <c r="C81" s="62">
        <v>0</v>
      </c>
      <c r="D81" s="65">
        <f>((100/H74)*C81)/100</f>
        <v>0</v>
      </c>
      <c r="E81" s="144"/>
      <c r="F81" s="145"/>
      <c r="G81" s="144"/>
      <c r="H81" s="253"/>
      <c r="I81" s="14" t="s">
        <v>134</v>
      </c>
      <c r="J81" s="27">
        <f>(IF(B74&gt;1,(H74/(B74+2)+J80),0))</f>
        <v>16</v>
      </c>
    </row>
    <row r="82" spans="1:12" ht="15.75" customHeight="1" x14ac:dyDescent="0.25">
      <c r="A82" s="140" t="s">
        <v>123</v>
      </c>
      <c r="B82" s="141" t="s">
        <v>120</v>
      </c>
      <c r="C82" s="62">
        <v>0</v>
      </c>
      <c r="D82" s="65">
        <f>((100/(H74))*C82)/100</f>
        <v>0</v>
      </c>
      <c r="E82" s="144"/>
      <c r="F82" s="145"/>
      <c r="G82" s="144"/>
      <c r="H82" s="253"/>
      <c r="I82" s="14" t="s">
        <v>131</v>
      </c>
      <c r="J82" s="27">
        <f>(IF(B74&gt;2,(H74/(B74+2)+J81),0))</f>
        <v>21.333333333333332</v>
      </c>
    </row>
    <row r="83" spans="1:12" ht="15.75" customHeight="1" x14ac:dyDescent="0.25">
      <c r="A83" s="140" t="s">
        <v>119</v>
      </c>
      <c r="B83" s="141" t="s">
        <v>119</v>
      </c>
      <c r="C83" s="62">
        <v>0</v>
      </c>
      <c r="D83" s="65">
        <f>((100/H74)*C83)/100</f>
        <v>0</v>
      </c>
      <c r="E83" s="144"/>
      <c r="F83" s="145"/>
      <c r="G83" s="144"/>
      <c r="H83" s="253"/>
      <c r="I83" s="14" t="s">
        <v>132</v>
      </c>
      <c r="J83" s="28">
        <f>(IF(B74&gt;3,(H74/(B74+2)+J82),0))</f>
        <v>26.666666666666664</v>
      </c>
    </row>
    <row r="84" spans="1:12" ht="15.75" customHeight="1" x14ac:dyDescent="0.25">
      <c r="A84" s="140" t="s">
        <v>126</v>
      </c>
      <c r="B84" s="141"/>
      <c r="C84" s="62">
        <v>0</v>
      </c>
      <c r="D84" s="65">
        <f>((100/H74)*C84)/100</f>
        <v>0</v>
      </c>
      <c r="E84" s="144"/>
      <c r="F84" s="145"/>
      <c r="G84" s="144"/>
      <c r="H84" s="253"/>
      <c r="I84" s="14" t="s">
        <v>133</v>
      </c>
      <c r="J84" s="27">
        <f>(IF(B74&gt;4,(H74/(B74+2)+J83),0))</f>
        <v>0</v>
      </c>
    </row>
    <row r="85" spans="1:12" ht="15.75" customHeight="1" x14ac:dyDescent="0.25">
      <c r="A85" s="140" t="s">
        <v>121</v>
      </c>
      <c r="B85" s="141" t="s">
        <v>121</v>
      </c>
      <c r="C85" s="62">
        <v>0</v>
      </c>
      <c r="D85" s="65">
        <f>((100/(H74))*C85)/100</f>
        <v>0</v>
      </c>
      <c r="E85" s="144"/>
      <c r="F85" s="145"/>
      <c r="G85" s="144"/>
      <c r="H85" s="253"/>
      <c r="I85" s="14" t="s">
        <v>135</v>
      </c>
      <c r="J85" s="27">
        <f>(IF(B74=1,(H74/(B74+3)+J80),IF(B74=0,(H74/4+J80),IF(B74&gt;1,0))))</f>
        <v>0</v>
      </c>
    </row>
    <row r="86" spans="1:12" ht="16.5" thickBot="1" x14ac:dyDescent="0.3">
      <c r="A86" s="165" t="s">
        <v>122</v>
      </c>
      <c r="B86" s="166"/>
      <c r="C86" s="66">
        <v>0</v>
      </c>
      <c r="D86" s="67">
        <f>((100/(H74))*C86)/100</f>
        <v>0</v>
      </c>
      <c r="E86" s="146"/>
      <c r="F86" s="147"/>
      <c r="G86" s="146"/>
      <c r="H86" s="254"/>
      <c r="I86" s="15" t="s">
        <v>93</v>
      </c>
      <c r="J86" s="29">
        <f>(IF(B74&gt;1.5,(H74/(B74+2)+J80+MAX(0,J81-J80)+MAX(0,J82-J81)+MAX(0,J83-J82)+MAX(0,J84-J83)+MAX(0,J85-J84)),IF(B74=1,(H74/(B74+3)+J85),IF(B74=0,H74/4+J85))))</f>
        <v>32</v>
      </c>
    </row>
    <row r="87" spans="1:12" x14ac:dyDescent="0.25">
      <c r="A87" s="153" t="s">
        <v>128</v>
      </c>
      <c r="B87" s="154"/>
      <c r="C87" s="155" t="str">
        <f>D65</f>
        <v>Shopping Wing = 3B + Gr Floor</v>
      </c>
      <c r="D87" s="156"/>
      <c r="E87" s="156"/>
      <c r="F87" s="156"/>
      <c r="G87" s="156"/>
      <c r="H87" s="157"/>
      <c r="I87" s="41" t="str">
        <f>IF(D100=100%,"All work Completed. Possession granted to the Building.",IF(D99=100%,"All work Completed, Waiting for OC",I88&amp;""&amp;I89&amp;""&amp;J88&amp;""&amp;J87&amp;" "&amp;J89))</f>
        <v xml:space="preserve">Excavation work in process </v>
      </c>
      <c r="J87" s="42" t="str">
        <f>(IF(C93=(D88+F88+H88),"",IF(C93&gt;0,", RCC upto "&amp;C93&amp;" Slab","")))&amp;(IF(C94=H88,"",IF(C94&gt;0,", Brickwork upto "&amp;C94&amp;" Floor","")))&amp;(IF(C95=H88,"",IF(C95&gt;0,", Internal Plaster upto "&amp;C95&amp;" Floor","")))&amp;(IF(C96=H88,"",IF(C96&gt;0,", External Plaster upto "&amp;C96&amp;" Floor","")))&amp;(IF(C97=H88,"",IF(C97&gt;0,", Flooring upto "&amp;C97&amp;" Floor","")))&amp;(IF(C98=H88,"",IF(C98&gt;0,", Painting upto "&amp;C98&amp;" Floor","")))&amp;(IF(C99=H88,"",IF(C99&gt;0,", Finishing upto "&amp;C99&amp;" Floor","")))&amp;(IF(C100=H88,"",IF(C100&gt;0,", Possession upto "&amp;C100&amp;" Floor","")))</f>
        <v/>
      </c>
    </row>
    <row r="88" spans="1:12" s="30" customFormat="1" x14ac:dyDescent="0.25">
      <c r="A88" s="16" t="s">
        <v>130</v>
      </c>
      <c r="B88" s="58">
        <v>3</v>
      </c>
      <c r="C88" s="60" t="s">
        <v>67</v>
      </c>
      <c r="D88" s="60">
        <v>0</v>
      </c>
      <c r="E88" s="60" t="s">
        <v>66</v>
      </c>
      <c r="F88" s="60">
        <v>0</v>
      </c>
      <c r="G88" s="60" t="s">
        <v>74</v>
      </c>
      <c r="H88" s="17">
        <v>1</v>
      </c>
      <c r="I88" s="43" t="str">
        <f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/>
      </c>
      <c r="J88" s="44" t="str">
        <f>(IF(C91=0,"Work not yet Started.",IF(D91=25%,"Piling work in process",IF(D91=50%,"Excavation work in process",IF(D91=100%,"","0")))))&amp;(IF(C92=0%,"",IF(C92=J93,", Footing work is process",IF(C92=J94,", Footing work Completed",IF(C92=J95,", 1st Basement Completed",IF(C92=J96,", 1st &amp; 2nd Basement Completed",IF(C92=J97,", 1st to 3rd Basement Completed",IF(C92=J98,", 1st to 4th Basement Completed",IF(C92=J99,", Plinth work is process",IF(C92=J100,"","0"))))))))))</f>
        <v>Excavation work in process</v>
      </c>
    </row>
    <row r="89" spans="1:12" s="30" customFormat="1" x14ac:dyDescent="0.25">
      <c r="A89" s="158" t="s">
        <v>84</v>
      </c>
      <c r="B89" s="159"/>
      <c r="C89" s="160" t="str">
        <f>I87</f>
        <v xml:space="preserve">Excavation work in process </v>
      </c>
      <c r="D89" s="160"/>
      <c r="E89" s="160"/>
      <c r="F89" s="160"/>
      <c r="G89" s="160"/>
      <c r="H89" s="161"/>
      <c r="I89" s="43" t="str">
        <f>IF(I88&lt;&gt;""," Completed","")</f>
        <v/>
      </c>
      <c r="J89" s="44" t="str">
        <f>IF(J87&lt;&gt;"","Completed","")</f>
        <v/>
      </c>
      <c r="K89" s="54"/>
      <c r="L89" s="54"/>
    </row>
    <row r="90" spans="1:12" s="30" customFormat="1" x14ac:dyDescent="0.25">
      <c r="A90" s="140" t="s">
        <v>46</v>
      </c>
      <c r="B90" s="141"/>
      <c r="C90" s="62" t="s">
        <v>127</v>
      </c>
      <c r="D90" s="62" t="s">
        <v>77</v>
      </c>
      <c r="E90" s="162" t="s">
        <v>79</v>
      </c>
      <c r="F90" s="162"/>
      <c r="G90" s="162" t="s">
        <v>78</v>
      </c>
      <c r="H90" s="163"/>
      <c r="I90" s="14" t="s">
        <v>129</v>
      </c>
      <c r="J90" s="25">
        <f>H88*25%</f>
        <v>0.25</v>
      </c>
    </row>
    <row r="91" spans="1:12" s="30" customFormat="1" x14ac:dyDescent="0.25">
      <c r="A91" s="140" t="s">
        <v>116</v>
      </c>
      <c r="B91" s="141"/>
      <c r="C91" s="62">
        <f>J91</f>
        <v>0.5</v>
      </c>
      <c r="D91" s="65">
        <f>((100/H88)*C91)/100</f>
        <v>0.5</v>
      </c>
      <c r="E91" s="142">
        <f>(((C92/H88*10)+(40/(D88+F88+H88)*C93)+(7.5/(H88)*C94)+(7.5/(H88)*C95)+(10/H88*C96)+(10/H88*C97)+(5/H88*C98)+(5/H88*C99)+(5/H88*C100))/100)</f>
        <v>0</v>
      </c>
      <c r="F91" s="143"/>
      <c r="G91" s="142">
        <f>((((C91/H88)*20)+((C92/H88)*25)+(30/(H88+F88+D88)*C93)+(5/H88*C94)+(5/H88*C95)+(5/H88*C96)+(5/H88*C97)+(0/H88*C98)+(0/H88*C99)+(5/H88*C100))/100)</f>
        <v>0.1</v>
      </c>
      <c r="H91" s="252"/>
      <c r="I91" s="14" t="s">
        <v>89</v>
      </c>
      <c r="J91" s="26">
        <f>H88*50%</f>
        <v>0.5</v>
      </c>
    </row>
    <row r="92" spans="1:12" s="30" customFormat="1" x14ac:dyDescent="0.25">
      <c r="A92" s="140" t="s">
        <v>47</v>
      </c>
      <c r="B92" s="141"/>
      <c r="C92" s="62">
        <v>0</v>
      </c>
      <c r="D92" s="65">
        <f>((100/H88)*C92)/100</f>
        <v>0</v>
      </c>
      <c r="E92" s="144"/>
      <c r="F92" s="145"/>
      <c r="G92" s="144"/>
      <c r="H92" s="253"/>
      <c r="I92" s="14" t="s">
        <v>90</v>
      </c>
      <c r="J92" s="26">
        <f>H88</f>
        <v>1</v>
      </c>
    </row>
    <row r="93" spans="1:12" x14ac:dyDescent="0.25">
      <c r="A93" s="140" t="s">
        <v>117</v>
      </c>
      <c r="B93" s="141"/>
      <c r="C93" s="62">
        <v>0</v>
      </c>
      <c r="D93" s="65">
        <f>((100/(D88+F88+H88))*C93)/100</f>
        <v>0</v>
      </c>
      <c r="E93" s="144"/>
      <c r="F93" s="145"/>
      <c r="G93" s="144"/>
      <c r="H93" s="253"/>
      <c r="I93" s="14" t="s">
        <v>91</v>
      </c>
      <c r="J93" s="27">
        <f>(IF(B88&gt;1,(H88/(B88+2)),H88/4))</f>
        <v>0.2</v>
      </c>
    </row>
    <row r="94" spans="1:12" s="31" customFormat="1" x14ac:dyDescent="0.25">
      <c r="A94" s="140" t="s">
        <v>124</v>
      </c>
      <c r="B94" s="141" t="s">
        <v>118</v>
      </c>
      <c r="C94" s="62">
        <v>0</v>
      </c>
      <c r="D94" s="65">
        <f>((100/H88)*C94)/100</f>
        <v>0</v>
      </c>
      <c r="E94" s="144"/>
      <c r="F94" s="145"/>
      <c r="G94" s="144"/>
      <c r="H94" s="253"/>
      <c r="I94" s="14" t="s">
        <v>92</v>
      </c>
      <c r="J94" s="27">
        <f>(IF(B88&gt;1,(H88/(B88+2)+J93),H88/4+J93))</f>
        <v>0.4</v>
      </c>
    </row>
    <row r="95" spans="1:12" s="32" customFormat="1" x14ac:dyDescent="0.25">
      <c r="A95" s="140" t="s">
        <v>125</v>
      </c>
      <c r="B95" s="141" t="s">
        <v>118</v>
      </c>
      <c r="C95" s="62">
        <v>0</v>
      </c>
      <c r="D95" s="65">
        <f>((100/H88)*C95)/100</f>
        <v>0</v>
      </c>
      <c r="E95" s="144"/>
      <c r="F95" s="145"/>
      <c r="G95" s="144"/>
      <c r="H95" s="253"/>
      <c r="I95" s="14" t="s">
        <v>134</v>
      </c>
      <c r="J95" s="27">
        <f>(IF(B88&gt;1,(H88/(B88+2)+J94),0))</f>
        <v>0.60000000000000009</v>
      </c>
    </row>
    <row r="96" spans="1:12" s="32" customFormat="1" ht="15.75" customHeight="1" x14ac:dyDescent="0.25">
      <c r="A96" s="140" t="s">
        <v>123</v>
      </c>
      <c r="B96" s="141" t="s">
        <v>120</v>
      </c>
      <c r="C96" s="62">
        <v>0</v>
      </c>
      <c r="D96" s="65">
        <f>((100/(H88))*C96)/100</f>
        <v>0</v>
      </c>
      <c r="E96" s="144"/>
      <c r="F96" s="145"/>
      <c r="G96" s="144"/>
      <c r="H96" s="253"/>
      <c r="I96" s="14" t="s">
        <v>131</v>
      </c>
      <c r="J96" s="27">
        <f>(IF(B88&gt;2,(H88/(B88+2)+J95),0))</f>
        <v>0.8</v>
      </c>
    </row>
    <row r="97" spans="1:14" s="32" customFormat="1" x14ac:dyDescent="0.25">
      <c r="A97" s="140" t="s">
        <v>119</v>
      </c>
      <c r="B97" s="141" t="s">
        <v>119</v>
      </c>
      <c r="C97" s="62">
        <v>0</v>
      </c>
      <c r="D97" s="65">
        <f>((100/H88)*C97)/100</f>
        <v>0</v>
      </c>
      <c r="E97" s="144"/>
      <c r="F97" s="145"/>
      <c r="G97" s="144"/>
      <c r="H97" s="253"/>
      <c r="I97" s="14" t="s">
        <v>132</v>
      </c>
      <c r="J97" s="28">
        <f>(IF(B88&gt;3,(H88/(B88+2)+J96),0))</f>
        <v>0</v>
      </c>
    </row>
    <row r="98" spans="1:14" s="32" customFormat="1" x14ac:dyDescent="0.25">
      <c r="A98" s="140" t="s">
        <v>126</v>
      </c>
      <c r="B98" s="141"/>
      <c r="C98" s="62">
        <v>0</v>
      </c>
      <c r="D98" s="65">
        <f>((100/H88)*C98)/100</f>
        <v>0</v>
      </c>
      <c r="E98" s="144"/>
      <c r="F98" s="145"/>
      <c r="G98" s="144"/>
      <c r="H98" s="253"/>
      <c r="I98" s="14" t="s">
        <v>133</v>
      </c>
      <c r="J98" s="27">
        <f>(IF(B88&gt;4,(H88/(B88+2)+J97),0))</f>
        <v>0</v>
      </c>
    </row>
    <row r="99" spans="1:14" s="32" customFormat="1" x14ac:dyDescent="0.25">
      <c r="A99" s="140" t="s">
        <v>121</v>
      </c>
      <c r="B99" s="141" t="s">
        <v>121</v>
      </c>
      <c r="C99" s="62">
        <v>0</v>
      </c>
      <c r="D99" s="65">
        <f>((100/(H88))*C99)/100</f>
        <v>0</v>
      </c>
      <c r="E99" s="144"/>
      <c r="F99" s="145"/>
      <c r="G99" s="144"/>
      <c r="H99" s="253"/>
      <c r="I99" s="14" t="s">
        <v>135</v>
      </c>
      <c r="J99" s="27">
        <f>(IF(B88=1,(H88/(B88+3)+J94),IF(B88=0,(H88/4+J94),IF(B88&gt;1,0))))</f>
        <v>0</v>
      </c>
    </row>
    <row r="100" spans="1:14" s="32" customFormat="1" ht="16.5" thickBot="1" x14ac:dyDescent="0.3">
      <c r="A100" s="165" t="s">
        <v>122</v>
      </c>
      <c r="B100" s="166"/>
      <c r="C100" s="66">
        <v>0</v>
      </c>
      <c r="D100" s="67">
        <f>((100/(H88))*C100)/100</f>
        <v>0</v>
      </c>
      <c r="E100" s="146"/>
      <c r="F100" s="147"/>
      <c r="G100" s="146"/>
      <c r="H100" s="254"/>
      <c r="I100" s="15" t="s">
        <v>93</v>
      </c>
      <c r="J100" s="29">
        <f>(IF(B88&gt;1.5,(H88/(B88+2)+J94+MAX(0,J95-J94)+MAX(0,J96-J95)+MAX(0,J97-J96)+MAX(0,J98-J97)+MAX(0,J99-J98)),IF(B88=1,(H88/(B88+3)+J99),IF(B88=0,H88/4+J99))))</f>
        <v>1</v>
      </c>
    </row>
    <row r="101" spans="1:14" s="32" customFormat="1" x14ac:dyDescent="0.25">
      <c r="A101" s="192" t="s">
        <v>145</v>
      </c>
      <c r="B101" s="192"/>
      <c r="C101" s="192"/>
      <c r="D101" s="192"/>
      <c r="E101" s="192"/>
      <c r="F101" s="191" t="s">
        <v>148</v>
      </c>
      <c r="G101" s="191"/>
      <c r="H101" s="191"/>
      <c r="I101" s="18"/>
      <c r="J101" s="18">
        <f>20700000/1029</f>
        <v>20116.618075801751</v>
      </c>
    </row>
    <row r="102" spans="1:14" s="32" customFormat="1" x14ac:dyDescent="0.25">
      <c r="A102" s="133" t="s">
        <v>147</v>
      </c>
      <c r="B102" s="133"/>
      <c r="C102" s="133"/>
      <c r="D102" s="133"/>
      <c r="E102" s="133"/>
      <c r="F102" s="248">
        <v>14000</v>
      </c>
      <c r="G102" s="248"/>
      <c r="H102" s="248"/>
      <c r="I102" s="30"/>
      <c r="J102" s="30"/>
    </row>
    <row r="103" spans="1:14" s="32" customFormat="1" x14ac:dyDescent="0.25">
      <c r="A103" s="133" t="s">
        <v>146</v>
      </c>
      <c r="B103" s="133"/>
      <c r="C103" s="133"/>
      <c r="D103" s="133"/>
      <c r="E103" s="133"/>
      <c r="F103" s="139">
        <v>25000</v>
      </c>
      <c r="G103" s="139"/>
      <c r="H103" s="139"/>
      <c r="I103" s="54" t="s">
        <v>202</v>
      </c>
      <c r="J103" s="54"/>
    </row>
    <row r="104" spans="1:14" s="32" customFormat="1" x14ac:dyDescent="0.25">
      <c r="A104" s="138" t="s">
        <v>172</v>
      </c>
      <c r="B104" s="138"/>
      <c r="C104" s="138"/>
      <c r="D104" s="138"/>
      <c r="E104" s="138"/>
      <c r="F104" s="139">
        <v>100</v>
      </c>
      <c r="G104" s="139"/>
      <c r="H104" s="139"/>
      <c r="I104" s="30"/>
      <c r="J104" s="30"/>
    </row>
    <row r="105" spans="1:14" s="32" customFormat="1" x14ac:dyDescent="0.25">
      <c r="A105" s="185" t="s">
        <v>88</v>
      </c>
      <c r="B105" s="185"/>
      <c r="C105" s="185"/>
      <c r="D105" s="185"/>
      <c r="E105" s="185"/>
      <c r="F105" s="139">
        <v>15000</v>
      </c>
      <c r="G105" s="139"/>
      <c r="H105" s="139"/>
      <c r="I105" s="30"/>
      <c r="J105" s="30"/>
    </row>
    <row r="106" spans="1:14" s="32" customFormat="1" x14ac:dyDescent="0.25">
      <c r="A106" s="185" t="s">
        <v>177</v>
      </c>
      <c r="B106" s="185"/>
      <c r="C106" s="185"/>
      <c r="D106" s="185"/>
      <c r="E106" s="185"/>
      <c r="F106" s="139">
        <v>200000</v>
      </c>
      <c r="G106" s="139"/>
      <c r="H106" s="139"/>
      <c r="I106" s="78">
        <f>F104+F105+F106+F107</f>
        <v>665100</v>
      </c>
      <c r="J106" s="18"/>
    </row>
    <row r="107" spans="1:14" s="31" customFormat="1" x14ac:dyDescent="0.25">
      <c r="A107" s="185" t="s">
        <v>171</v>
      </c>
      <c r="B107" s="185"/>
      <c r="C107" s="185"/>
      <c r="D107" s="185"/>
      <c r="E107" s="185"/>
      <c r="F107" s="139">
        <v>450000</v>
      </c>
      <c r="G107" s="139"/>
      <c r="H107" s="139"/>
    </row>
    <row r="108" spans="1:14" x14ac:dyDescent="0.25">
      <c r="A108" s="134" t="s">
        <v>48</v>
      </c>
      <c r="B108" s="134"/>
      <c r="C108" s="134"/>
      <c r="D108" s="134"/>
      <c r="E108" s="134"/>
      <c r="F108" s="139">
        <v>800000</v>
      </c>
      <c r="G108" s="139"/>
      <c r="H108" s="139"/>
      <c r="I108" s="32"/>
      <c r="J108" s="32"/>
    </row>
    <row r="109" spans="1:14" x14ac:dyDescent="0.25">
      <c r="A109" s="227" t="s">
        <v>49</v>
      </c>
      <c r="B109" s="228"/>
      <c r="C109" s="228"/>
      <c r="D109" s="228"/>
      <c r="E109" s="205"/>
      <c r="F109" s="229">
        <f>F102*0.8</f>
        <v>11200</v>
      </c>
      <c r="G109" s="230"/>
      <c r="H109" s="231"/>
      <c r="I109" s="32"/>
      <c r="J109" s="32"/>
    </row>
    <row r="110" spans="1:14" s="34" customFormat="1" x14ac:dyDescent="0.25">
      <c r="A110" s="98" t="s">
        <v>228</v>
      </c>
      <c r="B110" s="99"/>
      <c r="C110" s="99"/>
      <c r="D110" s="99"/>
      <c r="E110" s="99"/>
      <c r="F110" s="99"/>
      <c r="G110" s="99"/>
      <c r="H110" s="100"/>
      <c r="I110" s="32"/>
      <c r="J110" s="32"/>
    </row>
    <row r="111" spans="1:14" s="34" customFormat="1" x14ac:dyDescent="0.25">
      <c r="A111" s="101" t="s">
        <v>50</v>
      </c>
      <c r="B111" s="101"/>
      <c r="C111" s="102" t="s">
        <v>72</v>
      </c>
      <c r="D111" s="102"/>
      <c r="E111" s="103" t="s">
        <v>51</v>
      </c>
      <c r="F111" s="103"/>
      <c r="G111" s="101" t="s">
        <v>52</v>
      </c>
      <c r="H111" s="101"/>
      <c r="I111" s="32"/>
      <c r="J111" s="32"/>
    </row>
    <row r="112" spans="1:14" s="34" customFormat="1" ht="15.75" customHeight="1" x14ac:dyDescent="0.25">
      <c r="A112" s="234" t="s">
        <v>218</v>
      </c>
      <c r="B112" s="234"/>
      <c r="C112" s="104">
        <f>COUNT(D128:D139)+COUNT(D141:D150)</f>
        <v>22</v>
      </c>
      <c r="D112" s="104"/>
      <c r="E112" s="104">
        <f>SUM(D128:D139)+SUM(D141:D150)</f>
        <v>8968.6078560000005</v>
      </c>
      <c r="F112" s="104"/>
      <c r="G112" s="104">
        <f>SUM(F128:F139)+SUM(F141:F150)</f>
        <v>14349.772569600002</v>
      </c>
      <c r="H112" s="104"/>
      <c r="I112" s="32"/>
      <c r="J112" s="32"/>
      <c r="L112" s="164"/>
      <c r="M112" s="164"/>
      <c r="N112" s="33"/>
    </row>
    <row r="113" spans="1:14" s="34" customFormat="1" ht="15.75" customHeight="1" x14ac:dyDescent="0.25">
      <c r="A113" s="105" t="s">
        <v>138</v>
      </c>
      <c r="B113" s="105"/>
      <c r="C113" s="106">
        <f t="shared" ref="C113:G113" si="0">SUM(C112)</f>
        <v>22</v>
      </c>
      <c r="D113" s="106"/>
      <c r="E113" s="106">
        <f t="shared" si="0"/>
        <v>8968.6078560000005</v>
      </c>
      <c r="F113" s="106"/>
      <c r="G113" s="106">
        <f t="shared" si="0"/>
        <v>14349.772569600002</v>
      </c>
      <c r="H113" s="106"/>
      <c r="I113" s="32"/>
      <c r="J113" s="32"/>
      <c r="L113" s="164"/>
      <c r="M113" s="164"/>
      <c r="N113" s="33"/>
    </row>
    <row r="114" spans="1:14" s="34" customFormat="1" ht="15.75" customHeight="1" x14ac:dyDescent="0.25">
      <c r="A114" s="98" t="s">
        <v>229</v>
      </c>
      <c r="B114" s="99"/>
      <c r="C114" s="99"/>
      <c r="D114" s="99"/>
      <c r="E114" s="99"/>
      <c r="F114" s="99"/>
      <c r="G114" s="99"/>
      <c r="H114" s="100"/>
      <c r="I114" s="32"/>
      <c r="J114" s="32"/>
      <c r="L114" s="164"/>
      <c r="M114" s="164"/>
      <c r="N114" s="33"/>
    </row>
    <row r="115" spans="1:14" s="34" customFormat="1" ht="15.75" customHeight="1" x14ac:dyDescent="0.25">
      <c r="A115" s="101" t="s">
        <v>50</v>
      </c>
      <c r="B115" s="101"/>
      <c r="C115" s="102" t="s">
        <v>72</v>
      </c>
      <c r="D115" s="102"/>
      <c r="E115" s="103" t="s">
        <v>51</v>
      </c>
      <c r="F115" s="103"/>
      <c r="G115" s="101" t="s">
        <v>52</v>
      </c>
      <c r="H115" s="101"/>
      <c r="I115" s="31"/>
      <c r="J115" s="31"/>
      <c r="L115" s="164"/>
      <c r="M115" s="164"/>
      <c r="N115" s="33"/>
    </row>
    <row r="116" spans="1:14" s="34" customFormat="1" x14ac:dyDescent="0.25">
      <c r="A116" s="234" t="s">
        <v>168</v>
      </c>
      <c r="B116" s="234"/>
      <c r="C116" s="104">
        <f>COUNT(D158:D163)*27+COUNT(D165:D167,D169:D171)*5</f>
        <v>192</v>
      </c>
      <c r="D116" s="104"/>
      <c r="E116" s="104">
        <f>SUM(D158:D163)*27+SUM(D165:D167,D169:D171)*5</f>
        <v>102798.12890879999</v>
      </c>
      <c r="F116" s="104"/>
      <c r="G116" s="104">
        <f>SUM(F158:F163)*27+SUM(F165:F167,F169:F171)*5</f>
        <v>164477.00625408001</v>
      </c>
      <c r="H116" s="104"/>
      <c r="I116" s="18"/>
      <c r="J116" s="18"/>
    </row>
    <row r="117" spans="1:14" s="34" customFormat="1" x14ac:dyDescent="0.25">
      <c r="A117" s="234" t="s">
        <v>170</v>
      </c>
      <c r="B117" s="234"/>
      <c r="C117" s="104">
        <f>COUNT(D177:D182)*27+COUNT(D184:D186,D188:D190)*5</f>
        <v>192</v>
      </c>
      <c r="D117" s="104"/>
      <c r="E117" s="104">
        <f>SUM(D177:D182)*27+SUM(D184:D186,D188:D190)*5</f>
        <v>76444.722431999995</v>
      </c>
      <c r="F117" s="104"/>
      <c r="G117" s="104">
        <f>SUM(F177:F182)*27+SUM(F184:F186,F188:F190)*5</f>
        <v>122311.55589120003</v>
      </c>
      <c r="H117" s="104"/>
      <c r="I117" s="18"/>
      <c r="J117" s="18"/>
    </row>
    <row r="118" spans="1:14" s="34" customFormat="1" ht="15.75" customHeight="1" x14ac:dyDescent="0.25">
      <c r="A118" s="234" t="s">
        <v>224</v>
      </c>
      <c r="B118" s="234"/>
      <c r="C118" s="104">
        <f>COUNT(D196:D201)*27+COUNT(D203:D205,D207:D209)*5</f>
        <v>192</v>
      </c>
      <c r="D118" s="104"/>
      <c r="E118" s="104">
        <f>SUM(D196:D201)*27+SUM(D203:D205,D207:D209)*5</f>
        <v>102798.12890879999</v>
      </c>
      <c r="F118" s="104"/>
      <c r="G118" s="104">
        <f>SUM(F196:F201)*27+SUM(F203:F205,F207:F209)*5</f>
        <v>164477.00625408001</v>
      </c>
      <c r="H118" s="104"/>
      <c r="L118" s="164"/>
      <c r="M118" s="164"/>
      <c r="N118" s="33"/>
    </row>
    <row r="119" spans="1:14" s="34" customFormat="1" ht="16.5" thickBot="1" x14ac:dyDescent="0.3">
      <c r="A119" s="105" t="s">
        <v>138</v>
      </c>
      <c r="B119" s="105"/>
      <c r="C119" s="106">
        <f>SUM(C116:D118)</f>
        <v>576</v>
      </c>
      <c r="D119" s="106"/>
      <c r="E119" s="106">
        <f>SUM(E116:F118)</f>
        <v>282040.98024960002</v>
      </c>
      <c r="F119" s="106"/>
      <c r="G119" s="106">
        <f>SUM(G116:H118)</f>
        <v>451265.56839936005</v>
      </c>
      <c r="H119" s="106"/>
      <c r="J119" s="33"/>
      <c r="L119" s="164"/>
      <c r="M119" s="164"/>
      <c r="N119" s="33"/>
    </row>
    <row r="120" spans="1:14" s="34" customFormat="1" ht="16.5" thickBot="1" x14ac:dyDescent="0.3">
      <c r="A120" s="249" t="s">
        <v>176</v>
      </c>
      <c r="B120" s="250"/>
      <c r="C120" s="235">
        <f>C113+C119</f>
        <v>598</v>
      </c>
      <c r="D120" s="236"/>
      <c r="E120" s="235">
        <f>E113+E119</f>
        <v>291009.58810560004</v>
      </c>
      <c r="F120" s="236"/>
      <c r="G120" s="235">
        <f>G113+G119</f>
        <v>465615.34096896008</v>
      </c>
      <c r="H120" s="236"/>
      <c r="J120" s="33"/>
      <c r="L120" s="164"/>
      <c r="M120" s="164"/>
      <c r="N120" s="33"/>
    </row>
    <row r="121" spans="1:14" s="34" customFormat="1" ht="15.75" customHeight="1" x14ac:dyDescent="0.25">
      <c r="A121" s="240" t="s">
        <v>222</v>
      </c>
      <c r="B121" s="240"/>
      <c r="C121" s="240"/>
      <c r="D121" s="240"/>
      <c r="E121" s="240"/>
      <c r="F121" s="240"/>
      <c r="G121" s="240"/>
      <c r="H121" s="240"/>
      <c r="I121" s="33"/>
      <c r="L121" s="164"/>
      <c r="M121" s="164"/>
      <c r="N121" s="33"/>
    </row>
    <row r="122" spans="1:14" s="34" customFormat="1" ht="15.75" customHeight="1" x14ac:dyDescent="0.25">
      <c r="A122" s="215" t="s">
        <v>221</v>
      </c>
      <c r="B122" s="215"/>
      <c r="C122" s="215"/>
      <c r="D122" s="215"/>
      <c r="E122" s="215"/>
      <c r="F122" s="215"/>
      <c r="G122" s="215"/>
      <c r="H122" s="215"/>
      <c r="I122" s="68">
        <v>10.763999999999999</v>
      </c>
      <c r="L122" s="164"/>
      <c r="M122" s="164"/>
      <c r="N122" s="33"/>
    </row>
    <row r="123" spans="1:14" s="34" customFormat="1" ht="53.25" customHeight="1" x14ac:dyDescent="0.25">
      <c r="A123" s="182" t="s">
        <v>234</v>
      </c>
      <c r="B123" s="182" t="s">
        <v>107</v>
      </c>
      <c r="C123" s="182" t="s">
        <v>53</v>
      </c>
      <c r="D123" s="182" t="s">
        <v>54</v>
      </c>
      <c r="E123" s="258" t="s">
        <v>144</v>
      </c>
      <c r="F123" s="80" t="s">
        <v>137</v>
      </c>
      <c r="G123" s="260" t="s">
        <v>56</v>
      </c>
      <c r="H123" s="261"/>
      <c r="I123" s="33"/>
      <c r="L123" s="164"/>
      <c r="M123" s="164"/>
      <c r="N123" s="33"/>
    </row>
    <row r="124" spans="1:14" s="34" customFormat="1" x14ac:dyDescent="0.25">
      <c r="A124" s="183"/>
      <c r="B124" s="183"/>
      <c r="C124" s="183"/>
      <c r="D124" s="183"/>
      <c r="E124" s="259"/>
      <c r="F124" s="81">
        <v>0.6</v>
      </c>
      <c r="G124" s="262"/>
      <c r="H124" s="263"/>
      <c r="I124" s="33"/>
      <c r="L124" s="164"/>
      <c r="M124" s="164"/>
      <c r="N124" s="33"/>
    </row>
    <row r="125" spans="1:14" s="34" customFormat="1" ht="15.75" customHeight="1" x14ac:dyDescent="0.25">
      <c r="A125" s="237" t="s">
        <v>218</v>
      </c>
      <c r="B125" s="238"/>
      <c r="C125" s="238"/>
      <c r="D125" s="238"/>
      <c r="E125" s="238"/>
      <c r="F125" s="238"/>
      <c r="G125" s="238"/>
      <c r="H125" s="239"/>
      <c r="I125" s="33"/>
      <c r="L125" s="164"/>
      <c r="M125" s="164"/>
      <c r="N125" s="33"/>
    </row>
    <row r="126" spans="1:14" s="34" customFormat="1" ht="15.75" customHeight="1" x14ac:dyDescent="0.25">
      <c r="A126" s="82" t="s">
        <v>219</v>
      </c>
      <c r="B126" s="83"/>
      <c r="C126" s="83"/>
      <c r="D126" s="83"/>
      <c r="E126" s="83"/>
      <c r="F126" s="83"/>
      <c r="G126" s="83"/>
      <c r="H126" s="84"/>
      <c r="I126" s="33"/>
      <c r="L126" s="164"/>
      <c r="M126" s="164"/>
      <c r="N126" s="33"/>
    </row>
    <row r="127" spans="1:14" s="34" customFormat="1" x14ac:dyDescent="0.25">
      <c r="A127" s="82" t="s">
        <v>220</v>
      </c>
      <c r="B127" s="83"/>
      <c r="C127" s="83"/>
      <c r="D127" s="83"/>
      <c r="E127" s="83"/>
      <c r="F127" s="83"/>
      <c r="G127" s="83"/>
      <c r="H127" s="84"/>
      <c r="I127" s="33"/>
    </row>
    <row r="128" spans="1:14" s="34" customFormat="1" x14ac:dyDescent="0.25">
      <c r="A128" s="107">
        <v>11</v>
      </c>
      <c r="B128" s="108"/>
      <c r="C128" s="75" t="s">
        <v>157</v>
      </c>
      <c r="D128" s="75">
        <f>(6.53*2.72+4.33*1.3+1.5*1.15)*10.764</f>
        <v>270.34431840000002</v>
      </c>
      <c r="E128" s="75">
        <v>0</v>
      </c>
      <c r="F128" s="75">
        <f>(D128+E128)*(($F$124)+1)</f>
        <v>432.55090944000005</v>
      </c>
      <c r="G128" s="85" t="str">
        <f>A127</f>
        <v xml:space="preserve">1st Basement Floor For Commercial &amp; Tanks Area </v>
      </c>
      <c r="H128" s="86"/>
      <c r="I128" s="33"/>
    </row>
    <row r="129" spans="1:14" s="34" customFormat="1" ht="15.75" customHeight="1" x14ac:dyDescent="0.25">
      <c r="A129" s="107">
        <f t="shared" ref="A129:A139" si="1">A128+1</f>
        <v>12</v>
      </c>
      <c r="B129" s="108"/>
      <c r="C129" s="75" t="s">
        <v>157</v>
      </c>
      <c r="D129" s="75">
        <f>(6.53*2.72+4.33*1.3+1.5*1.15)*10.764</f>
        <v>270.34431840000002</v>
      </c>
      <c r="E129" s="75">
        <v>0</v>
      </c>
      <c r="F129" s="75">
        <f t="shared" ref="F129:F138" si="2">(D129+E129)*(($F$124)+1)</f>
        <v>432.55090944000005</v>
      </c>
      <c r="G129" s="87"/>
      <c r="H129" s="88"/>
      <c r="J129" s="33"/>
      <c r="L129" s="164"/>
      <c r="M129" s="164"/>
      <c r="N129" s="33"/>
    </row>
    <row r="130" spans="1:14" s="34" customFormat="1" ht="15.75" customHeight="1" x14ac:dyDescent="0.25">
      <c r="A130" s="107">
        <f t="shared" si="1"/>
        <v>13</v>
      </c>
      <c r="B130" s="108"/>
      <c r="C130" s="75" t="s">
        <v>157</v>
      </c>
      <c r="D130" s="75">
        <f>(6.53*2.72+4.33*1.3+1.5*1.15)*10.764</f>
        <v>270.34431840000002</v>
      </c>
      <c r="E130" s="75">
        <v>0</v>
      </c>
      <c r="F130" s="75">
        <f t="shared" si="2"/>
        <v>432.55090944000005</v>
      </c>
      <c r="G130" s="87"/>
      <c r="H130" s="88"/>
      <c r="J130" s="33"/>
      <c r="L130" s="164"/>
      <c r="M130" s="164"/>
      <c r="N130" s="33"/>
    </row>
    <row r="131" spans="1:14" s="34" customFormat="1" x14ac:dyDescent="0.25">
      <c r="A131" s="107">
        <f t="shared" si="1"/>
        <v>14</v>
      </c>
      <c r="B131" s="108"/>
      <c r="C131" s="75" t="s">
        <v>157</v>
      </c>
      <c r="D131" s="75">
        <f>(6.53*2.72+4.33*1.3+1.5*1.15+1.91*0.96)*10.764</f>
        <v>290.08118880000001</v>
      </c>
      <c r="E131" s="75">
        <v>0</v>
      </c>
      <c r="F131" s="75">
        <f t="shared" si="2"/>
        <v>464.12990208000002</v>
      </c>
      <c r="G131" s="87"/>
      <c r="H131" s="88"/>
      <c r="I131" s="33"/>
    </row>
    <row r="132" spans="1:14" s="34" customFormat="1" x14ac:dyDescent="0.25">
      <c r="A132" s="107">
        <f t="shared" si="1"/>
        <v>15</v>
      </c>
      <c r="B132" s="108"/>
      <c r="C132" s="75" t="s">
        <v>157</v>
      </c>
      <c r="D132" s="75">
        <f>(7.8*9.47+1.3*1.61+1.5*1.15)*10.764</f>
        <v>836.19057599999996</v>
      </c>
      <c r="E132" s="75">
        <v>0</v>
      </c>
      <c r="F132" s="75">
        <f t="shared" si="2"/>
        <v>1337.9049216000001</v>
      </c>
      <c r="G132" s="87"/>
      <c r="H132" s="88"/>
      <c r="J132" s="33"/>
      <c r="L132" s="164"/>
      <c r="M132" s="164"/>
      <c r="N132" s="33"/>
    </row>
    <row r="133" spans="1:14" s="55" customFormat="1" x14ac:dyDescent="0.25">
      <c r="A133" s="107">
        <f t="shared" si="1"/>
        <v>16</v>
      </c>
      <c r="B133" s="108"/>
      <c r="C133" s="75" t="s">
        <v>157</v>
      </c>
      <c r="D133" s="75">
        <f>(7.8*9.47+5.6*1.3+1.5*1.15)*10.764</f>
        <v>892.02344399999993</v>
      </c>
      <c r="E133" s="75">
        <v>0</v>
      </c>
      <c r="F133" s="75">
        <f t="shared" si="2"/>
        <v>1427.2375104</v>
      </c>
      <c r="G133" s="87"/>
      <c r="H133" s="88"/>
      <c r="J133" s="33"/>
      <c r="N133" s="33"/>
    </row>
    <row r="134" spans="1:14" s="55" customFormat="1" x14ac:dyDescent="0.25">
      <c r="A134" s="107">
        <f t="shared" si="1"/>
        <v>17</v>
      </c>
      <c r="B134" s="108"/>
      <c r="C134" s="75" t="s">
        <v>157</v>
      </c>
      <c r="D134" s="75">
        <f>(7.8*8.21+5.6*1.3+1.5*1.15)*10.764</f>
        <v>786.23485200000005</v>
      </c>
      <c r="E134" s="75">
        <v>0</v>
      </c>
      <c r="F134" s="75">
        <f t="shared" si="2"/>
        <v>1257.9757632000001</v>
      </c>
      <c r="G134" s="87"/>
      <c r="H134" s="88"/>
      <c r="J134" s="33"/>
      <c r="N134" s="33"/>
    </row>
    <row r="135" spans="1:14" s="55" customFormat="1" x14ac:dyDescent="0.25">
      <c r="A135" s="107">
        <f t="shared" si="1"/>
        <v>18</v>
      </c>
      <c r="B135" s="108"/>
      <c r="C135" s="75" t="s">
        <v>157</v>
      </c>
      <c r="D135" s="75">
        <f>(5.22*8.21+3.02*1.3+1.5*1.15)*10.764</f>
        <v>522.13150080000003</v>
      </c>
      <c r="E135" s="75">
        <v>0</v>
      </c>
      <c r="F135" s="75">
        <f t="shared" si="2"/>
        <v>835.41040128000009</v>
      </c>
      <c r="G135" s="87"/>
      <c r="H135" s="88"/>
      <c r="J135" s="33"/>
      <c r="N135" s="33"/>
    </row>
    <row r="136" spans="1:14" s="34" customFormat="1" ht="15.75" customHeight="1" x14ac:dyDescent="0.25">
      <c r="A136" s="107">
        <f t="shared" si="1"/>
        <v>19</v>
      </c>
      <c r="B136" s="108"/>
      <c r="C136" s="75" t="s">
        <v>157</v>
      </c>
      <c r="D136" s="75">
        <f>(5.22*8.21+3.02*1.3+1.5*1.15)*10.764</f>
        <v>522.13150080000003</v>
      </c>
      <c r="E136" s="75">
        <v>0</v>
      </c>
      <c r="F136" s="75">
        <f t="shared" si="2"/>
        <v>835.41040128000009</v>
      </c>
      <c r="G136" s="87"/>
      <c r="H136" s="88"/>
      <c r="I136" s="77">
        <f>27404000/F136</f>
        <v>32803.039030890817</v>
      </c>
      <c r="J136" s="33"/>
      <c r="L136" s="164"/>
      <c r="M136" s="164"/>
      <c r="N136" s="33"/>
    </row>
    <row r="137" spans="1:14" s="48" customFormat="1" ht="15.75" customHeight="1" x14ac:dyDescent="0.25">
      <c r="A137" s="107">
        <f t="shared" si="1"/>
        <v>20</v>
      </c>
      <c r="B137" s="108"/>
      <c r="C137" s="75" t="s">
        <v>157</v>
      </c>
      <c r="D137" s="75">
        <f>(5.22*8.21+3.02*1.3+1.5*1.15)*10.764</f>
        <v>522.13150080000003</v>
      </c>
      <c r="E137" s="75">
        <v>0</v>
      </c>
      <c r="F137" s="75">
        <f t="shared" si="2"/>
        <v>835.41040128000009</v>
      </c>
      <c r="G137" s="87"/>
      <c r="H137" s="88"/>
      <c r="J137" s="33"/>
      <c r="L137" s="164"/>
      <c r="M137" s="164"/>
      <c r="N137" s="33"/>
    </row>
    <row r="138" spans="1:14" s="48" customFormat="1" ht="15.75" customHeight="1" x14ac:dyDescent="0.25">
      <c r="A138" s="107">
        <f t="shared" si="1"/>
        <v>21</v>
      </c>
      <c r="B138" s="108"/>
      <c r="C138" s="75" t="s">
        <v>157</v>
      </c>
      <c r="D138" s="75">
        <f>(5.22*8.21+3.02*1.3+1.5*1.15)*10.764</f>
        <v>522.13150080000003</v>
      </c>
      <c r="E138" s="75">
        <v>0</v>
      </c>
      <c r="F138" s="75">
        <f t="shared" si="2"/>
        <v>835.41040128000009</v>
      </c>
      <c r="G138" s="87"/>
      <c r="H138" s="88"/>
      <c r="J138" s="33"/>
      <c r="L138" s="164"/>
      <c r="M138" s="164"/>
      <c r="N138" s="33"/>
    </row>
    <row r="139" spans="1:14" s="48" customFormat="1" ht="15.75" customHeight="1" x14ac:dyDescent="0.25">
      <c r="A139" s="107">
        <f t="shared" si="1"/>
        <v>22</v>
      </c>
      <c r="B139" s="108"/>
      <c r="C139" s="75" t="s">
        <v>157</v>
      </c>
      <c r="D139" s="75">
        <f>(5.22*8.21+3.02*1.3+1.5*1.15)*10.764</f>
        <v>522.13150080000003</v>
      </c>
      <c r="E139" s="75">
        <v>0</v>
      </c>
      <c r="F139" s="75">
        <f>(D139+E139)*(($F$124)+1)</f>
        <v>835.41040128000009</v>
      </c>
      <c r="G139" s="89"/>
      <c r="H139" s="90"/>
      <c r="I139" s="48">
        <f>7+4+4+1</f>
        <v>16</v>
      </c>
      <c r="J139" s="33"/>
      <c r="L139" s="164"/>
      <c r="M139" s="164"/>
      <c r="N139" s="33"/>
    </row>
    <row r="140" spans="1:14" s="48" customFormat="1" x14ac:dyDescent="0.25">
      <c r="A140" s="91" t="s">
        <v>158</v>
      </c>
      <c r="B140" s="92"/>
      <c r="C140" s="92"/>
      <c r="D140" s="92"/>
      <c r="E140" s="92"/>
      <c r="F140" s="92"/>
      <c r="G140" s="92"/>
      <c r="H140" s="93"/>
      <c r="I140" s="33"/>
    </row>
    <row r="141" spans="1:14" s="48" customFormat="1" ht="15.75" customHeight="1" x14ac:dyDescent="0.25">
      <c r="A141" s="109">
        <v>1</v>
      </c>
      <c r="B141" s="110"/>
      <c r="C141" s="56" t="s">
        <v>157</v>
      </c>
      <c r="D141" s="56">
        <f>(6.62*2.72+4.42*1.3+1.5*1.15)*10.764</f>
        <v>274.23873359999999</v>
      </c>
      <c r="E141" s="56">
        <v>0</v>
      </c>
      <c r="F141" s="56">
        <f>(D141+E141)*(($F$124)+1)</f>
        <v>438.78197376000003</v>
      </c>
      <c r="G141" s="94" t="str">
        <f>A140</f>
        <v>Ground Floor For Commercial</v>
      </c>
      <c r="H141" s="95"/>
      <c r="I141" s="33"/>
      <c r="L141" s="164"/>
      <c r="M141" s="164"/>
      <c r="N141" s="33"/>
    </row>
    <row r="142" spans="1:14" s="48" customFormat="1" ht="15.75" customHeight="1" x14ac:dyDescent="0.25">
      <c r="A142" s="109">
        <f t="shared" ref="A142:A150" si="3">A141+1</f>
        <v>2</v>
      </c>
      <c r="B142" s="110"/>
      <c r="C142" s="56" t="s">
        <v>157</v>
      </c>
      <c r="D142" s="56">
        <f t="shared" ref="D142:D150" si="4">(6.62*2.72+4.42*1.3+1.5*1.15)*10.764</f>
        <v>274.23873359999999</v>
      </c>
      <c r="E142" s="56">
        <v>0</v>
      </c>
      <c r="F142" s="56">
        <f t="shared" ref="F142:F147" si="5">(D142+E142)*(($F$124)+1)</f>
        <v>438.78197376000003</v>
      </c>
      <c r="G142" s="96"/>
      <c r="H142" s="97"/>
      <c r="I142" s="76">
        <f>14508000/F142</f>
        <v>33064.257119950467</v>
      </c>
      <c r="L142" s="164"/>
      <c r="M142" s="164"/>
      <c r="N142" s="33"/>
    </row>
    <row r="143" spans="1:14" s="48" customFormat="1" ht="15.75" customHeight="1" x14ac:dyDescent="0.25">
      <c r="A143" s="109">
        <f t="shared" si="3"/>
        <v>3</v>
      </c>
      <c r="B143" s="110"/>
      <c r="C143" s="56" t="s">
        <v>157</v>
      </c>
      <c r="D143" s="56">
        <f t="shared" si="4"/>
        <v>274.23873359999999</v>
      </c>
      <c r="E143" s="56">
        <v>0</v>
      </c>
      <c r="F143" s="56">
        <f t="shared" si="5"/>
        <v>438.78197376000003</v>
      </c>
      <c r="G143" s="96"/>
      <c r="H143" s="97"/>
      <c r="I143" s="33"/>
      <c r="L143" s="164"/>
      <c r="M143" s="164"/>
      <c r="N143" s="33"/>
    </row>
    <row r="144" spans="1:14" s="48" customFormat="1" ht="15.75" customHeight="1" x14ac:dyDescent="0.25">
      <c r="A144" s="109">
        <f t="shared" si="3"/>
        <v>4</v>
      </c>
      <c r="B144" s="110"/>
      <c r="C144" s="56" t="s">
        <v>157</v>
      </c>
      <c r="D144" s="56">
        <f t="shared" si="4"/>
        <v>274.23873359999999</v>
      </c>
      <c r="E144" s="56">
        <v>0</v>
      </c>
      <c r="F144" s="56">
        <f t="shared" si="5"/>
        <v>438.78197376000003</v>
      </c>
      <c r="G144" s="96"/>
      <c r="H144" s="97"/>
      <c r="I144" s="33"/>
      <c r="L144" s="164"/>
      <c r="M144" s="164"/>
      <c r="N144" s="33"/>
    </row>
    <row r="145" spans="1:14" s="48" customFormat="1" ht="15.75" customHeight="1" x14ac:dyDescent="0.25">
      <c r="A145" s="109">
        <f t="shared" si="3"/>
        <v>5</v>
      </c>
      <c r="B145" s="110"/>
      <c r="C145" s="56" t="s">
        <v>157</v>
      </c>
      <c r="D145" s="56">
        <f t="shared" si="4"/>
        <v>274.23873359999999</v>
      </c>
      <c r="E145" s="56">
        <v>0</v>
      </c>
      <c r="F145" s="56">
        <f t="shared" si="5"/>
        <v>438.78197376000003</v>
      </c>
      <c r="G145" s="96"/>
      <c r="H145" s="97"/>
      <c r="I145" s="33"/>
      <c r="L145" s="164"/>
      <c r="M145" s="164"/>
      <c r="N145" s="33"/>
    </row>
    <row r="146" spans="1:14" s="48" customFormat="1" ht="15.75" customHeight="1" x14ac:dyDescent="0.25">
      <c r="A146" s="109">
        <f t="shared" si="3"/>
        <v>6</v>
      </c>
      <c r="B146" s="110"/>
      <c r="C146" s="56" t="s">
        <v>157</v>
      </c>
      <c r="D146" s="56">
        <f t="shared" si="4"/>
        <v>274.23873359999999</v>
      </c>
      <c r="E146" s="56">
        <v>0</v>
      </c>
      <c r="F146" s="56">
        <f t="shared" si="5"/>
        <v>438.78197376000003</v>
      </c>
      <c r="G146" s="96"/>
      <c r="H146" s="97"/>
      <c r="I146" s="48">
        <v>3</v>
      </c>
      <c r="J146" s="33"/>
      <c r="L146" s="164"/>
      <c r="M146" s="164"/>
      <c r="N146" s="33"/>
    </row>
    <row r="147" spans="1:14" s="48" customFormat="1" ht="15.75" customHeight="1" x14ac:dyDescent="0.25">
      <c r="A147" s="109">
        <f t="shared" si="3"/>
        <v>7</v>
      </c>
      <c r="B147" s="110"/>
      <c r="C147" s="56" t="s">
        <v>157</v>
      </c>
      <c r="D147" s="56">
        <f t="shared" si="4"/>
        <v>274.23873359999999</v>
      </c>
      <c r="E147" s="56">
        <v>0</v>
      </c>
      <c r="F147" s="56">
        <f t="shared" si="5"/>
        <v>438.78197376000003</v>
      </c>
      <c r="G147" s="96"/>
      <c r="H147" s="97"/>
      <c r="I147" s="33"/>
      <c r="L147" s="164"/>
      <c r="M147" s="164"/>
      <c r="N147" s="33"/>
    </row>
    <row r="148" spans="1:14" s="48" customFormat="1" x14ac:dyDescent="0.25">
      <c r="A148" s="109">
        <f t="shared" si="3"/>
        <v>8</v>
      </c>
      <c r="B148" s="110"/>
      <c r="C148" s="56" t="s">
        <v>157</v>
      </c>
      <c r="D148" s="56">
        <f t="shared" si="4"/>
        <v>274.23873359999999</v>
      </c>
      <c r="E148" s="56">
        <v>0</v>
      </c>
      <c r="F148" s="56">
        <f>(D148+E148)*(($F$124)+1)</f>
        <v>438.78197376000003</v>
      </c>
      <c r="G148" s="96"/>
      <c r="H148" s="97"/>
      <c r="I148" s="33"/>
      <c r="L148" s="164"/>
      <c r="M148" s="164"/>
      <c r="N148" s="33"/>
    </row>
    <row r="149" spans="1:14" s="48" customFormat="1" ht="15.75" customHeight="1" x14ac:dyDescent="0.25">
      <c r="A149" s="109">
        <f t="shared" si="3"/>
        <v>9</v>
      </c>
      <c r="B149" s="110"/>
      <c r="C149" s="56" t="s">
        <v>157</v>
      </c>
      <c r="D149" s="56">
        <f t="shared" si="4"/>
        <v>274.23873359999999</v>
      </c>
      <c r="E149" s="56">
        <v>0</v>
      </c>
      <c r="F149" s="56">
        <f>(D149+E149)*(($F$124)+1)</f>
        <v>438.78197376000003</v>
      </c>
      <c r="G149" s="96"/>
      <c r="H149" s="97"/>
      <c r="I149" s="33"/>
      <c r="L149" s="164"/>
      <c r="M149" s="164"/>
      <c r="N149" s="33"/>
    </row>
    <row r="150" spans="1:14" s="48" customFormat="1" ht="15.75" customHeight="1" x14ac:dyDescent="0.25">
      <c r="A150" s="109">
        <f t="shared" si="3"/>
        <v>10</v>
      </c>
      <c r="B150" s="110"/>
      <c r="C150" s="56" t="s">
        <v>157</v>
      </c>
      <c r="D150" s="56">
        <f t="shared" si="4"/>
        <v>274.23873359999999</v>
      </c>
      <c r="E150" s="56">
        <v>0</v>
      </c>
      <c r="F150" s="56">
        <f>(D150+E150)*(($F$124)+1)</f>
        <v>438.78197376000003</v>
      </c>
      <c r="G150" s="96"/>
      <c r="H150" s="97"/>
      <c r="I150" s="33"/>
      <c r="L150" s="164"/>
      <c r="M150" s="164"/>
      <c r="N150" s="33"/>
    </row>
    <row r="151" spans="1:14" s="48" customFormat="1" ht="15.75" customHeight="1" x14ac:dyDescent="0.25">
      <c r="A151" s="109"/>
      <c r="B151" s="184"/>
      <c r="C151" s="184"/>
      <c r="D151" s="184"/>
      <c r="E151" s="184"/>
      <c r="F151" s="184"/>
      <c r="G151" s="184"/>
      <c r="H151" s="110"/>
      <c r="I151" s="33"/>
      <c r="L151" s="164"/>
      <c r="M151" s="164"/>
      <c r="N151" s="33"/>
    </row>
    <row r="152" spans="1:14" s="48" customFormat="1" ht="50.25" customHeight="1" x14ac:dyDescent="0.25">
      <c r="A152" s="232" t="s">
        <v>108</v>
      </c>
      <c r="B152" s="232" t="s">
        <v>109</v>
      </c>
      <c r="C152" s="242" t="s">
        <v>53</v>
      </c>
      <c r="D152" s="242" t="s">
        <v>54</v>
      </c>
      <c r="E152" s="244" t="s">
        <v>55</v>
      </c>
      <c r="F152" s="39" t="s">
        <v>137</v>
      </c>
      <c r="G152" s="232" t="s">
        <v>56</v>
      </c>
      <c r="H152" s="246"/>
      <c r="I152" s="33">
        <v>10.763999999999999</v>
      </c>
      <c r="L152" s="164"/>
      <c r="M152" s="164"/>
      <c r="N152" s="33"/>
    </row>
    <row r="153" spans="1:14" s="48" customFormat="1" ht="15.75" customHeight="1" x14ac:dyDescent="0.25">
      <c r="A153" s="233"/>
      <c r="B153" s="233"/>
      <c r="C153" s="243"/>
      <c r="D153" s="243"/>
      <c r="E153" s="245"/>
      <c r="F153" s="13">
        <v>0.6</v>
      </c>
      <c r="G153" s="233"/>
      <c r="H153" s="247"/>
      <c r="I153" s="33">
        <f>2.89*4+2.83*1.78+2.13*2.45+2.85*3.03+2.13*1.22+2.1*1.22+1.53*0.9</f>
        <v>36.988999999999997</v>
      </c>
      <c r="L153" s="164"/>
      <c r="M153" s="164"/>
      <c r="N153" s="33"/>
    </row>
    <row r="154" spans="1:14" s="48" customFormat="1" ht="15.75" customHeight="1" x14ac:dyDescent="0.25">
      <c r="A154" s="173" t="s">
        <v>168</v>
      </c>
      <c r="B154" s="174"/>
      <c r="C154" s="174"/>
      <c r="D154" s="174"/>
      <c r="E154" s="174"/>
      <c r="F154" s="174"/>
      <c r="G154" s="174"/>
      <c r="H154" s="175"/>
      <c r="I154" s="33">
        <f>(3.05*4.41+1.05*1+3.05*1.83+3.95*2.83+2.74*3.5+2.13*2.58+2.13*1.3+1.22*1.98+1.67*1.22+3.33*0.9+2.73*1.25)*10.764</f>
        <v>645.59673359999988</v>
      </c>
      <c r="L154" s="164"/>
      <c r="M154" s="164"/>
      <c r="N154" s="33"/>
    </row>
    <row r="155" spans="1:14" s="48" customFormat="1" ht="15.75" customHeight="1" x14ac:dyDescent="0.25">
      <c r="A155" s="176" t="s">
        <v>223</v>
      </c>
      <c r="B155" s="177"/>
      <c r="C155" s="177"/>
      <c r="D155" s="177"/>
      <c r="E155" s="177"/>
      <c r="F155" s="177"/>
      <c r="G155" s="177"/>
      <c r="H155" s="178"/>
      <c r="I155" s="33"/>
      <c r="J155" s="56">
        <f>(3.05*4.42+2.9*1.83+2.9*3.28+3.05*3.51+1.22*(2.13+2.13)+3.05*0.9+1.45*1.1+1.4*2+1.5*1.5+3.05*1.22)*10.764</f>
        <v>616.92466679999984</v>
      </c>
      <c r="K155" s="77">
        <v>14000</v>
      </c>
      <c r="L155" s="79"/>
      <c r="M155" s="79"/>
      <c r="N155" s="33"/>
    </row>
    <row r="156" spans="1:14" s="48" customFormat="1" ht="15.75" customHeight="1" x14ac:dyDescent="0.25">
      <c r="A156" s="176" t="s">
        <v>241</v>
      </c>
      <c r="B156" s="177"/>
      <c r="C156" s="177"/>
      <c r="D156" s="177"/>
      <c r="E156" s="177"/>
      <c r="F156" s="177"/>
      <c r="G156" s="177"/>
      <c r="H156" s="178"/>
      <c r="I156" s="33">
        <f>2.89*4+2.83*1.78+2.13*2.45+2.85*3.03+2.13*1.22+2.1*1.22+1.53*0.9</f>
        <v>36.988999999999997</v>
      </c>
      <c r="J156" s="56">
        <f>(3.05*4.42+2.9*1.83+2.9*3.28+3.05*3.51+1.22*(2.13+2.13)+3.05*0.9+1.45*1.1+1.4*2+1.5*1.5+3.05*1.22)*10.764</f>
        <v>616.92466679999984</v>
      </c>
      <c r="K156" s="48">
        <f>F158*$K$155</f>
        <v>8918550.9504000004</v>
      </c>
      <c r="L156" s="79">
        <v>665000</v>
      </c>
      <c r="M156" s="79">
        <f>K156+L156</f>
        <v>9583550.9504000004</v>
      </c>
      <c r="N156" s="33"/>
    </row>
    <row r="157" spans="1:14" s="48" customFormat="1" ht="15.75" customHeight="1" x14ac:dyDescent="0.25">
      <c r="A157" s="91" t="s">
        <v>225</v>
      </c>
      <c r="B157" s="92"/>
      <c r="C157" s="92"/>
      <c r="D157" s="92"/>
      <c r="E157" s="92"/>
      <c r="F157" s="92"/>
      <c r="G157" s="92"/>
      <c r="H157" s="93"/>
      <c r="I157" s="33">
        <f>(3.05*4.41+1.05*1+3.05*1.83+3.95*2.83+2.74*3.5+2.13*2.58+2.13*1.3+1.22*1.98+1.67*1.22+3.33*0.9+2.73*1.25)*10.764</f>
        <v>645.59673359999988</v>
      </c>
      <c r="J157" s="56">
        <f>(3.05*4.42+2.74*1.83+2.13*2.29+2.9*(3.5+3.35)+1.22*(2.13+2.13)+(2+1.45)*0.9+0.6*0.4+1.45*1+0.9*1.5+1.4*1.55+3.05*1.22)*10.764</f>
        <v>650.91092040000001</v>
      </c>
      <c r="K157" s="59">
        <f t="shared" ref="K157:K161" si="6">F159*$K$155</f>
        <v>14548167.728639999</v>
      </c>
      <c r="L157" s="79"/>
      <c r="M157" s="79"/>
      <c r="N157" s="33"/>
    </row>
    <row r="158" spans="1:14" s="48" customFormat="1" x14ac:dyDescent="0.25">
      <c r="A158" s="171">
        <v>1</v>
      </c>
      <c r="B158" s="171"/>
      <c r="C158" s="46" t="s">
        <v>186</v>
      </c>
      <c r="D158" s="68">
        <f>(2.89*4+2.83*1.78+2.13*2.45+2.85*3.03+2.13*1.22+2.1*1.22+1.53*0.9)*10.764</f>
        <v>398.14959599999997</v>
      </c>
      <c r="E158" s="56">
        <v>0</v>
      </c>
      <c r="F158" s="56">
        <f t="shared" ref="F158:F163" si="7">D158*(($F$153)+1)+(IF(E158&lt;101,E158,IF(E158&lt;201,E158/2,IF(E158&lt;=301,E158/3,E158/4))))</f>
        <v>637.03935360000003</v>
      </c>
      <c r="G158" s="171" t="str">
        <f>A157</f>
        <v>1st to 7th, 9th to 12th, 14th to 17th, 19th to 22nd, 24th to 27th, 29th to 32nd Floor For Residential</v>
      </c>
      <c r="H158" s="171"/>
      <c r="I158" s="33"/>
      <c r="J158" s="56">
        <f>(2.74*4.04+3*1.83+2.13*2.13+3.05*2.85+1.22*(1.83+2.13)+2*0.9+2.14*0.9)*10.764</f>
        <v>412.75849679999999</v>
      </c>
      <c r="K158" s="59">
        <f t="shared" si="6"/>
        <v>12670543.79136</v>
      </c>
      <c r="L158" s="59"/>
      <c r="M158" s="59"/>
    </row>
    <row r="159" spans="1:14" s="48" customFormat="1" x14ac:dyDescent="0.25">
      <c r="A159" s="171">
        <f t="shared" ref="A159:A163" si="8">A158+1</f>
        <v>2</v>
      </c>
      <c r="B159" s="171"/>
      <c r="C159" s="46" t="s">
        <v>187</v>
      </c>
      <c r="D159" s="68">
        <f>(3.05*4.41+1.05*1+3.05*1.83+3.95*2.83+2.74*3.5+2.13*2.58+2.13*1.3+1.22*1.98+1.67*1.22+3.33*0.9+0.9*0.4+(2.73*1.25))*10.764</f>
        <v>649.47177359999989</v>
      </c>
      <c r="E159" s="56">
        <v>0</v>
      </c>
      <c r="F159" s="56">
        <f t="shared" si="7"/>
        <v>1039.15483776</v>
      </c>
      <c r="G159" s="171"/>
      <c r="H159" s="171"/>
      <c r="I159" s="33"/>
      <c r="K159" s="59">
        <f t="shared" si="6"/>
        <v>12670543.79136</v>
      </c>
      <c r="L159" s="59"/>
      <c r="M159" s="59"/>
    </row>
    <row r="160" spans="1:14" s="48" customFormat="1" x14ac:dyDescent="0.25">
      <c r="A160" s="171">
        <f t="shared" si="8"/>
        <v>3</v>
      </c>
      <c r="B160" s="171"/>
      <c r="C160" s="46" t="s">
        <v>169</v>
      </c>
      <c r="D160" s="56">
        <f>(3.05*4.41+1.35*1+3.05*1.83+2.9*3.43+3.05*3.5+2.13*1.23*2+1.38*0.91+1.8*0.91+(2.73*1.25))*10.764</f>
        <v>565.64927639999996</v>
      </c>
      <c r="E160" s="56">
        <v>0</v>
      </c>
      <c r="F160" s="56">
        <f t="shared" si="7"/>
        <v>905.03884224000001</v>
      </c>
      <c r="G160" s="171"/>
      <c r="H160" s="171"/>
      <c r="I160" s="33"/>
      <c r="K160" s="59">
        <f t="shared" si="6"/>
        <v>14232333.023999998</v>
      </c>
      <c r="L160" s="59"/>
      <c r="M160" s="59"/>
    </row>
    <row r="161" spans="1:14" s="48" customFormat="1" ht="15.75" customHeight="1" x14ac:dyDescent="0.25">
      <c r="A161" s="171">
        <f t="shared" si="8"/>
        <v>4</v>
      </c>
      <c r="B161" s="171"/>
      <c r="C161" s="46" t="s">
        <v>169</v>
      </c>
      <c r="D161" s="56">
        <f>(3.05*4.41+1.35*1+3.05*1.83+2.9*3.43+3.05*3.5+2.13*1.23*2+1.38*0.91+1.8*0.91+(2.73*1.25))*10.764</f>
        <v>565.64927639999996</v>
      </c>
      <c r="E161" s="56">
        <v>0</v>
      </c>
      <c r="F161" s="56">
        <f t="shared" si="7"/>
        <v>905.03884224000001</v>
      </c>
      <c r="G161" s="171"/>
      <c r="H161" s="171"/>
      <c r="I161" s="33"/>
      <c r="K161" s="59">
        <f t="shared" si="6"/>
        <v>8918550.9504000004</v>
      </c>
      <c r="L161" s="59"/>
      <c r="M161" s="59"/>
    </row>
    <row r="162" spans="1:14" s="48" customFormat="1" x14ac:dyDescent="0.25">
      <c r="A162" s="171">
        <f t="shared" si="8"/>
        <v>5</v>
      </c>
      <c r="B162" s="171"/>
      <c r="C162" s="46" t="s">
        <v>169</v>
      </c>
      <c r="D162" s="56">
        <f>(3.2*4.34+1.35*1.07+3.05*1.9+3.2*4.25+3.05*3.35+2.45*1.35+2.35*1.35+2.55*0.93+0.7*2.33+(2.88*1.25))*10.764</f>
        <v>635.37200999999993</v>
      </c>
      <c r="E162" s="56">
        <v>0</v>
      </c>
      <c r="F162" s="56">
        <f t="shared" si="7"/>
        <v>1016.5952159999999</v>
      </c>
      <c r="G162" s="171"/>
      <c r="H162" s="171"/>
      <c r="I162" s="33"/>
    </row>
    <row r="163" spans="1:14" s="48" customFormat="1" ht="15.75" customHeight="1" x14ac:dyDescent="0.25">
      <c r="A163" s="171">
        <f t="shared" si="8"/>
        <v>6</v>
      </c>
      <c r="B163" s="171"/>
      <c r="C163" s="46" t="s">
        <v>186</v>
      </c>
      <c r="D163" s="68">
        <f>(2.89*4+2.83*1.78+2.13*2.45+2.85*3.03+2.13*1.22+2.1*1.22+1.53*0.9)*10.764</f>
        <v>398.14959599999997</v>
      </c>
      <c r="E163" s="56">
        <v>0</v>
      </c>
      <c r="F163" s="56">
        <f t="shared" si="7"/>
        <v>637.03935360000003</v>
      </c>
      <c r="G163" s="171"/>
      <c r="H163" s="171"/>
      <c r="I163" s="33"/>
      <c r="L163" s="164"/>
      <c r="M163" s="164"/>
      <c r="N163" s="33"/>
    </row>
    <row r="164" spans="1:14" s="48" customFormat="1" ht="15.75" customHeight="1" x14ac:dyDescent="0.25">
      <c r="A164" s="172" t="s">
        <v>226</v>
      </c>
      <c r="B164" s="172"/>
      <c r="C164" s="172"/>
      <c r="D164" s="172"/>
      <c r="E164" s="172"/>
      <c r="F164" s="172"/>
      <c r="G164" s="172"/>
      <c r="H164" s="172"/>
      <c r="I164" s="48">
        <v>2</v>
      </c>
      <c r="J164" s="33"/>
      <c r="L164" s="164"/>
      <c r="M164" s="164"/>
      <c r="N164" s="33"/>
    </row>
    <row r="165" spans="1:14" s="48" customFormat="1" ht="15.75" customHeight="1" x14ac:dyDescent="0.25">
      <c r="A165" s="109">
        <v>1</v>
      </c>
      <c r="B165" s="110"/>
      <c r="C165" s="46" t="s">
        <v>186</v>
      </c>
      <c r="D165" s="68">
        <f>(2.89*4+2.83*1.78+2.13*2.45+2.85*3.03+2.13*1.22+2.1*1.22+1.53*0.9)*10.764</f>
        <v>398.14959599999997</v>
      </c>
      <c r="E165" s="49">
        <v>0</v>
      </c>
      <c r="F165" s="49">
        <f t="shared" ref="F165:F171" si="9">D165*(($F$153)+1)+(IF(E165&lt;101,E165,IF(E165&lt;201,E165/2,IF(E165&lt;=301,E165/3,E165/4))))</f>
        <v>637.03935360000003</v>
      </c>
      <c r="G165" s="94" t="str">
        <f>A164</f>
        <v>8th, 13th, 18th, 23rd &amp; 28th Floor (Part Refuge Area)</v>
      </c>
      <c r="H165" s="95"/>
      <c r="I165" s="76">
        <f>15200000/F166</f>
        <v>14627.271555377723</v>
      </c>
      <c r="L165" s="164"/>
      <c r="M165" s="164"/>
      <c r="N165" s="33"/>
    </row>
    <row r="166" spans="1:14" s="48" customFormat="1" ht="15.75" customHeight="1" x14ac:dyDescent="0.25">
      <c r="A166" s="109">
        <f t="shared" ref="A166:A171" si="10">A165+1</f>
        <v>2</v>
      </c>
      <c r="B166" s="110"/>
      <c r="C166" s="46" t="s">
        <v>187</v>
      </c>
      <c r="D166" s="68">
        <f>(3.05*4.41+1.05*1+3.05*1.83+3.95*2.83+2.74*3.5+2.13*2.58+2.13*1.3+1.22*1.98+1.67*1.22+3.33*0.9+0.9*0.4+(2.73*1.25))*10.764</f>
        <v>649.47177359999989</v>
      </c>
      <c r="E166" s="49">
        <v>0</v>
      </c>
      <c r="F166" s="49">
        <f t="shared" si="9"/>
        <v>1039.15483776</v>
      </c>
      <c r="G166" s="96"/>
      <c r="H166" s="97"/>
      <c r="I166" s="33"/>
      <c r="L166" s="164"/>
      <c r="M166" s="164"/>
      <c r="N166" s="33"/>
    </row>
    <row r="167" spans="1:14" s="48" customFormat="1" x14ac:dyDescent="0.25">
      <c r="A167" s="109">
        <f t="shared" si="10"/>
        <v>3</v>
      </c>
      <c r="B167" s="110"/>
      <c r="C167" s="46" t="s">
        <v>169</v>
      </c>
      <c r="D167" s="56">
        <f>(3.05*4.41+1.35*1+3.05*1.83+2.9*3.43+3.05*3.5+2.13*1.23*2+1.38*0.91+1.8*0.91+(2.73*1.25))*10.764</f>
        <v>565.64927639999996</v>
      </c>
      <c r="E167" s="49">
        <v>0</v>
      </c>
      <c r="F167" s="49">
        <f t="shared" si="9"/>
        <v>905.03884224000001</v>
      </c>
      <c r="G167" s="96"/>
      <c r="H167" s="97"/>
      <c r="I167" s="33"/>
    </row>
    <row r="168" spans="1:14" s="48" customFormat="1" ht="15.75" customHeight="1" x14ac:dyDescent="0.25">
      <c r="A168" s="109" t="s">
        <v>188</v>
      </c>
      <c r="B168" s="110"/>
      <c r="C168" s="266" t="s">
        <v>159</v>
      </c>
      <c r="D168" s="267"/>
      <c r="E168" s="267"/>
      <c r="F168" s="268"/>
      <c r="G168" s="96"/>
      <c r="H168" s="97"/>
      <c r="I168" s="33"/>
      <c r="L168" s="164"/>
      <c r="M168" s="164"/>
      <c r="N168" s="33"/>
    </row>
    <row r="169" spans="1:14" s="48" customFormat="1" ht="15.75" customHeight="1" x14ac:dyDescent="0.25">
      <c r="A169" s="109">
        <f>A167+1</f>
        <v>4</v>
      </c>
      <c r="B169" s="110"/>
      <c r="C169" s="46" t="s">
        <v>169</v>
      </c>
      <c r="D169" s="56">
        <f>(3.05*4.41+1.35*1+3.05*1.83+2.9*3.43+3.05*3.5+2.13*1.23*2+1.38*0.91+1.8*0.91+(2.73*1.25))*10.764</f>
        <v>565.64927639999996</v>
      </c>
      <c r="E169" s="49">
        <v>0</v>
      </c>
      <c r="F169" s="49">
        <f t="shared" si="9"/>
        <v>905.03884224000001</v>
      </c>
      <c r="G169" s="96"/>
      <c r="H169" s="97"/>
      <c r="I169" s="48">
        <v>1</v>
      </c>
      <c r="J169" s="33"/>
      <c r="L169" s="164"/>
      <c r="M169" s="164"/>
      <c r="N169" s="33"/>
    </row>
    <row r="170" spans="1:14" s="48" customFormat="1" ht="15.75" customHeight="1" x14ac:dyDescent="0.25">
      <c r="A170" s="109">
        <f t="shared" si="10"/>
        <v>5</v>
      </c>
      <c r="B170" s="110"/>
      <c r="C170" s="46" t="s">
        <v>169</v>
      </c>
      <c r="D170" s="56">
        <f>(3.2*4.34+1.35*1.07+3.05*1.9+3.2*4.25+3.05*3.35+2.45*1.35+2.35*1.35+2.55*0.93+0.7*2.33+(2.88*1.25))*10.764</f>
        <v>635.37200999999993</v>
      </c>
      <c r="E170" s="49">
        <v>0</v>
      </c>
      <c r="F170" s="49">
        <f t="shared" si="9"/>
        <v>1016.5952159999999</v>
      </c>
      <c r="G170" s="96"/>
      <c r="H170" s="97"/>
      <c r="J170" s="33"/>
      <c r="L170" s="164"/>
      <c r="M170" s="164"/>
      <c r="N170" s="33"/>
    </row>
    <row r="171" spans="1:14" s="48" customFormat="1" ht="15.75" customHeight="1" x14ac:dyDescent="0.25">
      <c r="A171" s="109">
        <f t="shared" si="10"/>
        <v>6</v>
      </c>
      <c r="B171" s="110"/>
      <c r="C171" s="46" t="s">
        <v>186</v>
      </c>
      <c r="D171" s="68">
        <f>(2.89*4+2.83*1.78+2.13*2.45+2.85*3.03+2.13*1.22+2.1*1.22+1.53*0.9)*10.764</f>
        <v>398.14959599999997</v>
      </c>
      <c r="E171" s="49">
        <v>0</v>
      </c>
      <c r="F171" s="49">
        <f t="shared" si="9"/>
        <v>637.03935360000003</v>
      </c>
      <c r="G171" s="264"/>
      <c r="H171" s="265"/>
      <c r="J171" s="33"/>
      <c r="L171" s="164"/>
      <c r="M171" s="164"/>
      <c r="N171" s="33"/>
    </row>
    <row r="172" spans="1:14" s="48" customFormat="1" ht="15.75" customHeight="1" x14ac:dyDescent="0.25">
      <c r="A172" s="91" t="s">
        <v>227</v>
      </c>
      <c r="B172" s="92"/>
      <c r="C172" s="92"/>
      <c r="D172" s="92"/>
      <c r="E172" s="92"/>
      <c r="F172" s="92"/>
      <c r="G172" s="92"/>
      <c r="H172" s="93"/>
      <c r="I172" s="48">
        <v>16</v>
      </c>
      <c r="J172" s="33"/>
      <c r="L172" s="164"/>
      <c r="M172" s="164"/>
      <c r="N172" s="33"/>
    </row>
    <row r="173" spans="1:14" s="48" customFormat="1" x14ac:dyDescent="0.25">
      <c r="A173" s="173" t="s">
        <v>170</v>
      </c>
      <c r="B173" s="174"/>
      <c r="C173" s="174"/>
      <c r="D173" s="174"/>
      <c r="E173" s="174"/>
      <c r="F173" s="174"/>
      <c r="G173" s="174"/>
      <c r="H173" s="175"/>
      <c r="I173" s="33"/>
    </row>
    <row r="174" spans="1:14" s="34" customFormat="1" x14ac:dyDescent="0.25">
      <c r="A174" s="176" t="s">
        <v>223</v>
      </c>
      <c r="B174" s="177"/>
      <c r="C174" s="177"/>
      <c r="D174" s="177"/>
      <c r="E174" s="177"/>
      <c r="F174" s="177"/>
      <c r="G174" s="177"/>
      <c r="H174" s="178"/>
      <c r="I174" s="33"/>
      <c r="J174" s="48"/>
    </row>
    <row r="175" spans="1:14" s="34" customFormat="1" ht="15.75" customHeight="1" x14ac:dyDescent="0.25">
      <c r="A175" s="176" t="s">
        <v>241</v>
      </c>
      <c r="B175" s="177"/>
      <c r="C175" s="177"/>
      <c r="D175" s="177"/>
      <c r="E175" s="177"/>
      <c r="F175" s="177"/>
      <c r="G175" s="177"/>
      <c r="H175" s="178"/>
      <c r="I175" s="33">
        <f>(11000000-(11000000*0.12))/F177</f>
        <v>15195.293580054265</v>
      </c>
      <c r="J175" s="48"/>
    </row>
    <row r="176" spans="1:14" s="34" customFormat="1" ht="15.75" customHeight="1" x14ac:dyDescent="0.25">
      <c r="A176" s="91" t="s">
        <v>225</v>
      </c>
      <c r="B176" s="92"/>
      <c r="C176" s="92"/>
      <c r="D176" s="92"/>
      <c r="E176" s="92"/>
      <c r="F176" s="92"/>
      <c r="G176" s="92"/>
      <c r="H176" s="93"/>
      <c r="I176" s="33"/>
      <c r="J176" s="48"/>
      <c r="L176" s="164"/>
      <c r="M176" s="164"/>
      <c r="N176" s="33"/>
    </row>
    <row r="177" spans="1:14" s="34" customFormat="1" x14ac:dyDescent="0.25">
      <c r="A177" s="107">
        <v>1</v>
      </c>
      <c r="B177" s="108"/>
      <c r="C177" s="73" t="s">
        <v>186</v>
      </c>
      <c r="D177" s="74">
        <f t="shared" ref="D177:D182" si="11">(2.89*4+2.83*1.78+2.13*2.45+2.85*3.03+2.13*1.22+2.1*1.22+1.53*0.9)*10.764</f>
        <v>398.14959599999997</v>
      </c>
      <c r="E177" s="75">
        <v>0</v>
      </c>
      <c r="F177" s="75">
        <f t="shared" ref="F177:F182" si="12">D177*(($F$153)+1)+(IF(E177&lt;101,E177,IF(E177&lt;201,E177/2,IF(E177&lt;=301,E177/3,E177/4))))</f>
        <v>637.03935360000003</v>
      </c>
      <c r="G177" s="85" t="str">
        <f>A176</f>
        <v>1st to 7th, 9th to 12th, 14th to 17th, 19th to 22nd, 24th to 27th, 29th to 32nd Floor For Residential</v>
      </c>
      <c r="H177" s="86"/>
      <c r="I177" s="33"/>
      <c r="J177" s="48"/>
      <c r="L177" s="164"/>
      <c r="M177" s="164"/>
      <c r="N177" s="33"/>
    </row>
    <row r="178" spans="1:14" s="34" customFormat="1" x14ac:dyDescent="0.25">
      <c r="A178" s="107">
        <f t="shared" ref="A178:A182" si="13">A177+1</f>
        <v>2</v>
      </c>
      <c r="B178" s="108"/>
      <c r="C178" s="73" t="s">
        <v>186</v>
      </c>
      <c r="D178" s="74">
        <f t="shared" si="11"/>
        <v>398.14959599999997</v>
      </c>
      <c r="E178" s="75">
        <v>0</v>
      </c>
      <c r="F178" s="75">
        <f t="shared" si="12"/>
        <v>637.03935360000003</v>
      </c>
      <c r="G178" s="87"/>
      <c r="H178" s="88"/>
      <c r="I178" s="33"/>
      <c r="J178" s="48"/>
      <c r="L178" s="164"/>
      <c r="M178" s="164"/>
      <c r="N178" s="33"/>
    </row>
    <row r="179" spans="1:14" s="34" customFormat="1" x14ac:dyDescent="0.25">
      <c r="A179" s="107">
        <f t="shared" si="13"/>
        <v>3</v>
      </c>
      <c r="B179" s="108"/>
      <c r="C179" s="73" t="s">
        <v>186</v>
      </c>
      <c r="D179" s="74">
        <f t="shared" si="11"/>
        <v>398.14959599999997</v>
      </c>
      <c r="E179" s="75">
        <v>0</v>
      </c>
      <c r="F179" s="75">
        <f t="shared" si="12"/>
        <v>637.03935360000003</v>
      </c>
      <c r="G179" s="87"/>
      <c r="H179" s="88"/>
      <c r="I179" s="48">
        <v>3</v>
      </c>
      <c r="J179" s="33"/>
      <c r="L179" s="164"/>
      <c r="M179" s="164"/>
      <c r="N179" s="33"/>
    </row>
    <row r="180" spans="1:14" s="34" customFormat="1" x14ac:dyDescent="0.25">
      <c r="A180" s="107">
        <f t="shared" si="13"/>
        <v>4</v>
      </c>
      <c r="B180" s="108"/>
      <c r="C180" s="73" t="s">
        <v>186</v>
      </c>
      <c r="D180" s="74">
        <f t="shared" si="11"/>
        <v>398.14959599999997</v>
      </c>
      <c r="E180" s="75">
        <v>0</v>
      </c>
      <c r="F180" s="75">
        <f t="shared" si="12"/>
        <v>637.03935360000003</v>
      </c>
      <c r="G180" s="87"/>
      <c r="H180" s="88"/>
      <c r="I180" s="33"/>
      <c r="J180" s="48"/>
      <c r="L180" s="164"/>
      <c r="M180" s="164"/>
    </row>
    <row r="181" spans="1:14" s="34" customFormat="1" x14ac:dyDescent="0.25">
      <c r="A181" s="107">
        <f t="shared" si="13"/>
        <v>5</v>
      </c>
      <c r="B181" s="108"/>
      <c r="C181" s="73" t="s">
        <v>186</v>
      </c>
      <c r="D181" s="74">
        <f t="shared" si="11"/>
        <v>398.14959599999997</v>
      </c>
      <c r="E181" s="75">
        <v>0</v>
      </c>
      <c r="F181" s="75">
        <f t="shared" si="12"/>
        <v>637.03935360000003</v>
      </c>
      <c r="G181" s="87"/>
      <c r="H181" s="88"/>
      <c r="I181" s="33"/>
      <c r="J181" s="48"/>
      <c r="N181" s="33"/>
    </row>
    <row r="182" spans="1:14" s="34" customFormat="1" x14ac:dyDescent="0.25">
      <c r="A182" s="107">
        <f t="shared" si="13"/>
        <v>6</v>
      </c>
      <c r="B182" s="108"/>
      <c r="C182" s="73" t="s">
        <v>186</v>
      </c>
      <c r="D182" s="74">
        <f t="shared" si="11"/>
        <v>398.14959599999997</v>
      </c>
      <c r="E182" s="75">
        <v>0</v>
      </c>
      <c r="F182" s="75">
        <f t="shared" si="12"/>
        <v>637.03935360000003</v>
      </c>
      <c r="G182" s="89"/>
      <c r="H182" s="90"/>
      <c r="I182" s="33"/>
      <c r="J182" s="48"/>
      <c r="N182" s="33"/>
    </row>
    <row r="183" spans="1:14" s="34" customFormat="1" x14ac:dyDescent="0.25">
      <c r="A183" s="172" t="s">
        <v>226</v>
      </c>
      <c r="B183" s="172"/>
      <c r="C183" s="172"/>
      <c r="D183" s="172"/>
      <c r="E183" s="172"/>
      <c r="F183" s="172"/>
      <c r="G183" s="172"/>
      <c r="H183" s="172"/>
      <c r="I183" s="33"/>
      <c r="J183" s="48"/>
      <c r="N183" s="33"/>
    </row>
    <row r="184" spans="1:14" s="34" customFormat="1" x14ac:dyDescent="0.25">
      <c r="A184" s="107">
        <v>1</v>
      </c>
      <c r="B184" s="108"/>
      <c r="C184" s="73" t="s">
        <v>186</v>
      </c>
      <c r="D184" s="74">
        <f>(2.89*4+2.83*1.78+2.13*2.45+2.85*3.03+2.13*1.22+2.1*1.22+1.53*0.9)*10.764</f>
        <v>398.14959599999997</v>
      </c>
      <c r="E184" s="75">
        <v>0</v>
      </c>
      <c r="F184" s="75">
        <f t="shared" ref="F184:F186" si="14">D184*(($F$153)+1)+(IF(E184&lt;101,E184,IF(E184&lt;201,E184/2,IF(E184&lt;=301,E184/3,E184/4))))</f>
        <v>637.03935360000003</v>
      </c>
      <c r="G184" s="85" t="str">
        <f>A183</f>
        <v>8th, 13th, 18th, 23rd &amp; 28th Floor (Part Refuge Area)</v>
      </c>
      <c r="H184" s="86"/>
      <c r="I184" s="33"/>
      <c r="J184" s="48"/>
      <c r="N184" s="33"/>
    </row>
    <row r="185" spans="1:14" s="34" customFormat="1" x14ac:dyDescent="0.25">
      <c r="A185" s="107">
        <f t="shared" ref="A185:A190" si="15">A184+1</f>
        <v>2</v>
      </c>
      <c r="B185" s="108"/>
      <c r="C185" s="73" t="s">
        <v>186</v>
      </c>
      <c r="D185" s="74">
        <f>(2.89*4+2.83*1.78+2.13*2.45+2.85*3.03+2.13*1.22+2.1*1.22+1.53*0.9)*10.764</f>
        <v>398.14959599999997</v>
      </c>
      <c r="E185" s="75">
        <v>0</v>
      </c>
      <c r="F185" s="75">
        <f t="shared" si="14"/>
        <v>637.03935360000003</v>
      </c>
      <c r="G185" s="87"/>
      <c r="H185" s="88"/>
      <c r="I185" s="33"/>
      <c r="J185" s="48"/>
      <c r="N185" s="33"/>
    </row>
    <row r="186" spans="1:14" s="34" customFormat="1" ht="15.75" customHeight="1" x14ac:dyDescent="0.25">
      <c r="A186" s="107">
        <f t="shared" si="15"/>
        <v>3</v>
      </c>
      <c r="B186" s="108"/>
      <c r="C186" s="73" t="s">
        <v>186</v>
      </c>
      <c r="D186" s="74">
        <f>(2.89*4+2.83*1.78+2.13*2.45+2.85*3.03+2.13*1.22+2.1*1.22+1.53*0.9)*10.764</f>
        <v>398.14959599999997</v>
      </c>
      <c r="E186" s="75">
        <v>0</v>
      </c>
      <c r="F186" s="75">
        <f t="shared" si="14"/>
        <v>637.03935360000003</v>
      </c>
      <c r="G186" s="87"/>
      <c r="H186" s="88"/>
      <c r="I186" s="33"/>
      <c r="J186" s="48"/>
    </row>
    <row r="187" spans="1:14" s="34" customFormat="1" ht="15.75" customHeight="1" x14ac:dyDescent="0.25">
      <c r="A187" s="107" t="s">
        <v>188</v>
      </c>
      <c r="B187" s="108"/>
      <c r="C187" s="269" t="s">
        <v>159</v>
      </c>
      <c r="D187" s="270"/>
      <c r="E187" s="270"/>
      <c r="F187" s="271"/>
      <c r="G187" s="87"/>
      <c r="H187" s="88"/>
      <c r="J187" s="33"/>
    </row>
    <row r="188" spans="1:14" s="34" customFormat="1" ht="15.75" customHeight="1" x14ac:dyDescent="0.25">
      <c r="A188" s="107">
        <f>A186+1</f>
        <v>4</v>
      </c>
      <c r="B188" s="108"/>
      <c r="C188" s="73" t="s">
        <v>186</v>
      </c>
      <c r="D188" s="74">
        <f>(2.89*4+2.83*1.78+2.13*2.45+2.85*3.03+2.13*1.22+2.1*1.22+1.53*0.9)*10.764</f>
        <v>398.14959599999997</v>
      </c>
      <c r="E188" s="75">
        <v>0</v>
      </c>
      <c r="F188" s="75">
        <f t="shared" ref="F188:F190" si="16">D188*(($F$153)+1)+(IF(E188&lt;101,E188,IF(E188&lt;201,E188/2,IF(E188&lt;=301,E188/3,E188/4))))</f>
        <v>637.03935360000003</v>
      </c>
      <c r="G188" s="87"/>
      <c r="H188" s="88"/>
      <c r="I188" s="70"/>
      <c r="J188" s="71"/>
    </row>
    <row r="189" spans="1:14" s="34" customFormat="1" ht="15.75" customHeight="1" x14ac:dyDescent="0.25">
      <c r="A189" s="107">
        <f t="shared" si="15"/>
        <v>5</v>
      </c>
      <c r="B189" s="108"/>
      <c r="C189" s="73" t="s">
        <v>186</v>
      </c>
      <c r="D189" s="74">
        <f>(2.89*4+2.83*1.78+2.13*2.45+2.85*3.03+2.13*1.22+2.1*1.22+1.53*0.9)*10.764</f>
        <v>398.14959599999997</v>
      </c>
      <c r="E189" s="75">
        <v>0</v>
      </c>
      <c r="F189" s="75">
        <f t="shared" si="16"/>
        <v>637.03935360000003</v>
      </c>
      <c r="G189" s="87"/>
      <c r="H189" s="88"/>
      <c r="I189" s="70"/>
      <c r="J189" s="71"/>
    </row>
    <row r="190" spans="1:14" s="34" customFormat="1" x14ac:dyDescent="0.25">
      <c r="A190" s="107">
        <f t="shared" si="15"/>
        <v>6</v>
      </c>
      <c r="B190" s="108"/>
      <c r="C190" s="73" t="s">
        <v>186</v>
      </c>
      <c r="D190" s="74">
        <f>(2.89*4+2.83*1.78+2.13*2.45+2.85*3.03+2.13*1.22+2.1*1.22+1.53*0.9)*10.764</f>
        <v>398.14959599999997</v>
      </c>
      <c r="E190" s="75">
        <v>0</v>
      </c>
      <c r="F190" s="75">
        <f t="shared" si="16"/>
        <v>637.03935360000003</v>
      </c>
      <c r="G190" s="89"/>
      <c r="H190" s="90"/>
      <c r="I190" s="70"/>
      <c r="J190" s="69"/>
    </row>
    <row r="191" spans="1:14" s="34" customFormat="1" x14ac:dyDescent="0.25">
      <c r="A191" s="91" t="s">
        <v>227</v>
      </c>
      <c r="B191" s="92"/>
      <c r="C191" s="92"/>
      <c r="D191" s="92"/>
      <c r="E191" s="92"/>
      <c r="F191" s="92"/>
      <c r="G191" s="92"/>
      <c r="H191" s="93"/>
      <c r="I191" s="70"/>
      <c r="J191" s="69"/>
    </row>
    <row r="192" spans="1:14" s="34" customFormat="1" x14ac:dyDescent="0.25">
      <c r="A192" s="173" t="s">
        <v>224</v>
      </c>
      <c r="B192" s="174"/>
      <c r="C192" s="174"/>
      <c r="D192" s="174"/>
      <c r="E192" s="174"/>
      <c r="F192" s="174"/>
      <c r="G192" s="174"/>
      <c r="H192" s="175"/>
      <c r="I192" s="70"/>
      <c r="J192" s="69"/>
    </row>
    <row r="193" spans="1:10" s="34" customFormat="1" x14ac:dyDescent="0.25">
      <c r="A193" s="176" t="s">
        <v>223</v>
      </c>
      <c r="B193" s="177"/>
      <c r="C193" s="177"/>
      <c r="D193" s="177"/>
      <c r="E193" s="177"/>
      <c r="F193" s="177"/>
      <c r="G193" s="177"/>
      <c r="H193" s="178"/>
      <c r="I193" s="70"/>
      <c r="J193" s="71"/>
    </row>
    <row r="194" spans="1:10" s="34" customFormat="1" ht="15.75" customHeight="1" x14ac:dyDescent="0.25">
      <c r="A194" s="176" t="s">
        <v>241</v>
      </c>
      <c r="B194" s="177"/>
      <c r="C194" s="177"/>
      <c r="D194" s="177"/>
      <c r="E194" s="177"/>
      <c r="F194" s="177"/>
      <c r="G194" s="177"/>
      <c r="H194" s="178"/>
      <c r="I194" s="71"/>
      <c r="J194" s="72"/>
    </row>
    <row r="195" spans="1:10" s="34" customFormat="1" x14ac:dyDescent="0.25">
      <c r="A195" s="91" t="s">
        <v>225</v>
      </c>
      <c r="B195" s="92"/>
      <c r="C195" s="92"/>
      <c r="D195" s="92"/>
      <c r="E195" s="92"/>
      <c r="F195" s="92"/>
      <c r="G195" s="92"/>
      <c r="H195" s="93"/>
      <c r="I195" s="33"/>
    </row>
    <row r="196" spans="1:10" s="34" customFormat="1" x14ac:dyDescent="0.25">
      <c r="A196" s="109">
        <v>1</v>
      </c>
      <c r="B196" s="110"/>
      <c r="C196" s="46" t="s">
        <v>186</v>
      </c>
      <c r="D196" s="68">
        <f>(2.89*4+2.83*1.78+2.13*2.45+2.85*3.03+2.13*1.22+2.1*1.22+1.53*0.9)*10.764</f>
        <v>398.14959599999997</v>
      </c>
      <c r="E196" s="49">
        <v>0</v>
      </c>
      <c r="F196" s="49">
        <f t="shared" ref="F196:F201" si="17">D196*(($F$153)+1)+(IF(E196&lt;101,E196,IF(E196&lt;201,E196/2,IF(E196&lt;=301,E196/3,E196/4))))</f>
        <v>637.03935360000003</v>
      </c>
      <c r="G196" s="94" t="str">
        <f>A195</f>
        <v>1st to 7th, 9th to 12th, 14th to 17th, 19th to 22nd, 24th to 27th, 29th to 32nd Floor For Residential</v>
      </c>
      <c r="H196" s="272"/>
      <c r="I196" s="33"/>
    </row>
    <row r="197" spans="1:10" s="34" customFormat="1" x14ac:dyDescent="0.25">
      <c r="A197" s="109">
        <f t="shared" ref="A197:A201" si="18">A196+1</f>
        <v>2</v>
      </c>
      <c r="B197" s="110"/>
      <c r="C197" s="46" t="s">
        <v>169</v>
      </c>
      <c r="D197" s="56">
        <f>(3.2*4.34+1.35*1.07+3.05*1.9+3.2*4.25+3.05*3.35+2.45*1.35+2.35*1.35+2.55*0.93+0.7*2.33+(2.88*1.25))*10.764</f>
        <v>635.37200999999993</v>
      </c>
      <c r="E197" s="49">
        <v>0</v>
      </c>
      <c r="F197" s="49">
        <f t="shared" si="17"/>
        <v>1016.5952159999999</v>
      </c>
      <c r="G197" s="96"/>
      <c r="H197" s="273"/>
      <c r="I197" s="33"/>
    </row>
    <row r="198" spans="1:10" s="34" customFormat="1" x14ac:dyDescent="0.25">
      <c r="A198" s="109">
        <f t="shared" si="18"/>
        <v>3</v>
      </c>
      <c r="B198" s="110"/>
      <c r="C198" s="46" t="s">
        <v>169</v>
      </c>
      <c r="D198" s="56">
        <f>(3.05*4.41+1.35*1+3.05*1.83+2.9*3.43+3.05*3.5+2.13*1.23*2+1.38*0.91+1.8*0.91+(2.73*1.25))*10.764</f>
        <v>565.64927639999996</v>
      </c>
      <c r="E198" s="49">
        <v>0</v>
      </c>
      <c r="F198" s="49">
        <f t="shared" si="17"/>
        <v>905.03884224000001</v>
      </c>
      <c r="G198" s="96"/>
      <c r="H198" s="273"/>
      <c r="I198" s="33"/>
    </row>
    <row r="199" spans="1:10" s="34" customFormat="1" x14ac:dyDescent="0.25">
      <c r="A199" s="109">
        <f t="shared" si="18"/>
        <v>4</v>
      </c>
      <c r="B199" s="110"/>
      <c r="C199" s="46" t="s">
        <v>169</v>
      </c>
      <c r="D199" s="56">
        <f>(3.05*4.41+1.35*1+3.05*1.83+2.9*3.43+3.05*3.5+2.13*1.23*2+1.38*0.91+1.8*0.91+(2.73*1.25))*10.764</f>
        <v>565.64927639999996</v>
      </c>
      <c r="E199" s="49">
        <v>0</v>
      </c>
      <c r="F199" s="49">
        <f t="shared" si="17"/>
        <v>905.03884224000001</v>
      </c>
      <c r="G199" s="96"/>
      <c r="H199" s="273"/>
      <c r="I199" s="33"/>
    </row>
    <row r="200" spans="1:10" s="34" customFormat="1" x14ac:dyDescent="0.25">
      <c r="A200" s="109">
        <f t="shared" si="18"/>
        <v>5</v>
      </c>
      <c r="B200" s="110"/>
      <c r="C200" s="46" t="s">
        <v>187</v>
      </c>
      <c r="D200" s="68">
        <f>(3.05*4.41+1.05*1+3.05*1.83+3.95*2.83+2.74*3.5+2.13*2.58+2.13*1.3+1.22*1.98+1.67*1.22+3.33*0.9+0.9*0.4+(2.73*1.25))*10.764</f>
        <v>649.47177359999989</v>
      </c>
      <c r="E200" s="49">
        <v>0</v>
      </c>
      <c r="F200" s="49">
        <f t="shared" si="17"/>
        <v>1039.15483776</v>
      </c>
      <c r="G200" s="96"/>
      <c r="H200" s="273"/>
      <c r="I200" s="33"/>
    </row>
    <row r="201" spans="1:10" s="34" customFormat="1" x14ac:dyDescent="0.25">
      <c r="A201" s="109">
        <f t="shared" si="18"/>
        <v>6</v>
      </c>
      <c r="B201" s="110"/>
      <c r="C201" s="46" t="s">
        <v>186</v>
      </c>
      <c r="D201" s="68">
        <f>(2.89*4+2.83*1.78+2.13*2.45+2.85*3.03+2.13*1.22+2.1*1.22+1.53*0.9)*10.764</f>
        <v>398.14959599999997</v>
      </c>
      <c r="E201" s="49">
        <v>0</v>
      </c>
      <c r="F201" s="49">
        <f t="shared" si="17"/>
        <v>637.03935360000003</v>
      </c>
      <c r="G201" s="264"/>
      <c r="H201" s="274"/>
      <c r="I201" s="33"/>
    </row>
    <row r="202" spans="1:10" s="32" customFormat="1" ht="15.75" customHeight="1" x14ac:dyDescent="0.25">
      <c r="A202" s="172" t="s">
        <v>226</v>
      </c>
      <c r="B202" s="172"/>
      <c r="C202" s="172"/>
      <c r="D202" s="172"/>
      <c r="E202" s="172"/>
      <c r="F202" s="172"/>
      <c r="G202" s="172"/>
      <c r="H202" s="172"/>
      <c r="I202" s="33"/>
      <c r="J202" s="34"/>
    </row>
    <row r="203" spans="1:10" ht="15" customHeight="1" x14ac:dyDescent="0.25">
      <c r="A203" s="109">
        <v>1</v>
      </c>
      <c r="B203" s="110"/>
      <c r="C203" s="46" t="s">
        <v>186</v>
      </c>
      <c r="D203" s="68">
        <f>(2.89*4+2.83*1.78+2.13*2.45+2.85*3.03+2.13*1.22+2.1*1.22+1.53*0.9)*10.764</f>
        <v>398.14959599999997</v>
      </c>
      <c r="E203" s="49">
        <v>0</v>
      </c>
      <c r="F203" s="49">
        <f t="shared" ref="F203:F205" si="19">D203*(($F$153)+1)+(IF(E203&lt;101,E203,IF(E203&lt;201,E203/2,IF(E203&lt;=301,E203/3,E203/4))))</f>
        <v>637.03935360000003</v>
      </c>
      <c r="G203" s="94" t="str">
        <f>A202</f>
        <v>8th, 13th, 18th, 23rd &amp; 28th Floor (Part Refuge Area)</v>
      </c>
      <c r="H203" s="95"/>
    </row>
    <row r="204" spans="1:10" x14ac:dyDescent="0.25">
      <c r="A204" s="109">
        <f t="shared" ref="A204:A209" si="20">A203+1</f>
        <v>2</v>
      </c>
      <c r="B204" s="110"/>
      <c r="C204" s="46" t="s">
        <v>169</v>
      </c>
      <c r="D204" s="56">
        <f>(3.2*4.34+1.35*1.07+3.05*1.9+3.2*4.25+3.05*3.35+2.45*1.35+2.35*1.35+2.55*0.93+0.7*2.33+(2.88*1.25))*10.764</f>
        <v>635.37200999999993</v>
      </c>
      <c r="E204" s="49">
        <v>0</v>
      </c>
      <c r="F204" s="49">
        <f t="shared" si="19"/>
        <v>1016.5952159999999</v>
      </c>
      <c r="G204" s="96"/>
      <c r="H204" s="97"/>
    </row>
    <row r="205" spans="1:10" x14ac:dyDescent="0.25">
      <c r="A205" s="109">
        <f t="shared" si="20"/>
        <v>3</v>
      </c>
      <c r="B205" s="110"/>
      <c r="C205" s="46" t="s">
        <v>169</v>
      </c>
      <c r="D205" s="56">
        <f>(3.05*4.41+1.35*1+3.05*1.83+2.9*3.43+3.05*3.5+2.13*1.23*2+1.38*0.91+1.8*0.91+(2.73*1.25))*10.764</f>
        <v>565.64927639999996</v>
      </c>
      <c r="E205" s="49">
        <v>0</v>
      </c>
      <c r="F205" s="49">
        <f t="shared" si="19"/>
        <v>905.03884224000001</v>
      </c>
      <c r="G205" s="96"/>
      <c r="H205" s="97"/>
    </row>
    <row r="206" spans="1:10" x14ac:dyDescent="0.25">
      <c r="A206" s="109" t="s">
        <v>188</v>
      </c>
      <c r="B206" s="110"/>
      <c r="C206" s="266" t="s">
        <v>159</v>
      </c>
      <c r="D206" s="267"/>
      <c r="E206" s="267"/>
      <c r="F206" s="268"/>
      <c r="G206" s="96"/>
      <c r="H206" s="97"/>
    </row>
    <row r="207" spans="1:10" x14ac:dyDescent="0.25">
      <c r="A207" s="109">
        <f>A205+1</f>
        <v>4</v>
      </c>
      <c r="B207" s="110"/>
      <c r="C207" s="46" t="s">
        <v>169</v>
      </c>
      <c r="D207" s="56">
        <f>(3.05*4.41+1.35*1+3.05*1.83+2.9*3.43+3.05*3.5+2.13*1.23*2+1.38*0.91+1.8*0.91+(2.73*1.25))*10.764</f>
        <v>565.64927639999996</v>
      </c>
      <c r="E207" s="49">
        <v>0</v>
      </c>
      <c r="F207" s="49">
        <f t="shared" ref="F207:F209" si="21">D207*(($F$153)+1)+(IF(E207&lt;101,E207,IF(E207&lt;201,E207/2,IF(E207&lt;=301,E207/3,E207/4))))</f>
        <v>905.03884224000001</v>
      </c>
      <c r="G207" s="96"/>
      <c r="H207" s="97"/>
    </row>
    <row r="208" spans="1:10" x14ac:dyDescent="0.25">
      <c r="A208" s="109">
        <f t="shared" si="20"/>
        <v>5</v>
      </c>
      <c r="B208" s="110"/>
      <c r="C208" s="46" t="s">
        <v>187</v>
      </c>
      <c r="D208" s="68">
        <f>(3.05*4.41+1.05*1+3.05*1.83+3.95*2.83+2.74*3.5+2.13*2.58+2.13*1.3+1.22*1.98+1.67*1.22+3.33*0.9+0.9*0.4+(2.73*1.25))*10.764</f>
        <v>649.47177359999989</v>
      </c>
      <c r="E208" s="49">
        <v>0</v>
      </c>
      <c r="F208" s="49">
        <f t="shared" si="21"/>
        <v>1039.15483776</v>
      </c>
      <c r="G208" s="96"/>
      <c r="H208" s="97"/>
    </row>
    <row r="209" spans="1:15" x14ac:dyDescent="0.25">
      <c r="A209" s="109">
        <f t="shared" si="20"/>
        <v>6</v>
      </c>
      <c r="B209" s="110"/>
      <c r="C209" s="46" t="s">
        <v>186</v>
      </c>
      <c r="D209" s="68">
        <f>(2.89*4+2.83*1.78+2.13*2.45+2.85*3.03+2.13*1.22+2.1*1.22+1.53*0.9)*10.764</f>
        <v>398.14959599999997</v>
      </c>
      <c r="E209" s="49">
        <v>0</v>
      </c>
      <c r="F209" s="49">
        <f t="shared" si="21"/>
        <v>637.03935360000003</v>
      </c>
      <c r="G209" s="264"/>
      <c r="H209" s="265"/>
    </row>
    <row r="210" spans="1:15" x14ac:dyDescent="0.25">
      <c r="A210" s="91" t="s">
        <v>227</v>
      </c>
      <c r="B210" s="92"/>
      <c r="C210" s="92"/>
      <c r="D210" s="92"/>
      <c r="E210" s="92"/>
      <c r="F210" s="92"/>
      <c r="G210" s="92"/>
      <c r="H210" s="93"/>
    </row>
    <row r="211" spans="1:15" x14ac:dyDescent="0.25">
      <c r="A211" s="170" t="s">
        <v>64</v>
      </c>
      <c r="B211" s="170"/>
      <c r="C211" s="170"/>
      <c r="D211" s="170"/>
      <c r="E211" s="170"/>
      <c r="F211" s="170"/>
      <c r="G211" s="170"/>
      <c r="H211" s="170"/>
    </row>
    <row r="212" spans="1:15" x14ac:dyDescent="0.25">
      <c r="A212" s="63" t="s">
        <v>141</v>
      </c>
      <c r="B212" s="111" t="s">
        <v>213</v>
      </c>
      <c r="C212" s="112"/>
      <c r="D212" s="112"/>
      <c r="E212" s="112"/>
      <c r="F212" s="112"/>
      <c r="G212" s="112"/>
      <c r="H212" s="113"/>
    </row>
    <row r="213" spans="1:15" x14ac:dyDescent="0.25">
      <c r="A213" s="63" t="s">
        <v>141</v>
      </c>
      <c r="B213" s="111" t="str">
        <f>(IF(F152="Saleable area Loading :","We have considered Saleable area of Flats as per our Calculation.","We considered Saleable area of Flat as per Builder area Sheet."))</f>
        <v>We have considered Saleable area of Flats as per our Calculation.</v>
      </c>
      <c r="C213" s="112"/>
      <c r="D213" s="112"/>
      <c r="E213" s="112"/>
      <c r="F213" s="112"/>
      <c r="G213" s="112"/>
      <c r="H213" s="113"/>
    </row>
    <row r="214" spans="1:15" x14ac:dyDescent="0.25">
      <c r="A214" s="63" t="s">
        <v>141</v>
      </c>
      <c r="B214" s="111" t="str">
        <f>(IF(F123="Saleable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4" s="112"/>
      <c r="D214" s="112"/>
      <c r="E214" s="112"/>
      <c r="F214" s="112"/>
      <c r="G214" s="112"/>
      <c r="H214" s="113"/>
    </row>
    <row r="215" spans="1:15" x14ac:dyDescent="0.25">
      <c r="A215" s="63" t="s">
        <v>141</v>
      </c>
      <c r="B215" s="111" t="s">
        <v>111</v>
      </c>
      <c r="C215" s="112"/>
      <c r="D215" s="112"/>
      <c r="E215" s="112"/>
      <c r="F215" s="112"/>
      <c r="G215" s="112"/>
      <c r="H215" s="113"/>
    </row>
    <row r="216" spans="1:15" x14ac:dyDescent="0.25">
      <c r="A216" s="63" t="s">
        <v>141</v>
      </c>
      <c r="B216" s="111" t="s">
        <v>236</v>
      </c>
      <c r="C216" s="112"/>
      <c r="D216" s="112"/>
      <c r="E216" s="112"/>
      <c r="F216" s="112"/>
      <c r="G216" s="112"/>
      <c r="H216" s="113"/>
    </row>
    <row r="217" spans="1:15" x14ac:dyDescent="0.25">
      <c r="A217" s="63" t="s">
        <v>141</v>
      </c>
      <c r="B217" s="111" t="s">
        <v>140</v>
      </c>
      <c r="C217" s="112"/>
      <c r="D217" s="112"/>
      <c r="E217" s="112"/>
      <c r="F217" s="112"/>
      <c r="G217" s="112"/>
      <c r="H217" s="113"/>
    </row>
    <row r="218" spans="1:15" x14ac:dyDescent="0.25">
      <c r="A218" s="40" t="s">
        <v>141</v>
      </c>
      <c r="B218" s="167" t="s">
        <v>112</v>
      </c>
      <c r="C218" s="168"/>
      <c r="D218" s="168"/>
      <c r="E218" s="168"/>
      <c r="F218" s="168"/>
      <c r="G218" s="168"/>
      <c r="H218" s="169"/>
    </row>
    <row r="219" spans="1:15" ht="30.75" customHeight="1" x14ac:dyDescent="0.25">
      <c r="A219" s="40" t="s">
        <v>141</v>
      </c>
      <c r="B219" s="167" t="s">
        <v>142</v>
      </c>
      <c r="C219" s="168"/>
      <c r="D219" s="168"/>
      <c r="E219" s="168"/>
      <c r="F219" s="168"/>
      <c r="G219" s="168"/>
      <c r="H219" s="169"/>
    </row>
    <row r="220" spans="1:15" x14ac:dyDescent="0.25">
      <c r="A220" s="40" t="s">
        <v>141</v>
      </c>
      <c r="B220" s="167" t="s">
        <v>113</v>
      </c>
      <c r="C220" s="168"/>
      <c r="D220" s="168"/>
      <c r="E220" s="168"/>
      <c r="F220" s="168"/>
      <c r="G220" s="168"/>
      <c r="H220" s="169"/>
    </row>
    <row r="221" spans="1:15" x14ac:dyDescent="0.25">
      <c r="A221" s="63" t="s">
        <v>141</v>
      </c>
      <c r="B221" s="111" t="s">
        <v>238</v>
      </c>
      <c r="C221" s="112"/>
      <c r="D221" s="112"/>
      <c r="E221" s="112"/>
      <c r="F221" s="112"/>
      <c r="G221" s="112"/>
      <c r="H221" s="113"/>
    </row>
    <row r="222" spans="1:15" ht="33.75" customHeight="1" x14ac:dyDescent="0.25">
      <c r="A222" s="57" t="s">
        <v>141</v>
      </c>
      <c r="B222" s="111" t="s">
        <v>237</v>
      </c>
      <c r="C222" s="112"/>
      <c r="D222" s="112"/>
      <c r="E222" s="112"/>
      <c r="F222" s="112"/>
      <c r="G222" s="112"/>
      <c r="H222" s="113"/>
    </row>
    <row r="223" spans="1:15" ht="69" customHeight="1" x14ac:dyDescent="0.25">
      <c r="A223" s="57" t="s">
        <v>141</v>
      </c>
      <c r="B223" s="111" t="s">
        <v>235</v>
      </c>
      <c r="C223" s="112"/>
      <c r="D223" s="112"/>
      <c r="E223" s="112"/>
      <c r="F223" s="112"/>
      <c r="G223" s="112"/>
      <c r="H223" s="113"/>
      <c r="I223" s="111" t="s">
        <v>242</v>
      </c>
      <c r="J223" s="112"/>
      <c r="K223" s="112"/>
      <c r="L223" s="112"/>
      <c r="M223" s="112"/>
      <c r="N223" s="112"/>
      <c r="O223" s="113"/>
    </row>
    <row r="224" spans="1:15" x14ac:dyDescent="0.25">
      <c r="A224" s="193" t="s">
        <v>57</v>
      </c>
      <c r="B224" s="193"/>
      <c r="C224" s="193"/>
      <c r="D224" s="193"/>
      <c r="E224" s="193"/>
      <c r="F224" s="193"/>
      <c r="G224" s="193"/>
      <c r="H224" s="193"/>
    </row>
    <row r="225" spans="1:8" x14ac:dyDescent="0.25">
      <c r="A225" s="134" t="s">
        <v>58</v>
      </c>
      <c r="B225" s="134"/>
      <c r="C225" s="134"/>
      <c r="D225" s="134"/>
      <c r="E225" s="134"/>
      <c r="F225" s="134"/>
      <c r="G225" s="134"/>
      <c r="H225" s="134"/>
    </row>
    <row r="226" spans="1:8" x14ac:dyDescent="0.25">
      <c r="A226" s="241" t="s">
        <v>59</v>
      </c>
      <c r="B226" s="241"/>
      <c r="C226" s="241"/>
      <c r="D226" s="241"/>
      <c r="E226" s="241"/>
      <c r="F226" s="241"/>
      <c r="G226" s="241"/>
      <c r="H226" s="241"/>
    </row>
    <row r="227" spans="1:8" x14ac:dyDescent="0.25">
      <c r="A227" s="134" t="s">
        <v>60</v>
      </c>
      <c r="B227" s="134"/>
      <c r="C227" s="134"/>
      <c r="D227" s="134"/>
      <c r="E227" s="134"/>
      <c r="F227" s="134"/>
      <c r="G227" s="134"/>
      <c r="H227" s="134"/>
    </row>
    <row r="228" spans="1:8" x14ac:dyDescent="0.25">
      <c r="A228" s="134" t="s">
        <v>61</v>
      </c>
      <c r="B228" s="134"/>
      <c r="C228" s="134"/>
      <c r="D228" s="134"/>
      <c r="E228" s="134"/>
      <c r="F228" s="134"/>
      <c r="G228" s="134"/>
      <c r="H228" s="134"/>
    </row>
    <row r="229" spans="1:8" x14ac:dyDescent="0.25">
      <c r="A229" s="134" t="s">
        <v>114</v>
      </c>
      <c r="B229" s="134"/>
      <c r="C229" s="134"/>
      <c r="D229" s="134"/>
      <c r="E229" s="134"/>
      <c r="F229" s="134"/>
      <c r="G229" s="134"/>
      <c r="H229" s="134"/>
    </row>
    <row r="230" spans="1:8" x14ac:dyDescent="0.25">
      <c r="A230" s="135" t="s">
        <v>115</v>
      </c>
      <c r="B230" s="135"/>
      <c r="C230" s="135"/>
      <c r="D230" s="135"/>
      <c r="E230" s="135"/>
      <c r="F230" s="135"/>
      <c r="G230" s="135"/>
      <c r="H230" s="135"/>
    </row>
    <row r="231" spans="1:8" x14ac:dyDescent="0.25">
      <c r="A231" s="225" t="s">
        <v>71</v>
      </c>
      <c r="B231" s="225"/>
      <c r="C231" s="225" t="s">
        <v>189</v>
      </c>
      <c r="D231" s="225"/>
      <c r="E231" s="225" t="s">
        <v>94</v>
      </c>
      <c r="F231" s="225"/>
      <c r="G231" s="226" t="s">
        <v>206</v>
      </c>
      <c r="H231" s="226"/>
    </row>
    <row r="232" spans="1:8" x14ac:dyDescent="0.25">
      <c r="A232" s="224" t="s">
        <v>73</v>
      </c>
      <c r="B232" s="224"/>
      <c r="C232" s="224"/>
      <c r="D232" s="224"/>
      <c r="E232" s="224"/>
      <c r="F232" s="224"/>
      <c r="G232" s="224"/>
      <c r="H232" s="224"/>
    </row>
    <row r="233" spans="1:8" x14ac:dyDescent="0.25">
      <c r="A233" s="224"/>
      <c r="B233" s="224"/>
      <c r="C233" s="224"/>
      <c r="D233" s="224"/>
      <c r="E233" s="224"/>
      <c r="F233" s="224"/>
      <c r="G233" s="224"/>
      <c r="H233" s="224"/>
    </row>
    <row r="234" spans="1:8" x14ac:dyDescent="0.25">
      <c r="A234" s="224"/>
      <c r="B234" s="224"/>
      <c r="C234" s="224"/>
      <c r="D234" s="224"/>
      <c r="E234" s="224"/>
      <c r="F234" s="224"/>
      <c r="G234" s="224"/>
      <c r="H234" s="224"/>
    </row>
    <row r="235" spans="1:8" x14ac:dyDescent="0.25">
      <c r="A235" s="224"/>
      <c r="B235" s="224"/>
      <c r="C235" s="224"/>
      <c r="D235" s="224"/>
      <c r="E235" s="224"/>
      <c r="F235" s="224"/>
      <c r="G235" s="224"/>
      <c r="H235" s="224"/>
    </row>
    <row r="236" spans="1:8" x14ac:dyDescent="0.25">
      <c r="A236" s="35" t="s">
        <v>62</v>
      </c>
      <c r="B236" s="36"/>
      <c r="C236" s="36"/>
      <c r="D236" s="35" t="str">
        <f>E8</f>
        <v>Raheja Lunaris 1 (Calisto)</v>
      </c>
      <c r="F236" s="36"/>
      <c r="G236" s="36"/>
      <c r="H236" s="36"/>
    </row>
    <row r="237" spans="1:8" x14ac:dyDescent="0.25">
      <c r="A237" s="36"/>
      <c r="B237" s="36"/>
      <c r="C237" s="36"/>
      <c r="D237" s="36"/>
      <c r="E237" s="36"/>
      <c r="F237" s="36"/>
      <c r="G237" s="36"/>
      <c r="H237" s="36"/>
    </row>
    <row r="238" spans="1:8" x14ac:dyDescent="0.25">
      <c r="A238" s="36"/>
      <c r="B238" s="36"/>
      <c r="C238" s="36"/>
      <c r="D238" s="36"/>
      <c r="E238" s="36"/>
      <c r="F238" s="36"/>
      <c r="G238" s="36"/>
      <c r="H238" s="36"/>
    </row>
    <row r="278" spans="1:1" x14ac:dyDescent="0.25">
      <c r="A278" s="38" t="s">
        <v>178</v>
      </c>
    </row>
    <row r="320" spans="1:1" x14ac:dyDescent="0.25">
      <c r="A320" s="38" t="s">
        <v>63</v>
      </c>
    </row>
  </sheetData>
  <mergeCells count="428">
    <mergeCell ref="I223:O223"/>
    <mergeCell ref="A210:H210"/>
    <mergeCell ref="L180:M180"/>
    <mergeCell ref="A201:B201"/>
    <mergeCell ref="A205:B205"/>
    <mergeCell ref="A206:B206"/>
    <mergeCell ref="A207:B207"/>
    <mergeCell ref="L170:M170"/>
    <mergeCell ref="A208:B208"/>
    <mergeCell ref="L171:M171"/>
    <mergeCell ref="L177:M177"/>
    <mergeCell ref="A191:H191"/>
    <mergeCell ref="A192:H192"/>
    <mergeCell ref="A193:H193"/>
    <mergeCell ref="A195:H195"/>
    <mergeCell ref="A196:B196"/>
    <mergeCell ref="G196:H201"/>
    <mergeCell ref="A197:B197"/>
    <mergeCell ref="A198:B198"/>
    <mergeCell ref="A199:B199"/>
    <mergeCell ref="A204:B204"/>
    <mergeCell ref="A185:B185"/>
    <mergeCell ref="A186:B186"/>
    <mergeCell ref="A187:B187"/>
    <mergeCell ref="L154:M154"/>
    <mergeCell ref="L145:M145"/>
    <mergeCell ref="L146:M146"/>
    <mergeCell ref="L141:M141"/>
    <mergeCell ref="A182:B182"/>
    <mergeCell ref="L152:M152"/>
    <mergeCell ref="L153:M153"/>
    <mergeCell ref="L169:M169"/>
    <mergeCell ref="L179:M179"/>
    <mergeCell ref="L176:M176"/>
    <mergeCell ref="A180:B180"/>
    <mergeCell ref="L166:M166"/>
    <mergeCell ref="A181:B181"/>
    <mergeCell ref="G165:H171"/>
    <mergeCell ref="L142:M142"/>
    <mergeCell ref="L143:M143"/>
    <mergeCell ref="L144:M144"/>
    <mergeCell ref="L163:M163"/>
    <mergeCell ref="A178:B178"/>
    <mergeCell ref="L164:M164"/>
    <mergeCell ref="A179:B179"/>
    <mergeCell ref="A169:B169"/>
    <mergeCell ref="A170:B170"/>
    <mergeCell ref="A171:B171"/>
    <mergeCell ref="A168:B168"/>
    <mergeCell ref="C168:F168"/>
    <mergeCell ref="E123:E124"/>
    <mergeCell ref="G123:H124"/>
    <mergeCell ref="A202:H202"/>
    <mergeCell ref="A203:B203"/>
    <mergeCell ref="L168:M168"/>
    <mergeCell ref="G203:H209"/>
    <mergeCell ref="C206:F206"/>
    <mergeCell ref="A209:B209"/>
    <mergeCell ref="L172:M172"/>
    <mergeCell ref="L147:M147"/>
    <mergeCell ref="A143:B143"/>
    <mergeCell ref="A144:B144"/>
    <mergeCell ref="A145:B145"/>
    <mergeCell ref="A172:H172"/>
    <mergeCell ref="A156:H156"/>
    <mergeCell ref="A175:H175"/>
    <mergeCell ref="A194:H194"/>
    <mergeCell ref="C187:F187"/>
    <mergeCell ref="A188:B188"/>
    <mergeCell ref="A189:B189"/>
    <mergeCell ref="A190:B190"/>
    <mergeCell ref="L151:M151"/>
    <mergeCell ref="A177:B177"/>
    <mergeCell ref="G177:H182"/>
    <mergeCell ref="E118:F118"/>
    <mergeCell ref="G118:H118"/>
    <mergeCell ref="A133:B133"/>
    <mergeCell ref="A134:B134"/>
    <mergeCell ref="L129:M129"/>
    <mergeCell ref="L112:M112"/>
    <mergeCell ref="L150:M150"/>
    <mergeCell ref="A166:B166"/>
    <mergeCell ref="A163:B163"/>
    <mergeCell ref="A154:H154"/>
    <mergeCell ref="A159:B159"/>
    <mergeCell ref="A160:B160"/>
    <mergeCell ref="A161:B161"/>
    <mergeCell ref="A162:B162"/>
    <mergeCell ref="L137:M137"/>
    <mergeCell ref="L138:M138"/>
    <mergeCell ref="L139:M139"/>
    <mergeCell ref="L148:M148"/>
    <mergeCell ref="L149:M149"/>
    <mergeCell ref="L165:M165"/>
    <mergeCell ref="A164:H164"/>
    <mergeCell ref="A165:B165"/>
    <mergeCell ref="L130:M130"/>
    <mergeCell ref="E119:F119"/>
    <mergeCell ref="A86:B86"/>
    <mergeCell ref="A90:B90"/>
    <mergeCell ref="E90:F90"/>
    <mergeCell ref="G90:H90"/>
    <mergeCell ref="G91:H100"/>
    <mergeCell ref="E77:F86"/>
    <mergeCell ref="G77:H86"/>
    <mergeCell ref="A78:B78"/>
    <mergeCell ref="A56:B57"/>
    <mergeCell ref="C56:E56"/>
    <mergeCell ref="C48:E48"/>
    <mergeCell ref="G48:H48"/>
    <mergeCell ref="A49:B49"/>
    <mergeCell ref="C49:E49"/>
    <mergeCell ref="G49:H49"/>
    <mergeCell ref="A50:B51"/>
    <mergeCell ref="A68:C68"/>
    <mergeCell ref="D68:H68"/>
    <mergeCell ref="A71:C71"/>
    <mergeCell ref="D71:H71"/>
    <mergeCell ref="A229:H229"/>
    <mergeCell ref="A226:H226"/>
    <mergeCell ref="A115:B115"/>
    <mergeCell ref="D152:D153"/>
    <mergeCell ref="E152:E153"/>
    <mergeCell ref="G152:H153"/>
    <mergeCell ref="F102:H102"/>
    <mergeCell ref="A228:H228"/>
    <mergeCell ref="A224:H224"/>
    <mergeCell ref="A225:H225"/>
    <mergeCell ref="B218:H218"/>
    <mergeCell ref="B214:H214"/>
    <mergeCell ref="A107:E107"/>
    <mergeCell ref="F107:H107"/>
    <mergeCell ref="A120:B120"/>
    <mergeCell ref="C120:D120"/>
    <mergeCell ref="A129:B129"/>
    <mergeCell ref="A130:B130"/>
    <mergeCell ref="A131:B131"/>
    <mergeCell ref="A132:B132"/>
    <mergeCell ref="A135:B135"/>
    <mergeCell ref="A136:B136"/>
    <mergeCell ref="B152:B153"/>
    <mergeCell ref="C152:C153"/>
    <mergeCell ref="A232:H235"/>
    <mergeCell ref="A231:B231"/>
    <mergeCell ref="E231:F231"/>
    <mergeCell ref="C231:D231"/>
    <mergeCell ref="G231:H231"/>
    <mergeCell ref="A108:E108"/>
    <mergeCell ref="F108:H108"/>
    <mergeCell ref="A109:E109"/>
    <mergeCell ref="F109:H109"/>
    <mergeCell ref="A227:H227"/>
    <mergeCell ref="A114:H114"/>
    <mergeCell ref="A230:H230"/>
    <mergeCell ref="A119:B119"/>
    <mergeCell ref="B220:H220"/>
    <mergeCell ref="A152:A153"/>
    <mergeCell ref="E115:F115"/>
    <mergeCell ref="A112:B112"/>
    <mergeCell ref="E120:F120"/>
    <mergeCell ref="G120:H120"/>
    <mergeCell ref="A125:H125"/>
    <mergeCell ref="A127:H127"/>
    <mergeCell ref="A128:B128"/>
    <mergeCell ref="A121:H121"/>
    <mergeCell ref="C119:D1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5:B15"/>
    <mergeCell ref="A12:D12"/>
    <mergeCell ref="E12:H12"/>
    <mergeCell ref="A13:D13"/>
    <mergeCell ref="A10:D10"/>
    <mergeCell ref="E10:H10"/>
    <mergeCell ref="A21:D22"/>
    <mergeCell ref="E21:H22"/>
    <mergeCell ref="A14:B14"/>
    <mergeCell ref="C14:H14"/>
    <mergeCell ref="C15:H15"/>
    <mergeCell ref="A16:B16"/>
    <mergeCell ref="C16:H16"/>
    <mergeCell ref="A11:D11"/>
    <mergeCell ref="E11:H11"/>
    <mergeCell ref="E13:F13"/>
    <mergeCell ref="G13:H13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5:B35"/>
    <mergeCell ref="C35:E35"/>
    <mergeCell ref="A40:D40"/>
    <mergeCell ref="E40:H40"/>
    <mergeCell ref="F32:H32"/>
    <mergeCell ref="F33:H33"/>
    <mergeCell ref="A39:H39"/>
    <mergeCell ref="A66:C66"/>
    <mergeCell ref="F35:H35"/>
    <mergeCell ref="A37:B37"/>
    <mergeCell ref="A44:D44"/>
    <mergeCell ref="A45:D45"/>
    <mergeCell ref="A46:H46"/>
    <mergeCell ref="D63:H63"/>
    <mergeCell ref="A63:C63"/>
    <mergeCell ref="D61:H61"/>
    <mergeCell ref="G58:H58"/>
    <mergeCell ref="A58:B59"/>
    <mergeCell ref="C59:H59"/>
    <mergeCell ref="A38:B38"/>
    <mergeCell ref="C38:H38"/>
    <mergeCell ref="C37:H37"/>
    <mergeCell ref="A48:B48"/>
    <mergeCell ref="A41:D41"/>
    <mergeCell ref="B212:H212"/>
    <mergeCell ref="A155:H155"/>
    <mergeCell ref="L178:M178"/>
    <mergeCell ref="A36:H36"/>
    <mergeCell ref="A79:B79"/>
    <mergeCell ref="C50:E50"/>
    <mergeCell ref="G50:H50"/>
    <mergeCell ref="C115:D115"/>
    <mergeCell ref="G115:H115"/>
    <mergeCell ref="A42:D42"/>
    <mergeCell ref="E42:H42"/>
    <mergeCell ref="E43:H43"/>
    <mergeCell ref="E44:H44"/>
    <mergeCell ref="E45:H45"/>
    <mergeCell ref="A43:D43"/>
    <mergeCell ref="F101:H101"/>
    <mergeCell ref="A101:E101"/>
    <mergeCell ref="C55:H55"/>
    <mergeCell ref="E41:H41"/>
    <mergeCell ref="A105:E105"/>
    <mergeCell ref="C51:H51"/>
    <mergeCell ref="A60:H60"/>
    <mergeCell ref="A61:C61"/>
    <mergeCell ref="A47:B47"/>
    <mergeCell ref="C47:H47"/>
    <mergeCell ref="B217:H217"/>
    <mergeCell ref="F103:H103"/>
    <mergeCell ref="A103:E103"/>
    <mergeCell ref="D123:D124"/>
    <mergeCell ref="A138:B138"/>
    <mergeCell ref="A139:B139"/>
    <mergeCell ref="A142:B142"/>
    <mergeCell ref="G119:H119"/>
    <mergeCell ref="A147:B147"/>
    <mergeCell ref="A151:H151"/>
    <mergeCell ref="A54:B55"/>
    <mergeCell ref="C54:E54"/>
    <mergeCell ref="G54:H54"/>
    <mergeCell ref="A106:E106"/>
    <mergeCell ref="F106:H106"/>
    <mergeCell ref="F105:H105"/>
    <mergeCell ref="A102:E102"/>
    <mergeCell ref="A67:C67"/>
    <mergeCell ref="D66:H66"/>
    <mergeCell ref="D67:H67"/>
    <mergeCell ref="A94:B94"/>
    <mergeCell ref="A95:B95"/>
    <mergeCell ref="A85:B85"/>
    <mergeCell ref="L132:M132"/>
    <mergeCell ref="L125:M125"/>
    <mergeCell ref="L126:M126"/>
    <mergeCell ref="L136:M136"/>
    <mergeCell ref="L121:M121"/>
    <mergeCell ref="L120:M120"/>
    <mergeCell ref="L119:M119"/>
    <mergeCell ref="L118:M118"/>
    <mergeCell ref="B219:H219"/>
    <mergeCell ref="B213:H213"/>
    <mergeCell ref="B215:H215"/>
    <mergeCell ref="B216:H216"/>
    <mergeCell ref="A211:H211"/>
    <mergeCell ref="A157:H157"/>
    <mergeCell ref="A158:B158"/>
    <mergeCell ref="G158:H163"/>
    <mergeCell ref="A183:H183"/>
    <mergeCell ref="A184:B184"/>
    <mergeCell ref="G184:H190"/>
    <mergeCell ref="A200:B200"/>
    <mergeCell ref="A167:B167"/>
    <mergeCell ref="A173:H173"/>
    <mergeCell ref="A174:H174"/>
    <mergeCell ref="A176:H176"/>
    <mergeCell ref="L122:M122"/>
    <mergeCell ref="L123:M123"/>
    <mergeCell ref="L124:M124"/>
    <mergeCell ref="A96:B96"/>
    <mergeCell ref="A97:B97"/>
    <mergeCell ref="A98:B98"/>
    <mergeCell ref="A99:B99"/>
    <mergeCell ref="A87:B87"/>
    <mergeCell ref="A100:B100"/>
    <mergeCell ref="L113:M113"/>
    <mergeCell ref="L114:M114"/>
    <mergeCell ref="L115:M115"/>
    <mergeCell ref="C89:H89"/>
    <mergeCell ref="A89:B89"/>
    <mergeCell ref="C87:H87"/>
    <mergeCell ref="A92:B92"/>
    <mergeCell ref="A122:H122"/>
    <mergeCell ref="C123:C124"/>
    <mergeCell ref="B123:B124"/>
    <mergeCell ref="A123:A124"/>
    <mergeCell ref="A116:B116"/>
    <mergeCell ref="C116:D116"/>
    <mergeCell ref="E116:F116"/>
    <mergeCell ref="G116:H116"/>
    <mergeCell ref="G56:H56"/>
    <mergeCell ref="C57:H57"/>
    <mergeCell ref="A80:B80"/>
    <mergeCell ref="A81:B81"/>
    <mergeCell ref="A82:B82"/>
    <mergeCell ref="A83:B83"/>
    <mergeCell ref="A84:B84"/>
    <mergeCell ref="A62:C62"/>
    <mergeCell ref="D62:H62"/>
    <mergeCell ref="A77:B77"/>
    <mergeCell ref="D64:H64"/>
    <mergeCell ref="C58:E58"/>
    <mergeCell ref="A73:B73"/>
    <mergeCell ref="C73:H73"/>
    <mergeCell ref="A75:B75"/>
    <mergeCell ref="C75:H75"/>
    <mergeCell ref="A76:B76"/>
    <mergeCell ref="E76:F76"/>
    <mergeCell ref="G76:H76"/>
    <mergeCell ref="B222:H222"/>
    <mergeCell ref="B223:H223"/>
    <mergeCell ref="A52:B53"/>
    <mergeCell ref="C52:E52"/>
    <mergeCell ref="G52:H52"/>
    <mergeCell ref="C53:H53"/>
    <mergeCell ref="A64:C65"/>
    <mergeCell ref="D65:H65"/>
    <mergeCell ref="A150:B150"/>
    <mergeCell ref="A149:B149"/>
    <mergeCell ref="A148:B148"/>
    <mergeCell ref="A146:B146"/>
    <mergeCell ref="A69:C69"/>
    <mergeCell ref="D69:H69"/>
    <mergeCell ref="A72:C72"/>
    <mergeCell ref="D72:H72"/>
    <mergeCell ref="A70:C70"/>
    <mergeCell ref="D70:H70"/>
    <mergeCell ref="B221:H221"/>
    <mergeCell ref="A104:E104"/>
    <mergeCell ref="F104:H104"/>
    <mergeCell ref="A93:B93"/>
    <mergeCell ref="E91:F100"/>
    <mergeCell ref="A91:B91"/>
    <mergeCell ref="A126:H126"/>
    <mergeCell ref="G128:H139"/>
    <mergeCell ref="A140:H140"/>
    <mergeCell ref="G141:H150"/>
    <mergeCell ref="A110:H110"/>
    <mergeCell ref="A111:B111"/>
    <mergeCell ref="C111:D111"/>
    <mergeCell ref="E111:F111"/>
    <mergeCell ref="G111:H111"/>
    <mergeCell ref="C112:D112"/>
    <mergeCell ref="E112:F112"/>
    <mergeCell ref="G112:H112"/>
    <mergeCell ref="A113:B113"/>
    <mergeCell ref="C113:D113"/>
    <mergeCell ref="E113:F113"/>
    <mergeCell ref="G113:H113"/>
    <mergeCell ref="A137:B137"/>
    <mergeCell ref="A141:B141"/>
    <mergeCell ref="A117:B117"/>
    <mergeCell ref="C117:D117"/>
    <mergeCell ref="E117:F117"/>
    <mergeCell ref="G117:H117"/>
    <mergeCell ref="A118:B118"/>
    <mergeCell ref="C118:D118"/>
  </mergeCells>
  <hyperlinks>
    <hyperlink ref="I67" display="https://lunaris-juinagar.com/Raheja/?tm=tt&amp;ap=gads&amp;aaid=adauWHbALRFPS&amp;pp_pg=google&amp;pp_mobile=1&amp;pp_chatbox=1&amp;utm_source=website&amp;utm_medium=ppmcc&amp;utm_campaign=google-search&amp;Keyword=raheja%20lunaris&amp;Device=c&amp;ads_id=TBD&amp;ads_group_id=165880764458&amp;ads_extension"/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9" scale="97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8" max="7" man="1"/>
    <brk id="72" max="7" man="1"/>
    <brk id="210" max="7" man="1"/>
    <brk id="235" max="7" man="1"/>
    <brk id="277" max="7" man="1"/>
    <brk id="319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75" t="s">
        <v>95</v>
      </c>
      <c r="C3" s="275"/>
      <c r="D3" s="275"/>
      <c r="E3" s="275"/>
      <c r="F3" s="275"/>
      <c r="G3" s="275"/>
      <c r="H3" s="275"/>
    </row>
    <row r="4" spans="1:9" x14ac:dyDescent="0.25">
      <c r="A4" s="2"/>
      <c r="B4" s="3" t="s">
        <v>96</v>
      </c>
      <c r="C4" s="3" t="s">
        <v>97</v>
      </c>
      <c r="D4" s="3" t="s">
        <v>65</v>
      </c>
      <c r="E4" s="3" t="s">
        <v>98</v>
      </c>
      <c r="F4" s="3" t="s">
        <v>104</v>
      </c>
      <c r="G4" s="3" t="s">
        <v>105</v>
      </c>
      <c r="H4" s="3" t="s">
        <v>99</v>
      </c>
    </row>
    <row r="5" spans="1:9" ht="15" customHeight="1" x14ac:dyDescent="0.25">
      <c r="A5" s="2"/>
      <c r="B5" s="5" t="s">
        <v>100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102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103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2025-07-21T09:17:12Z</cp:lastPrinted>
  <dcterms:created xsi:type="dcterms:W3CDTF">2019-07-16T09:29:46Z</dcterms:created>
  <dcterms:modified xsi:type="dcterms:W3CDTF">2025-07-21T09:18:08Z</dcterms:modified>
</cp:coreProperties>
</file>