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51\Downloads\14292 - Sharda Serene\"/>
    </mc:Choice>
  </mc:AlternateContent>
  <bookViews>
    <workbookView xWindow="0" yWindow="0" windowWidth="20490" windowHeight="7455"/>
  </bookViews>
  <sheets>
    <sheet name="Report" sheetId="1" r:id="rId1"/>
    <sheet name="C%" sheetId="4" r:id="rId2"/>
  </sheets>
  <definedNames>
    <definedName name="_xlnm.Print_Area" localSheetId="0">Report!$A$1:$H$349</definedName>
  </definedNames>
  <calcPr calcId="152511"/>
</workbook>
</file>

<file path=xl/calcChain.xml><?xml version="1.0" encoding="utf-8"?>
<calcChain xmlns="http://schemas.openxmlformats.org/spreadsheetml/2006/main">
  <c r="I154" i="1" l="1"/>
  <c r="I155" i="1"/>
  <c r="I156" i="1"/>
  <c r="I157" i="1"/>
  <c r="I158" i="1"/>
  <c r="I153" i="1"/>
  <c r="I149" i="1"/>
  <c r="G28" i="1" l="1"/>
  <c r="G135" i="1"/>
  <c r="E135" i="1"/>
  <c r="C135" i="1"/>
  <c r="C134" i="1"/>
  <c r="C133" i="1"/>
  <c r="C132" i="1"/>
  <c r="C131" i="1"/>
  <c r="E131" i="1"/>
  <c r="E132" i="1"/>
  <c r="E133" i="1"/>
  <c r="E134" i="1"/>
  <c r="G134" i="1"/>
  <c r="G133" i="1"/>
  <c r="G132" i="1"/>
  <c r="G131" i="1"/>
  <c r="E177" i="1"/>
  <c r="D177" i="1"/>
  <c r="E176" i="1"/>
  <c r="D176" i="1"/>
  <c r="E175" i="1"/>
  <c r="D175" i="1"/>
  <c r="E174" i="1"/>
  <c r="D174" i="1"/>
  <c r="E173" i="1"/>
  <c r="D173" i="1"/>
  <c r="E172" i="1"/>
  <c r="D172" i="1"/>
  <c r="E168" i="1"/>
  <c r="D168" i="1"/>
  <c r="E167" i="1"/>
  <c r="D167" i="1"/>
  <c r="E166" i="1"/>
  <c r="D166" i="1"/>
  <c r="E165" i="1"/>
  <c r="D165" i="1"/>
  <c r="E164" i="1"/>
  <c r="D164" i="1"/>
  <c r="E163" i="1"/>
  <c r="D163" i="1"/>
  <c r="E158" i="1"/>
  <c r="D158" i="1"/>
  <c r="E157" i="1"/>
  <c r="D157" i="1"/>
  <c r="E156" i="1"/>
  <c r="D156" i="1"/>
  <c r="E155" i="1"/>
  <c r="D155" i="1"/>
  <c r="E154" i="1"/>
  <c r="D154" i="1"/>
  <c r="E153" i="1"/>
  <c r="D153" i="1"/>
  <c r="E149" i="1"/>
  <c r="E148" i="1"/>
  <c r="E147" i="1"/>
  <c r="E146" i="1"/>
  <c r="E145" i="1"/>
  <c r="D149" i="1"/>
  <c r="D148" i="1"/>
  <c r="D147" i="1"/>
  <c r="D146" i="1"/>
  <c r="D145" i="1"/>
  <c r="J115" i="1"/>
  <c r="J114" i="1"/>
  <c r="J113" i="1"/>
  <c r="J112" i="1"/>
  <c r="J101" i="1"/>
  <c r="J100" i="1"/>
  <c r="J99" i="1"/>
  <c r="J98" i="1"/>
  <c r="J87" i="1"/>
  <c r="J86" i="1"/>
  <c r="J85" i="1"/>
  <c r="J84" i="1"/>
  <c r="G41" i="1"/>
  <c r="H91" i="1"/>
  <c r="H105" i="1"/>
  <c r="H77" i="1"/>
  <c r="J93" i="1" l="1"/>
  <c r="F101" i="1"/>
  <c r="F99" i="1"/>
  <c r="F97" i="1"/>
  <c r="J95" i="1"/>
  <c r="E94" i="1" s="1"/>
  <c r="F94" i="1" s="1"/>
  <c r="F103" i="1"/>
  <c r="J96" i="1"/>
  <c r="J97" i="1" s="1"/>
  <c r="J102" i="1" s="1"/>
  <c r="J103" i="1" s="1"/>
  <c r="E95" i="1" s="1"/>
  <c r="F95" i="1" s="1"/>
  <c r="J94" i="1"/>
  <c r="F102" i="1"/>
  <c r="F100" i="1"/>
  <c r="F98" i="1"/>
  <c r="F96" i="1"/>
  <c r="J107" i="1"/>
  <c r="F115" i="1"/>
  <c r="F113" i="1"/>
  <c r="F111" i="1"/>
  <c r="J109" i="1"/>
  <c r="E108" i="1" s="1"/>
  <c r="F108" i="1" s="1"/>
  <c r="F117" i="1"/>
  <c r="J110" i="1"/>
  <c r="J111" i="1" s="1"/>
  <c r="J116" i="1" s="1"/>
  <c r="J117" i="1" s="1"/>
  <c r="E109" i="1" s="1"/>
  <c r="G108" i="1" s="1"/>
  <c r="J108" i="1"/>
  <c r="F116" i="1"/>
  <c r="F114" i="1"/>
  <c r="F112" i="1"/>
  <c r="F110" i="1"/>
  <c r="F89" i="1"/>
  <c r="F88" i="1"/>
  <c r="J79" i="1"/>
  <c r="F87" i="1"/>
  <c r="F85" i="1"/>
  <c r="F83" i="1"/>
  <c r="J81" i="1"/>
  <c r="E80" i="1" s="1"/>
  <c r="F80" i="1" s="1"/>
  <c r="J82" i="1"/>
  <c r="J83" i="1" s="1"/>
  <c r="J88" i="1" s="1"/>
  <c r="J89" i="1" s="1"/>
  <c r="E81" i="1" s="1"/>
  <c r="F81" i="1" s="1"/>
  <c r="J80" i="1"/>
  <c r="F86" i="1"/>
  <c r="F84" i="1"/>
  <c r="F82" i="1"/>
  <c r="F187" i="1"/>
  <c r="A183" i="1"/>
  <c r="A184" i="1" s="1"/>
  <c r="A185" i="1" s="1"/>
  <c r="A186" i="1" s="1"/>
  <c r="A187" i="1" s="1"/>
  <c r="A188" i="1" s="1"/>
  <c r="A189" i="1" s="1"/>
  <c r="A190" i="1" s="1"/>
  <c r="A191" i="1" s="1"/>
  <c r="A173" i="1"/>
  <c r="A174" i="1" s="1"/>
  <c r="A175" i="1" s="1"/>
  <c r="A176" i="1" s="1"/>
  <c r="A177" i="1" s="1"/>
  <c r="A164" i="1"/>
  <c r="A165" i="1" s="1"/>
  <c r="A166" i="1" s="1"/>
  <c r="A167" i="1" s="1"/>
  <c r="A168" i="1" s="1"/>
  <c r="A154" i="1"/>
  <c r="A155" i="1" s="1"/>
  <c r="A156" i="1" s="1"/>
  <c r="A157" i="1" s="1"/>
  <c r="A158" i="1" s="1"/>
  <c r="A146" i="1"/>
  <c r="A147" i="1" s="1"/>
  <c r="A148" i="1" s="1"/>
  <c r="A149" i="1" s="1"/>
  <c r="F177" i="1"/>
  <c r="H177" i="1" s="1"/>
  <c r="F176" i="1"/>
  <c r="H176" i="1" s="1"/>
  <c r="F175" i="1"/>
  <c r="H175" i="1" s="1"/>
  <c r="F174" i="1"/>
  <c r="H174" i="1" s="1"/>
  <c r="F173" i="1"/>
  <c r="H173" i="1" s="1"/>
  <c r="F172" i="1"/>
  <c r="H172" i="1" s="1"/>
  <c r="F168" i="1"/>
  <c r="H168" i="1" s="1"/>
  <c r="F167" i="1"/>
  <c r="H167" i="1" s="1"/>
  <c r="F166" i="1"/>
  <c r="H166" i="1" s="1"/>
  <c r="F165" i="1"/>
  <c r="H165" i="1" s="1"/>
  <c r="F164" i="1"/>
  <c r="H164" i="1" s="1"/>
  <c r="F163" i="1"/>
  <c r="H163" i="1" s="1"/>
  <c r="F158" i="1"/>
  <c r="H158" i="1" s="1"/>
  <c r="F157" i="1"/>
  <c r="H157" i="1" s="1"/>
  <c r="F156" i="1"/>
  <c r="H156" i="1" s="1"/>
  <c r="F155" i="1"/>
  <c r="H155" i="1" s="1"/>
  <c r="F154" i="1"/>
  <c r="H154" i="1" s="1"/>
  <c r="F153" i="1"/>
  <c r="H153" i="1" s="1"/>
  <c r="F149" i="1"/>
  <c r="H149" i="1" s="1"/>
  <c r="F148" i="1"/>
  <c r="H148" i="1" s="1"/>
  <c r="F147" i="1"/>
  <c r="H147" i="1" s="1"/>
  <c r="F146" i="1"/>
  <c r="H146" i="1" s="1"/>
  <c r="F145" i="1"/>
  <c r="H145" i="1" s="1"/>
  <c r="F109" i="1" l="1"/>
  <c r="I104" i="1"/>
  <c r="C106" i="1" s="1"/>
  <c r="G80" i="1"/>
  <c r="I76" i="1" s="1"/>
  <c r="C78" i="1" s="1"/>
  <c r="G94" i="1"/>
  <c r="I90" i="1" s="1"/>
  <c r="C92" i="1" s="1"/>
  <c r="C8" i="1" l="1"/>
  <c r="J73" i="1" l="1"/>
  <c r="J72" i="1"/>
  <c r="J71" i="1"/>
  <c r="J70" i="1"/>
  <c r="H63" i="1"/>
  <c r="J67" i="1" l="1"/>
  <c r="E66" i="1" s="1"/>
  <c r="F66" i="1" s="1"/>
  <c r="J65" i="1"/>
  <c r="F70" i="1"/>
  <c r="F75" i="1"/>
  <c r="F69" i="1"/>
  <c r="J68" i="1"/>
  <c r="J69" i="1" s="1"/>
  <c r="J74" i="1" s="1"/>
  <c r="J75" i="1" s="1"/>
  <c r="E67" i="1" s="1"/>
  <c r="F67" i="1" s="1"/>
  <c r="F71" i="1"/>
  <c r="F74" i="1"/>
  <c r="F68" i="1"/>
  <c r="F72" i="1"/>
  <c r="F73" i="1"/>
  <c r="J66" i="1"/>
  <c r="G66" i="1" l="1"/>
  <c r="I62" i="1" s="1"/>
  <c r="C64" i="1" s="1"/>
  <c r="G42" i="1" l="1"/>
  <c r="G5" i="1" l="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192"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60" authorId="0" shapeId="0">
      <text>
        <r>
          <rPr>
            <b/>
            <sz val="9"/>
            <color indexed="81"/>
            <rFont val="Tahoma"/>
            <family val="2"/>
          </rPr>
          <t>RERA Start date</t>
        </r>
      </text>
    </comment>
    <comment ref="H120" authorId="0" shapeId="0">
      <text>
        <r>
          <rPr>
            <b/>
            <sz val="9"/>
            <color indexed="81"/>
            <rFont val="Tahoma"/>
            <family val="2"/>
          </rPr>
          <t>if multiple buildings are in project and are connected internally</t>
        </r>
      </text>
    </comment>
    <comment ref="C122" authorId="0" shapeId="0">
      <text>
        <r>
          <rPr>
            <b/>
            <sz val="9"/>
            <color indexed="81"/>
            <rFont val="Tahoma"/>
            <family val="2"/>
          </rPr>
          <t>AAC Block or Brick</t>
        </r>
      </text>
    </comment>
    <comment ref="H124"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<sst xmlns="http://schemas.openxmlformats.org/spreadsheetml/2006/main" count="477" uniqueCount="285">
  <si>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</si>
  <si>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</si>
  <si>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</si>
  <si>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</si>
  <si>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</si>
  <si>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</si>
  <si>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</si>
  <si>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</si>
  <si>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</si>
  <si>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</si>
  <si>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</si>
  <si>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</si>
  <si>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</si>
  <si>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</si>
  <si>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</si>
  <si>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</si>
  <si>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</si>
  <si>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</si>
  <si>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</si>
  <si>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</si>
  <si>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</si>
  <si>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</si>
  <si>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</si>
  <si>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</si>
  <si>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</si>
  <si>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</si>
  <si>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</si>
  <si>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</si>
  <si>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</si>
  <si>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</si>
  <si>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</si>
  <si>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</si>
  <si>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</si>
  <si>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</si>
  <si>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</si>
  <si>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</si>
  <si>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</si>
  <si>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</si>
  <si>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</si>
  <si>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</si>
  <si>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</si>
  <si>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</si>
  <si>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</si>
  <si>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</si>
  <si>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</si>
  <si>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</si>
  <si>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</si>
  <si>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</si>
  <si>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</si>
  <si>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</si>
  <si>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</si>
  <si>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</si>
  <si>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</si>
  <si>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</si>
  <si>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</si>
  <si>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</si>
  <si>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</si>
  <si>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</si>
  <si>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</si>
  <si>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</si>
  <si>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</si>
  <si>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</si>
  <si>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</si>
  <si>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</si>
  <si>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</si>
  <si>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</si>
  <si>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</si>
  <si>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</si>
  <si>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</si>
  <si>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</si>
  <si>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</si>
  <si>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</si>
  <si>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</si>
  <si>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</si>
  <si>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</si>
  <si>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</si>
  <si>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</si>
  <si>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</si>
  <si>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</si>
  <si>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</si>
  <si>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</si>
  <si>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</si>
  <si>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</si>
  <si>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</si>
  <si>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</si>
  <si>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</si>
  <si>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</si>
  <si>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</si>
  <si>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</si>
  <si>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</si>
  <si>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</si>
  <si>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</si>
  <si>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</si>
  <si>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</si>
  <si>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</si>
  <si>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</si>
  <si>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</si>
  <si>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</si>
  <si>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</si>
  <si>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</si>
  <si>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</si>
  <si>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</si>
  <si>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</si>
  <si>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</si>
  <si>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</si>
  <si>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</si>
  <si>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</si>
  <si>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Mahindra Rural Housing Finance - Kalyan</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</si>
  <si>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</si>
  <si>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</si>
  <si>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</si>
  <si>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</si>
  <si>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</si>
  <si>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</si>
  <si>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</si>
  <si>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</si>
  <si>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</si>
  <si>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</si>
  <si>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</si>
  <si>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</si>
  <si>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</si>
  <si>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</si>
  <si>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</si>
  <si>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</si>
  <si>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</si>
  <si>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</si>
  <si>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</si>
  <si>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</si>
  <si>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</si>
  <si>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</si>
  <si>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</si>
  <si>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</si>
  <si>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</si>
  <si>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</si>
  <si>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</si>
  <si>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</si>
  <si>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</si>
  <si>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</si>
  <si>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</si>
  <si>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</si>
  <si>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</si>
  <si>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</si>
  <si>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</si>
  <si>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</si>
  <si>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</si>
  <si>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</si>
  <si>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</si>
  <si>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</si>
  <si>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</si>
  <si>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</si>
  <si>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</si>
  <si>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</si>
  <si>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</si>
  <si>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</si>
  <si>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</si>
  <si>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</si>
  <si>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</si>
  <si>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</si>
  <si>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</si>
  <si>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</si>
  <si>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</si>
  <si>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</si>
  <si>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</si>
  <si>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</si>
  <si>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</si>
  <si>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</si>
  <si>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</si>
  <si>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</si>
  <si>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</si>
  <si>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</si>
  <si>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</si>
  <si>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</si>
  <si>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</si>
  <si>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</si>
  <si>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</si>
  <si>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</si>
  <si>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</si>
  <si>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</si>
  <si>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</si>
  <si>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</si>
  <si>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</si>
  <si>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</si>
  <si>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</si>
  <si>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</si>
  <si>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</si>
  <si>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</si>
  <si>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</si>
  <si>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</si>
  <si>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</si>
  <si>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</si>
  <si>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</si>
  <si>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</si>
  <si>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</si>
  <si>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</si>
  <si>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</si>
  <si>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Building &amp; Wing</t>
  </si>
  <si>
    <t>No. of Units</t>
  </si>
  <si>
    <t>Total Carpet Area</t>
  </si>
  <si>
    <t>Total Saleable Area</t>
  </si>
  <si>
    <t>Wing A</t>
  </si>
  <si>
    <t>Total</t>
  </si>
  <si>
    <t>Residential Area Details :</t>
  </si>
  <si>
    <t>Wing B</t>
  </si>
  <si>
    <t>Grand Total</t>
  </si>
  <si>
    <t>Approved No. of Floor</t>
  </si>
  <si>
    <t>Proposed No. of Floor</t>
  </si>
  <si>
    <t>Flat No.
(Approved
Plan)</t>
  </si>
  <si>
    <t>Flat No. (Sale Plan)</t>
  </si>
  <si>
    <t>Carpet area</t>
  </si>
  <si>
    <t>Gross Carpet area</t>
  </si>
  <si>
    <t>Attached Terrace area</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</si>
  <si>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</si>
  <si>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</si>
  <si>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</si>
  <si>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</si>
  <si>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</si>
  <si>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</si>
  <si>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</si>
  <si>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</si>
  <si>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</si>
  <si>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</si>
  <si>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</si>
  <si>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</si>
  <si>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</si>
  <si>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</si>
  <si>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</si>
  <si>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</si>
  <si>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</si>
  <si>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</si>
  <si>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Sharda Serene</t>
  </si>
  <si>
    <t>Survey No</t>
  </si>
  <si>
    <t>15/1/A and 15/1/B</t>
  </si>
  <si>
    <t>Mharal</t>
  </si>
  <si>
    <t>Ahilyanagar Kalyan Road</t>
  </si>
  <si>
    <t>PR1330002400054</t>
  </si>
  <si>
    <t>Sundew Complex</t>
  </si>
  <si>
    <t>19.2460556,73.1746389</t>
  </si>
  <si>
    <t>https://maps.app.goo.gl/a2cr4AWs1xuMB1HS7</t>
  </si>
  <si>
    <t xml:space="preserve">Flat 701, CTS 3342,  3345, 3347, Sai Arcade, Near Gita Marriage Hall, Subhash Road, Shivaji Chowk, Bazar Peth Police Station, Tal. Kalyan, Dist. Thane 421301. </t>
  </si>
  <si>
    <t>M/s. Shardhha Buildscape LLP</t>
  </si>
  <si>
    <t>Saraswat Cooperative Bank Limited
IFSC Code - SRCB0000345</t>
  </si>
  <si>
    <t>Mr. Rahul B Nandwani 9833537363</t>
  </si>
  <si>
    <t>District Collector, Thane</t>
  </si>
  <si>
    <t>Apartments</t>
  </si>
  <si>
    <t>Building 1 (Wing A &amp; B)
Building 2 (Wing A &amp; B)</t>
  </si>
  <si>
    <t>Building 1 (Wing A) = G + 1st to 7th Floor
Building 1 (Wing B) = G + 1st to 7th Floor
Building 2 (Wing A) = G + 1st to 7th Floor
Building 2 (Wing B) = G + 1st to 7th Floor</t>
  </si>
  <si>
    <t>Adj S. No. 66</t>
  </si>
  <si>
    <t>Adj S. No. 68</t>
  </si>
  <si>
    <t>House</t>
  </si>
  <si>
    <t>Adj S. No. 65</t>
  </si>
  <si>
    <t>Priti Academy Law College</t>
  </si>
  <si>
    <t>Adj S. No. 87</t>
  </si>
  <si>
    <t>Mahadev Enclaves</t>
  </si>
  <si>
    <t>Survey No. 15, Hissa No. 1/A and Survey No. 15, Hissa No.1/B</t>
  </si>
  <si>
    <t>RPTHA/B/2024/APL/00042</t>
  </si>
  <si>
    <t>RPTHA/B/2024/APL/00042
Building 1 = G + 1st to 7th Floor
Building 2 = G + 1st to 7th Floor</t>
  </si>
  <si>
    <t>Building No. 1 (Wing A)= Gr + 1st + 7th Floor</t>
  </si>
  <si>
    <t>Building No. 1 (Wing B)= Gr + 1st + 7th Floor</t>
  </si>
  <si>
    <t>Building No. 2 (Wing A)= Gr + 1st + 7th Floor</t>
  </si>
  <si>
    <t>Building No. 2 (Wing B)= Gr + 1st + 7th Floor</t>
  </si>
  <si>
    <t>Building 1</t>
  </si>
  <si>
    <t>Building 2</t>
  </si>
  <si>
    <t xml:space="preserve">Details of Residential in Building   </t>
  </si>
  <si>
    <t>AP Area</t>
  </si>
  <si>
    <t>Ground Floor For Parking, Driver Room &amp; Society Office</t>
  </si>
  <si>
    <t>1st to 7th Floor For Residential</t>
  </si>
  <si>
    <t>1.5BHK</t>
  </si>
  <si>
    <t>2BHK</t>
  </si>
  <si>
    <t>Ground Floor For Parking</t>
  </si>
  <si>
    <t>Ground Floor For Parking &amp; Entrance Lobby</t>
  </si>
  <si>
    <r>
      <t>Remark (</t>
    </r>
    <r>
      <rPr>
        <sz val="10"/>
        <rFont val="Times New Roman"/>
        <family val="1"/>
      </rPr>
      <t>Flat configuration /Bungalows, etc.)</t>
    </r>
  </si>
  <si>
    <t>OK</t>
  </si>
  <si>
    <t>Flats = 161</t>
  </si>
  <si>
    <t>Construction/Building Permission
Valid Upto</t>
  </si>
  <si>
    <t>1. 0.40 km from Priti Academy Law College
2. 0.80 km from Guru Gobind Singh High School
3. 0.45 km from Ulhasnagar Municipal Corporation Super Speciality Hospital
4. 1.50 km from Century Rayon Hospital Trust
5. 0.70 km from D Mart
6. 0.75 km from Siddhivinayak Bazaar
7. 0.70 km from Shiv Mandir
8. 0.75 km from Siddhivinayak Mandir
9. 2.70 km from Shahad Phatak Bus stop
10. 2.10 km from Shahad Railway Station</t>
  </si>
  <si>
    <t xml:space="preserve">Construction work is in process at the time of Visit (labour found)
</t>
  </si>
  <si>
    <t>We considered Gross carpet area = Net carpet + AP Area.</t>
  </si>
  <si>
    <t>Mr. Krishna Kambali</t>
  </si>
  <si>
    <t>14/07/2025 at 14:58</t>
  </si>
  <si>
    <t>Ms. Riya Shah 8108389545</t>
  </si>
  <si>
    <t>Brick</t>
  </si>
  <si>
    <t>2,00,000/-</t>
  </si>
  <si>
    <t>On Site, we meet Ms. Riya Shah 8108389545</t>
  </si>
  <si>
    <t>Yes, Approx 9M</t>
  </si>
  <si>
    <t>Building 1 (Wing A &amp; B) = G + 1st to 7th Floor (Height = 29.51 Mtrs)
Building 2 (Wing A &amp; B) = G + 1st to 7th Floor (Height = 29.51 Mtrs)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</si>
</sst>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0"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
      <sz val="12"/>
      <color theme="1"/>
      <name val="Times New Roman"/>
      <family val="1"/>
    </font>
    <font>
      <b/>
      <sz val="12"/>
      <color theme="1"/>
      <name val="Times New Roman"/>
      <family val="1"/>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260">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Fill="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Fill="1" applyBorder="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9" fontId="6" fillId="3" borderId="4" xfId="1" applyNumberFormat="1" applyFont="1" applyFill="1" applyBorder="1" applyAlignment="1" applyProtection="1">
      <alignment horizontal="center" vertical="center" wrapText="1"/>
      <protection hidden="1"/>
    </xf>
    <xf numFmtId="0" fontId="5" fillId="0" borderId="3" xfId="0" applyNumberFormat="1"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9" fontId="6" fillId="3" borderId="12" xfId="1" applyNumberFormat="1" applyFont="1" applyFill="1" applyBorder="1" applyAlignment="1" applyProtection="1">
      <alignment horizontal="center" vertical="center" wrapText="1"/>
      <protection hidden="1"/>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0" fontId="5" fillId="2" borderId="4" xfId="0" applyFont="1" applyFill="1" applyBorder="1" applyAlignment="1">
      <alignment horizontal="center" vertical="center" wrapText="1"/>
    </xf>
    <xf numFmtId="0" fontId="6" fillId="3" borderId="4" xfId="1" applyFont="1" applyFill="1" applyBorder="1" applyAlignment="1" applyProtection="1">
      <alignment horizontal="center" vertical="top" wrapText="1"/>
      <protection locked="0"/>
    </xf>
    <xf numFmtId="9" fontId="6" fillId="3" borderId="4"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0" fontId="8" fillId="3" borderId="4" xfId="0" applyFont="1" applyFill="1" applyBorder="1" applyAlignment="1">
      <alignment horizontal="center" vertical="center" wrapText="1"/>
    </xf>
    <xf numFmtId="0" fontId="18" fillId="0" borderId="0" xfId="1" applyFont="1" applyAlignment="1">
      <alignment horizontal="center" vertical="center"/>
    </xf>
    <xf numFmtId="1" fontId="18" fillId="0" borderId="0" xfId="1" applyNumberFormat="1" applyFont="1" applyAlignment="1">
      <alignment horizontal="center" vertical="center"/>
    </xf>
    <xf numFmtId="0" fontId="19" fillId="0" borderId="0" xfId="1" applyFont="1" applyAlignment="1">
      <alignment horizontal="center" vertical="center"/>
    </xf>
    <xf numFmtId="0" fontId="7" fillId="2" borderId="29" xfId="0" applyFont="1" applyFill="1" applyBorder="1" applyAlignment="1">
      <alignment horizontal="center" vertical="top" wrapText="1"/>
    </xf>
    <xf numFmtId="0" fontId="7" fillId="2" borderId="14" xfId="0" applyFont="1" applyFill="1" applyBorder="1" applyAlignment="1">
      <alignment horizontal="center" vertical="top" wrapText="1"/>
    </xf>
    <xf numFmtId="9" fontId="7" fillId="2" borderId="20" xfId="0" applyNumberFormat="1" applyFont="1" applyFill="1" applyBorder="1" applyAlignment="1">
      <alignment horizontal="center" vertical="top" wrapText="1"/>
    </xf>
    <xf numFmtId="9" fontId="7" fillId="2" borderId="13" xfId="2" applyFont="1" applyFill="1" applyBorder="1" applyAlignment="1" applyProtection="1">
      <alignment horizontal="center" vertical="top" wrapText="1"/>
      <protection locked="0"/>
    </xf>
    <xf numFmtId="0" fontId="11" fillId="0" borderId="0" xfId="0" applyFont="1" applyAlignment="1">
      <alignment horizontal="center"/>
    </xf>
    <xf numFmtId="9" fontId="7" fillId="3" borderId="8" xfId="0" applyNumberFormat="1" applyFont="1" applyFill="1" applyBorder="1" applyAlignment="1">
      <alignment horizontal="left" vertical="top" wrapText="1"/>
    </xf>
    <xf numFmtId="0" fontId="8" fillId="3" borderId="4" xfId="1" applyFont="1" applyFill="1" applyBorder="1" applyAlignment="1" applyProtection="1">
      <alignment horizontal="center" wrapText="1"/>
      <protection locked="0"/>
    </xf>
    <xf numFmtId="1" fontId="8" fillId="3" borderId="4" xfId="1" applyNumberFormat="1" applyFont="1" applyFill="1" applyBorder="1" applyAlignment="1" applyProtection="1">
      <alignment horizontal="center" wrapText="1"/>
      <protection locked="0"/>
    </xf>
    <xf numFmtId="0" fontId="8" fillId="3" borderId="12" xfId="1" applyFont="1" applyFill="1" applyBorder="1" applyAlignment="1" applyProtection="1">
      <alignment horizontal="center" wrapText="1"/>
      <protection locked="0"/>
    </xf>
    <xf numFmtId="0" fontId="9" fillId="3" borderId="4" xfId="0" applyFont="1" applyFill="1" applyBorder="1" applyAlignment="1">
      <alignment horizontal="center" vertical="center" wrapText="1"/>
    </xf>
    <xf numFmtId="0" fontId="18" fillId="0" borderId="0" xfId="1" applyFont="1" applyAlignment="1">
      <alignment horizontal="center" vertical="center"/>
    </xf>
    <xf numFmtId="0" fontId="9" fillId="3" borderId="13" xfId="0" applyFont="1" applyFill="1" applyBorder="1" applyAlignment="1">
      <alignment horizontal="center" vertical="center" wrapText="1"/>
    </xf>
    <xf numFmtId="9" fontId="6" fillId="3" borderId="4" xfId="0" applyNumberFormat="1" applyFont="1" applyFill="1" applyBorder="1" applyAlignment="1">
      <alignment horizontal="center"/>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9" fontId="6" fillId="3" borderId="12" xfId="0" applyNumberFormat="1" applyFont="1" applyFill="1" applyBorder="1" applyAlignment="1">
      <alignment horizontal="center"/>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1" fontId="5" fillId="5" borderId="4" xfId="0" applyNumberFormat="1" applyFont="1" applyFill="1" applyBorder="1" applyAlignment="1">
      <alignment horizontal="center" vertical="center"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6" fillId="3" borderId="4" xfId="0" applyFont="1" applyFill="1" applyBorder="1" applyAlignment="1">
      <alignment horizontal="center"/>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9" fillId="2" borderId="4" xfId="0" applyFont="1" applyFill="1" applyBorder="1" applyAlignment="1">
      <alignment horizontal="center" vertical="center"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1" fontId="9" fillId="5" borderId="7" xfId="0" applyNumberFormat="1" applyFont="1" applyFill="1" applyBorder="1" applyAlignment="1">
      <alignment horizontal="center" vertical="center" wrapText="1"/>
    </xf>
    <xf numFmtId="0" fontId="9" fillId="5" borderId="1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2" borderId="14" xfId="1" applyFont="1" applyFill="1" applyBorder="1" applyAlignment="1" applyProtection="1">
      <alignment horizontal="center" vertical="top" wrapText="1"/>
      <protection locked="0"/>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0" fontId="8" fillId="3" borderId="10" xfId="0" applyFont="1" applyFill="1" applyBorder="1" applyAlignment="1">
      <alignment horizontal="center" vertical="center"/>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12" fillId="2" borderId="29"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9"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8"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2" fillId="2" borderId="7" xfId="0" applyFont="1" applyFill="1" applyBorder="1" applyAlignment="1">
      <alignment vertical="top" wrapText="1"/>
    </xf>
    <xf numFmtId="0" fontId="12" fillId="2" borderId="10" xfId="0" applyFont="1" applyFill="1" applyBorder="1" applyAlignment="1">
      <alignment vertical="top" wrapText="1"/>
    </xf>
    <xf numFmtId="0" fontId="5" fillId="3" borderId="4" xfId="0" applyFont="1" applyFill="1" applyBorder="1" applyAlignment="1">
      <alignment horizontal="left" vertical="center"/>
    </xf>
    <xf numFmtId="2" fontId="8"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8" fillId="3" borderId="13" xfId="0" applyFont="1" applyFill="1" applyBorder="1" applyAlignment="1">
      <alignment horizontal="left" vertical="center"/>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5" fillId="3" borderId="4" xfId="0" applyFont="1" applyFill="1" applyBorder="1" applyAlignment="1">
      <alignment horizontal="left" vertical="top"/>
    </xf>
    <xf numFmtId="0" fontId="8"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ill="1" applyBorder="1" applyAlignment="1">
      <alignment horizontal="center"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5" fillId="3" borderId="4" xfId="0" applyFont="1" applyFill="1" applyBorder="1" applyAlignment="1">
      <alignment horizontal="left" vertical="top" wrapText="1"/>
    </xf>
    <xf numFmtId="0" fontId="9" fillId="2" borderId="4" xfId="0" applyFont="1" applyFill="1" applyBorder="1" applyAlignment="1">
      <alignment horizontal="left" vertical="top" wrapText="1"/>
    </xf>
    <xf numFmtId="1" fontId="8" fillId="3" borderId="4" xfId="0" applyNumberFormat="1" applyFont="1" applyFill="1" applyBorder="1" applyAlignment="1">
      <alignment horizontal="left" vertical="top"/>
    </xf>
    <xf numFmtId="0" fontId="5" fillId="3" borderId="4" xfId="0" applyFont="1" applyFill="1" applyBorder="1" applyAlignment="1">
      <alignment horizontal="left" vertical="center" wrapText="1"/>
    </xf>
    <xf numFmtId="2" fontId="8" fillId="3" borderId="7" xfId="0" applyNumberFormat="1" applyFont="1" applyFill="1" applyBorder="1" applyAlignment="1">
      <alignment horizontal="center" vertical="center" wrapText="1"/>
    </xf>
    <xf numFmtId="2" fontId="8" fillId="3" borderId="10" xfId="0" applyNumberFormat="1" applyFont="1" applyFill="1" applyBorder="1" applyAlignment="1">
      <alignment horizontal="center" vertical="center" wrapText="1"/>
    </xf>
    <xf numFmtId="0" fontId="9" fillId="2" borderId="4" xfId="0" applyFont="1" applyFill="1" applyBorder="1" applyAlignment="1">
      <alignment horizontal="center" vertical="top" wrapText="1"/>
    </xf>
    <xf numFmtId="0" fontId="8" fillId="3"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xf numFmtId="0" fontId="6" fillId="3" borderId="4" xfId="0" applyFont="1" applyFill="1" applyBorder="1" applyAlignment="1">
      <alignment horizontal="left" vertical="center"/>
    </xf>
    <xf numFmtId="3" fontId="1" fillId="3"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7" xfId="0" applyFont="1" applyFill="1" applyBorder="1" applyAlignment="1">
      <alignment horizontal="left" vertical="center" wrapText="1"/>
    </xf>
    <xf numFmtId="1" fontId="6" fillId="0" borderId="0" xfId="0" applyNumberFormat="1" applyFont="1"/>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45</xdr:row>
      <xdr:rowOff>0</xdr:rowOff>
    </xdr:from>
    <xdr:to>
      <xdr:col>9</xdr:col>
      <xdr:colOff>304800</xdr:colOff>
      <xdr:row>45</xdr:row>
      <xdr:rowOff>304800</xdr:rowOff>
    </xdr:to>
    <xdr:sp macro="" textlink="">
      <xdr:nvSpPr>
        <xdr:cNvPr id="1045" name="AutoShape 21" descr="blob:https://web.whatsapp.com/29fd7f8f-6570-47c2-89c8-cafc24f24f30"/>
        <xdr:cNvSpPr>
          <a:spLocks noChangeAspect="1" noChangeArrowheads="1"/>
        </xdr:cNvSpPr>
      </xdr:nvSpPr>
      <xdr:spPr bwMode="auto">
        <a:xfrm>
          <a:off x="7667625" y="1244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124239</xdr:colOff>
      <xdr:row>45</xdr:row>
      <xdr:rowOff>33159</xdr:rowOff>
    </xdr:from>
    <xdr:to>
      <xdr:col>10</xdr:col>
      <xdr:colOff>239674</xdr:colOff>
      <xdr:row>47</xdr:row>
      <xdr:rowOff>465004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9413" y="12539898"/>
          <a:ext cx="1656000" cy="1243541"/>
        </a:xfrm>
        <a:prstGeom prst="rect">
          <a:avLst/>
        </a:prstGeom>
      </xdr:spPr>
    </xdr:pic>
    <xdr:clientData/>
  </xdr:twoCellAnchor>
  <xdr:twoCellAnchor>
    <xdr:from>
      <xdr:col>0</xdr:col>
      <xdr:colOff>107672</xdr:colOff>
      <xdr:row>247</xdr:row>
      <xdr:rowOff>49690</xdr:rowOff>
    </xdr:from>
    <xdr:to>
      <xdr:col>7</xdr:col>
      <xdr:colOff>770281</xdr:colOff>
      <xdr:row>293</xdr:row>
      <xdr:rowOff>165646</xdr:rowOff>
    </xdr:to>
    <xdr:grpSp>
      <xdr:nvGrpSpPr>
        <xdr:cNvPr id="4" name="Group 3"/>
        <xdr:cNvGrpSpPr/>
      </xdr:nvGrpSpPr>
      <xdr:grpSpPr>
        <a:xfrm>
          <a:off x="107672" y="48105386"/>
          <a:ext cx="6576392" cy="7735956"/>
          <a:chOff x="369000" y="227136"/>
          <a:chExt cx="6120000" cy="7207764"/>
        </a:xfrm>
      </xdr:grpSpPr>
      <xdr:pic>
        <xdr:nvPicPr>
          <xdr:cNvPr id="5" name="Picture 4"/>
          <xdr:cNvPicPr>
            <a:picLocks noChangeAspect="1"/>
          </xdr:cNvPicPr>
        </xdr:nvPicPr>
        <xdr:blipFill>
          <a:blip xmlns:r="http://schemas.openxmlformats.org/officeDocument/2006/relationships" r:embed="rId2"/>
          <a:stretch>
            <a:fillRect/>
          </a:stretch>
        </xdr:blipFill>
        <xdr:spPr>
          <a:xfrm>
            <a:off x="2096705" y="4914900"/>
            <a:ext cx="2664590" cy="2520000"/>
          </a:xfrm>
          <a:prstGeom prst="rect">
            <a:avLst/>
          </a:prstGeom>
          <a:ln>
            <a:solidFill>
              <a:schemeClr val="tx1"/>
            </a:solidFill>
          </a:ln>
        </xdr:spPr>
      </xdr:pic>
      <xdr:grpSp>
        <xdr:nvGrpSpPr>
          <xdr:cNvPr id="6" name="Group 5"/>
          <xdr:cNvGrpSpPr/>
        </xdr:nvGrpSpPr>
        <xdr:grpSpPr>
          <a:xfrm>
            <a:off x="369000" y="227136"/>
            <a:ext cx="6120000" cy="4539959"/>
            <a:chOff x="369000" y="209551"/>
            <a:chExt cx="6120000" cy="4539959"/>
          </a:xfrm>
        </xdr:grpSpPr>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9000" y="209551"/>
              <a:ext cx="6120000" cy="4539959"/>
            </a:xfrm>
            <a:prstGeom prst="rect">
              <a:avLst/>
            </a:prstGeom>
            <a:ln>
              <a:solidFill>
                <a:schemeClr val="tx1"/>
              </a:solidFill>
            </a:ln>
          </xdr:spPr>
        </xdr:pic>
        <xdr:sp macro="" textlink="">
          <xdr:nvSpPr>
            <xdr:cNvPr id="8" name="Freeform 7"/>
            <xdr:cNvSpPr/>
          </xdr:nvSpPr>
          <xdr:spPr>
            <a:xfrm>
              <a:off x="965200" y="2216150"/>
              <a:ext cx="971550" cy="1146174"/>
            </a:xfrm>
            <a:custGeom>
              <a:avLst/>
              <a:gdLst>
                <a:gd name="connsiteX0" fmla="*/ 0 w 971550"/>
                <a:gd name="connsiteY0" fmla="*/ 0 h 1146174"/>
                <a:gd name="connsiteX1" fmla="*/ 971550 w 971550"/>
                <a:gd name="connsiteY1" fmla="*/ 0 h 1146174"/>
                <a:gd name="connsiteX2" fmla="*/ 971550 w 971550"/>
                <a:gd name="connsiteY2" fmla="*/ 555624 h 1146174"/>
                <a:gd name="connsiteX3" fmla="*/ 875561 w 971550"/>
                <a:gd name="connsiteY3" fmla="*/ 555624 h 1146174"/>
                <a:gd name="connsiteX4" fmla="*/ 875561 w 971550"/>
                <a:gd name="connsiteY4" fmla="*/ 800100 h 1146174"/>
                <a:gd name="connsiteX5" fmla="*/ 485775 w 971550"/>
                <a:gd name="connsiteY5" fmla="*/ 800100 h 1146174"/>
                <a:gd name="connsiteX6" fmla="*/ 485775 w 971550"/>
                <a:gd name="connsiteY6" fmla="*/ 1146174 h 1146174"/>
                <a:gd name="connsiteX7" fmla="*/ 0 w 971550"/>
                <a:gd name="connsiteY7" fmla="*/ 1146174 h 1146174"/>
                <a:gd name="connsiteX8" fmla="*/ 0 w 971550"/>
                <a:gd name="connsiteY8" fmla="*/ 800100 h 1146174"/>
                <a:gd name="connsiteX9" fmla="*/ 0 w 971550"/>
                <a:gd name="connsiteY9" fmla="*/ 555624 h 11461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71550" h="1146174">
                  <a:moveTo>
                    <a:pt x="0" y="0"/>
                  </a:moveTo>
                  <a:lnTo>
                    <a:pt x="971550" y="0"/>
                  </a:lnTo>
                  <a:lnTo>
                    <a:pt x="971550" y="555624"/>
                  </a:lnTo>
                  <a:lnTo>
                    <a:pt x="875561" y="555624"/>
                  </a:lnTo>
                  <a:lnTo>
                    <a:pt x="875561" y="800100"/>
                  </a:lnTo>
                  <a:lnTo>
                    <a:pt x="485775" y="800100"/>
                  </a:lnTo>
                  <a:lnTo>
                    <a:pt x="485775" y="1146174"/>
                  </a:lnTo>
                  <a:lnTo>
                    <a:pt x="0" y="1146174"/>
                  </a:lnTo>
                  <a:lnTo>
                    <a:pt x="0" y="800100"/>
                  </a:lnTo>
                  <a:lnTo>
                    <a:pt x="0" y="555624"/>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Freeform 8"/>
            <xdr:cNvSpPr/>
          </xdr:nvSpPr>
          <xdr:spPr>
            <a:xfrm>
              <a:off x="1016000" y="2898775"/>
              <a:ext cx="1774825" cy="927100"/>
            </a:xfrm>
            <a:custGeom>
              <a:avLst/>
              <a:gdLst>
                <a:gd name="connsiteX0" fmla="*/ 904875 w 1774825"/>
                <a:gd name="connsiteY0" fmla="*/ 0 h 927100"/>
                <a:gd name="connsiteX1" fmla="*/ 1774825 w 1774825"/>
                <a:gd name="connsiteY1" fmla="*/ 0 h 927100"/>
                <a:gd name="connsiteX2" fmla="*/ 1774825 w 1774825"/>
                <a:gd name="connsiteY2" fmla="*/ 927100 h 927100"/>
                <a:gd name="connsiteX3" fmla="*/ 904875 w 1774825"/>
                <a:gd name="connsiteY3" fmla="*/ 927100 h 927100"/>
                <a:gd name="connsiteX4" fmla="*/ 0 w 1774825"/>
                <a:gd name="connsiteY4" fmla="*/ 927100 h 927100"/>
                <a:gd name="connsiteX5" fmla="*/ 0 w 1774825"/>
                <a:gd name="connsiteY5" fmla="*/ 476250 h 927100"/>
                <a:gd name="connsiteX6" fmla="*/ 904875 w 1774825"/>
                <a:gd name="connsiteY6" fmla="*/ 476250 h 927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774825" h="927100">
                  <a:moveTo>
                    <a:pt x="904875" y="0"/>
                  </a:moveTo>
                  <a:lnTo>
                    <a:pt x="1774825" y="0"/>
                  </a:lnTo>
                  <a:lnTo>
                    <a:pt x="1774825" y="927100"/>
                  </a:lnTo>
                  <a:lnTo>
                    <a:pt x="904875" y="927100"/>
                  </a:lnTo>
                  <a:lnTo>
                    <a:pt x="0" y="927100"/>
                  </a:lnTo>
                  <a:lnTo>
                    <a:pt x="0" y="476250"/>
                  </a:lnTo>
                  <a:lnTo>
                    <a:pt x="904875" y="476250"/>
                  </a:lnTo>
                  <a:close/>
                </a:path>
              </a:pathLst>
            </a:cu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0" name="TextBox 5"/>
            <xdr:cNvSpPr txBox="1"/>
          </xdr:nvSpPr>
          <xdr:spPr>
            <a:xfrm>
              <a:off x="435673" y="1690172"/>
              <a:ext cx="166103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1 (Wing A)</a:t>
              </a:r>
              <a:endParaRPr lang="en-IN" b="1">
                <a:solidFill>
                  <a:srgbClr val="FF0000"/>
                </a:solidFill>
              </a:endParaRPr>
            </a:p>
          </xdr:txBody>
        </xdr:sp>
        <xdr:sp macro="" textlink="">
          <xdr:nvSpPr>
            <xdr:cNvPr id="11" name="TextBox 12"/>
            <xdr:cNvSpPr txBox="1"/>
          </xdr:nvSpPr>
          <xdr:spPr>
            <a:xfrm>
              <a:off x="1106234" y="3409433"/>
              <a:ext cx="166103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Bldg 1 (Wing B)</a:t>
              </a:r>
              <a:endParaRPr lang="en-IN" b="1">
                <a:solidFill>
                  <a:srgbClr val="0070C0"/>
                </a:solidFill>
              </a:endParaRPr>
            </a:p>
          </xdr:txBody>
        </xdr:sp>
        <xdr:sp macro="" textlink="">
          <xdr:nvSpPr>
            <xdr:cNvPr id="12" name="Rectangle 11"/>
            <xdr:cNvSpPr/>
          </xdr:nvSpPr>
          <xdr:spPr>
            <a:xfrm>
              <a:off x="3055620" y="2952232"/>
              <a:ext cx="1394460" cy="96444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TextBox 14"/>
            <xdr:cNvSpPr txBox="1"/>
          </xdr:nvSpPr>
          <xdr:spPr>
            <a:xfrm>
              <a:off x="2922334" y="3963762"/>
              <a:ext cx="166103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2 (Wing A)</a:t>
              </a:r>
              <a:endParaRPr lang="en-IN" b="1">
                <a:solidFill>
                  <a:srgbClr val="FF0000"/>
                </a:solidFill>
              </a:endParaRPr>
            </a:p>
          </xdr:txBody>
        </xdr:sp>
        <xdr:sp macro="" textlink="">
          <xdr:nvSpPr>
            <xdr:cNvPr id="14" name="Rectangle 13"/>
            <xdr:cNvSpPr/>
          </xdr:nvSpPr>
          <xdr:spPr>
            <a:xfrm>
              <a:off x="4475447" y="2952232"/>
              <a:ext cx="1394460" cy="964447"/>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TextBox 16"/>
            <xdr:cNvSpPr txBox="1"/>
          </xdr:nvSpPr>
          <xdr:spPr>
            <a:xfrm>
              <a:off x="4530026" y="3987304"/>
              <a:ext cx="166103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Bldg 2 (Wing B)</a:t>
              </a:r>
              <a:endParaRPr lang="en-IN" b="1">
                <a:solidFill>
                  <a:srgbClr val="0070C0"/>
                </a:solidFill>
              </a:endParaRPr>
            </a:p>
          </xdr:txBody>
        </xdr:sp>
        <xdr:pic>
          <xdr:nvPicPr>
            <xdr:cNvPr id="16" name="Picture 1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36376" y="970172"/>
              <a:ext cx="720000" cy="720000"/>
            </a:xfrm>
            <a:prstGeom prst="rect">
              <a:avLst/>
            </a:prstGeom>
          </xdr:spPr>
        </xdr:pic>
      </xdr:grpSp>
    </xdr:grpSp>
    <xdr:clientData/>
  </xdr:twoCellAnchor>
  <xdr:twoCellAnchor>
    <xdr:from>
      <xdr:col>0</xdr:col>
      <xdr:colOff>215345</xdr:colOff>
      <xdr:row>299</xdr:row>
      <xdr:rowOff>74545</xdr:rowOff>
    </xdr:from>
    <xdr:to>
      <xdr:col>7</xdr:col>
      <xdr:colOff>761997</xdr:colOff>
      <xdr:row>347</xdr:row>
      <xdr:rowOff>82827</xdr:rowOff>
    </xdr:to>
    <xdr:grpSp>
      <xdr:nvGrpSpPr>
        <xdr:cNvPr id="17" name="Group 16"/>
        <xdr:cNvGrpSpPr/>
      </xdr:nvGrpSpPr>
      <xdr:grpSpPr>
        <a:xfrm>
          <a:off x="215345" y="56744154"/>
          <a:ext cx="6460435" cy="7959586"/>
          <a:chOff x="349210" y="758287"/>
          <a:chExt cx="6139790" cy="7872988"/>
        </a:xfrm>
      </xdr:grpSpPr>
      <xdr:pic>
        <xdr:nvPicPr>
          <xdr:cNvPr id="18" name="Picture 17"/>
          <xdr:cNvPicPr>
            <a:picLocks noChangeAspect="1"/>
          </xdr:cNvPicPr>
        </xdr:nvPicPr>
        <xdr:blipFill rotWithShape="1">
          <a:blip xmlns:r="http://schemas.openxmlformats.org/officeDocument/2006/relationships" r:embed="rId5"/>
          <a:srcRect l="20312" t="24120" r="28736" b="18909"/>
          <a:stretch/>
        </xdr:blipFill>
        <xdr:spPr>
          <a:xfrm>
            <a:off x="349210" y="758287"/>
            <a:ext cx="6120000" cy="3847322"/>
          </a:xfrm>
          <a:prstGeom prst="rect">
            <a:avLst/>
          </a:prstGeom>
          <a:ln>
            <a:solidFill>
              <a:schemeClr val="tx1"/>
            </a:solidFill>
          </a:ln>
        </xdr:spPr>
      </xdr:pic>
      <xdr:grpSp>
        <xdr:nvGrpSpPr>
          <xdr:cNvPr id="19" name="Group 18"/>
          <xdr:cNvGrpSpPr/>
        </xdr:nvGrpSpPr>
        <xdr:grpSpPr>
          <a:xfrm>
            <a:off x="369000" y="4783953"/>
            <a:ext cx="6120000" cy="3847322"/>
            <a:chOff x="156286" y="4269603"/>
            <a:chExt cx="6120000" cy="3847322"/>
          </a:xfrm>
        </xdr:grpSpPr>
        <xdr:pic>
          <xdr:nvPicPr>
            <xdr:cNvPr id="20" name="Picture 19"/>
            <xdr:cNvPicPr>
              <a:picLocks noChangeAspect="1"/>
            </xdr:cNvPicPr>
          </xdr:nvPicPr>
          <xdr:blipFill rotWithShape="1">
            <a:blip xmlns:r="http://schemas.openxmlformats.org/officeDocument/2006/relationships" r:embed="rId6"/>
            <a:srcRect l="8913" t="18749" r="11077" b="12260"/>
            <a:stretch/>
          </xdr:blipFill>
          <xdr:spPr>
            <a:xfrm>
              <a:off x="156286" y="4269603"/>
              <a:ext cx="6120000" cy="3847322"/>
            </a:xfrm>
            <a:prstGeom prst="rect">
              <a:avLst/>
            </a:prstGeom>
            <a:ln>
              <a:solidFill>
                <a:schemeClr val="tx1"/>
              </a:solidFill>
            </a:ln>
          </xdr:spPr>
        </xdr:pic>
        <xdr:sp macro="" textlink="">
          <xdr:nvSpPr>
            <xdr:cNvPr id="21" name="Rectangle 20"/>
            <xdr:cNvSpPr/>
          </xdr:nvSpPr>
          <xdr:spPr>
            <a:xfrm rot="725953">
              <a:off x="2803331" y="6408660"/>
              <a:ext cx="786331" cy="496946"/>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Rectangle 21"/>
            <xdr:cNvSpPr/>
          </xdr:nvSpPr>
          <xdr:spPr>
            <a:xfrm rot="595088">
              <a:off x="2415738" y="6066057"/>
              <a:ext cx="384919" cy="66061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TextBox 18"/>
            <xdr:cNvSpPr txBox="1"/>
          </xdr:nvSpPr>
          <xdr:spPr>
            <a:xfrm>
              <a:off x="3007618" y="5823932"/>
              <a:ext cx="155786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Sharda Serene</a:t>
              </a:r>
              <a:endParaRPr lang="en-IN" b="1">
                <a:solidFill>
                  <a:srgbClr val="FFFF00"/>
                </a:solidFill>
              </a:endParaRPr>
            </a:p>
          </xdr:txBody>
        </xdr:sp>
      </xdr:grpSp>
    </xdr:grpSp>
    <xdr:clientData/>
  </xdr:twoCellAnchor>
  <xdr:twoCellAnchor>
    <xdr:from>
      <xdr:col>0</xdr:col>
      <xdr:colOff>173936</xdr:colOff>
      <xdr:row>192</xdr:row>
      <xdr:rowOff>91109</xdr:rowOff>
    </xdr:from>
    <xdr:to>
      <xdr:col>7</xdr:col>
      <xdr:colOff>740153</xdr:colOff>
      <xdr:row>243</xdr:row>
      <xdr:rowOff>66848</xdr:rowOff>
    </xdr:to>
    <xdr:grpSp>
      <xdr:nvGrpSpPr>
        <xdr:cNvPr id="24" name="Group 23"/>
        <xdr:cNvGrpSpPr/>
      </xdr:nvGrpSpPr>
      <xdr:grpSpPr>
        <a:xfrm>
          <a:off x="173936" y="39035935"/>
          <a:ext cx="6480000" cy="8424000"/>
          <a:chOff x="-234482" y="-789917"/>
          <a:chExt cx="7326964" cy="9495005"/>
        </a:xfrm>
      </xdr:grpSpPr>
      <xdr:grpSp>
        <xdr:nvGrpSpPr>
          <xdr:cNvPr id="25" name="Group 24"/>
          <xdr:cNvGrpSpPr/>
        </xdr:nvGrpSpPr>
        <xdr:grpSpPr>
          <a:xfrm>
            <a:off x="482378" y="4582063"/>
            <a:ext cx="5929821" cy="2184098"/>
            <a:chOff x="464090" y="5514751"/>
            <a:chExt cx="5929821" cy="2184098"/>
          </a:xfrm>
        </xdr:grpSpPr>
        <xdr:pic>
          <xdr:nvPicPr>
            <xdr:cNvPr id="44" name="Picture 4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4090" y="5514751"/>
              <a:ext cx="2877333" cy="216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516578" y="5538849"/>
              <a:ext cx="2877333" cy="2160000"/>
            </a:xfrm>
            <a:prstGeom prst="rect">
              <a:avLst/>
            </a:prstGeom>
            <a:ln>
              <a:solidFill>
                <a:schemeClr val="tx1"/>
              </a:solidFill>
            </a:ln>
          </xdr:spPr>
        </xdr:pic>
      </xdr:grpSp>
      <xdr:grpSp>
        <xdr:nvGrpSpPr>
          <xdr:cNvPr id="26" name="Group 25"/>
          <xdr:cNvGrpSpPr/>
        </xdr:nvGrpSpPr>
        <xdr:grpSpPr>
          <a:xfrm>
            <a:off x="748212" y="-789917"/>
            <a:ext cx="5398153" cy="2521786"/>
            <a:chOff x="146753" y="142771"/>
            <a:chExt cx="5398153" cy="2521786"/>
          </a:xfrm>
        </xdr:grpSpPr>
        <xdr:grpSp>
          <xdr:nvGrpSpPr>
            <xdr:cNvPr id="38" name="Group 37"/>
            <xdr:cNvGrpSpPr/>
          </xdr:nvGrpSpPr>
          <xdr:grpSpPr>
            <a:xfrm>
              <a:off x="146753" y="144557"/>
              <a:ext cx="1888031" cy="2520000"/>
              <a:chOff x="0" y="-38862"/>
              <a:chExt cx="1888031" cy="2520000"/>
            </a:xfrm>
          </xdr:grpSpPr>
          <xdr:pic>
            <xdr:nvPicPr>
              <xdr:cNvPr id="42" name="Picture 4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38862"/>
                <a:ext cx="1888031" cy="2520000"/>
              </a:xfrm>
              <a:prstGeom prst="rect">
                <a:avLst/>
              </a:prstGeom>
              <a:ln>
                <a:solidFill>
                  <a:schemeClr val="tx1"/>
                </a:solidFill>
              </a:ln>
            </xdr:spPr>
          </xdr:pic>
          <xdr:sp macro="" textlink="">
            <xdr:nvSpPr>
              <xdr:cNvPr id="43" name="TextBox 34"/>
              <xdr:cNvSpPr txBox="1"/>
            </xdr:nvSpPr>
            <xdr:spPr>
              <a:xfrm>
                <a:off x="82613" y="-38862"/>
                <a:ext cx="1716147" cy="42170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Bldg 1 Wing A</a:t>
                </a:r>
                <a:endParaRPr lang="en-IN" b="1"/>
              </a:p>
            </xdr:txBody>
          </xdr:sp>
        </xdr:grpSp>
        <xdr:grpSp>
          <xdr:nvGrpSpPr>
            <xdr:cNvPr id="39" name="Group 38"/>
            <xdr:cNvGrpSpPr/>
          </xdr:nvGrpSpPr>
          <xdr:grpSpPr>
            <a:xfrm>
              <a:off x="2188017" y="142771"/>
              <a:ext cx="3356889" cy="2520000"/>
              <a:chOff x="2008522" y="-38862"/>
              <a:chExt cx="3356889" cy="2520000"/>
            </a:xfrm>
          </xdr:grpSpPr>
          <xdr:pic>
            <xdr:nvPicPr>
              <xdr:cNvPr id="40" name="Picture 3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008522" y="-38862"/>
                <a:ext cx="3356889" cy="2520000"/>
              </a:xfrm>
              <a:prstGeom prst="rect">
                <a:avLst/>
              </a:prstGeom>
              <a:ln>
                <a:solidFill>
                  <a:schemeClr val="tx1"/>
                </a:solidFill>
              </a:ln>
            </xdr:spPr>
          </xdr:pic>
          <xdr:sp macro="" textlink="">
            <xdr:nvSpPr>
              <xdr:cNvPr id="41" name="TextBox 35"/>
              <xdr:cNvSpPr txBox="1"/>
            </xdr:nvSpPr>
            <xdr:spPr>
              <a:xfrm>
                <a:off x="2881757" y="-38862"/>
                <a:ext cx="1716146" cy="42170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Bldg 1 Wing B</a:t>
                </a:r>
                <a:endParaRPr lang="en-IN" b="1"/>
              </a:p>
            </xdr:txBody>
          </xdr:sp>
        </xdr:grpSp>
      </xdr:grpSp>
      <xdr:grpSp>
        <xdr:nvGrpSpPr>
          <xdr:cNvPr id="27" name="Group 26"/>
          <xdr:cNvGrpSpPr/>
        </xdr:nvGrpSpPr>
        <xdr:grpSpPr>
          <a:xfrm>
            <a:off x="1471680" y="1896966"/>
            <a:ext cx="3951217" cy="2531156"/>
            <a:chOff x="137454" y="2829654"/>
            <a:chExt cx="3951217" cy="2531156"/>
          </a:xfrm>
        </xdr:grpSpPr>
        <xdr:grpSp>
          <xdr:nvGrpSpPr>
            <xdr:cNvPr id="32" name="Group 31"/>
            <xdr:cNvGrpSpPr/>
          </xdr:nvGrpSpPr>
          <xdr:grpSpPr>
            <a:xfrm>
              <a:off x="2200640" y="2840810"/>
              <a:ext cx="1888031" cy="2520000"/>
              <a:chOff x="2008522" y="2628974"/>
              <a:chExt cx="1888031" cy="2520000"/>
            </a:xfrm>
          </xdr:grpSpPr>
          <xdr:pic>
            <xdr:nvPicPr>
              <xdr:cNvPr id="36" name="Picture 3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08522" y="2628974"/>
                <a:ext cx="1888031" cy="2520000"/>
              </a:xfrm>
              <a:prstGeom prst="rect">
                <a:avLst/>
              </a:prstGeom>
              <a:ln>
                <a:solidFill>
                  <a:schemeClr val="tx1"/>
                </a:solidFill>
              </a:ln>
            </xdr:spPr>
          </xdr:pic>
          <xdr:sp macro="" textlink="">
            <xdr:nvSpPr>
              <xdr:cNvPr id="37" name="TextBox 36"/>
              <xdr:cNvSpPr txBox="1"/>
            </xdr:nvSpPr>
            <xdr:spPr>
              <a:xfrm>
                <a:off x="2095281" y="2640130"/>
                <a:ext cx="1705264" cy="42170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Bldg 2 Wing B</a:t>
                </a:r>
                <a:endParaRPr lang="en-IN" b="1"/>
              </a:p>
            </xdr:txBody>
          </xdr:sp>
        </xdr:grpSp>
        <xdr:grpSp>
          <xdr:nvGrpSpPr>
            <xdr:cNvPr id="33" name="Group 32"/>
            <xdr:cNvGrpSpPr/>
          </xdr:nvGrpSpPr>
          <xdr:grpSpPr>
            <a:xfrm>
              <a:off x="137454" y="2829654"/>
              <a:ext cx="1888031" cy="2520000"/>
              <a:chOff x="-22295" y="2628974"/>
              <a:chExt cx="1888031" cy="2520000"/>
            </a:xfrm>
          </xdr:grpSpPr>
          <xdr:pic>
            <xdr:nvPicPr>
              <xdr:cNvPr id="34" name="Picture 3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2295" y="2628974"/>
                <a:ext cx="1888031" cy="2520000"/>
              </a:xfrm>
              <a:prstGeom prst="rect">
                <a:avLst/>
              </a:prstGeom>
              <a:ln>
                <a:solidFill>
                  <a:schemeClr val="tx1"/>
                </a:solidFill>
              </a:ln>
            </xdr:spPr>
          </xdr:pic>
          <xdr:sp macro="" textlink="">
            <xdr:nvSpPr>
              <xdr:cNvPr id="35" name="TextBox 37"/>
              <xdr:cNvSpPr txBox="1"/>
            </xdr:nvSpPr>
            <xdr:spPr>
              <a:xfrm>
                <a:off x="65129" y="2640130"/>
                <a:ext cx="1705264" cy="42170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Bldg 2 Wing A</a:t>
                </a:r>
                <a:endParaRPr lang="en-IN" b="1"/>
              </a:p>
            </xdr:txBody>
          </xdr:sp>
        </xdr:grpSp>
      </xdr:grpSp>
      <xdr:grpSp>
        <xdr:nvGrpSpPr>
          <xdr:cNvPr id="28" name="Group 27"/>
          <xdr:cNvGrpSpPr/>
        </xdr:nvGrpSpPr>
        <xdr:grpSpPr>
          <a:xfrm>
            <a:off x="-234482" y="6905088"/>
            <a:ext cx="7326964" cy="1800000"/>
            <a:chOff x="-468964" y="7344000"/>
            <a:chExt cx="7326964" cy="1800000"/>
          </a:xfrm>
        </xdr:grpSpPr>
        <xdr:pic>
          <xdr:nvPicPr>
            <xdr:cNvPr id="29" name="Picture 2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460222" y="7344000"/>
              <a:ext cx="2397778" cy="180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68964" y="7344000"/>
              <a:ext cx="2397778" cy="180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995629" y="7344000"/>
              <a:ext cx="2397778" cy="1800000"/>
            </a:xfrm>
            <a:prstGeom prst="rect">
              <a:avLst/>
            </a:prstGeom>
            <a:ln>
              <a:solidFill>
                <a:schemeClr val="tx1"/>
              </a:solidFill>
            </a:ln>
          </xdr:spPr>
        </xdr:pic>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a2cr4AWs1xuMB1HS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49"/>
  <sheetViews>
    <sheetView tabSelected="1" view="pageBreakPreview" topLeftCell="A42" zoomScale="115" zoomScaleNormal="115" zoomScaleSheetLayoutView="115" workbookViewId="0">
      <selection activeCell="L48" sqref="L48"/>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220" t="s">
        <v>142</v>
      </c>
      <c r="B1" s="220"/>
      <c r="C1" s="221"/>
      <c r="D1" s="221"/>
      <c r="E1" s="221"/>
      <c r="F1" s="221"/>
      <c r="G1" s="221"/>
      <c r="H1" s="221"/>
    </row>
    <row r="2" spans="1:20" ht="14.25" x14ac:dyDescent="0.2">
      <c r="A2" s="227" t="s">
        <v>85</v>
      </c>
      <c r="B2" s="227"/>
      <c r="C2" s="227"/>
      <c r="D2" s="227"/>
      <c r="E2" s="227"/>
      <c r="F2" s="227"/>
      <c r="G2" s="227"/>
      <c r="H2" s="227"/>
    </row>
    <row r="3" spans="1:20" ht="25.5" x14ac:dyDescent="0.2">
      <c r="A3" s="12" t="s">
        <v>102</v>
      </c>
      <c r="B3" s="12"/>
      <c r="C3" s="165" t="s">
        <v>109</v>
      </c>
      <c r="D3" s="166"/>
      <c r="E3" s="167"/>
      <c r="F3" s="11" t="s">
        <v>103</v>
      </c>
      <c r="G3" s="169">
        <v>45852</v>
      </c>
      <c r="H3" s="169"/>
    </row>
    <row r="4" spans="1:20" ht="25.5" x14ac:dyDescent="0.2">
      <c r="A4" s="12" t="s">
        <v>106</v>
      </c>
      <c r="B4" s="12"/>
      <c r="C4" s="163" t="s">
        <v>107</v>
      </c>
      <c r="D4" s="168"/>
      <c r="E4" s="164"/>
      <c r="F4" s="11" t="s">
        <v>104</v>
      </c>
      <c r="G4" s="170" t="s">
        <v>278</v>
      </c>
      <c r="H4" s="170"/>
    </row>
    <row r="5" spans="1:20" ht="25.5" x14ac:dyDescent="0.2">
      <c r="A5" s="231" t="s">
        <v>108</v>
      </c>
      <c r="B5" s="232"/>
      <c r="C5" s="165" t="s">
        <v>279</v>
      </c>
      <c r="D5" s="166"/>
      <c r="E5" s="167"/>
      <c r="F5" s="11" t="s">
        <v>105</v>
      </c>
      <c r="G5" s="169" t="str">
        <f ca="1">TEXT(TODAY(),"DD/MM/YYYY")</f>
        <v>15/07/2025</v>
      </c>
      <c r="H5" s="169"/>
    </row>
    <row r="6" spans="1:20" ht="14.25" x14ac:dyDescent="0.2">
      <c r="A6" s="227" t="s">
        <v>101</v>
      </c>
      <c r="B6" s="227"/>
      <c r="C6" s="227"/>
      <c r="D6" s="227"/>
      <c r="E6" s="227"/>
      <c r="F6" s="227"/>
      <c r="G6" s="227"/>
      <c r="H6" s="227"/>
    </row>
    <row r="7" spans="1:20" ht="14.25" x14ac:dyDescent="0.2">
      <c r="A7" s="175" t="s">
        <v>0</v>
      </c>
      <c r="B7" s="176"/>
      <c r="C7" s="229" t="s">
        <v>229</v>
      </c>
      <c r="D7" s="229"/>
      <c r="E7" s="229"/>
      <c r="F7" s="229"/>
      <c r="G7" s="229"/>
      <c r="H7" s="229"/>
    </row>
    <row r="8" spans="1:20" ht="25.5" customHeight="1" x14ac:dyDescent="0.2">
      <c r="A8" s="175" t="s">
        <v>1</v>
      </c>
      <c r="B8" s="176"/>
      <c r="C8" s="222" t="str">
        <f>CONCATENATE((IF(OR(C7="",C7="NA"),"",C7)),", ",(IF(OR(A9="",A9="NA"),"",A9)),".",(IF(OR(C9="",C9="NA"),"",C9)),", near ",(IF(OR(C17="",C17="NA"),"",C17)),", ",(IF(OR(C11="",C11="NA"),"",C11)),", ",(IF(OR(C10="",C10="NA"),"",C10)),", ",(IF(OR(C12="",C12="NA"),"",C12)),", ",(IF(OR(C13="",C13="NA"),"",C13)),", ",(IF(OR(C14="",C14="NA"),"",C14))," - ",(IF(OR(C15="",C15="NA"),"",C15)),".")</f>
        <v>Sharda Serene, Survey No.15/1/A and 15/1/B, near Sundew Complex, Ahilyanagar Kalyan Road, Mharal, Kalyan, Kalyan, Thane - 421103.</v>
      </c>
      <c r="D8" s="222"/>
      <c r="E8" s="222"/>
      <c r="F8" s="222"/>
      <c r="G8" s="222"/>
      <c r="H8" s="222"/>
      <c r="P8" s="57" t="s">
        <v>146</v>
      </c>
      <c r="Q8" s="57" t="s">
        <v>147</v>
      </c>
      <c r="R8" s="57" t="s">
        <v>148</v>
      </c>
      <c r="S8" s="57" t="s">
        <v>149</v>
      </c>
      <c r="T8" s="57" t="s">
        <v>150</v>
      </c>
    </row>
    <row r="9" spans="1:20" ht="15" x14ac:dyDescent="0.2">
      <c r="A9" s="175" t="s">
        <v>230</v>
      </c>
      <c r="B9" s="176"/>
      <c r="C9" s="222" t="s">
        <v>231</v>
      </c>
      <c r="D9" s="222"/>
      <c r="E9" s="222"/>
      <c r="F9" s="222"/>
      <c r="G9" s="222"/>
      <c r="H9" s="222"/>
      <c r="P9" s="57" t="s">
        <v>151</v>
      </c>
      <c r="Q9" s="57" t="s">
        <v>152</v>
      </c>
      <c r="R9" s="57" t="s">
        <v>153</v>
      </c>
      <c r="S9" s="57" t="s">
        <v>154</v>
      </c>
      <c r="T9" s="57" t="s">
        <v>155</v>
      </c>
    </row>
    <row r="10" spans="1:20" ht="15" x14ac:dyDescent="0.2">
      <c r="A10" s="175" t="s">
        <v>6</v>
      </c>
      <c r="B10" s="176"/>
      <c r="C10" s="223" t="s">
        <v>232</v>
      </c>
      <c r="D10" s="223"/>
      <c r="E10" s="223"/>
      <c r="F10" s="223"/>
      <c r="G10" s="223"/>
      <c r="H10" s="223"/>
      <c r="P10" s="57" t="s">
        <v>156</v>
      </c>
      <c r="Q10" s="57" t="s">
        <v>157</v>
      </c>
      <c r="R10" s="57" t="s">
        <v>158</v>
      </c>
      <c r="S10" s="57" t="s">
        <v>159</v>
      </c>
      <c r="T10" s="57" t="s">
        <v>160</v>
      </c>
    </row>
    <row r="11" spans="1:20" ht="15" x14ac:dyDescent="0.2">
      <c r="A11" s="175" t="s">
        <v>144</v>
      </c>
      <c r="B11" s="176"/>
      <c r="C11" s="223" t="s">
        <v>233</v>
      </c>
      <c r="D11" s="223"/>
      <c r="E11" s="223"/>
      <c r="F11" s="223"/>
      <c r="G11" s="223"/>
      <c r="H11" s="223"/>
      <c r="P11" s="57" t="s">
        <v>161</v>
      </c>
      <c r="Q11" s="57" t="s">
        <v>162</v>
      </c>
      <c r="R11" s="57" t="s">
        <v>163</v>
      </c>
      <c r="S11" s="57" t="s">
        <v>164</v>
      </c>
      <c r="T11" s="57" t="s">
        <v>165</v>
      </c>
    </row>
    <row r="12" spans="1:20" ht="15" x14ac:dyDescent="0.2">
      <c r="A12" s="175" t="s">
        <v>145</v>
      </c>
      <c r="B12" s="176"/>
      <c r="C12" s="223" t="s">
        <v>161</v>
      </c>
      <c r="D12" s="223"/>
      <c r="E12" s="223"/>
      <c r="F12" s="223"/>
      <c r="G12" s="223"/>
      <c r="H12" s="223"/>
      <c r="P12" s="57" t="s">
        <v>166</v>
      </c>
      <c r="Q12" s="57" t="s">
        <v>167</v>
      </c>
      <c r="R12" s="57" t="s">
        <v>148</v>
      </c>
      <c r="S12" s="57" t="s">
        <v>168</v>
      </c>
      <c r="T12" s="57" t="s">
        <v>169</v>
      </c>
    </row>
    <row r="13" spans="1:20" ht="15" x14ac:dyDescent="0.2">
      <c r="A13" s="175" t="s">
        <v>132</v>
      </c>
      <c r="B13" s="176"/>
      <c r="C13" s="223" t="s">
        <v>161</v>
      </c>
      <c r="D13" s="223"/>
      <c r="E13" s="223"/>
      <c r="F13" s="223"/>
      <c r="G13" s="223"/>
      <c r="H13" s="223"/>
      <c r="P13" s="57" t="s">
        <v>170</v>
      </c>
      <c r="Q13" s="57" t="s">
        <v>147</v>
      </c>
      <c r="R13" s="57"/>
      <c r="S13" s="57" t="s">
        <v>171</v>
      </c>
      <c r="T13" s="57" t="s">
        <v>172</v>
      </c>
    </row>
    <row r="14" spans="1:20" ht="15" x14ac:dyDescent="0.2">
      <c r="A14" s="175" t="s">
        <v>133</v>
      </c>
      <c r="B14" s="176"/>
      <c r="C14" s="223" t="s">
        <v>151</v>
      </c>
      <c r="D14" s="223"/>
      <c r="E14" s="223"/>
      <c r="F14" s="223"/>
      <c r="G14" s="223"/>
      <c r="H14" s="223"/>
      <c r="P14" s="57" t="s">
        <v>173</v>
      </c>
      <c r="Q14" s="57" t="s">
        <v>174</v>
      </c>
      <c r="R14" s="57"/>
      <c r="S14" s="57" t="s">
        <v>175</v>
      </c>
      <c r="T14" s="57" t="s">
        <v>176</v>
      </c>
    </row>
    <row r="15" spans="1:20" ht="15" x14ac:dyDescent="0.2">
      <c r="A15" s="175" t="s">
        <v>134</v>
      </c>
      <c r="B15" s="176"/>
      <c r="C15" s="224">
        <v>421103</v>
      </c>
      <c r="D15" s="224"/>
      <c r="E15" s="224"/>
      <c r="F15" s="224"/>
      <c r="G15" s="224"/>
      <c r="H15" s="224"/>
      <c r="P15" s="57" t="s">
        <v>177</v>
      </c>
      <c r="Q15" s="57" t="s">
        <v>178</v>
      </c>
      <c r="R15" s="57"/>
      <c r="S15" s="57" t="s">
        <v>179</v>
      </c>
      <c r="T15" s="57" t="s">
        <v>180</v>
      </c>
    </row>
    <row r="16" spans="1:20" ht="15" x14ac:dyDescent="0.2">
      <c r="A16" s="175" t="s">
        <v>48</v>
      </c>
      <c r="B16" s="176"/>
      <c r="C16" s="222" t="s">
        <v>234</v>
      </c>
      <c r="D16" s="222"/>
      <c r="E16" s="222"/>
      <c r="F16" s="222"/>
      <c r="G16" s="222"/>
      <c r="H16" s="222"/>
      <c r="P16" s="57"/>
      <c r="Q16" s="57"/>
      <c r="R16" s="57"/>
      <c r="S16" s="57" t="s">
        <v>181</v>
      </c>
      <c r="T16" s="57" t="s">
        <v>182</v>
      </c>
    </row>
    <row r="17" spans="1:20" ht="15" x14ac:dyDescent="0.2">
      <c r="A17" s="175" t="s">
        <v>90</v>
      </c>
      <c r="B17" s="176"/>
      <c r="C17" s="226" t="s">
        <v>235</v>
      </c>
      <c r="D17" s="226"/>
      <c r="E17" s="226"/>
      <c r="F17" s="226"/>
      <c r="G17" s="226"/>
      <c r="H17" s="226"/>
      <c r="P17" s="57"/>
      <c r="Q17" s="57"/>
      <c r="R17" s="57"/>
      <c r="S17" s="57" t="s">
        <v>183</v>
      </c>
      <c r="T17" s="57" t="s">
        <v>184</v>
      </c>
    </row>
    <row r="18" spans="1:20" ht="15" x14ac:dyDescent="0.2">
      <c r="A18" s="175" t="s">
        <v>89</v>
      </c>
      <c r="B18" s="176"/>
      <c r="C18" s="185" t="s">
        <v>143</v>
      </c>
      <c r="D18" s="186"/>
      <c r="E18" s="187"/>
      <c r="F18" s="185" t="s">
        <v>236</v>
      </c>
      <c r="G18" s="186"/>
      <c r="H18" s="187"/>
      <c r="P18" s="57"/>
      <c r="Q18" s="57"/>
      <c r="R18" s="57"/>
      <c r="S18" s="57" t="s">
        <v>185</v>
      </c>
      <c r="T18" s="57" t="s">
        <v>186</v>
      </c>
    </row>
    <row r="19" spans="1:20" ht="15" x14ac:dyDescent="0.2">
      <c r="A19" s="175" t="s">
        <v>135</v>
      </c>
      <c r="B19" s="176"/>
      <c r="C19" s="230" t="s">
        <v>237</v>
      </c>
      <c r="D19" s="186"/>
      <c r="E19" s="186"/>
      <c r="F19" s="186"/>
      <c r="G19" s="186"/>
      <c r="H19" s="187"/>
      <c r="P19" s="57"/>
      <c r="Q19" s="57"/>
      <c r="R19" s="57"/>
      <c r="S19" s="57" t="s">
        <v>187</v>
      </c>
      <c r="T19" s="57" t="s">
        <v>188</v>
      </c>
    </row>
    <row r="20" spans="1:20" ht="15" x14ac:dyDescent="0.2">
      <c r="A20" s="175" t="s">
        <v>2</v>
      </c>
      <c r="B20" s="176"/>
      <c r="C20" s="222" t="s">
        <v>239</v>
      </c>
      <c r="D20" s="222"/>
      <c r="E20" s="222"/>
      <c r="F20" s="222"/>
      <c r="G20" s="222"/>
      <c r="H20" s="222"/>
      <c r="P20" s="57"/>
      <c r="Q20" s="57"/>
      <c r="R20" s="57"/>
      <c r="S20" s="57" t="s">
        <v>189</v>
      </c>
      <c r="T20" s="57" t="s">
        <v>190</v>
      </c>
    </row>
    <row r="21" spans="1:20" ht="27" customHeight="1" x14ac:dyDescent="0.2">
      <c r="A21" s="175" t="s">
        <v>3</v>
      </c>
      <c r="B21" s="176"/>
      <c r="C21" s="228" t="s">
        <v>238</v>
      </c>
      <c r="D21" s="228"/>
      <c r="E21" s="228"/>
      <c r="F21" s="228"/>
      <c r="G21" s="228"/>
      <c r="H21" s="228"/>
      <c r="P21" s="57"/>
      <c r="Q21" s="57"/>
      <c r="R21" s="57"/>
      <c r="S21" s="57" t="s">
        <v>191</v>
      </c>
      <c r="T21" s="57" t="s">
        <v>192</v>
      </c>
    </row>
    <row r="22" spans="1:20" ht="15" customHeight="1" x14ac:dyDescent="0.2">
      <c r="A22" s="175" t="s">
        <v>110</v>
      </c>
      <c r="B22" s="176"/>
      <c r="C22" s="224" t="s">
        <v>52</v>
      </c>
      <c r="D22" s="224"/>
      <c r="E22" s="224"/>
      <c r="F22" s="224"/>
      <c r="G22" s="224"/>
      <c r="H22" s="224"/>
      <c r="P22" s="57"/>
      <c r="Q22" s="57"/>
      <c r="R22" s="57"/>
      <c r="S22" s="57" t="s">
        <v>193</v>
      </c>
      <c r="T22" s="57" t="s">
        <v>194</v>
      </c>
    </row>
    <row r="23" spans="1:20" ht="25.5" customHeight="1" x14ac:dyDescent="0.2">
      <c r="A23" s="175" t="s">
        <v>4</v>
      </c>
      <c r="B23" s="176"/>
      <c r="C23" s="222" t="s">
        <v>240</v>
      </c>
      <c r="D23" s="223"/>
      <c r="E23" s="223"/>
      <c r="F23" s="223"/>
      <c r="G23" s="223"/>
      <c r="H23" s="223"/>
    </row>
    <row r="24" spans="1:20" x14ac:dyDescent="0.2">
      <c r="A24" s="175" t="s">
        <v>5</v>
      </c>
      <c r="B24" s="176"/>
      <c r="C24" s="223" t="s">
        <v>241</v>
      </c>
      <c r="D24" s="223"/>
      <c r="E24" s="223"/>
      <c r="F24" s="223"/>
      <c r="G24" s="223"/>
      <c r="H24" s="223"/>
    </row>
    <row r="25" spans="1:20" ht="27.75" customHeight="1" x14ac:dyDescent="0.2">
      <c r="A25" s="175" t="s">
        <v>87</v>
      </c>
      <c r="B25" s="176"/>
      <c r="C25" s="223" t="s">
        <v>242</v>
      </c>
      <c r="D25" s="223"/>
      <c r="E25" s="223"/>
      <c r="F25" s="223"/>
      <c r="G25" s="223"/>
      <c r="H25" s="223"/>
    </row>
    <row r="26" spans="1:20" ht="45.75" customHeight="1" x14ac:dyDescent="0.2">
      <c r="A26" s="177" t="s">
        <v>88</v>
      </c>
      <c r="B26" s="178"/>
      <c r="C26" s="225" t="s">
        <v>243</v>
      </c>
      <c r="D26" s="225"/>
      <c r="E26" s="225"/>
      <c r="F26" s="225"/>
      <c r="G26" s="225"/>
      <c r="H26" s="225"/>
    </row>
    <row r="27" spans="1:20" ht="38.25" x14ac:dyDescent="0.2">
      <c r="A27" s="175" t="s">
        <v>92</v>
      </c>
      <c r="B27" s="176"/>
      <c r="C27" s="233" t="s">
        <v>244</v>
      </c>
      <c r="D27" s="233"/>
      <c r="E27" s="233"/>
      <c r="F27" s="13" t="s">
        <v>7</v>
      </c>
      <c r="G27" s="225" t="s">
        <v>91</v>
      </c>
      <c r="H27" s="225"/>
    </row>
    <row r="28" spans="1:20" ht="25.5" x14ac:dyDescent="0.2">
      <c r="A28" s="175" t="s">
        <v>8</v>
      </c>
      <c r="B28" s="176"/>
      <c r="C28" s="224" t="s">
        <v>272</v>
      </c>
      <c r="D28" s="224"/>
      <c r="E28" s="224"/>
      <c r="F28" s="13" t="s">
        <v>125</v>
      </c>
      <c r="G28" s="235">
        <f>161*0.15</f>
        <v>24.15</v>
      </c>
      <c r="H28" s="235"/>
    </row>
    <row r="29" spans="1:20" ht="55.5" customHeight="1" x14ac:dyDescent="0.2">
      <c r="A29" s="175" t="s">
        <v>204</v>
      </c>
      <c r="B29" s="176"/>
      <c r="C29" s="195" t="s">
        <v>245</v>
      </c>
      <c r="D29" s="196"/>
      <c r="E29" s="197"/>
      <c r="F29" s="197"/>
      <c r="G29" s="197"/>
      <c r="H29" s="198"/>
    </row>
    <row r="30" spans="1:20" ht="54" customHeight="1" x14ac:dyDescent="0.2">
      <c r="A30" s="175" t="s">
        <v>205</v>
      </c>
      <c r="B30" s="176"/>
      <c r="C30" s="195" t="s">
        <v>245</v>
      </c>
      <c r="D30" s="196"/>
      <c r="E30" s="197"/>
      <c r="F30" s="197"/>
      <c r="G30" s="197"/>
      <c r="H30" s="198"/>
    </row>
    <row r="31" spans="1:20" ht="12.75" customHeight="1" x14ac:dyDescent="0.2">
      <c r="A31" s="179" t="s">
        <v>9</v>
      </c>
      <c r="B31" s="180"/>
      <c r="C31" s="171" t="s">
        <v>93</v>
      </c>
      <c r="D31" s="172"/>
      <c r="E31" s="14" t="s">
        <v>12</v>
      </c>
      <c r="F31" s="14" t="s">
        <v>13</v>
      </c>
      <c r="G31" s="14" t="s">
        <v>14</v>
      </c>
      <c r="H31" s="14" t="s">
        <v>15</v>
      </c>
    </row>
    <row r="32" spans="1:20" ht="12.75" customHeight="1" x14ac:dyDescent="0.2">
      <c r="A32" s="181"/>
      <c r="B32" s="182"/>
      <c r="C32" s="173" t="s">
        <v>10</v>
      </c>
      <c r="D32" s="174"/>
      <c r="E32" s="15" t="s">
        <v>220</v>
      </c>
      <c r="F32" s="20" t="s">
        <v>220</v>
      </c>
      <c r="G32" s="20" t="s">
        <v>220</v>
      </c>
      <c r="H32" s="20" t="s">
        <v>220</v>
      </c>
    </row>
    <row r="33" spans="1:11" ht="12.75" customHeight="1" x14ac:dyDescent="0.2">
      <c r="A33" s="181"/>
      <c r="B33" s="182"/>
      <c r="C33" s="173" t="s">
        <v>86</v>
      </c>
      <c r="D33" s="174"/>
      <c r="E33" s="16" t="s">
        <v>246</v>
      </c>
      <c r="F33" s="19" t="s">
        <v>247</v>
      </c>
      <c r="G33" s="19" t="s">
        <v>249</v>
      </c>
      <c r="H33" s="19" t="s">
        <v>251</v>
      </c>
    </row>
    <row r="34" spans="1:11" ht="27" customHeight="1" x14ac:dyDescent="0.2">
      <c r="A34" s="183"/>
      <c r="B34" s="184"/>
      <c r="C34" s="173" t="s">
        <v>11</v>
      </c>
      <c r="D34" s="174"/>
      <c r="E34" s="15" t="s">
        <v>235</v>
      </c>
      <c r="F34" s="15" t="s">
        <v>248</v>
      </c>
      <c r="G34" s="15" t="s">
        <v>250</v>
      </c>
      <c r="H34" s="15" t="s">
        <v>252</v>
      </c>
    </row>
    <row r="35" spans="1:11" ht="29.25" customHeight="1" x14ac:dyDescent="0.2">
      <c r="A35" s="175" t="s">
        <v>16</v>
      </c>
      <c r="B35" s="176"/>
      <c r="C35" s="236" t="s">
        <v>253</v>
      </c>
      <c r="D35" s="236"/>
      <c r="E35" s="236"/>
      <c r="F35" s="236"/>
      <c r="G35" s="236"/>
      <c r="H35" s="236"/>
    </row>
    <row r="36" spans="1:11" ht="38.25" customHeight="1" x14ac:dyDescent="0.2">
      <c r="A36" s="175" t="s">
        <v>129</v>
      </c>
      <c r="B36" s="176"/>
      <c r="C36" s="237">
        <v>4000</v>
      </c>
      <c r="D36" s="238"/>
      <c r="E36" s="234" t="s">
        <v>130</v>
      </c>
      <c r="F36" s="234"/>
      <c r="G36" s="237">
        <v>4000</v>
      </c>
      <c r="H36" s="238"/>
    </row>
    <row r="37" spans="1:11" x14ac:dyDescent="0.2">
      <c r="A37" s="175" t="s">
        <v>17</v>
      </c>
      <c r="B37" s="176"/>
      <c r="C37" s="254" t="s">
        <v>283</v>
      </c>
      <c r="D37" s="254"/>
      <c r="E37" s="254"/>
      <c r="F37" s="254"/>
      <c r="G37" s="254"/>
      <c r="H37" s="254"/>
    </row>
    <row r="38" spans="1:11" ht="133.5" customHeight="1" x14ac:dyDescent="0.2">
      <c r="A38" s="175" t="s">
        <v>124</v>
      </c>
      <c r="B38" s="176"/>
      <c r="C38" s="226" t="s">
        <v>274</v>
      </c>
      <c r="D38" s="226"/>
      <c r="E38" s="225"/>
      <c r="F38" s="225"/>
      <c r="G38" s="225"/>
      <c r="H38" s="225"/>
      <c r="I38" s="64"/>
    </row>
    <row r="39" spans="1:11" x14ac:dyDescent="0.2">
      <c r="A39" s="239" t="s">
        <v>94</v>
      </c>
      <c r="B39" s="239"/>
      <c r="C39" s="239"/>
      <c r="D39" s="239"/>
      <c r="E39" s="239"/>
      <c r="F39" s="239"/>
      <c r="G39" s="239"/>
      <c r="H39" s="239"/>
    </row>
    <row r="40" spans="1:11" ht="12.75" customHeight="1" x14ac:dyDescent="0.2">
      <c r="A40" s="199" t="s">
        <v>19</v>
      </c>
      <c r="B40" s="200"/>
      <c r="C40" s="211" t="s">
        <v>95</v>
      </c>
      <c r="D40" s="211"/>
      <c r="E40" s="211"/>
      <c r="F40" s="211"/>
      <c r="G40" s="212">
        <v>4000</v>
      </c>
      <c r="H40" s="212"/>
    </row>
    <row r="41" spans="1:11" x14ac:dyDescent="0.2">
      <c r="A41" s="201"/>
      <c r="B41" s="202"/>
      <c r="C41" s="211" t="s">
        <v>96</v>
      </c>
      <c r="D41" s="211"/>
      <c r="E41" s="211"/>
      <c r="F41" s="211"/>
      <c r="G41" s="212">
        <f>4000/G40</f>
        <v>1</v>
      </c>
      <c r="H41" s="212"/>
    </row>
    <row r="42" spans="1:11" x14ac:dyDescent="0.2">
      <c r="A42" s="201"/>
      <c r="B42" s="202"/>
      <c r="C42" s="211" t="s">
        <v>97</v>
      </c>
      <c r="D42" s="211"/>
      <c r="E42" s="211"/>
      <c r="F42" s="211"/>
      <c r="G42" s="212">
        <f>G45/G40-G41</f>
        <v>1.2384074999999997</v>
      </c>
      <c r="H42" s="212"/>
    </row>
    <row r="43" spans="1:11" x14ac:dyDescent="0.2">
      <c r="A43" s="201"/>
      <c r="B43" s="202"/>
      <c r="C43" s="211" t="s">
        <v>98</v>
      </c>
      <c r="D43" s="211"/>
      <c r="E43" s="211"/>
      <c r="F43" s="211"/>
      <c r="G43" s="212">
        <f>G41+G42</f>
        <v>2.2384074999999997</v>
      </c>
      <c r="H43" s="212"/>
    </row>
    <row r="44" spans="1:11" x14ac:dyDescent="0.2">
      <c r="A44" s="201"/>
      <c r="B44" s="202"/>
      <c r="C44" s="111" t="s">
        <v>128</v>
      </c>
      <c r="D44" s="111"/>
      <c r="E44" s="111"/>
      <c r="F44" s="111"/>
      <c r="G44" s="212">
        <v>8960</v>
      </c>
      <c r="H44" s="212"/>
    </row>
    <row r="45" spans="1:11" x14ac:dyDescent="0.2">
      <c r="A45" s="188"/>
      <c r="B45" s="189"/>
      <c r="C45" s="211" t="s">
        <v>99</v>
      </c>
      <c r="D45" s="211"/>
      <c r="E45" s="211"/>
      <c r="F45" s="211"/>
      <c r="G45" s="213">
        <v>8953.6299999999992</v>
      </c>
      <c r="H45" s="213"/>
    </row>
    <row r="46" spans="1:11" ht="32.25" customHeight="1" x14ac:dyDescent="0.25">
      <c r="A46" s="175" t="s">
        <v>100</v>
      </c>
      <c r="B46" s="176"/>
      <c r="C46" s="147" t="s">
        <v>254</v>
      </c>
      <c r="D46" s="148"/>
      <c r="E46" s="148"/>
      <c r="F46" s="149"/>
      <c r="G46" s="62" t="s">
        <v>218</v>
      </c>
      <c r="H46" s="63">
        <v>45510</v>
      </c>
      <c r="J46"/>
    </row>
    <row r="47" spans="1:11" ht="32.25" customHeight="1" x14ac:dyDescent="0.2">
      <c r="A47" s="175" t="s">
        <v>20</v>
      </c>
      <c r="B47" s="176"/>
      <c r="C47" s="195" t="s">
        <v>284</v>
      </c>
      <c r="D47" s="196"/>
      <c r="E47" s="197"/>
      <c r="F47" s="197"/>
      <c r="G47" s="197"/>
      <c r="H47" s="198"/>
      <c r="I47" s="18"/>
      <c r="J47" s="18"/>
      <c r="K47" s="18"/>
    </row>
    <row r="48" spans="1:11" ht="43.5" customHeight="1" x14ac:dyDescent="0.2">
      <c r="A48" s="177" t="s">
        <v>273</v>
      </c>
      <c r="B48" s="178"/>
      <c r="C48" s="147" t="s">
        <v>255</v>
      </c>
      <c r="D48" s="148"/>
      <c r="E48" s="148"/>
      <c r="F48" s="149"/>
      <c r="G48" s="62" t="s">
        <v>218</v>
      </c>
      <c r="H48" s="63">
        <v>45510</v>
      </c>
      <c r="I48" s="18"/>
      <c r="J48" s="18"/>
      <c r="K48" s="18"/>
    </row>
    <row r="49" spans="1:12" x14ac:dyDescent="0.2">
      <c r="A49" s="203" t="s">
        <v>21</v>
      </c>
      <c r="B49" s="204"/>
      <c r="C49" s="141" t="s">
        <v>111</v>
      </c>
      <c r="D49" s="142"/>
      <c r="E49" s="111" t="s">
        <v>220</v>
      </c>
      <c r="F49" s="111"/>
      <c r="G49" s="111"/>
      <c r="H49" s="111"/>
      <c r="I49" s="18"/>
      <c r="J49" s="18"/>
      <c r="K49" s="18"/>
    </row>
    <row r="50" spans="1:12" x14ac:dyDescent="0.2">
      <c r="A50" s="205"/>
      <c r="B50" s="206"/>
      <c r="C50" s="141" t="s">
        <v>112</v>
      </c>
      <c r="D50" s="142"/>
      <c r="E50" s="163" t="s">
        <v>220</v>
      </c>
      <c r="F50" s="164"/>
      <c r="G50" s="62" t="s">
        <v>218</v>
      </c>
      <c r="H50" s="65" t="s">
        <v>220</v>
      </c>
      <c r="J50" s="6" t="s">
        <v>227</v>
      </c>
    </row>
    <row r="51" spans="1:12" x14ac:dyDescent="0.2">
      <c r="A51" s="207"/>
      <c r="B51" s="208"/>
      <c r="C51" s="141" t="s">
        <v>228</v>
      </c>
      <c r="D51" s="120"/>
      <c r="E51" s="110" t="s">
        <v>220</v>
      </c>
      <c r="F51" s="111"/>
      <c r="G51" s="111"/>
      <c r="H51" s="111"/>
      <c r="I51" s="110" t="s">
        <v>226</v>
      </c>
      <c r="J51" s="111"/>
      <c r="K51" s="111"/>
      <c r="L51" s="111"/>
    </row>
    <row r="52" spans="1:12" hidden="1" x14ac:dyDescent="0.2">
      <c r="A52" s="112" t="s">
        <v>219</v>
      </c>
      <c r="B52" s="114"/>
      <c r="C52" s="141"/>
      <c r="D52" s="150"/>
      <c r="E52" s="150"/>
      <c r="F52" s="150"/>
      <c r="G52" s="150"/>
      <c r="H52" s="142"/>
    </row>
    <row r="53" spans="1:12" ht="36" hidden="1" customHeight="1" x14ac:dyDescent="0.2">
      <c r="A53" s="209" t="s">
        <v>221</v>
      </c>
      <c r="B53" s="210"/>
      <c r="C53" s="147"/>
      <c r="D53" s="148"/>
      <c r="E53" s="148"/>
      <c r="F53" s="149"/>
      <c r="G53" s="62" t="s">
        <v>218</v>
      </c>
      <c r="H53" s="63"/>
    </row>
    <row r="54" spans="1:12" hidden="1" x14ac:dyDescent="0.2">
      <c r="A54" s="151" t="s">
        <v>222</v>
      </c>
      <c r="B54" s="152"/>
      <c r="C54" s="147"/>
      <c r="D54" s="148"/>
      <c r="E54" s="148"/>
      <c r="F54" s="149"/>
      <c r="G54" s="62" t="s">
        <v>218</v>
      </c>
      <c r="H54" s="63"/>
    </row>
    <row r="55" spans="1:12" ht="34.5" hidden="1" customHeight="1" x14ac:dyDescent="0.2">
      <c r="A55" s="153"/>
      <c r="B55" s="154"/>
      <c r="C55" s="147"/>
      <c r="D55" s="148"/>
      <c r="E55" s="148"/>
      <c r="F55" s="149"/>
      <c r="G55" s="62"/>
      <c r="H55" s="63"/>
    </row>
    <row r="56" spans="1:12" hidden="1" x14ac:dyDescent="0.2">
      <c r="A56" s="151" t="s">
        <v>223</v>
      </c>
      <c r="B56" s="152"/>
      <c r="C56" s="157"/>
      <c r="D56" s="158"/>
      <c r="E56" s="158"/>
      <c r="F56" s="159"/>
      <c r="G56" s="62" t="s">
        <v>218</v>
      </c>
      <c r="H56" s="63"/>
    </row>
    <row r="57" spans="1:12" ht="25.5" hidden="1" customHeight="1" x14ac:dyDescent="0.2">
      <c r="A57" s="155"/>
      <c r="B57" s="156"/>
      <c r="C57" s="160"/>
      <c r="D57" s="161"/>
      <c r="E57" s="161"/>
      <c r="F57" s="162"/>
      <c r="G57" s="62" t="s">
        <v>224</v>
      </c>
      <c r="H57" s="63"/>
    </row>
    <row r="58" spans="1:12" ht="25.5" hidden="1" customHeight="1" x14ac:dyDescent="0.2">
      <c r="A58" s="153"/>
      <c r="B58" s="154"/>
      <c r="C58" s="147" t="s">
        <v>225</v>
      </c>
      <c r="D58" s="148"/>
      <c r="E58" s="148"/>
      <c r="F58" s="149"/>
      <c r="G58" s="62"/>
      <c r="H58" s="63"/>
    </row>
    <row r="59" spans="1:12" x14ac:dyDescent="0.2">
      <c r="A59" s="136" t="s">
        <v>22</v>
      </c>
      <c r="B59" s="136"/>
      <c r="C59" s="136"/>
      <c r="D59" s="136"/>
      <c r="E59" s="136"/>
      <c r="F59" s="136"/>
      <c r="G59" s="136"/>
      <c r="H59" s="136"/>
    </row>
    <row r="60" spans="1:12" ht="12.75" customHeight="1" x14ac:dyDescent="0.2">
      <c r="A60" s="112" t="s">
        <v>23</v>
      </c>
      <c r="B60" s="114"/>
      <c r="C60" s="144">
        <v>45572</v>
      </c>
      <c r="D60" s="146"/>
      <c r="E60" s="112" t="s">
        <v>24</v>
      </c>
      <c r="F60" s="114"/>
      <c r="G60" s="144">
        <v>47118</v>
      </c>
      <c r="H60" s="145"/>
    </row>
    <row r="61" spans="1:12" ht="13.5" thickBot="1" x14ac:dyDescent="0.25">
      <c r="A61" s="143" t="s">
        <v>57</v>
      </c>
      <c r="B61" s="143"/>
      <c r="C61" s="143"/>
      <c r="D61" s="143"/>
      <c r="E61" s="143"/>
      <c r="F61" s="143"/>
      <c r="G61" s="143"/>
      <c r="H61" s="143"/>
    </row>
    <row r="62" spans="1:12" x14ac:dyDescent="0.2">
      <c r="A62" s="93" t="s">
        <v>256</v>
      </c>
      <c r="B62" s="94"/>
      <c r="C62" s="94"/>
      <c r="D62" s="95"/>
      <c r="E62" s="40" t="s">
        <v>58</v>
      </c>
      <c r="F62" s="40" t="s">
        <v>59</v>
      </c>
      <c r="G62" s="40" t="s">
        <v>60</v>
      </c>
      <c r="H62" s="41" t="s">
        <v>46</v>
      </c>
      <c r="I62" s="42" t="str">
        <f ca="1">(IF(G66&gt;99%,"All work completed. Please provide OC.",IF(G66&gt;89.8%,"Plinth, RCC, Brick, Plaster, Flooring, Painting work Completed. Finishing work is in process.",IF(G66&lt;94%,(IF(E66=0,"Work not yet Started.",IF(F66=25%,"Piling work in process",IF(F66=50%,"Excavation work in process",IF(F66=100%,"Excavation work Completed. ","0")))&amp;(IF(E67=0%,"",IF(E67=J68,"Footing work is process",IF(E67=J69,"Footing work Completed",IF(E67=J70,"1st Basement Completed",IF(E67=J71,"1st &amp; 2nd Basement Completed",IF(E67=J72,"1st to 3rd Basement Completed",IF(E67=J73,"1st to 4th Basement Completed",IF(E67=J74,"Plinth work is process",IF(E67=J75,"Plinth work completed","0")))))))))))&amp;(IF(E68=(F63+G63+H63),", RCC Slab",IF(E68&gt;0,", RCC upto "&amp;E68&amp;" Slab",""))&amp;(IF(E69=H63,", Brickwork",IF(E69&gt;0,", Brickwork upto "&amp;E69&amp;" Floor",""))&amp;(IF(E70=H63,", Internal Plaster",IF(E70&gt;0,", Internal Plaster upto "&amp;E70&amp;" Floor",""))&amp;(IF(E71=H63,", External Plaster",IF(E71&gt;0,", External Plaster upto "&amp;E71&amp;" Floor",""))&amp;(IF(E72=H63,", Flooring",IF(E72&gt;0,", Flooring upto "&amp;E72&amp;" Floor",""))&amp;(IF(E73=H63,", Painting",IF(E73&gt;0,", Painting upto "&amp;E73&amp;" Floor",""))&amp;(IF(E74&gt;0,", Finishing upto "&amp;E74&amp;" Floor","")&amp;(IF(E68&gt;0.5," Completed",""))))))))))))))</f>
        <v>Excavation work Completed. Plinth work completed, RCC upto 3 Slab Completed</v>
      </c>
      <c r="J62" s="43"/>
    </row>
    <row r="63" spans="1:12" x14ac:dyDescent="0.2">
      <c r="A63" s="96"/>
      <c r="B63" s="97"/>
      <c r="C63" s="97"/>
      <c r="D63" s="98"/>
      <c r="E63" s="44">
        <v>0</v>
      </c>
      <c r="F63" s="44">
        <v>1</v>
      </c>
      <c r="G63" s="44">
        <v>0</v>
      </c>
      <c r="H63" s="45">
        <f ca="1">--TRIM(RIGHT(SUBSTITUTE(LEFT(A62,_xlfn.AGGREGATE(16,6,FIND({0,1,2,3,4,5,6,7,8,9},A62,ROW(INDIRECT("1:"&amp;LEN(A62)))),1))," ",REPT(" ",LEN(A62))),LEN(A62)))</f>
        <v>7</v>
      </c>
      <c r="I63" s="46"/>
      <c r="J63" s="47"/>
    </row>
    <row r="64" spans="1:12" x14ac:dyDescent="0.2">
      <c r="A64" s="59" t="s">
        <v>136</v>
      </c>
      <c r="B64" s="58"/>
      <c r="C64" s="99" t="str">
        <f ca="1">I62</f>
        <v>Excavation work Completed. Plinth work completed, RCC upto 3 Slab Completed</v>
      </c>
      <c r="D64" s="99"/>
      <c r="E64" s="99"/>
      <c r="F64" s="99"/>
      <c r="G64" s="99"/>
      <c r="H64" s="100"/>
      <c r="I64" s="46" t="s">
        <v>137</v>
      </c>
      <c r="J64" s="47"/>
    </row>
    <row r="65" spans="1:10" x14ac:dyDescent="0.2">
      <c r="A65" s="101" t="s">
        <v>61</v>
      </c>
      <c r="B65" s="102"/>
      <c r="C65" s="103" t="s">
        <v>138</v>
      </c>
      <c r="D65" s="103"/>
      <c r="E65" s="48" t="s">
        <v>62</v>
      </c>
      <c r="F65" s="48" t="s">
        <v>63</v>
      </c>
      <c r="G65" s="104" t="s">
        <v>56</v>
      </c>
      <c r="H65" s="105"/>
      <c r="I65" s="1" t="s">
        <v>64</v>
      </c>
      <c r="J65" s="49">
        <f ca="1">H63*25%</f>
        <v>1.75</v>
      </c>
    </row>
    <row r="66" spans="1:10" x14ac:dyDescent="0.2">
      <c r="A66" s="101" t="s">
        <v>65</v>
      </c>
      <c r="B66" s="102"/>
      <c r="C66" s="86">
        <v>0</v>
      </c>
      <c r="D66" s="86"/>
      <c r="E66" s="80">
        <f ca="1">J67</f>
        <v>7</v>
      </c>
      <c r="F66" s="50">
        <f ca="1">((100/H63)*E66)/100</f>
        <v>1</v>
      </c>
      <c r="G66" s="106">
        <f ca="1">(((E67/H63*10)+(40/(F63+G63+H63)*E68)+(15/(H63)*E69)+(5/(H63)*E70)+(5/H63*E71)+(10/H63*E72)+(5/H63*E73)+(5/H63*E74)+(5/H63*E75))/100)</f>
        <v>0.25</v>
      </c>
      <c r="H66" s="107"/>
      <c r="I66" s="1" t="s">
        <v>66</v>
      </c>
      <c r="J66" s="51">
        <f ca="1">H63*50%</f>
        <v>3.5</v>
      </c>
    </row>
    <row r="67" spans="1:10" x14ac:dyDescent="0.2">
      <c r="A67" s="101" t="s">
        <v>67</v>
      </c>
      <c r="B67" s="102"/>
      <c r="C67" s="86">
        <v>0.1</v>
      </c>
      <c r="D67" s="86"/>
      <c r="E67" s="81">
        <f ca="1">J75</f>
        <v>7</v>
      </c>
      <c r="F67" s="50">
        <f ca="1">((100/H63)*E67)/100</f>
        <v>1</v>
      </c>
      <c r="G67" s="106"/>
      <c r="H67" s="107"/>
      <c r="I67" s="1" t="s">
        <v>68</v>
      </c>
      <c r="J67" s="51">
        <f ca="1">H63</f>
        <v>7</v>
      </c>
    </row>
    <row r="68" spans="1:10" x14ac:dyDescent="0.2">
      <c r="A68" s="101" t="s">
        <v>69</v>
      </c>
      <c r="B68" s="102"/>
      <c r="C68" s="86">
        <v>0.4</v>
      </c>
      <c r="D68" s="86"/>
      <c r="E68" s="81">
        <v>3</v>
      </c>
      <c r="F68" s="50">
        <f ca="1">((100/(F63+G63+H63))*E68)/100</f>
        <v>0.375</v>
      </c>
      <c r="G68" s="106"/>
      <c r="H68" s="107"/>
      <c r="I68" s="1" t="s">
        <v>70</v>
      </c>
      <c r="J68" s="52">
        <f ca="1">(IF(E63&gt;1,(H63/(E63+2)),H63/4))</f>
        <v>1.75</v>
      </c>
    </row>
    <row r="69" spans="1:10" x14ac:dyDescent="0.2">
      <c r="A69" s="101" t="s">
        <v>71</v>
      </c>
      <c r="B69" s="102"/>
      <c r="C69" s="86">
        <v>0.15</v>
      </c>
      <c r="D69" s="86"/>
      <c r="E69" s="80">
        <v>0</v>
      </c>
      <c r="F69" s="50">
        <f ca="1">((100/H63)*E69)/100</f>
        <v>0</v>
      </c>
      <c r="G69" s="106"/>
      <c r="H69" s="107"/>
      <c r="I69" s="1" t="s">
        <v>72</v>
      </c>
      <c r="J69" s="52">
        <f ca="1">(IF(E63&gt;1,(H63/(E63+2)+J68),H63/4+J68))</f>
        <v>3.5</v>
      </c>
    </row>
    <row r="70" spans="1:10" x14ac:dyDescent="0.2">
      <c r="A70" s="101" t="s">
        <v>73</v>
      </c>
      <c r="B70" s="102"/>
      <c r="C70" s="86">
        <v>0.05</v>
      </c>
      <c r="D70" s="86"/>
      <c r="E70" s="80">
        <v>0</v>
      </c>
      <c r="F70" s="50">
        <f ca="1">((100/H63)*E70)/100</f>
        <v>0</v>
      </c>
      <c r="G70" s="106"/>
      <c r="H70" s="107"/>
      <c r="I70" s="1" t="s">
        <v>74</v>
      </c>
      <c r="J70" s="52">
        <f>(IF(E63&gt;1,(H63/(E63+2)+J69),0))</f>
        <v>0</v>
      </c>
    </row>
    <row r="71" spans="1:10" x14ac:dyDescent="0.2">
      <c r="A71" s="101" t="s">
        <v>75</v>
      </c>
      <c r="B71" s="102"/>
      <c r="C71" s="86">
        <v>0.05</v>
      </c>
      <c r="D71" s="86"/>
      <c r="E71" s="80">
        <v>0</v>
      </c>
      <c r="F71" s="50">
        <f ca="1">((100/(H63))*E71)/100</f>
        <v>0</v>
      </c>
      <c r="G71" s="106"/>
      <c r="H71" s="107"/>
      <c r="I71" s="1" t="s">
        <v>76</v>
      </c>
      <c r="J71" s="52">
        <f>(IF(E63&gt;2,(H63/(E63+2)+J70),0))</f>
        <v>0</v>
      </c>
    </row>
    <row r="72" spans="1:10" x14ac:dyDescent="0.2">
      <c r="A72" s="101" t="s">
        <v>77</v>
      </c>
      <c r="B72" s="102"/>
      <c r="C72" s="86">
        <v>0.1</v>
      </c>
      <c r="D72" s="86"/>
      <c r="E72" s="80">
        <v>0</v>
      </c>
      <c r="F72" s="50">
        <f ca="1">((100/H63)*E72)/100</f>
        <v>0</v>
      </c>
      <c r="G72" s="106"/>
      <c r="H72" s="107"/>
      <c r="I72" s="1" t="s">
        <v>78</v>
      </c>
      <c r="J72" s="53">
        <f>(IF(E63&gt;3,(H63/(E63+2)+J71),0))</f>
        <v>0</v>
      </c>
    </row>
    <row r="73" spans="1:10" x14ac:dyDescent="0.2">
      <c r="A73" s="101" t="s">
        <v>79</v>
      </c>
      <c r="B73" s="102"/>
      <c r="C73" s="86">
        <v>0.05</v>
      </c>
      <c r="D73" s="86"/>
      <c r="E73" s="80">
        <v>0</v>
      </c>
      <c r="F73" s="50">
        <f ca="1">((100/H63)*E73)/100</f>
        <v>0</v>
      </c>
      <c r="G73" s="106"/>
      <c r="H73" s="107"/>
      <c r="I73" s="1" t="s">
        <v>80</v>
      </c>
      <c r="J73" s="52">
        <f>(IF(E63&gt;4,(H63/(E63+2)+J72),0))</f>
        <v>0</v>
      </c>
    </row>
    <row r="74" spans="1:10" x14ac:dyDescent="0.2">
      <c r="A74" s="101" t="s">
        <v>81</v>
      </c>
      <c r="B74" s="102"/>
      <c r="C74" s="86">
        <v>0.05</v>
      </c>
      <c r="D74" s="86"/>
      <c r="E74" s="80">
        <v>0</v>
      </c>
      <c r="F74" s="50">
        <f ca="1">((100/(H63))*E74)/100</f>
        <v>0</v>
      </c>
      <c r="G74" s="106"/>
      <c r="H74" s="107"/>
      <c r="I74" s="1" t="s">
        <v>82</v>
      </c>
      <c r="J74" s="52">
        <f ca="1">(IF(E63=1,(H63/(E63+3)+J69),IF(E63=0,(H63/4+J69),IF(E63&gt;1,0))))</f>
        <v>5.25</v>
      </c>
    </row>
    <row r="75" spans="1:10" ht="13.5" thickBot="1" x14ac:dyDescent="0.25">
      <c r="A75" s="87" t="s">
        <v>83</v>
      </c>
      <c r="B75" s="88"/>
      <c r="C75" s="89">
        <v>0.05</v>
      </c>
      <c r="D75" s="89"/>
      <c r="E75" s="82">
        <v>0</v>
      </c>
      <c r="F75" s="54">
        <f ca="1">((100/(H63))*E75)/100</f>
        <v>0</v>
      </c>
      <c r="G75" s="108"/>
      <c r="H75" s="109"/>
      <c r="I75" s="55" t="s">
        <v>84</v>
      </c>
      <c r="J75" s="56">
        <f ca="1">(IF(E63&gt;1.5,(H63/(E63+2)+J69+MAX(0,J70-J69)+MAX(0,J71-J70)+MAX(0,J72-J71)+MAX(0,J73-J72)+MAX(0,J74-J73)),IF(E63=1,(H63/(E63+3)+J74),IF(E63=0,H63/4+J74))))</f>
        <v>7</v>
      </c>
    </row>
    <row r="76" spans="1:10" x14ac:dyDescent="0.2">
      <c r="A76" s="93" t="s">
        <v>257</v>
      </c>
      <c r="B76" s="94"/>
      <c r="C76" s="94"/>
      <c r="D76" s="95"/>
      <c r="E76" s="40" t="s">
        <v>58</v>
      </c>
      <c r="F76" s="40" t="s">
        <v>59</v>
      </c>
      <c r="G76" s="40" t="s">
        <v>60</v>
      </c>
      <c r="H76" s="41" t="s">
        <v>46</v>
      </c>
      <c r="I76" s="42" t="str">
        <f ca="1">(IF(G80&gt;99%,"All work completed. Please provide OC.",IF(G80&gt;89.8%,"Plinth, RCC, Brick, Plaster, Flooring, Painting work Completed. Finishing work is in process.",IF(G80&lt;94%,(IF(E80=0,"Work not yet Started.",IF(F80=25%,"Piling work in process",IF(F80=50%,"Excavation work in process",IF(F80=100%,"Excavation work Completed. ","0")))&amp;(IF(E81=0%,"",IF(E81=J82,"Footing work is process",IF(E81=J83,"Footing work Completed",IF(E81=J84,"1st Basement Completed",IF(E81=J85,"1st &amp; 2nd Basement Completed",IF(E81=J86,"1st to 3rd Basement Completed",IF(E81=J87,"1st to 4th Basement Completed",IF(E81=J88,"Plinth work is process",IF(E81=J89,"Plinth work completed","0")))))))))))&amp;(IF(E82=(F77+G77+H77),", RCC Slab",IF(E82&gt;0,", RCC upto "&amp;E82&amp;" Slab",""))&amp;(IF(E83=H77,", Brickwork",IF(E83&gt;0,", Brickwork upto "&amp;E83&amp;" Floor",""))&amp;(IF(E84=H77,", Internal Plaster",IF(E84&gt;0,", Internal Plaster upto "&amp;E84&amp;" Floor",""))&amp;(IF(E85=H77,", External Plaster",IF(E85&gt;0,", External Plaster upto "&amp;E85&amp;" Floor",""))&amp;(IF(E86=H77,", Flooring",IF(E86&gt;0,", Flooring upto "&amp;E86&amp;" Floor",""))&amp;(IF(E87=H77,", Painting",IF(E87&gt;0,", Painting upto "&amp;E87&amp;" Floor",""))&amp;(IF(E88&gt;0,", Finishing upto "&amp;E88&amp;" Floor","")&amp;(IF(E82&gt;0.5," Completed",""))))))))))))))</f>
        <v>Excavation work Completed. Plinth work completed, RCC upto 1 Slab Completed</v>
      </c>
      <c r="J76" s="43"/>
    </row>
    <row r="77" spans="1:10" x14ac:dyDescent="0.2">
      <c r="A77" s="96"/>
      <c r="B77" s="97"/>
      <c r="C77" s="97"/>
      <c r="D77" s="98"/>
      <c r="E77" s="44">
        <v>0</v>
      </c>
      <c r="F77" s="44">
        <v>1</v>
      </c>
      <c r="G77" s="44">
        <v>0</v>
      </c>
      <c r="H77" s="45">
        <f ca="1">--TRIM(RIGHT(SUBSTITUTE(LEFT(A76,_xlfn.AGGREGATE(16,6,FIND({0,1,2,3,4,5,6,7,8,9},A76,ROW(INDIRECT("1:"&amp;LEN(A76)))),1))," ",REPT(" ",LEN(A76))),LEN(A76)))</f>
        <v>7</v>
      </c>
      <c r="I77" s="46"/>
      <c r="J77" s="47"/>
    </row>
    <row r="78" spans="1:10" x14ac:dyDescent="0.2">
      <c r="A78" s="59" t="s">
        <v>136</v>
      </c>
      <c r="B78" s="58"/>
      <c r="C78" s="99" t="str">
        <f ca="1">I76</f>
        <v>Excavation work Completed. Plinth work completed, RCC upto 1 Slab Completed</v>
      </c>
      <c r="D78" s="99"/>
      <c r="E78" s="99"/>
      <c r="F78" s="99"/>
      <c r="G78" s="99"/>
      <c r="H78" s="100"/>
      <c r="I78" s="46" t="s">
        <v>137</v>
      </c>
      <c r="J78" s="47"/>
    </row>
    <row r="79" spans="1:10" x14ac:dyDescent="0.2">
      <c r="A79" s="101" t="s">
        <v>61</v>
      </c>
      <c r="B79" s="102"/>
      <c r="C79" s="103" t="s">
        <v>138</v>
      </c>
      <c r="D79" s="103"/>
      <c r="E79" s="67" t="s">
        <v>62</v>
      </c>
      <c r="F79" s="67" t="s">
        <v>63</v>
      </c>
      <c r="G79" s="104" t="s">
        <v>56</v>
      </c>
      <c r="H79" s="105"/>
      <c r="I79" s="1" t="s">
        <v>64</v>
      </c>
      <c r="J79" s="49">
        <f ca="1">H77*25%</f>
        <v>1.75</v>
      </c>
    </row>
    <row r="80" spans="1:10" x14ac:dyDescent="0.2">
      <c r="A80" s="101" t="s">
        <v>65</v>
      </c>
      <c r="B80" s="102"/>
      <c r="C80" s="86">
        <v>0</v>
      </c>
      <c r="D80" s="86"/>
      <c r="E80" s="80">
        <f ca="1">J81</f>
        <v>7</v>
      </c>
      <c r="F80" s="68">
        <f ca="1">((100/H77)*E80)/100</f>
        <v>1</v>
      </c>
      <c r="G80" s="106">
        <f ca="1">(((E81/H77*10)+(40/(F77+G77+H77)*E82)+(15/(H77)*E83)+(5/(H77)*E84)+(5/H77*E85)+(10/H77*E86)+(5/H77*E87)+(5/H77*E88)+(5/H77*E89))/100)</f>
        <v>0.15</v>
      </c>
      <c r="H80" s="107"/>
      <c r="I80" s="1" t="s">
        <v>66</v>
      </c>
      <c r="J80" s="51">
        <f ca="1">H77*50%</f>
        <v>3.5</v>
      </c>
    </row>
    <row r="81" spans="1:10" x14ac:dyDescent="0.2">
      <c r="A81" s="101" t="s">
        <v>67</v>
      </c>
      <c r="B81" s="102"/>
      <c r="C81" s="86">
        <v>0.1</v>
      </c>
      <c r="D81" s="86"/>
      <c r="E81" s="81">
        <f ca="1">J89</f>
        <v>7</v>
      </c>
      <c r="F81" s="68">
        <f ca="1">((100/H77)*E81)/100</f>
        <v>1</v>
      </c>
      <c r="G81" s="106"/>
      <c r="H81" s="107"/>
      <c r="I81" s="1" t="s">
        <v>68</v>
      </c>
      <c r="J81" s="51">
        <f ca="1">H77</f>
        <v>7</v>
      </c>
    </row>
    <row r="82" spans="1:10" x14ac:dyDescent="0.2">
      <c r="A82" s="101" t="s">
        <v>69</v>
      </c>
      <c r="B82" s="102"/>
      <c r="C82" s="86">
        <v>0.4</v>
      </c>
      <c r="D82" s="86"/>
      <c r="E82" s="81">
        <v>1</v>
      </c>
      <c r="F82" s="68">
        <f ca="1">((100/(F77+G77+H77))*E82)/100</f>
        <v>0.125</v>
      </c>
      <c r="G82" s="106"/>
      <c r="H82" s="107"/>
      <c r="I82" s="1" t="s">
        <v>70</v>
      </c>
      <c r="J82" s="52">
        <f ca="1">(IF(E77&gt;1,(H77/(E77+2)),H77/4))</f>
        <v>1.75</v>
      </c>
    </row>
    <row r="83" spans="1:10" x14ac:dyDescent="0.2">
      <c r="A83" s="101" t="s">
        <v>71</v>
      </c>
      <c r="B83" s="102"/>
      <c r="C83" s="86">
        <v>0.15</v>
      </c>
      <c r="D83" s="86"/>
      <c r="E83" s="80">
        <v>0</v>
      </c>
      <c r="F83" s="68">
        <f ca="1">((100/H77)*E83)/100</f>
        <v>0</v>
      </c>
      <c r="G83" s="106"/>
      <c r="H83" s="107"/>
      <c r="I83" s="1" t="s">
        <v>72</v>
      </c>
      <c r="J83" s="52">
        <f ca="1">(IF(E77&gt;1,(H77/(E77+2)+J82),H77/4+J82))</f>
        <v>3.5</v>
      </c>
    </row>
    <row r="84" spans="1:10" x14ac:dyDescent="0.2">
      <c r="A84" s="101" t="s">
        <v>73</v>
      </c>
      <c r="B84" s="102"/>
      <c r="C84" s="86">
        <v>0.05</v>
      </c>
      <c r="D84" s="86"/>
      <c r="E84" s="80">
        <v>0</v>
      </c>
      <c r="F84" s="68">
        <f ca="1">((100/H77)*E84)/100</f>
        <v>0</v>
      </c>
      <c r="G84" s="106"/>
      <c r="H84" s="107"/>
      <c r="I84" s="1" t="s">
        <v>74</v>
      </c>
      <c r="J84" s="52">
        <f>(IF(E77&gt;1,(H77/(E77+2)+J83),0))</f>
        <v>0</v>
      </c>
    </row>
    <row r="85" spans="1:10" x14ac:dyDescent="0.2">
      <c r="A85" s="101" t="s">
        <v>75</v>
      </c>
      <c r="B85" s="102"/>
      <c r="C85" s="86">
        <v>0.05</v>
      </c>
      <c r="D85" s="86"/>
      <c r="E85" s="80">
        <v>0</v>
      </c>
      <c r="F85" s="68">
        <f ca="1">((100/(H77))*E85)/100</f>
        <v>0</v>
      </c>
      <c r="G85" s="106"/>
      <c r="H85" s="107"/>
      <c r="I85" s="1" t="s">
        <v>76</v>
      </c>
      <c r="J85" s="52">
        <f>(IF(E77&gt;2,(H77/(E77+2)+J84),0))</f>
        <v>0</v>
      </c>
    </row>
    <row r="86" spans="1:10" x14ac:dyDescent="0.2">
      <c r="A86" s="101" t="s">
        <v>77</v>
      </c>
      <c r="B86" s="102"/>
      <c r="C86" s="86">
        <v>0.1</v>
      </c>
      <c r="D86" s="86"/>
      <c r="E86" s="80">
        <v>0</v>
      </c>
      <c r="F86" s="68">
        <f ca="1">((100/H77)*E86)/100</f>
        <v>0</v>
      </c>
      <c r="G86" s="106"/>
      <c r="H86" s="107"/>
      <c r="I86" s="1" t="s">
        <v>78</v>
      </c>
      <c r="J86" s="53">
        <f>(IF(E77&gt;3,(H77/(E77+2)+J85),0))</f>
        <v>0</v>
      </c>
    </row>
    <row r="87" spans="1:10" x14ac:dyDescent="0.2">
      <c r="A87" s="101" t="s">
        <v>79</v>
      </c>
      <c r="B87" s="102"/>
      <c r="C87" s="86">
        <v>0.05</v>
      </c>
      <c r="D87" s="86"/>
      <c r="E87" s="80">
        <v>0</v>
      </c>
      <c r="F87" s="68">
        <f ca="1">((100/H77)*E87)/100</f>
        <v>0</v>
      </c>
      <c r="G87" s="106"/>
      <c r="H87" s="107"/>
      <c r="I87" s="1" t="s">
        <v>80</v>
      </c>
      <c r="J87" s="52">
        <f>(IF(E77&gt;4,(H77/(E77+2)+J86),0))</f>
        <v>0</v>
      </c>
    </row>
    <row r="88" spans="1:10" x14ac:dyDescent="0.2">
      <c r="A88" s="101" t="s">
        <v>81</v>
      </c>
      <c r="B88" s="102"/>
      <c r="C88" s="86">
        <v>0.05</v>
      </c>
      <c r="D88" s="86"/>
      <c r="E88" s="80">
        <v>0</v>
      </c>
      <c r="F88" s="68">
        <f ca="1">((100/(H77))*E88)/100</f>
        <v>0</v>
      </c>
      <c r="G88" s="106"/>
      <c r="H88" s="107"/>
      <c r="I88" s="1" t="s">
        <v>82</v>
      </c>
      <c r="J88" s="52">
        <f ca="1">(IF(E77=1,(H77/(E77+3)+J83),IF(E77=0,(H77/4+J83),IF(E77&gt;1,0))))</f>
        <v>5.25</v>
      </c>
    </row>
    <row r="89" spans="1:10" ht="13.5" thickBot="1" x14ac:dyDescent="0.25">
      <c r="A89" s="87" t="s">
        <v>83</v>
      </c>
      <c r="B89" s="88"/>
      <c r="C89" s="89">
        <v>0.05</v>
      </c>
      <c r="D89" s="89"/>
      <c r="E89" s="82">
        <v>0</v>
      </c>
      <c r="F89" s="69">
        <f ca="1">((100/(H77))*E89)/100</f>
        <v>0</v>
      </c>
      <c r="G89" s="108"/>
      <c r="H89" s="109"/>
      <c r="I89" s="55" t="s">
        <v>84</v>
      </c>
      <c r="J89" s="56">
        <f ca="1">(IF(E77&gt;1.5,(H77/(E77+2)+J83+MAX(0,J84-J83)+MAX(0,J85-J84)+MAX(0,J86-J85)+MAX(0,J87-J86)+MAX(0,J88-J87)),IF(E77=1,(H77/(E77+3)+J88),IF(E77=0,H77/4+J88))))</f>
        <v>7</v>
      </c>
    </row>
    <row r="90" spans="1:10" x14ac:dyDescent="0.2">
      <c r="A90" s="93" t="s">
        <v>258</v>
      </c>
      <c r="B90" s="94"/>
      <c r="C90" s="94"/>
      <c r="D90" s="95"/>
      <c r="E90" s="40" t="s">
        <v>58</v>
      </c>
      <c r="F90" s="40" t="s">
        <v>59</v>
      </c>
      <c r="G90" s="40" t="s">
        <v>60</v>
      </c>
      <c r="H90" s="41" t="s">
        <v>46</v>
      </c>
      <c r="I90" s="42" t="str">
        <f ca="1">(IF(G94&gt;99%,"All work completed. Please provide OC.",IF(G94&gt;89.8%,"Plinth, RCC, Brick, Plaster, Flooring, Painting work Completed. Finishing work is in process.",IF(G94&lt;94%,(IF(E94=0,"Work not yet Started.",IF(F94=25%,"Piling work in process",IF(F94=50%,"Excavation work in process",IF(F94=100%,"Excavation work Completed. ","0")))&amp;(IF(E95=0%,"",IF(E95=J96,"Footing work is process",IF(E95=J97,"Footing work Completed",IF(E95=J98,"1st Basement Completed",IF(E95=J99,"1st &amp; 2nd Basement Completed",IF(E95=J100,"1st to 3rd Basement Completed",IF(E95=J101,"1st to 4th Basement Completed",IF(E95=J102,"Plinth work is process",IF(E95=J103,"Plinth work completed","0")))))))))))&amp;(IF(E96=(F91+G91+H91),", RCC Slab",IF(E96&gt;0,", RCC upto "&amp;E96&amp;" Slab",""))&amp;(IF(E97=H91,", Brickwork",IF(E97&gt;0,", Brickwork upto "&amp;E97&amp;" Floor",""))&amp;(IF(E98=H91,", Internal Plaster",IF(E98&gt;0,", Internal Plaster upto "&amp;E98&amp;" Floor",""))&amp;(IF(E99=H91,", External Plaster",IF(E99&gt;0,", External Plaster upto "&amp;E99&amp;" Floor",""))&amp;(IF(E100=H91,", Flooring",IF(E100&gt;0,", Flooring upto "&amp;E100&amp;" Floor",""))&amp;(IF(E101=H91,", Painting",IF(E101&gt;0,", Painting upto "&amp;E101&amp;" Floor",""))&amp;(IF(E102&gt;0,", Finishing upto "&amp;E102&amp;" Floor","")&amp;(IF(E96&gt;0.5," Completed",""))))))))))))))</f>
        <v>Excavation work Completed. Plinth work completed, RCC Slab, Brickwork, Internal Plaster, External Plaster upto 6 Floor, Flooring upto 2 Floor Completed</v>
      </c>
      <c r="J90" s="43"/>
    </row>
    <row r="91" spans="1:10" x14ac:dyDescent="0.2">
      <c r="A91" s="96"/>
      <c r="B91" s="97"/>
      <c r="C91" s="97"/>
      <c r="D91" s="98"/>
      <c r="E91" s="44">
        <v>0</v>
      </c>
      <c r="F91" s="44">
        <v>1</v>
      </c>
      <c r="G91" s="44">
        <v>0</v>
      </c>
      <c r="H91" s="45">
        <f ca="1">--TRIM(RIGHT(SUBSTITUTE(LEFT(A90,_xlfn.AGGREGATE(16,6,FIND({0,1,2,3,4,5,6,7,8,9},A90,ROW(INDIRECT("1:"&amp;LEN(A90)))),1))," ",REPT(" ",LEN(A90))),LEN(A90)))</f>
        <v>7</v>
      </c>
      <c r="I91" s="46"/>
      <c r="J91" s="47"/>
    </row>
    <row r="92" spans="1:10" ht="25.5" customHeight="1" x14ac:dyDescent="0.2">
      <c r="A92" s="59" t="s">
        <v>136</v>
      </c>
      <c r="B92" s="58"/>
      <c r="C92" s="99" t="str">
        <f ca="1">I90</f>
        <v>Excavation work Completed. Plinth work completed, RCC Slab, Brickwork, Internal Plaster, External Plaster upto 6 Floor, Flooring upto 2 Floor Completed</v>
      </c>
      <c r="D92" s="99"/>
      <c r="E92" s="99"/>
      <c r="F92" s="99"/>
      <c r="G92" s="99"/>
      <c r="H92" s="100"/>
      <c r="I92" s="46" t="s">
        <v>137</v>
      </c>
      <c r="J92" s="47"/>
    </row>
    <row r="93" spans="1:10" x14ac:dyDescent="0.2">
      <c r="A93" s="101" t="s">
        <v>61</v>
      </c>
      <c r="B93" s="102"/>
      <c r="C93" s="103" t="s">
        <v>138</v>
      </c>
      <c r="D93" s="103"/>
      <c r="E93" s="67" t="s">
        <v>62</v>
      </c>
      <c r="F93" s="67" t="s">
        <v>63</v>
      </c>
      <c r="G93" s="104" t="s">
        <v>56</v>
      </c>
      <c r="H93" s="105"/>
      <c r="I93" s="1" t="s">
        <v>64</v>
      </c>
      <c r="J93" s="49">
        <f ca="1">H91*25%</f>
        <v>1.75</v>
      </c>
    </row>
    <row r="94" spans="1:10" x14ac:dyDescent="0.2">
      <c r="A94" s="101" t="s">
        <v>65</v>
      </c>
      <c r="B94" s="102"/>
      <c r="C94" s="86">
        <v>0</v>
      </c>
      <c r="D94" s="86"/>
      <c r="E94" s="80">
        <f ca="1">J95</f>
        <v>7</v>
      </c>
      <c r="F94" s="68">
        <f ca="1">((100/H91)*E94)/100</f>
        <v>1</v>
      </c>
      <c r="G94" s="106">
        <f ca="1">(((E95/H91*10)+(40/(F91+G91+H91)*E96)+(15/(H91)*E97)+(5/(H91)*E98)+(5/H91*E99)+(10/H91*E100)+(5/H91*E101)+(5/H91*E102)+(5/H91*E103))/100)</f>
        <v>0.77142857142857157</v>
      </c>
      <c r="H94" s="107"/>
      <c r="I94" s="1" t="s">
        <v>66</v>
      </c>
      <c r="J94" s="51">
        <f ca="1">H91*50%</f>
        <v>3.5</v>
      </c>
    </row>
    <row r="95" spans="1:10" x14ac:dyDescent="0.2">
      <c r="A95" s="101" t="s">
        <v>67</v>
      </c>
      <c r="B95" s="102"/>
      <c r="C95" s="86">
        <v>0.1</v>
      </c>
      <c r="D95" s="86"/>
      <c r="E95" s="81">
        <f ca="1">J103</f>
        <v>7</v>
      </c>
      <c r="F95" s="68">
        <f ca="1">((100/H91)*E95)/100</f>
        <v>1</v>
      </c>
      <c r="G95" s="106"/>
      <c r="H95" s="107"/>
      <c r="I95" s="1" t="s">
        <v>68</v>
      </c>
      <c r="J95" s="51">
        <f ca="1">H91</f>
        <v>7</v>
      </c>
    </row>
    <row r="96" spans="1:10" x14ac:dyDescent="0.2">
      <c r="A96" s="101" t="s">
        <v>69</v>
      </c>
      <c r="B96" s="102"/>
      <c r="C96" s="86">
        <v>0.4</v>
      </c>
      <c r="D96" s="86"/>
      <c r="E96" s="81">
        <v>8</v>
      </c>
      <c r="F96" s="68">
        <f ca="1">((100/(F91+G91+H91))*E96)/100</f>
        <v>1</v>
      </c>
      <c r="G96" s="106"/>
      <c r="H96" s="107"/>
      <c r="I96" s="1" t="s">
        <v>70</v>
      </c>
      <c r="J96" s="52">
        <f ca="1">(IF(E91&gt;1,(H91/(E91+2)),H91/4))</f>
        <v>1.75</v>
      </c>
    </row>
    <row r="97" spans="1:10" x14ac:dyDescent="0.2">
      <c r="A97" s="101" t="s">
        <v>71</v>
      </c>
      <c r="B97" s="102"/>
      <c r="C97" s="86">
        <v>0.15</v>
      </c>
      <c r="D97" s="86"/>
      <c r="E97" s="80">
        <v>7</v>
      </c>
      <c r="F97" s="68">
        <f ca="1">((100/H91)*E97)/100</f>
        <v>1</v>
      </c>
      <c r="G97" s="106"/>
      <c r="H97" s="107"/>
      <c r="I97" s="1" t="s">
        <v>72</v>
      </c>
      <c r="J97" s="52">
        <f ca="1">(IF(E91&gt;1,(H91/(E91+2)+J96),H91/4+J96))</f>
        <v>3.5</v>
      </c>
    </row>
    <row r="98" spans="1:10" x14ac:dyDescent="0.2">
      <c r="A98" s="101" t="s">
        <v>73</v>
      </c>
      <c r="B98" s="102"/>
      <c r="C98" s="86">
        <v>0.05</v>
      </c>
      <c r="D98" s="86"/>
      <c r="E98" s="80">
        <v>7</v>
      </c>
      <c r="F98" s="68">
        <f ca="1">((100/H91)*E98)/100</f>
        <v>1</v>
      </c>
      <c r="G98" s="106"/>
      <c r="H98" s="107"/>
      <c r="I98" s="1" t="s">
        <v>74</v>
      </c>
      <c r="J98" s="52">
        <f>(IF(E91&gt;1,(H91/(E91+2)+J97),0))</f>
        <v>0</v>
      </c>
    </row>
    <row r="99" spans="1:10" x14ac:dyDescent="0.2">
      <c r="A99" s="101" t="s">
        <v>75</v>
      </c>
      <c r="B99" s="102"/>
      <c r="C99" s="86">
        <v>0.05</v>
      </c>
      <c r="D99" s="86"/>
      <c r="E99" s="80">
        <v>6</v>
      </c>
      <c r="F99" s="68">
        <f ca="1">((100/(H91))*E99)/100</f>
        <v>0.85714285714285721</v>
      </c>
      <c r="G99" s="106"/>
      <c r="H99" s="107"/>
      <c r="I99" s="1" t="s">
        <v>76</v>
      </c>
      <c r="J99" s="52">
        <f>(IF(E91&gt;2,(H91/(E91+2)+J98),0))</f>
        <v>0</v>
      </c>
    </row>
    <row r="100" spans="1:10" x14ac:dyDescent="0.2">
      <c r="A100" s="101" t="s">
        <v>77</v>
      </c>
      <c r="B100" s="102"/>
      <c r="C100" s="86">
        <v>0.1</v>
      </c>
      <c r="D100" s="86"/>
      <c r="E100" s="80">
        <v>2</v>
      </c>
      <c r="F100" s="68">
        <f ca="1">((100/H91)*E100)/100</f>
        <v>0.28571428571428575</v>
      </c>
      <c r="G100" s="106"/>
      <c r="H100" s="107"/>
      <c r="I100" s="1" t="s">
        <v>78</v>
      </c>
      <c r="J100" s="53">
        <f>(IF(E91&gt;3,(H91/(E91+2)+J99),0))</f>
        <v>0</v>
      </c>
    </row>
    <row r="101" spans="1:10" x14ac:dyDescent="0.2">
      <c r="A101" s="101" t="s">
        <v>79</v>
      </c>
      <c r="B101" s="102"/>
      <c r="C101" s="86">
        <v>0.05</v>
      </c>
      <c r="D101" s="86"/>
      <c r="E101" s="80">
        <v>0</v>
      </c>
      <c r="F101" s="68">
        <f ca="1">((100/H91)*E101)/100</f>
        <v>0</v>
      </c>
      <c r="G101" s="106"/>
      <c r="H101" s="107"/>
      <c r="I101" s="1" t="s">
        <v>80</v>
      </c>
      <c r="J101" s="52">
        <f>(IF(E91&gt;4,(H91/(E91+2)+J100),0))</f>
        <v>0</v>
      </c>
    </row>
    <row r="102" spans="1:10" x14ac:dyDescent="0.2">
      <c r="A102" s="101" t="s">
        <v>81</v>
      </c>
      <c r="B102" s="102"/>
      <c r="C102" s="86">
        <v>0.05</v>
      </c>
      <c r="D102" s="86"/>
      <c r="E102" s="80">
        <v>0</v>
      </c>
      <c r="F102" s="68">
        <f ca="1">((100/(H91))*E102)/100</f>
        <v>0</v>
      </c>
      <c r="G102" s="106"/>
      <c r="H102" s="107"/>
      <c r="I102" s="1" t="s">
        <v>82</v>
      </c>
      <c r="J102" s="52">
        <f ca="1">(IF(E91=1,(H91/(E91+3)+J97),IF(E91=0,(H91/4+J97),IF(E91&gt;1,0))))</f>
        <v>5.25</v>
      </c>
    </row>
    <row r="103" spans="1:10" ht="13.5" thickBot="1" x14ac:dyDescent="0.25">
      <c r="A103" s="87" t="s">
        <v>83</v>
      </c>
      <c r="B103" s="88"/>
      <c r="C103" s="89">
        <v>0.05</v>
      </c>
      <c r="D103" s="89"/>
      <c r="E103" s="82">
        <v>0</v>
      </c>
      <c r="F103" s="69">
        <f ca="1">((100/(H91))*E103)/100</f>
        <v>0</v>
      </c>
      <c r="G103" s="108"/>
      <c r="H103" s="109"/>
      <c r="I103" s="55" t="s">
        <v>84</v>
      </c>
      <c r="J103" s="56">
        <f ca="1">(IF(E91&gt;1.5,(H91/(E91+2)+J97+MAX(0,J98-J97)+MAX(0,J99-J98)+MAX(0,J100-J99)+MAX(0,J101-J100)+MAX(0,J102-J101)),IF(E91=1,(H91/(E91+3)+J102),IF(E91=0,H91/4+J102))))</f>
        <v>7</v>
      </c>
    </row>
    <row r="104" spans="1:10" x14ac:dyDescent="0.2">
      <c r="A104" s="93" t="s">
        <v>259</v>
      </c>
      <c r="B104" s="94"/>
      <c r="C104" s="94"/>
      <c r="D104" s="95"/>
      <c r="E104" s="40" t="s">
        <v>58</v>
      </c>
      <c r="F104" s="40" t="s">
        <v>59</v>
      </c>
      <c r="G104" s="40" t="s">
        <v>60</v>
      </c>
      <c r="H104" s="41" t="s">
        <v>46</v>
      </c>
      <c r="I104" s="42" t="str">
        <f ca="1">(IF(G108&gt;99%,"All work completed. Please provide OC.",IF(G108&gt;89.8%,"Plinth, RCC, Brick, Plaster, Flooring, Painting work Completed. Finishing work is in process.",IF(G108&lt;94%,(IF(E108=0,"Work not yet Started.",IF(F108=25%,"Piling work in process",IF(F108=50%,"Excavation work in process",IF(F108=100%,"Excavation work Completed. ","0")))&amp;(IF(E109=0%,"",IF(E109=J110,"Footing work is process",IF(E109=J111,"Footing work Completed",IF(E109=J112,"1st Basement Completed",IF(E109=J113,"1st &amp; 2nd Basement Completed",IF(E109=J114,"1st to 3rd Basement Completed",IF(E109=J115,"1st to 4th Basement Completed",IF(E109=J116,"Plinth work is process",IF(E109=J117,"Plinth work completed","0")))))))))))&amp;(IF(E110=(F105+G105+H105),", RCC Slab",IF(E110&gt;0,", RCC upto "&amp;E110&amp;" Slab",""))&amp;(IF(E111=H105,", Brickwork",IF(E111&gt;0,", Brickwork upto "&amp;E111&amp;" Floor",""))&amp;(IF(E112=H105,", Internal Plaster",IF(E112&gt;0,", Internal Plaster upto "&amp;E112&amp;" Floor",""))&amp;(IF(E113=H105,", External Plaster",IF(E113&gt;0,", External Plaster upto "&amp;E113&amp;" Floor",""))&amp;(IF(E114=H105,", Flooring",IF(E114&gt;0,", Flooring upto "&amp;E114&amp;" Floor",""))&amp;(IF(E115=H105,", Painting",IF(E115&gt;0,", Painting upto "&amp;E115&amp;" Floor",""))&amp;(IF(E116&gt;0,", Finishing upto "&amp;E116&amp;" Floor","")&amp;(IF(E110&gt;0.5," Completed",""))))))))))))))</f>
        <v>Excavation work Completed. Plinth work completed, RCC Slab, Brickwork, Internal Plaster, External Plaster upto 6 Floor, Flooring upto 2 Floor Completed</v>
      </c>
      <c r="J104" s="43"/>
    </row>
    <row r="105" spans="1:10" x14ac:dyDescent="0.2">
      <c r="A105" s="96"/>
      <c r="B105" s="97"/>
      <c r="C105" s="97"/>
      <c r="D105" s="98"/>
      <c r="E105" s="44">
        <v>0</v>
      </c>
      <c r="F105" s="44">
        <v>1</v>
      </c>
      <c r="G105" s="44">
        <v>0</v>
      </c>
      <c r="H105" s="45">
        <f ca="1">--TRIM(RIGHT(SUBSTITUTE(LEFT(A104,_xlfn.AGGREGATE(16,6,FIND({0,1,2,3,4,5,6,7,8,9},A104,ROW(INDIRECT("1:"&amp;LEN(A104)))),1))," ",REPT(" ",LEN(A104))),LEN(A104)))</f>
        <v>7</v>
      </c>
      <c r="I105" s="46"/>
      <c r="J105" s="47"/>
    </row>
    <row r="106" spans="1:10" ht="25.5" customHeight="1" x14ac:dyDescent="0.2">
      <c r="A106" s="59" t="s">
        <v>136</v>
      </c>
      <c r="B106" s="58"/>
      <c r="C106" s="99" t="str">
        <f ca="1">I104</f>
        <v>Excavation work Completed. Plinth work completed, RCC Slab, Brickwork, Internal Plaster, External Plaster upto 6 Floor, Flooring upto 2 Floor Completed</v>
      </c>
      <c r="D106" s="99"/>
      <c r="E106" s="99"/>
      <c r="F106" s="99"/>
      <c r="G106" s="99"/>
      <c r="H106" s="100"/>
      <c r="I106" s="46" t="s">
        <v>137</v>
      </c>
      <c r="J106" s="47"/>
    </row>
    <row r="107" spans="1:10" x14ac:dyDescent="0.2">
      <c r="A107" s="101" t="s">
        <v>61</v>
      </c>
      <c r="B107" s="102"/>
      <c r="C107" s="103" t="s">
        <v>138</v>
      </c>
      <c r="D107" s="103"/>
      <c r="E107" s="67" t="s">
        <v>62</v>
      </c>
      <c r="F107" s="67" t="s">
        <v>63</v>
      </c>
      <c r="G107" s="104" t="s">
        <v>56</v>
      </c>
      <c r="H107" s="105"/>
      <c r="I107" s="1" t="s">
        <v>64</v>
      </c>
      <c r="J107" s="49">
        <f ca="1">H105*25%</f>
        <v>1.75</v>
      </c>
    </row>
    <row r="108" spans="1:10" x14ac:dyDescent="0.2">
      <c r="A108" s="101" t="s">
        <v>65</v>
      </c>
      <c r="B108" s="102"/>
      <c r="C108" s="86">
        <v>0</v>
      </c>
      <c r="D108" s="86"/>
      <c r="E108" s="80">
        <f ca="1">J109</f>
        <v>7</v>
      </c>
      <c r="F108" s="68">
        <f ca="1">((100/H105)*E108)/100</f>
        <v>1</v>
      </c>
      <c r="G108" s="106">
        <f ca="1">(((E109/H105*10)+(40/(F105+G105+H105)*E110)+(15/(H105)*E111)+(5/(H105)*E112)+(5/H105*E113)+(10/H105*E114)+(5/H105*E115)+(5/H105*E116)+(5/H105*E117))/100)</f>
        <v>0.77142857142857157</v>
      </c>
      <c r="H108" s="107"/>
      <c r="I108" s="1" t="s">
        <v>66</v>
      </c>
      <c r="J108" s="51">
        <f ca="1">H105*50%</f>
        <v>3.5</v>
      </c>
    </row>
    <row r="109" spans="1:10" x14ac:dyDescent="0.2">
      <c r="A109" s="101" t="s">
        <v>67</v>
      </c>
      <c r="B109" s="102"/>
      <c r="C109" s="86">
        <v>0.1</v>
      </c>
      <c r="D109" s="86"/>
      <c r="E109" s="81">
        <f ca="1">J117</f>
        <v>7</v>
      </c>
      <c r="F109" s="68">
        <f ca="1">((100/H105)*E109)/100</f>
        <v>1</v>
      </c>
      <c r="G109" s="106"/>
      <c r="H109" s="107"/>
      <c r="I109" s="1" t="s">
        <v>68</v>
      </c>
      <c r="J109" s="51">
        <f ca="1">H105</f>
        <v>7</v>
      </c>
    </row>
    <row r="110" spans="1:10" x14ac:dyDescent="0.2">
      <c r="A110" s="101" t="s">
        <v>69</v>
      </c>
      <c r="B110" s="102"/>
      <c r="C110" s="86">
        <v>0.4</v>
      </c>
      <c r="D110" s="86"/>
      <c r="E110" s="81">
        <v>8</v>
      </c>
      <c r="F110" s="68">
        <f ca="1">((100/(F105+G105+H105))*E110)/100</f>
        <v>1</v>
      </c>
      <c r="G110" s="106"/>
      <c r="H110" s="107"/>
      <c r="I110" s="1" t="s">
        <v>70</v>
      </c>
      <c r="J110" s="52">
        <f ca="1">(IF(E105&gt;1,(H105/(E105+2)),H105/4))</f>
        <v>1.75</v>
      </c>
    </row>
    <row r="111" spans="1:10" x14ac:dyDescent="0.2">
      <c r="A111" s="101" t="s">
        <v>71</v>
      </c>
      <c r="B111" s="102"/>
      <c r="C111" s="86">
        <v>0.15</v>
      </c>
      <c r="D111" s="86"/>
      <c r="E111" s="80">
        <v>7</v>
      </c>
      <c r="F111" s="68">
        <f ca="1">((100/H105)*E111)/100</f>
        <v>1</v>
      </c>
      <c r="G111" s="106"/>
      <c r="H111" s="107"/>
      <c r="I111" s="1" t="s">
        <v>72</v>
      </c>
      <c r="J111" s="52">
        <f ca="1">(IF(E105&gt;1,(H105/(E105+2)+J110),H105/4+J110))</f>
        <v>3.5</v>
      </c>
    </row>
    <row r="112" spans="1:10" x14ac:dyDescent="0.2">
      <c r="A112" s="101" t="s">
        <v>73</v>
      </c>
      <c r="B112" s="102"/>
      <c r="C112" s="86">
        <v>0.05</v>
      </c>
      <c r="D112" s="86"/>
      <c r="E112" s="80">
        <v>7</v>
      </c>
      <c r="F112" s="68">
        <f ca="1">((100/H105)*E112)/100</f>
        <v>1</v>
      </c>
      <c r="G112" s="106"/>
      <c r="H112" s="107"/>
      <c r="I112" s="1" t="s">
        <v>74</v>
      </c>
      <c r="J112" s="52">
        <f>(IF(E105&gt;1,(H105/(E105+2)+J111),0))</f>
        <v>0</v>
      </c>
    </row>
    <row r="113" spans="1:10" x14ac:dyDescent="0.2">
      <c r="A113" s="101" t="s">
        <v>75</v>
      </c>
      <c r="B113" s="102"/>
      <c r="C113" s="86">
        <v>0.05</v>
      </c>
      <c r="D113" s="86"/>
      <c r="E113" s="80">
        <v>6</v>
      </c>
      <c r="F113" s="68">
        <f ca="1">((100/(H105))*E113)/100</f>
        <v>0.85714285714285721</v>
      </c>
      <c r="G113" s="106"/>
      <c r="H113" s="107"/>
      <c r="I113" s="1" t="s">
        <v>76</v>
      </c>
      <c r="J113" s="52">
        <f>(IF(E105&gt;2,(H105/(E105+2)+J112),0))</f>
        <v>0</v>
      </c>
    </row>
    <row r="114" spans="1:10" x14ac:dyDescent="0.2">
      <c r="A114" s="101" t="s">
        <v>77</v>
      </c>
      <c r="B114" s="102"/>
      <c r="C114" s="86">
        <v>0.1</v>
      </c>
      <c r="D114" s="86"/>
      <c r="E114" s="80">
        <v>2</v>
      </c>
      <c r="F114" s="68">
        <f ca="1">((100/H105)*E114)/100</f>
        <v>0.28571428571428575</v>
      </c>
      <c r="G114" s="106"/>
      <c r="H114" s="107"/>
      <c r="I114" s="1" t="s">
        <v>78</v>
      </c>
      <c r="J114" s="53">
        <f>(IF(E105&gt;3,(H105/(E105+2)+J113),0))</f>
        <v>0</v>
      </c>
    </row>
    <row r="115" spans="1:10" x14ac:dyDescent="0.2">
      <c r="A115" s="101" t="s">
        <v>79</v>
      </c>
      <c r="B115" s="102"/>
      <c r="C115" s="86">
        <v>0.05</v>
      </c>
      <c r="D115" s="86"/>
      <c r="E115" s="80">
        <v>0</v>
      </c>
      <c r="F115" s="68">
        <f ca="1">((100/H105)*E115)/100</f>
        <v>0</v>
      </c>
      <c r="G115" s="106"/>
      <c r="H115" s="107"/>
      <c r="I115" s="1" t="s">
        <v>80</v>
      </c>
      <c r="J115" s="52">
        <f>(IF(E105&gt;4,(H105/(E105+2)+J114),0))</f>
        <v>0</v>
      </c>
    </row>
    <row r="116" spans="1:10" x14ac:dyDescent="0.2">
      <c r="A116" s="101" t="s">
        <v>81</v>
      </c>
      <c r="B116" s="102"/>
      <c r="C116" s="86">
        <v>0.05</v>
      </c>
      <c r="D116" s="86"/>
      <c r="E116" s="80">
        <v>0</v>
      </c>
      <c r="F116" s="68">
        <f ca="1">((100/(H105))*E116)/100</f>
        <v>0</v>
      </c>
      <c r="G116" s="106"/>
      <c r="H116" s="107"/>
      <c r="I116" s="1" t="s">
        <v>82</v>
      </c>
      <c r="J116" s="52">
        <f ca="1">(IF(E105=1,(H105/(E105+3)+J111),IF(E105=0,(H105/4+J111),IF(E105&gt;1,0))))</f>
        <v>5.25</v>
      </c>
    </row>
    <row r="117" spans="1:10" ht="13.5" thickBot="1" x14ac:dyDescent="0.25">
      <c r="A117" s="87" t="s">
        <v>83</v>
      </c>
      <c r="B117" s="88"/>
      <c r="C117" s="89">
        <v>0.05</v>
      </c>
      <c r="D117" s="89"/>
      <c r="E117" s="82">
        <v>0</v>
      </c>
      <c r="F117" s="69">
        <f ca="1">((100/(H105))*E117)/100</f>
        <v>0</v>
      </c>
      <c r="G117" s="108"/>
      <c r="H117" s="109"/>
      <c r="I117" s="55" t="s">
        <v>84</v>
      </c>
      <c r="J117" s="56">
        <f ca="1">(IF(E105&gt;1.5,(H105/(E105+2)+J111+MAX(0,J112-J111)+MAX(0,J113-J112)+MAX(0,J114-J113)+MAX(0,J115-J114)+MAX(0,J116-J115)),IF(E105=1,(H105/(E105+3)+J116),IF(E105=0,H105/4+J116))))</f>
        <v>7</v>
      </c>
    </row>
    <row r="118" spans="1:10" x14ac:dyDescent="0.2">
      <c r="A118" s="188" t="s">
        <v>25</v>
      </c>
      <c r="B118" s="189"/>
      <c r="C118" s="219" t="s">
        <v>114</v>
      </c>
      <c r="D118" s="219"/>
      <c r="E118" s="219"/>
      <c r="F118" s="219"/>
      <c r="G118" s="219"/>
      <c r="H118" s="219"/>
    </row>
    <row r="119" spans="1:10" x14ac:dyDescent="0.2">
      <c r="A119" s="136" t="s">
        <v>26</v>
      </c>
      <c r="B119" s="136"/>
      <c r="C119" s="136"/>
      <c r="D119" s="136"/>
      <c r="E119" s="136"/>
      <c r="F119" s="136"/>
      <c r="G119" s="136"/>
      <c r="H119" s="136"/>
    </row>
    <row r="120" spans="1:10" x14ac:dyDescent="0.2">
      <c r="A120" s="190" t="s">
        <v>27</v>
      </c>
      <c r="B120" s="191"/>
      <c r="C120" s="215" t="s">
        <v>50</v>
      </c>
      <c r="D120" s="216"/>
      <c r="E120" s="214" t="s">
        <v>28</v>
      </c>
      <c r="F120" s="214"/>
      <c r="G120" s="15" t="s">
        <v>18</v>
      </c>
      <c r="H120" s="70" t="s">
        <v>52</v>
      </c>
    </row>
    <row r="121" spans="1:10" x14ac:dyDescent="0.2">
      <c r="A121" s="190" t="s">
        <v>29</v>
      </c>
      <c r="B121" s="191"/>
      <c r="C121" s="215" t="s">
        <v>49</v>
      </c>
      <c r="D121" s="216"/>
      <c r="E121" s="214" t="s">
        <v>30</v>
      </c>
      <c r="F121" s="214"/>
      <c r="G121" s="15" t="s">
        <v>18</v>
      </c>
      <c r="H121" s="70" t="s">
        <v>52</v>
      </c>
    </row>
    <row r="122" spans="1:10" x14ac:dyDescent="0.2">
      <c r="A122" s="190" t="s">
        <v>31</v>
      </c>
      <c r="B122" s="191"/>
      <c r="C122" s="215" t="s">
        <v>280</v>
      </c>
      <c r="D122" s="216"/>
      <c r="E122" s="214" t="s">
        <v>32</v>
      </c>
      <c r="F122" s="214"/>
      <c r="G122" s="15" t="s">
        <v>18</v>
      </c>
      <c r="H122" s="70" t="s">
        <v>51</v>
      </c>
    </row>
    <row r="123" spans="1:10" x14ac:dyDescent="0.2">
      <c r="A123" s="190" t="s">
        <v>33</v>
      </c>
      <c r="B123" s="191"/>
      <c r="C123" s="215" t="s">
        <v>122</v>
      </c>
      <c r="D123" s="216"/>
      <c r="E123" s="214" t="s">
        <v>34</v>
      </c>
      <c r="F123" s="214"/>
      <c r="G123" s="15" t="s">
        <v>18</v>
      </c>
      <c r="H123" s="70" t="s">
        <v>51</v>
      </c>
    </row>
    <row r="124" spans="1:10" x14ac:dyDescent="0.2">
      <c r="A124" s="190" t="s">
        <v>35</v>
      </c>
      <c r="B124" s="191"/>
      <c r="C124" s="215" t="s">
        <v>127</v>
      </c>
      <c r="D124" s="216"/>
      <c r="E124" s="214" t="s">
        <v>36</v>
      </c>
      <c r="F124" s="214"/>
      <c r="G124" s="15" t="s">
        <v>18</v>
      </c>
      <c r="H124" s="70" t="s">
        <v>52</v>
      </c>
    </row>
    <row r="125" spans="1:10" ht="38.25" customHeight="1" x14ac:dyDescent="0.2">
      <c r="A125" s="190" t="s">
        <v>37</v>
      </c>
      <c r="B125" s="191"/>
      <c r="C125" s="215" t="s">
        <v>139</v>
      </c>
      <c r="D125" s="216"/>
      <c r="E125" s="214" t="s">
        <v>38</v>
      </c>
      <c r="F125" s="214"/>
      <c r="G125" s="15" t="s">
        <v>18</v>
      </c>
      <c r="H125" s="70" t="s">
        <v>52</v>
      </c>
    </row>
    <row r="126" spans="1:10" x14ac:dyDescent="0.2">
      <c r="A126" s="190" t="s">
        <v>39</v>
      </c>
      <c r="B126" s="191"/>
      <c r="C126" s="215" t="s">
        <v>123</v>
      </c>
      <c r="D126" s="216"/>
      <c r="E126" s="214" t="s">
        <v>40</v>
      </c>
      <c r="F126" s="214"/>
      <c r="G126" s="15" t="s">
        <v>18</v>
      </c>
      <c r="H126" s="70" t="s">
        <v>52</v>
      </c>
    </row>
    <row r="127" spans="1:10" x14ac:dyDescent="0.2">
      <c r="A127" s="115" t="s">
        <v>41</v>
      </c>
      <c r="B127" s="116"/>
      <c r="C127" s="215" t="s">
        <v>126</v>
      </c>
      <c r="D127" s="216"/>
      <c r="E127" s="136" t="s">
        <v>42</v>
      </c>
      <c r="F127" s="136"/>
      <c r="G127" s="240" t="s">
        <v>52</v>
      </c>
      <c r="H127" s="240"/>
    </row>
    <row r="128" spans="1:10" ht="25.5" customHeight="1" x14ac:dyDescent="0.2">
      <c r="A128" s="115" t="s">
        <v>43</v>
      </c>
      <c r="B128" s="116"/>
      <c r="C128" s="217" t="s">
        <v>54</v>
      </c>
      <c r="D128" s="218"/>
      <c r="E128" s="136" t="s">
        <v>44</v>
      </c>
      <c r="F128" s="136"/>
      <c r="G128" s="214" t="s">
        <v>53</v>
      </c>
      <c r="H128" s="214"/>
    </row>
    <row r="129" spans="1:10" x14ac:dyDescent="0.2">
      <c r="A129" s="136" t="s">
        <v>201</v>
      </c>
      <c r="B129" s="136"/>
      <c r="C129" s="136"/>
      <c r="D129" s="136"/>
      <c r="E129" s="136"/>
      <c r="F129" s="136"/>
      <c r="G129" s="136"/>
      <c r="H129" s="136"/>
    </row>
    <row r="130" spans="1:10" x14ac:dyDescent="0.2">
      <c r="A130" s="136" t="s">
        <v>195</v>
      </c>
      <c r="B130" s="136"/>
      <c r="C130" s="115" t="s">
        <v>196</v>
      </c>
      <c r="D130" s="116"/>
      <c r="E130" s="136" t="s">
        <v>197</v>
      </c>
      <c r="F130" s="136"/>
      <c r="G130" s="136" t="s">
        <v>198</v>
      </c>
      <c r="H130" s="136"/>
    </row>
    <row r="131" spans="1:10" x14ac:dyDescent="0.2">
      <c r="A131" s="90" t="s">
        <v>260</v>
      </c>
      <c r="B131" s="66" t="s">
        <v>199</v>
      </c>
      <c r="C131" s="92">
        <f>COUNT(D145:D149)*7</f>
        <v>35</v>
      </c>
      <c r="D131" s="92"/>
      <c r="E131" s="92">
        <f t="shared" ref="E131" si="0">SUM(F145:F149)*7</f>
        <v>20209.388471999999</v>
      </c>
      <c r="F131" s="92"/>
      <c r="G131" s="92">
        <f>SUM(H145:H149)*7</f>
        <v>29303.613284399999</v>
      </c>
      <c r="H131" s="92"/>
      <c r="I131" s="78" t="s">
        <v>271</v>
      </c>
    </row>
    <row r="132" spans="1:10" x14ac:dyDescent="0.2">
      <c r="A132" s="91"/>
      <c r="B132" s="66" t="s">
        <v>202</v>
      </c>
      <c r="C132" s="92">
        <f>COUNT(D153:D158)*7</f>
        <v>42</v>
      </c>
      <c r="D132" s="92"/>
      <c r="E132" s="92">
        <f t="shared" ref="E132" si="1">SUM(F153:F158)*7</f>
        <v>24278.557211999996</v>
      </c>
      <c r="F132" s="92"/>
      <c r="G132" s="92">
        <f>SUM(H153:H158)*7</f>
        <v>35203.907957399992</v>
      </c>
      <c r="H132" s="92"/>
      <c r="I132" s="78" t="s">
        <v>271</v>
      </c>
    </row>
    <row r="133" spans="1:10" x14ac:dyDescent="0.2">
      <c r="A133" s="90" t="s">
        <v>261</v>
      </c>
      <c r="B133" s="66" t="s">
        <v>199</v>
      </c>
      <c r="C133" s="92">
        <f>COUNT(D163:D168)*7</f>
        <v>42</v>
      </c>
      <c r="D133" s="92"/>
      <c r="E133" s="92">
        <f t="shared" ref="E133" si="2">SUM(F163:F168)*7</f>
        <v>24581.908259999997</v>
      </c>
      <c r="F133" s="92"/>
      <c r="G133" s="92">
        <f>SUM(H163:H168)*7</f>
        <v>35643.766976999999</v>
      </c>
      <c r="H133" s="92"/>
      <c r="I133" s="78" t="s">
        <v>271</v>
      </c>
    </row>
    <row r="134" spans="1:10" x14ac:dyDescent="0.2">
      <c r="A134" s="91"/>
      <c r="B134" s="66" t="s">
        <v>202</v>
      </c>
      <c r="C134" s="92">
        <f>COUNT(D172:D177)*7</f>
        <v>42</v>
      </c>
      <c r="D134" s="92"/>
      <c r="E134" s="92">
        <f t="shared" ref="E134" si="3">SUM(F172:F177)*7</f>
        <v>23129.123471999996</v>
      </c>
      <c r="F134" s="92"/>
      <c r="G134" s="92">
        <f>SUM(H172:H177)*7</f>
        <v>33537.229034399999</v>
      </c>
      <c r="H134" s="92"/>
      <c r="I134" s="78" t="s">
        <v>271</v>
      </c>
    </row>
    <row r="135" spans="1:10" ht="15.75" customHeight="1" x14ac:dyDescent="0.2">
      <c r="A135" s="136" t="s">
        <v>200</v>
      </c>
      <c r="B135" s="136"/>
      <c r="C135" s="139">
        <f>SUM(C131:C134)</f>
        <v>161</v>
      </c>
      <c r="D135" s="140"/>
      <c r="E135" s="192">
        <f>SUM(E131:E134)</f>
        <v>92198.97741599998</v>
      </c>
      <c r="F135" s="193"/>
      <c r="G135" s="192">
        <f>SUM(G131:G134)</f>
        <v>133688.51725319997</v>
      </c>
      <c r="H135" s="193"/>
    </row>
    <row r="136" spans="1:10" x14ac:dyDescent="0.2">
      <c r="A136" s="136" t="s">
        <v>203</v>
      </c>
      <c r="B136" s="136"/>
      <c r="C136" s="115"/>
      <c r="D136" s="116"/>
      <c r="E136" s="194"/>
      <c r="F136" s="194"/>
      <c r="G136" s="194"/>
      <c r="H136" s="194"/>
    </row>
    <row r="137" spans="1:10" x14ac:dyDescent="0.2">
      <c r="A137" s="136" t="s">
        <v>45</v>
      </c>
      <c r="B137" s="136"/>
      <c r="C137" s="136"/>
      <c r="D137" s="136"/>
      <c r="E137" s="136"/>
      <c r="F137" s="136"/>
      <c r="G137" s="136"/>
      <c r="H137" s="136"/>
    </row>
    <row r="138" spans="1:10" x14ac:dyDescent="0.2">
      <c r="A138" s="136" t="s">
        <v>262</v>
      </c>
      <c r="B138" s="136"/>
      <c r="C138" s="136"/>
      <c r="D138" s="136"/>
      <c r="E138" s="136"/>
      <c r="F138" s="136"/>
      <c r="G138" s="136"/>
      <c r="H138" s="136"/>
    </row>
    <row r="139" spans="1:10" ht="38.25" x14ac:dyDescent="0.2">
      <c r="A139" s="137" t="s">
        <v>206</v>
      </c>
      <c r="B139" s="137" t="s">
        <v>207</v>
      </c>
      <c r="C139" s="137" t="s">
        <v>270</v>
      </c>
      <c r="D139" s="137" t="s">
        <v>208</v>
      </c>
      <c r="E139" s="137" t="s">
        <v>263</v>
      </c>
      <c r="F139" s="137" t="s">
        <v>209</v>
      </c>
      <c r="G139" s="74" t="s">
        <v>210</v>
      </c>
      <c r="H139" s="75" t="s">
        <v>140</v>
      </c>
    </row>
    <row r="140" spans="1:10" x14ac:dyDescent="0.2">
      <c r="A140" s="138"/>
      <c r="B140" s="138"/>
      <c r="C140" s="138"/>
      <c r="D140" s="138"/>
      <c r="E140" s="138"/>
      <c r="F140" s="138"/>
      <c r="G140" s="76"/>
      <c r="H140" s="77">
        <v>0.45</v>
      </c>
    </row>
    <row r="141" spans="1:10" x14ac:dyDescent="0.2">
      <c r="A141" s="83" t="s">
        <v>260</v>
      </c>
      <c r="B141" s="83"/>
      <c r="C141" s="83"/>
      <c r="D141" s="83"/>
      <c r="E141" s="83"/>
      <c r="F141" s="83"/>
      <c r="G141" s="83"/>
      <c r="H141" s="85"/>
    </row>
    <row r="142" spans="1:10" s="71" customFormat="1" ht="13.5" customHeight="1" x14ac:dyDescent="0.25">
      <c r="A142" s="83" t="s">
        <v>199</v>
      </c>
      <c r="B142" s="83"/>
      <c r="C142" s="83"/>
      <c r="D142" s="83"/>
      <c r="E142" s="83"/>
      <c r="F142" s="83"/>
      <c r="G142" s="83"/>
      <c r="H142" s="83"/>
      <c r="J142" s="72"/>
    </row>
    <row r="143" spans="1:10" s="71" customFormat="1" ht="13.5" customHeight="1" x14ac:dyDescent="0.25">
      <c r="A143" s="83" t="s">
        <v>264</v>
      </c>
      <c r="B143" s="83"/>
      <c r="C143" s="83"/>
      <c r="D143" s="83"/>
      <c r="E143" s="83"/>
      <c r="F143" s="83"/>
      <c r="G143" s="83"/>
      <c r="H143" s="83"/>
      <c r="J143" s="72"/>
    </row>
    <row r="144" spans="1:10" s="71" customFormat="1" ht="12.75" customHeight="1" x14ac:dyDescent="0.25">
      <c r="A144" s="83" t="s">
        <v>265</v>
      </c>
      <c r="B144" s="83"/>
      <c r="C144" s="83"/>
      <c r="D144" s="83"/>
      <c r="E144" s="83"/>
      <c r="F144" s="83"/>
      <c r="G144" s="83"/>
      <c r="H144" s="83"/>
      <c r="J144" s="73"/>
    </row>
    <row r="145" spans="1:13" x14ac:dyDescent="0.2">
      <c r="A145" s="119">
        <v>1</v>
      </c>
      <c r="B145" s="120"/>
      <c r="C145" s="19" t="s">
        <v>266</v>
      </c>
      <c r="D145" s="17">
        <f>(41.96)*(10.764)</f>
        <v>451.65744000000001</v>
      </c>
      <c r="E145" s="17">
        <f>(0.9*2.13+1.2*2.9+0.9*2.13+1.2*2.74)*(10.764)</f>
        <v>114.119928</v>
      </c>
      <c r="F145" s="17">
        <f>D145+E145</f>
        <v>565.77736800000002</v>
      </c>
      <c r="G145" s="17">
        <v>0</v>
      </c>
      <c r="H145" s="17">
        <f>F145*(($H$140)+1)+(IF(G145&lt;101,G145,IF(G145&lt;201,G145/2,IF(G145&lt;=301,G145/3,G145/4))))</f>
        <v>820.37718359999997</v>
      </c>
    </row>
    <row r="146" spans="1:13" x14ac:dyDescent="0.2">
      <c r="A146" s="119">
        <f>A145+1</f>
        <v>2</v>
      </c>
      <c r="B146" s="120"/>
      <c r="C146" s="19" t="s">
        <v>55</v>
      </c>
      <c r="D146" s="17">
        <f>(35.69)*(10.764)</f>
        <v>384.16715999999997</v>
      </c>
      <c r="E146" s="17">
        <f>(1.2*(1.9+2.9)+1*2.13)*(10.764)</f>
        <v>84.927959999999985</v>
      </c>
      <c r="F146" s="17">
        <f t="shared" ref="F146:F149" si="4">D146+E146</f>
        <v>469.09511999999995</v>
      </c>
      <c r="G146" s="17">
        <v>0</v>
      </c>
      <c r="H146" s="17">
        <f t="shared" ref="H146:H149" si="5">F146*(($H$140)+1)+(IF(G146&lt;101,G146,IF(G146&lt;201,G146/2,IF(G146&lt;=301,G146/3,G146/4))))</f>
        <v>680.18792399999995</v>
      </c>
    </row>
    <row r="147" spans="1:13" x14ac:dyDescent="0.2">
      <c r="A147" s="119">
        <f t="shared" ref="A147:A149" si="6">A146+1</f>
        <v>3</v>
      </c>
      <c r="B147" s="120"/>
      <c r="C147" s="19" t="s">
        <v>267</v>
      </c>
      <c r="D147" s="17">
        <f>(47.75)*(10.764)</f>
        <v>513.98099999999999</v>
      </c>
      <c r="E147" s="17">
        <f>(1.2*3.2+0.75*4.15+1.2*3.2+1*2.29+1.2*2.9)*(10.764)</f>
        <v>178.27875</v>
      </c>
      <c r="F147" s="17">
        <f t="shared" si="4"/>
        <v>692.25974999999994</v>
      </c>
      <c r="G147" s="17">
        <v>0</v>
      </c>
      <c r="H147" s="17">
        <f t="shared" si="5"/>
        <v>1003.7766374999999</v>
      </c>
    </row>
    <row r="148" spans="1:13" x14ac:dyDescent="0.2">
      <c r="A148" s="119">
        <f t="shared" si="6"/>
        <v>4</v>
      </c>
      <c r="B148" s="120"/>
      <c r="C148" s="19" t="s">
        <v>267</v>
      </c>
      <c r="D148" s="17">
        <f>(47.86)*(10.764)</f>
        <v>515.16503999999998</v>
      </c>
      <c r="E148" s="17">
        <f>(1.2*3.2+0.75*4.15+1.2*3.2+1*2.29+1.2*2.9)*(10.764)</f>
        <v>178.27875</v>
      </c>
      <c r="F148" s="17">
        <f t="shared" si="4"/>
        <v>693.44379000000004</v>
      </c>
      <c r="G148" s="17">
        <v>0</v>
      </c>
      <c r="H148" s="17">
        <f t="shared" si="5"/>
        <v>1005.4934955</v>
      </c>
    </row>
    <row r="149" spans="1:13" x14ac:dyDescent="0.2">
      <c r="A149" s="119">
        <f t="shared" si="6"/>
        <v>5</v>
      </c>
      <c r="B149" s="120"/>
      <c r="C149" s="19" t="s">
        <v>55</v>
      </c>
      <c r="D149" s="17">
        <f>(35.66)*(10.764)</f>
        <v>383.84423999999996</v>
      </c>
      <c r="E149" s="17">
        <f>(1.2*2.9+0.9*2.13+1.2*1.9)*(10.764)</f>
        <v>82.635227999999984</v>
      </c>
      <c r="F149" s="17">
        <f t="shared" si="4"/>
        <v>466.47946799999994</v>
      </c>
      <c r="G149" s="17">
        <v>0</v>
      </c>
      <c r="H149" s="17">
        <f t="shared" si="5"/>
        <v>676.39522859999988</v>
      </c>
      <c r="I149" s="6">
        <f>2373832/H149</f>
        <v>3509.5339228121816</v>
      </c>
    </row>
    <row r="150" spans="1:13" s="71" customFormat="1" ht="13.5" customHeight="1" x14ac:dyDescent="0.25">
      <c r="A150" s="83" t="s">
        <v>202</v>
      </c>
      <c r="B150" s="83"/>
      <c r="C150" s="83"/>
      <c r="D150" s="83"/>
      <c r="E150" s="83"/>
      <c r="F150" s="83"/>
      <c r="G150" s="83"/>
      <c r="H150" s="83"/>
      <c r="J150" s="72"/>
    </row>
    <row r="151" spans="1:13" s="71" customFormat="1" ht="12" customHeight="1" x14ac:dyDescent="0.25">
      <c r="A151" s="83" t="s">
        <v>268</v>
      </c>
      <c r="B151" s="83"/>
      <c r="C151" s="83"/>
      <c r="D151" s="83"/>
      <c r="E151" s="83"/>
      <c r="F151" s="83"/>
      <c r="G151" s="83"/>
      <c r="H151" s="83"/>
      <c r="J151" s="72"/>
    </row>
    <row r="152" spans="1:13" s="71" customFormat="1" ht="12" customHeight="1" x14ac:dyDescent="0.25">
      <c r="A152" s="83" t="s">
        <v>265</v>
      </c>
      <c r="B152" s="83"/>
      <c r="C152" s="83"/>
      <c r="D152" s="83"/>
      <c r="E152" s="83"/>
      <c r="F152" s="83"/>
      <c r="G152" s="83"/>
      <c r="H152" s="83"/>
      <c r="I152" s="72">
        <v>4800</v>
      </c>
      <c r="J152" s="73"/>
      <c r="L152" s="84"/>
      <c r="M152" s="84"/>
    </row>
    <row r="153" spans="1:13" x14ac:dyDescent="0.2">
      <c r="A153" s="119">
        <v>1</v>
      </c>
      <c r="B153" s="120"/>
      <c r="C153" s="19" t="s">
        <v>55</v>
      </c>
      <c r="D153" s="17">
        <f>(36.23)*(10.764)</f>
        <v>389.97971999999993</v>
      </c>
      <c r="E153" s="17">
        <f>(1.2*2.9+0.9*2.13+1.2*2.74)*(10.764)</f>
        <v>93.485339999999994</v>
      </c>
      <c r="F153" s="17">
        <f>D153+E153</f>
        <v>483.46505999999994</v>
      </c>
      <c r="G153" s="17">
        <v>0</v>
      </c>
      <c r="H153" s="17">
        <f>F153*(($H$140)+1)+(IF(G153&lt;101,G153,IF(G153&lt;201,G153/2,IF(G153&lt;=301,G153/3,G153/4))))</f>
        <v>701.02433699999983</v>
      </c>
      <c r="I153" s="259">
        <f>I$152*H153</f>
        <v>3364916.8175999993</v>
      </c>
    </row>
    <row r="154" spans="1:13" x14ac:dyDescent="0.2">
      <c r="A154" s="119">
        <f>A153+1</f>
        <v>2</v>
      </c>
      <c r="B154" s="120"/>
      <c r="C154" s="19" t="s">
        <v>267</v>
      </c>
      <c r="D154" s="17">
        <f>(47.29)*(10.764)</f>
        <v>509.02955999999995</v>
      </c>
      <c r="E154" s="17">
        <f>(1.2*3.2+0.9*4.15+1.2*3.2+0.9*2.29+1.2*2.93)*(10.764)</f>
        <v>182.90188799999996</v>
      </c>
      <c r="F154" s="17">
        <f t="shared" ref="F154:F158" si="7">D154+E154</f>
        <v>691.93144799999993</v>
      </c>
      <c r="G154" s="17">
        <v>0</v>
      </c>
      <c r="H154" s="17">
        <f t="shared" ref="H154:H158" si="8">F154*(($H$140)+1)+(IF(G154&lt;101,G154,IF(G154&lt;201,G154/2,IF(G154&lt;=301,G154/3,G154/4))))</f>
        <v>1003.3005995999998</v>
      </c>
      <c r="I154" s="259">
        <f t="shared" ref="I154:I158" si="9">I$152*H154</f>
        <v>4815842.8780799992</v>
      </c>
    </row>
    <row r="155" spans="1:13" x14ac:dyDescent="0.2">
      <c r="A155" s="119">
        <f t="shared" ref="A155:A158" si="10">A154+1</f>
        <v>3</v>
      </c>
      <c r="B155" s="120"/>
      <c r="C155" s="19" t="s">
        <v>267</v>
      </c>
      <c r="D155" s="17">
        <f>(47.32)*(10.764)</f>
        <v>509.35247999999996</v>
      </c>
      <c r="E155" s="17">
        <f>(1.2*3.2+0.9*4.15+1.2*3.2+0.9*2.29+1.2*2.93)*(10.764)</f>
        <v>182.90188799999996</v>
      </c>
      <c r="F155" s="17">
        <f t="shared" si="7"/>
        <v>692.25436799999989</v>
      </c>
      <c r="G155" s="17">
        <v>0</v>
      </c>
      <c r="H155" s="17">
        <f t="shared" si="8"/>
        <v>1003.7688335999998</v>
      </c>
      <c r="I155" s="259">
        <f t="shared" si="9"/>
        <v>4818090.4012799989</v>
      </c>
    </row>
    <row r="156" spans="1:13" x14ac:dyDescent="0.2">
      <c r="A156" s="119">
        <f t="shared" si="10"/>
        <v>4</v>
      </c>
      <c r="B156" s="120"/>
      <c r="C156" s="19" t="s">
        <v>55</v>
      </c>
      <c r="D156" s="17">
        <f>(34.97)*(10.764)</f>
        <v>376.41707999999994</v>
      </c>
      <c r="E156" s="17">
        <f>(1.2*1.9+0.9*2.13+1.2*2.74)*(10.764)</f>
        <v>80.568539999999999</v>
      </c>
      <c r="F156" s="17">
        <f t="shared" si="7"/>
        <v>456.98561999999993</v>
      </c>
      <c r="G156" s="17">
        <v>0</v>
      </c>
      <c r="H156" s="17">
        <f t="shared" si="8"/>
        <v>662.62914899999987</v>
      </c>
      <c r="I156" s="259">
        <f t="shared" si="9"/>
        <v>3180619.9151999992</v>
      </c>
    </row>
    <row r="157" spans="1:13" x14ac:dyDescent="0.2">
      <c r="A157" s="119">
        <f t="shared" si="10"/>
        <v>5</v>
      </c>
      <c r="B157" s="120"/>
      <c r="C157" s="19" t="s">
        <v>266</v>
      </c>
      <c r="D157" s="17">
        <f>(42.12)*(10.764)</f>
        <v>453.37967999999995</v>
      </c>
      <c r="E157" s="17">
        <f>(0.9*2.13+1.2*2.13+0.9*2.13+1.2*2.74)*(10.764)</f>
        <v>104.173992</v>
      </c>
      <c r="F157" s="17">
        <f t="shared" si="7"/>
        <v>557.55367200000001</v>
      </c>
      <c r="G157" s="17">
        <v>0</v>
      </c>
      <c r="H157" s="17">
        <f t="shared" si="8"/>
        <v>808.45282439999994</v>
      </c>
      <c r="I157" s="259">
        <f t="shared" si="9"/>
        <v>3880573.5571199995</v>
      </c>
    </row>
    <row r="158" spans="1:13" x14ac:dyDescent="0.2">
      <c r="A158" s="119">
        <f t="shared" si="10"/>
        <v>6</v>
      </c>
      <c r="B158" s="120"/>
      <c r="C158" s="19" t="s">
        <v>267</v>
      </c>
      <c r="D158" s="17">
        <f>(44.77)*(10.764)</f>
        <v>481.90428000000003</v>
      </c>
      <c r="E158" s="17">
        <f>(1.2*1.98+0.9*2.13+1.2*2.44+0.9*2.74)*(10.764)</f>
        <v>104.27086800000001</v>
      </c>
      <c r="F158" s="17">
        <f t="shared" si="7"/>
        <v>586.17514800000004</v>
      </c>
      <c r="G158" s="17">
        <v>0</v>
      </c>
      <c r="H158" s="17">
        <f t="shared" si="8"/>
        <v>849.95396460000006</v>
      </c>
      <c r="I158" s="259">
        <f t="shared" si="9"/>
        <v>4079779.0300800004</v>
      </c>
    </row>
    <row r="159" spans="1:13" x14ac:dyDescent="0.2">
      <c r="A159" s="83" t="s">
        <v>261</v>
      </c>
      <c r="B159" s="83"/>
      <c r="C159" s="83"/>
      <c r="D159" s="83"/>
      <c r="E159" s="83"/>
      <c r="F159" s="83"/>
      <c r="G159" s="83"/>
      <c r="H159" s="85"/>
    </row>
    <row r="160" spans="1:13" s="71" customFormat="1" ht="12" customHeight="1" x14ac:dyDescent="0.25">
      <c r="A160" s="83" t="s">
        <v>199</v>
      </c>
      <c r="B160" s="83"/>
      <c r="C160" s="83"/>
      <c r="D160" s="83"/>
      <c r="E160" s="83"/>
      <c r="F160" s="83"/>
      <c r="G160" s="83"/>
      <c r="H160" s="83"/>
      <c r="J160" s="72"/>
    </row>
    <row r="161" spans="1:10" s="71" customFormat="1" ht="12" customHeight="1" x14ac:dyDescent="0.25">
      <c r="A161" s="83" t="s">
        <v>264</v>
      </c>
      <c r="B161" s="83"/>
      <c r="C161" s="83"/>
      <c r="D161" s="83"/>
      <c r="E161" s="83"/>
      <c r="F161" s="83"/>
      <c r="G161" s="83"/>
      <c r="H161" s="83"/>
      <c r="J161" s="72"/>
    </row>
    <row r="162" spans="1:10" s="71" customFormat="1" ht="12" customHeight="1" x14ac:dyDescent="0.25">
      <c r="A162" s="83" t="s">
        <v>265</v>
      </c>
      <c r="B162" s="83"/>
      <c r="C162" s="83"/>
      <c r="D162" s="83"/>
      <c r="E162" s="83"/>
      <c r="F162" s="83"/>
      <c r="G162" s="83"/>
      <c r="H162" s="83"/>
      <c r="I162" s="72"/>
    </row>
    <row r="163" spans="1:10" x14ac:dyDescent="0.2">
      <c r="A163" s="119">
        <v>1</v>
      </c>
      <c r="B163" s="120"/>
      <c r="C163" s="19" t="s">
        <v>266</v>
      </c>
      <c r="D163" s="17">
        <f>(45.12)*(10.764)</f>
        <v>485.67167999999992</v>
      </c>
      <c r="E163" s="17">
        <f>(1.9*1.2+1.2*2.44+1.2*2.3+0.9*2.13)*(10.764)</f>
        <v>106.40213999999999</v>
      </c>
      <c r="F163" s="17">
        <f>D163+E163</f>
        <v>592.07381999999996</v>
      </c>
      <c r="G163" s="17">
        <v>0</v>
      </c>
      <c r="H163" s="17">
        <f>F163*(($H$140)+1)+(IF(G163&lt;101,G163,IF(G163&lt;201,G163/2,IF(G163&lt;=301,G163/3,G163/4))))</f>
        <v>858.50703899999996</v>
      </c>
    </row>
    <row r="164" spans="1:10" x14ac:dyDescent="0.2">
      <c r="A164" s="119">
        <f>A163+1</f>
        <v>2</v>
      </c>
      <c r="B164" s="120"/>
      <c r="C164" s="19" t="s">
        <v>55</v>
      </c>
      <c r="D164" s="17">
        <f>(36.32)*(10.764)</f>
        <v>390.94847999999996</v>
      </c>
      <c r="E164" s="17">
        <f>(1.2*2.9+0.9*2.13+1.2*2.74)*(10.764)</f>
        <v>93.485339999999994</v>
      </c>
      <c r="F164" s="17">
        <f t="shared" ref="F164:F168" si="11">D164+E164</f>
        <v>484.43381999999997</v>
      </c>
      <c r="G164" s="17">
        <v>0</v>
      </c>
      <c r="H164" s="17">
        <f t="shared" ref="H164:H168" si="12">F164*(($H$140)+1)+(IF(G164&lt;101,G164,IF(G164&lt;201,G164/2,IF(G164&lt;=301,G164/3,G164/4))))</f>
        <v>702.42903899999999</v>
      </c>
    </row>
    <row r="165" spans="1:10" x14ac:dyDescent="0.2">
      <c r="A165" s="119">
        <f t="shared" ref="A165:A168" si="13">A164+1</f>
        <v>3</v>
      </c>
      <c r="B165" s="120"/>
      <c r="C165" s="19" t="s">
        <v>267</v>
      </c>
      <c r="D165" s="17">
        <f>(50.51)*(10.764)</f>
        <v>543.68963999999994</v>
      </c>
      <c r="E165" s="17">
        <f>(1.2*2.9+0.9*2.13+1.2*2.74+1.2*2.74)*(10.764)</f>
        <v>128.87737200000001</v>
      </c>
      <c r="F165" s="17">
        <f t="shared" si="11"/>
        <v>672.56701199999998</v>
      </c>
      <c r="G165" s="17">
        <v>0</v>
      </c>
      <c r="H165" s="17">
        <f t="shared" si="12"/>
        <v>975.22216739999999</v>
      </c>
    </row>
    <row r="166" spans="1:10" x14ac:dyDescent="0.2">
      <c r="A166" s="119">
        <f t="shared" si="13"/>
        <v>4</v>
      </c>
      <c r="B166" s="120"/>
      <c r="C166" s="19" t="s">
        <v>267</v>
      </c>
      <c r="D166" s="17">
        <f>(51.05)*(10.764)</f>
        <v>549.5021999999999</v>
      </c>
      <c r="E166" s="17">
        <f>(1.2*2.9+0.9*2.13+1.2*2.74+1.2*2.74)*(10.764)</f>
        <v>128.87737200000001</v>
      </c>
      <c r="F166" s="17">
        <f t="shared" si="11"/>
        <v>678.37957199999994</v>
      </c>
      <c r="G166" s="17">
        <v>0</v>
      </c>
      <c r="H166" s="17">
        <f t="shared" si="12"/>
        <v>983.65037939999991</v>
      </c>
    </row>
    <row r="167" spans="1:10" x14ac:dyDescent="0.2">
      <c r="A167" s="119">
        <f t="shared" si="13"/>
        <v>5</v>
      </c>
      <c r="B167" s="120"/>
      <c r="C167" s="19" t="s">
        <v>55</v>
      </c>
      <c r="D167" s="17">
        <f>(36.76)*(10.764)</f>
        <v>395.68463999999994</v>
      </c>
      <c r="E167" s="17">
        <f>(1.2*2.9+0.9*2.44+1.2*2.74)*(10.764)</f>
        <v>96.488495999999998</v>
      </c>
      <c r="F167" s="17">
        <f t="shared" si="11"/>
        <v>492.17313599999994</v>
      </c>
      <c r="G167" s="17">
        <v>0</v>
      </c>
      <c r="H167" s="17">
        <f t="shared" si="12"/>
        <v>713.65104719999988</v>
      </c>
    </row>
    <row r="168" spans="1:10" x14ac:dyDescent="0.2">
      <c r="A168" s="119">
        <f t="shared" si="13"/>
        <v>6</v>
      </c>
      <c r="B168" s="120"/>
      <c r="C168" s="19" t="s">
        <v>266</v>
      </c>
      <c r="D168" s="17">
        <f>(45.12)*(10.764)</f>
        <v>485.67167999999992</v>
      </c>
      <c r="E168" s="17">
        <f>(1.9*1.2+1.2*2.44+1.2*2.3+0.9*2.13)*(10.764)</f>
        <v>106.40213999999999</v>
      </c>
      <c r="F168" s="17">
        <f t="shared" si="11"/>
        <v>592.07381999999996</v>
      </c>
      <c r="G168" s="17">
        <v>0</v>
      </c>
      <c r="H168" s="17">
        <f t="shared" si="12"/>
        <v>858.50703899999996</v>
      </c>
    </row>
    <row r="169" spans="1:10" x14ac:dyDescent="0.2">
      <c r="A169" s="83" t="s">
        <v>202</v>
      </c>
      <c r="B169" s="83"/>
      <c r="C169" s="83"/>
      <c r="D169" s="83"/>
      <c r="E169" s="83"/>
      <c r="F169" s="83"/>
      <c r="G169" s="83"/>
      <c r="H169" s="83"/>
    </row>
    <row r="170" spans="1:10" x14ac:dyDescent="0.2">
      <c r="A170" s="83" t="s">
        <v>269</v>
      </c>
      <c r="B170" s="83"/>
      <c r="C170" s="83"/>
      <c r="D170" s="83"/>
      <c r="E170" s="83"/>
      <c r="F170" s="83"/>
      <c r="G170" s="83"/>
      <c r="H170" s="83"/>
    </row>
    <row r="171" spans="1:10" x14ac:dyDescent="0.2">
      <c r="A171" s="83" t="s">
        <v>265</v>
      </c>
      <c r="B171" s="83"/>
      <c r="C171" s="83"/>
      <c r="D171" s="83"/>
      <c r="E171" s="83"/>
      <c r="F171" s="83"/>
      <c r="G171" s="83"/>
      <c r="H171" s="83"/>
    </row>
    <row r="172" spans="1:10" x14ac:dyDescent="0.2">
      <c r="A172" s="119">
        <v>1</v>
      </c>
      <c r="B172" s="120"/>
      <c r="C172" s="19" t="s">
        <v>55</v>
      </c>
      <c r="D172" s="17">
        <f>(36.32)*(10.764)</f>
        <v>390.94847999999996</v>
      </c>
      <c r="E172" s="17">
        <f>(1.2*2.9+0.9*2.13+1.2*2.74)*(10.764)</f>
        <v>93.485339999999994</v>
      </c>
      <c r="F172" s="17">
        <f>D172+E172</f>
        <v>484.43381999999997</v>
      </c>
      <c r="G172" s="17">
        <v>0</v>
      </c>
      <c r="H172" s="17">
        <f>F172*(($H$140)+1)+(IF(G172&lt;101,G172,IF(G172&lt;201,G172/2,IF(G172&lt;=301,G172/3,G172/4))))</f>
        <v>702.42903899999999</v>
      </c>
    </row>
    <row r="173" spans="1:10" x14ac:dyDescent="0.2">
      <c r="A173" s="119">
        <f>A172+1</f>
        <v>2</v>
      </c>
      <c r="B173" s="120"/>
      <c r="C173" s="19" t="s">
        <v>55</v>
      </c>
      <c r="D173" s="17">
        <f>(36.32)*(10.764)</f>
        <v>390.94847999999996</v>
      </c>
      <c r="E173" s="17">
        <f>(1.2*2.9+0.9*2.13+1.2*2.74)*(10.764)</f>
        <v>93.485339999999994</v>
      </c>
      <c r="F173" s="17">
        <f t="shared" ref="F173:F177" si="14">D173+E173</f>
        <v>484.43381999999997</v>
      </c>
      <c r="G173" s="17">
        <v>0</v>
      </c>
      <c r="H173" s="17">
        <f t="shared" ref="H173:H177" si="15">F173*(($H$140)+1)+(IF(G173&lt;101,G173,IF(G173&lt;201,G173/2,IF(G173&lt;=301,G173/3,G173/4))))</f>
        <v>702.42903899999999</v>
      </c>
    </row>
    <row r="174" spans="1:10" x14ac:dyDescent="0.2">
      <c r="A174" s="119">
        <f t="shared" ref="A174:A177" si="16">A173+1</f>
        <v>3</v>
      </c>
      <c r="B174" s="120"/>
      <c r="C174" s="19" t="s">
        <v>267</v>
      </c>
      <c r="D174" s="17">
        <f>(50.51)*(10.764)</f>
        <v>543.68963999999994</v>
      </c>
      <c r="E174" s="17">
        <f>(1.2*2.9+0.9*2.13+1.2*2.74+1.2*2.74)*(10.764)</f>
        <v>128.87737200000001</v>
      </c>
      <c r="F174" s="17">
        <f t="shared" si="14"/>
        <v>672.56701199999998</v>
      </c>
      <c r="G174" s="17">
        <v>0</v>
      </c>
      <c r="H174" s="17">
        <f t="shared" si="15"/>
        <v>975.22216739999999</v>
      </c>
    </row>
    <row r="175" spans="1:10" x14ac:dyDescent="0.2">
      <c r="A175" s="119">
        <f t="shared" si="16"/>
        <v>4</v>
      </c>
      <c r="B175" s="120"/>
      <c r="C175" s="19" t="s">
        <v>267</v>
      </c>
      <c r="D175" s="17">
        <f>(51.05)*(10.764)</f>
        <v>549.5021999999999</v>
      </c>
      <c r="E175" s="17">
        <f>(1.2*2.9+0.9*2.13+1.2*2.74+1.2*2.74)*(10.764)</f>
        <v>128.87737200000001</v>
      </c>
      <c r="F175" s="17">
        <f t="shared" si="14"/>
        <v>678.37957199999994</v>
      </c>
      <c r="G175" s="17">
        <v>0</v>
      </c>
      <c r="H175" s="17">
        <f t="shared" si="15"/>
        <v>983.65037939999991</v>
      </c>
    </row>
    <row r="176" spans="1:10" x14ac:dyDescent="0.2">
      <c r="A176" s="119">
        <f t="shared" si="16"/>
        <v>5</v>
      </c>
      <c r="B176" s="120"/>
      <c r="C176" s="19" t="s">
        <v>55</v>
      </c>
      <c r="D176" s="17">
        <f>(36.76)*(10.764)</f>
        <v>395.68463999999994</v>
      </c>
      <c r="E176" s="17">
        <f>(1.2*2.9+0.9*2.44+1.2*2.74)*(10.764)</f>
        <v>96.488495999999998</v>
      </c>
      <c r="F176" s="17">
        <f t="shared" si="14"/>
        <v>492.17313599999994</v>
      </c>
      <c r="G176" s="17">
        <v>0</v>
      </c>
      <c r="H176" s="17">
        <f t="shared" si="15"/>
        <v>713.65104719999988</v>
      </c>
    </row>
    <row r="177" spans="1:8" x14ac:dyDescent="0.2">
      <c r="A177" s="119">
        <f t="shared" si="16"/>
        <v>6</v>
      </c>
      <c r="B177" s="120"/>
      <c r="C177" s="19" t="s">
        <v>55</v>
      </c>
      <c r="D177" s="17">
        <f>(36.76)*(10.764)</f>
        <v>395.68463999999994</v>
      </c>
      <c r="E177" s="17">
        <f>(1.2*2.9+0.9*2.44+1.2*2.74)*(10.764)</f>
        <v>96.488495999999998</v>
      </c>
      <c r="F177" s="17">
        <f t="shared" si="14"/>
        <v>492.17313599999994</v>
      </c>
      <c r="G177" s="17">
        <v>0</v>
      </c>
      <c r="H177" s="17">
        <f t="shared" si="15"/>
        <v>713.65104719999988</v>
      </c>
    </row>
    <row r="178" spans="1:8" ht="14.25" customHeight="1" x14ac:dyDescent="0.2">
      <c r="A178" s="136" t="s">
        <v>115</v>
      </c>
      <c r="B178" s="136"/>
      <c r="C178" s="136"/>
      <c r="D178" s="136"/>
      <c r="E178" s="136"/>
      <c r="F178" s="136"/>
      <c r="G178" s="136"/>
      <c r="H178" s="136"/>
    </row>
    <row r="179" spans="1:8" x14ac:dyDescent="0.2">
      <c r="A179" s="130" t="s">
        <v>116</v>
      </c>
      <c r="B179" s="131"/>
      <c r="C179" s="131"/>
      <c r="D179" s="131"/>
      <c r="E179" s="132"/>
      <c r="F179" s="255">
        <v>4800</v>
      </c>
      <c r="G179" s="256"/>
      <c r="H179" s="257"/>
    </row>
    <row r="180" spans="1:8" x14ac:dyDescent="0.2">
      <c r="A180" s="130" t="s">
        <v>117</v>
      </c>
      <c r="B180" s="131"/>
      <c r="C180" s="131"/>
      <c r="D180" s="131"/>
      <c r="E180" s="132"/>
      <c r="F180" s="258" t="s">
        <v>281</v>
      </c>
      <c r="G180" s="256"/>
      <c r="H180" s="257"/>
    </row>
    <row r="181" spans="1:8" x14ac:dyDescent="0.2">
      <c r="A181" s="136" t="s">
        <v>47</v>
      </c>
      <c r="B181" s="136"/>
      <c r="C181" s="136"/>
      <c r="D181" s="136"/>
      <c r="E181" s="136"/>
      <c r="F181" s="136"/>
      <c r="G181" s="136"/>
      <c r="H181" s="136"/>
    </row>
    <row r="182" spans="1:8" x14ac:dyDescent="0.2">
      <c r="A182" s="21">
        <v>1</v>
      </c>
      <c r="B182" s="121" t="s">
        <v>275</v>
      </c>
      <c r="C182" s="122"/>
      <c r="D182" s="122"/>
      <c r="E182" s="122"/>
      <c r="F182" s="122"/>
      <c r="G182" s="122"/>
      <c r="H182" s="123"/>
    </row>
    <row r="183" spans="1:8" x14ac:dyDescent="0.2">
      <c r="A183" s="21">
        <f t="shared" ref="A183:A191" si="17">A182+1</f>
        <v>2</v>
      </c>
      <c r="B183" s="121" t="s">
        <v>211</v>
      </c>
      <c r="C183" s="122"/>
      <c r="D183" s="122"/>
      <c r="E183" s="122"/>
      <c r="F183" s="122"/>
      <c r="G183" s="122"/>
      <c r="H183" s="123"/>
    </row>
    <row r="184" spans="1:8" x14ac:dyDescent="0.2">
      <c r="A184" s="21">
        <f t="shared" si="17"/>
        <v>3</v>
      </c>
      <c r="B184" s="121" t="s">
        <v>212</v>
      </c>
      <c r="C184" s="122"/>
      <c r="D184" s="122"/>
      <c r="E184" s="122"/>
      <c r="F184" s="122"/>
      <c r="G184" s="122"/>
      <c r="H184" s="123"/>
    </row>
    <row r="185" spans="1:8" ht="12.75" customHeight="1" x14ac:dyDescent="0.2">
      <c r="A185" s="21">
        <f t="shared" si="17"/>
        <v>4</v>
      </c>
      <c r="B185" s="121" t="s">
        <v>213</v>
      </c>
      <c r="C185" s="122"/>
      <c r="D185" s="122"/>
      <c r="E185" s="122"/>
      <c r="F185" s="122"/>
      <c r="G185" s="122"/>
      <c r="H185" s="123"/>
    </row>
    <row r="186" spans="1:8" x14ac:dyDescent="0.2">
      <c r="A186" s="21">
        <f t="shared" si="17"/>
        <v>5</v>
      </c>
      <c r="B186" s="121" t="s">
        <v>276</v>
      </c>
      <c r="C186" s="122"/>
      <c r="D186" s="122"/>
      <c r="E186" s="122"/>
      <c r="F186" s="122"/>
      <c r="G186" s="122"/>
      <c r="H186" s="123"/>
    </row>
    <row r="187" spans="1:8" x14ac:dyDescent="0.2">
      <c r="A187" s="21">
        <f t="shared" si="17"/>
        <v>6</v>
      </c>
      <c r="B187" s="121" t="s">
        <v>217</v>
      </c>
      <c r="C187" s="122"/>
      <c r="D187" s="122"/>
      <c r="E187" s="122"/>
      <c r="F187" s="79">
        <f>H140</f>
        <v>0.45</v>
      </c>
      <c r="G187" s="60"/>
      <c r="H187" s="61"/>
    </row>
    <row r="188" spans="1:8" x14ac:dyDescent="0.2">
      <c r="A188" s="21">
        <f t="shared" si="17"/>
        <v>7</v>
      </c>
      <c r="B188" s="121" t="s">
        <v>214</v>
      </c>
      <c r="C188" s="122"/>
      <c r="D188" s="122"/>
      <c r="E188" s="122"/>
      <c r="F188" s="122"/>
      <c r="G188" s="122"/>
      <c r="H188" s="123"/>
    </row>
    <row r="189" spans="1:8" ht="29.25" customHeight="1" x14ac:dyDescent="0.2">
      <c r="A189" s="21">
        <f t="shared" si="17"/>
        <v>8</v>
      </c>
      <c r="B189" s="121" t="s">
        <v>215</v>
      </c>
      <c r="C189" s="122"/>
      <c r="D189" s="122"/>
      <c r="E189" s="122"/>
      <c r="F189" s="122"/>
      <c r="G189" s="122"/>
      <c r="H189" s="123"/>
    </row>
    <row r="190" spans="1:8" x14ac:dyDescent="0.2">
      <c r="A190" s="21">
        <f t="shared" si="17"/>
        <v>9</v>
      </c>
      <c r="B190" s="121" t="s">
        <v>216</v>
      </c>
      <c r="C190" s="122"/>
      <c r="D190" s="122"/>
      <c r="E190" s="122"/>
      <c r="F190" s="122"/>
      <c r="G190" s="122"/>
      <c r="H190" s="123"/>
    </row>
    <row r="191" spans="1:8" x14ac:dyDescent="0.2">
      <c r="A191" s="21">
        <f t="shared" si="17"/>
        <v>10</v>
      </c>
      <c r="B191" s="121" t="s">
        <v>282</v>
      </c>
      <c r="C191" s="122"/>
      <c r="D191" s="122"/>
      <c r="E191" s="122"/>
      <c r="F191" s="122"/>
      <c r="G191" s="122"/>
      <c r="H191" s="123"/>
    </row>
    <row r="192" spans="1:8" x14ac:dyDescent="0.2">
      <c r="A192" s="112" t="s">
        <v>120</v>
      </c>
      <c r="B192" s="114"/>
      <c r="C192" s="112" t="str">
        <f>C7</f>
        <v>Sharda Serene</v>
      </c>
      <c r="D192" s="113"/>
      <c r="E192" s="113"/>
      <c r="F192" s="113"/>
      <c r="G192" s="113"/>
      <c r="H192" s="114"/>
    </row>
    <row r="193" spans="1:8" x14ac:dyDescent="0.2">
      <c r="A193" s="133"/>
      <c r="B193" s="134"/>
      <c r="C193" s="134"/>
      <c r="D193" s="134"/>
      <c r="E193" s="134"/>
      <c r="F193" s="134"/>
      <c r="G193" s="134"/>
      <c r="H193" s="135"/>
    </row>
    <row r="194" spans="1:8" x14ac:dyDescent="0.2">
      <c r="A194" s="124"/>
      <c r="B194" s="125"/>
      <c r="C194" s="125"/>
      <c r="D194" s="125"/>
      <c r="E194" s="125"/>
      <c r="F194" s="125"/>
      <c r="G194" s="125"/>
      <c r="H194" s="126"/>
    </row>
    <row r="195" spans="1:8" x14ac:dyDescent="0.2">
      <c r="A195" s="124"/>
      <c r="B195" s="125"/>
      <c r="C195" s="125"/>
      <c r="D195" s="125"/>
      <c r="E195" s="125"/>
      <c r="F195" s="125"/>
      <c r="G195" s="125"/>
      <c r="H195" s="126"/>
    </row>
    <row r="196" spans="1:8" x14ac:dyDescent="0.2">
      <c r="A196" s="124"/>
      <c r="B196" s="125"/>
      <c r="C196" s="125"/>
      <c r="D196" s="125"/>
      <c r="E196" s="125"/>
      <c r="F196" s="125"/>
      <c r="G196" s="125"/>
      <c r="H196" s="126"/>
    </row>
    <row r="197" spans="1:8" x14ac:dyDescent="0.2">
      <c r="A197" s="124"/>
      <c r="B197" s="125"/>
      <c r="C197" s="125"/>
      <c r="D197" s="125"/>
      <c r="E197" s="125"/>
      <c r="F197" s="125"/>
      <c r="G197" s="125"/>
      <c r="H197" s="126"/>
    </row>
    <row r="198" spans="1:8" x14ac:dyDescent="0.2">
      <c r="A198" s="124"/>
      <c r="B198" s="125"/>
      <c r="C198" s="125"/>
      <c r="D198" s="125"/>
      <c r="E198" s="125"/>
      <c r="F198" s="125"/>
      <c r="G198" s="125"/>
      <c r="H198" s="126"/>
    </row>
    <row r="199" spans="1:8" x14ac:dyDescent="0.2">
      <c r="A199" s="124"/>
      <c r="B199" s="125"/>
      <c r="C199" s="125"/>
      <c r="D199" s="125"/>
      <c r="E199" s="125"/>
      <c r="F199" s="125"/>
      <c r="G199" s="125"/>
      <c r="H199" s="126"/>
    </row>
    <row r="200" spans="1:8" x14ac:dyDescent="0.2">
      <c r="A200" s="124"/>
      <c r="B200" s="125"/>
      <c r="C200" s="125"/>
      <c r="D200" s="125"/>
      <c r="E200" s="125"/>
      <c r="F200" s="125"/>
      <c r="G200" s="125"/>
      <c r="H200" s="126"/>
    </row>
    <row r="201" spans="1:8" x14ac:dyDescent="0.2">
      <c r="A201" s="124"/>
      <c r="B201" s="125"/>
      <c r="C201" s="125"/>
      <c r="D201" s="125"/>
      <c r="E201" s="125"/>
      <c r="F201" s="125"/>
      <c r="G201" s="125"/>
      <c r="H201" s="126"/>
    </row>
    <row r="202" spans="1:8" x14ac:dyDescent="0.2">
      <c r="A202" s="124"/>
      <c r="B202" s="125"/>
      <c r="C202" s="125"/>
      <c r="D202" s="125"/>
      <c r="E202" s="125"/>
      <c r="F202" s="125"/>
      <c r="G202" s="125"/>
      <c r="H202" s="126"/>
    </row>
    <row r="203" spans="1:8" x14ac:dyDescent="0.2">
      <c r="A203" s="124"/>
      <c r="B203" s="125"/>
      <c r="C203" s="125"/>
      <c r="D203" s="125"/>
      <c r="E203" s="125"/>
      <c r="F203" s="125"/>
      <c r="G203" s="125"/>
      <c r="H203" s="126"/>
    </row>
    <row r="204" spans="1:8" x14ac:dyDescent="0.2">
      <c r="A204" s="124"/>
      <c r="B204" s="125"/>
      <c r="C204" s="125"/>
      <c r="D204" s="125"/>
      <c r="E204" s="125"/>
      <c r="F204" s="125"/>
      <c r="G204" s="125"/>
      <c r="H204" s="126"/>
    </row>
    <row r="205" spans="1:8" x14ac:dyDescent="0.2">
      <c r="A205" s="124"/>
      <c r="B205" s="125"/>
      <c r="C205" s="125"/>
      <c r="D205" s="125"/>
      <c r="E205" s="125"/>
      <c r="F205" s="125"/>
      <c r="G205" s="125"/>
      <c r="H205" s="126"/>
    </row>
    <row r="206" spans="1:8" x14ac:dyDescent="0.2">
      <c r="A206" s="124"/>
      <c r="B206" s="125"/>
      <c r="C206" s="125"/>
      <c r="D206" s="125"/>
      <c r="E206" s="125"/>
      <c r="F206" s="125"/>
      <c r="G206" s="125"/>
      <c r="H206" s="126"/>
    </row>
    <row r="207" spans="1:8" x14ac:dyDescent="0.2">
      <c r="A207" s="124"/>
      <c r="B207" s="125"/>
      <c r="C207" s="125"/>
      <c r="D207" s="125"/>
      <c r="E207" s="125"/>
      <c r="F207" s="125"/>
      <c r="G207" s="125"/>
      <c r="H207" s="126"/>
    </row>
    <row r="208" spans="1:8" x14ac:dyDescent="0.2">
      <c r="A208" s="124"/>
      <c r="B208" s="125"/>
      <c r="C208" s="125"/>
      <c r="D208" s="125"/>
      <c r="E208" s="125"/>
      <c r="F208" s="125"/>
      <c r="G208" s="125"/>
      <c r="H208" s="126"/>
    </row>
    <row r="209" spans="1:8" x14ac:dyDescent="0.2">
      <c r="A209" s="124"/>
      <c r="B209" s="125"/>
      <c r="C209" s="125"/>
      <c r="D209" s="125"/>
      <c r="E209" s="125"/>
      <c r="F209" s="125"/>
      <c r="G209" s="125"/>
      <c r="H209" s="126"/>
    </row>
    <row r="210" spans="1:8" x14ac:dyDescent="0.2">
      <c r="A210" s="124"/>
      <c r="B210" s="125"/>
      <c r="C210" s="125"/>
      <c r="D210" s="125"/>
      <c r="E210" s="125"/>
      <c r="F210" s="125"/>
      <c r="G210" s="125"/>
      <c r="H210" s="126"/>
    </row>
    <row r="211" spans="1:8" x14ac:dyDescent="0.2">
      <c r="A211" s="124"/>
      <c r="B211" s="125"/>
      <c r="C211" s="125"/>
      <c r="D211" s="125"/>
      <c r="E211" s="125"/>
      <c r="F211" s="125"/>
      <c r="G211" s="125"/>
      <c r="H211" s="126"/>
    </row>
    <row r="212" spans="1:8" x14ac:dyDescent="0.2">
      <c r="A212" s="124"/>
      <c r="B212" s="125"/>
      <c r="C212" s="125"/>
      <c r="D212" s="125"/>
      <c r="E212" s="125"/>
      <c r="F212" s="125"/>
      <c r="G212" s="125"/>
      <c r="H212" s="126"/>
    </row>
    <row r="213" spans="1:8" x14ac:dyDescent="0.2">
      <c r="A213" s="124"/>
      <c r="B213" s="125"/>
      <c r="C213" s="125"/>
      <c r="D213" s="125"/>
      <c r="E213" s="125"/>
      <c r="F213" s="125"/>
      <c r="G213" s="125"/>
      <c r="H213" s="126"/>
    </row>
    <row r="214" spans="1:8" x14ac:dyDescent="0.2">
      <c r="A214" s="124"/>
      <c r="B214" s="125"/>
      <c r="C214" s="125"/>
      <c r="D214" s="125"/>
      <c r="E214" s="125"/>
      <c r="F214" s="125"/>
      <c r="G214" s="125"/>
      <c r="H214" s="126"/>
    </row>
    <row r="215" spans="1:8" x14ac:dyDescent="0.2">
      <c r="A215" s="124"/>
      <c r="B215" s="125"/>
      <c r="C215" s="125"/>
      <c r="D215" s="125"/>
      <c r="E215" s="125"/>
      <c r="F215" s="125"/>
      <c r="G215" s="125"/>
      <c r="H215" s="126"/>
    </row>
    <row r="216" spans="1:8" x14ac:dyDescent="0.2">
      <c r="A216" s="124"/>
      <c r="B216" s="125"/>
      <c r="C216" s="125"/>
      <c r="D216" s="125"/>
      <c r="E216" s="125"/>
      <c r="F216" s="125"/>
      <c r="G216" s="125"/>
      <c r="H216" s="126"/>
    </row>
    <row r="217" spans="1:8" x14ac:dyDescent="0.2">
      <c r="A217" s="124"/>
      <c r="B217" s="125"/>
      <c r="C217" s="125"/>
      <c r="D217" s="125"/>
      <c r="E217" s="125"/>
      <c r="F217" s="125"/>
      <c r="G217" s="125"/>
      <c r="H217" s="126"/>
    </row>
    <row r="218" spans="1:8" x14ac:dyDescent="0.2">
      <c r="A218" s="124"/>
      <c r="B218" s="125"/>
      <c r="C218" s="125"/>
      <c r="D218" s="125"/>
      <c r="E218" s="125"/>
      <c r="F218" s="125"/>
      <c r="G218" s="125"/>
      <c r="H218" s="126"/>
    </row>
    <row r="219" spans="1:8" x14ac:dyDescent="0.2">
      <c r="A219" s="124"/>
      <c r="B219" s="125"/>
      <c r="C219" s="125"/>
      <c r="D219" s="125"/>
      <c r="E219" s="125"/>
      <c r="F219" s="125"/>
      <c r="G219" s="125"/>
      <c r="H219" s="126"/>
    </row>
    <row r="220" spans="1:8" x14ac:dyDescent="0.2">
      <c r="A220" s="124"/>
      <c r="B220" s="125"/>
      <c r="C220" s="125"/>
      <c r="D220" s="125"/>
      <c r="E220" s="125"/>
      <c r="F220" s="125"/>
      <c r="G220" s="125"/>
      <c r="H220" s="126"/>
    </row>
    <row r="221" spans="1:8" x14ac:dyDescent="0.2">
      <c r="A221" s="124"/>
      <c r="B221" s="125"/>
      <c r="C221" s="125"/>
      <c r="D221" s="125"/>
      <c r="E221" s="125"/>
      <c r="F221" s="125"/>
      <c r="G221" s="125"/>
      <c r="H221" s="126"/>
    </row>
    <row r="222" spans="1:8" x14ac:dyDescent="0.2">
      <c r="A222" s="124"/>
      <c r="B222" s="125"/>
      <c r="C222" s="125"/>
      <c r="D222" s="125"/>
      <c r="E222" s="125"/>
      <c r="F222" s="125"/>
      <c r="G222" s="125"/>
      <c r="H222" s="126"/>
    </row>
    <row r="223" spans="1:8" x14ac:dyDescent="0.2">
      <c r="A223" s="124"/>
      <c r="B223" s="125"/>
      <c r="C223" s="125"/>
      <c r="D223" s="125"/>
      <c r="E223" s="125"/>
      <c r="F223" s="125"/>
      <c r="G223" s="125"/>
      <c r="H223" s="126"/>
    </row>
    <row r="224" spans="1:8" x14ac:dyDescent="0.2">
      <c r="A224" s="124"/>
      <c r="B224" s="125"/>
      <c r="C224" s="125"/>
      <c r="D224" s="125"/>
      <c r="E224" s="125"/>
      <c r="F224" s="125"/>
      <c r="G224" s="125"/>
      <c r="H224" s="126"/>
    </row>
    <row r="225" spans="1:8" x14ac:dyDescent="0.2">
      <c r="A225" s="124"/>
      <c r="B225" s="125"/>
      <c r="C225" s="125"/>
      <c r="D225" s="125"/>
      <c r="E225" s="125"/>
      <c r="F225" s="125"/>
      <c r="G225" s="125"/>
      <c r="H225" s="126"/>
    </row>
    <row r="226" spans="1:8" x14ac:dyDescent="0.2">
      <c r="A226" s="124"/>
      <c r="B226" s="125"/>
      <c r="C226" s="125"/>
      <c r="D226" s="125"/>
      <c r="E226" s="125"/>
      <c r="F226" s="125"/>
      <c r="G226" s="125"/>
      <c r="H226" s="126"/>
    </row>
    <row r="227" spans="1:8" x14ac:dyDescent="0.2">
      <c r="A227" s="124"/>
      <c r="B227" s="125"/>
      <c r="C227" s="125"/>
      <c r="D227" s="125"/>
      <c r="E227" s="125"/>
      <c r="F227" s="125"/>
      <c r="G227" s="125"/>
      <c r="H227" s="126"/>
    </row>
    <row r="228" spans="1:8" x14ac:dyDescent="0.2">
      <c r="A228" s="124"/>
      <c r="B228" s="125"/>
      <c r="C228" s="125"/>
      <c r="D228" s="125"/>
      <c r="E228" s="125"/>
      <c r="F228" s="125"/>
      <c r="G228" s="125"/>
      <c r="H228" s="126"/>
    </row>
    <row r="229" spans="1:8" x14ac:dyDescent="0.2">
      <c r="A229" s="124"/>
      <c r="B229" s="125"/>
      <c r="C229" s="125"/>
      <c r="D229" s="125"/>
      <c r="E229" s="125"/>
      <c r="F229" s="125"/>
      <c r="G229" s="125"/>
      <c r="H229" s="126"/>
    </row>
    <row r="230" spans="1:8" x14ac:dyDescent="0.2">
      <c r="A230" s="124"/>
      <c r="B230" s="125"/>
      <c r="C230" s="125"/>
      <c r="D230" s="125"/>
      <c r="E230" s="125"/>
      <c r="F230" s="125"/>
      <c r="G230" s="125"/>
      <c r="H230" s="126"/>
    </row>
    <row r="231" spans="1:8" x14ac:dyDescent="0.2">
      <c r="A231" s="124"/>
      <c r="B231" s="125"/>
      <c r="C231" s="125"/>
      <c r="D231" s="125"/>
      <c r="E231" s="125"/>
      <c r="F231" s="125"/>
      <c r="G231" s="125"/>
      <c r="H231" s="126"/>
    </row>
    <row r="232" spans="1:8" x14ac:dyDescent="0.2">
      <c r="A232" s="124"/>
      <c r="B232" s="125"/>
      <c r="C232" s="125"/>
      <c r="D232" s="125"/>
      <c r="E232" s="125"/>
      <c r="F232" s="125"/>
      <c r="G232" s="125"/>
      <c r="H232" s="126"/>
    </row>
    <row r="233" spans="1:8" x14ac:dyDescent="0.2">
      <c r="A233" s="124"/>
      <c r="B233" s="125"/>
      <c r="C233" s="125"/>
      <c r="D233" s="125"/>
      <c r="E233" s="125"/>
      <c r="F233" s="125"/>
      <c r="G233" s="125"/>
      <c r="H233" s="126"/>
    </row>
    <row r="234" spans="1:8" x14ac:dyDescent="0.2">
      <c r="A234" s="124"/>
      <c r="B234" s="125"/>
      <c r="C234" s="125"/>
      <c r="D234" s="125"/>
      <c r="E234" s="125"/>
      <c r="F234" s="125"/>
      <c r="G234" s="125"/>
      <c r="H234" s="126"/>
    </row>
    <row r="235" spans="1:8" x14ac:dyDescent="0.2">
      <c r="A235" s="124"/>
      <c r="B235" s="125"/>
      <c r="C235" s="125"/>
      <c r="D235" s="125"/>
      <c r="E235" s="125"/>
      <c r="F235" s="125"/>
      <c r="G235" s="125"/>
      <c r="H235" s="126"/>
    </row>
    <row r="236" spans="1:8" x14ac:dyDescent="0.2">
      <c r="A236" s="124"/>
      <c r="B236" s="125"/>
      <c r="C236" s="125"/>
      <c r="D236" s="125"/>
      <c r="E236" s="125"/>
      <c r="F236" s="125"/>
      <c r="G236" s="125"/>
      <c r="H236" s="126"/>
    </row>
    <row r="237" spans="1:8" x14ac:dyDescent="0.2">
      <c r="A237" s="124"/>
      <c r="B237" s="125"/>
      <c r="C237" s="125"/>
      <c r="D237" s="125"/>
      <c r="E237" s="125"/>
      <c r="F237" s="125"/>
      <c r="G237" s="125"/>
      <c r="H237" s="126"/>
    </row>
    <row r="238" spans="1:8" x14ac:dyDescent="0.2">
      <c r="A238" s="124"/>
      <c r="B238" s="125"/>
      <c r="C238" s="125"/>
      <c r="D238" s="125"/>
      <c r="E238" s="125"/>
      <c r="F238" s="125"/>
      <c r="G238" s="125"/>
      <c r="H238" s="126"/>
    </row>
    <row r="239" spans="1:8" x14ac:dyDescent="0.2">
      <c r="A239" s="124"/>
      <c r="B239" s="125"/>
      <c r="C239" s="125"/>
      <c r="D239" s="125"/>
      <c r="E239" s="125"/>
      <c r="F239" s="125"/>
      <c r="G239" s="125"/>
      <c r="H239" s="126"/>
    </row>
    <row r="240" spans="1:8" x14ac:dyDescent="0.2">
      <c r="A240" s="124"/>
      <c r="B240" s="125"/>
      <c r="C240" s="125"/>
      <c r="D240" s="125"/>
      <c r="E240" s="125"/>
      <c r="F240" s="125"/>
      <c r="G240" s="125"/>
      <c r="H240" s="126"/>
    </row>
    <row r="241" spans="1:8" x14ac:dyDescent="0.2">
      <c r="A241" s="124"/>
      <c r="B241" s="125"/>
      <c r="C241" s="125"/>
      <c r="D241" s="125"/>
      <c r="E241" s="125"/>
      <c r="F241" s="125"/>
      <c r="G241" s="125"/>
      <c r="H241" s="126"/>
    </row>
    <row r="242" spans="1:8" x14ac:dyDescent="0.2">
      <c r="A242" s="124"/>
      <c r="B242" s="125"/>
      <c r="C242" s="125"/>
      <c r="D242" s="125"/>
      <c r="E242" s="125"/>
      <c r="F242" s="125"/>
      <c r="G242" s="125"/>
      <c r="H242" s="126"/>
    </row>
    <row r="243" spans="1:8" x14ac:dyDescent="0.2">
      <c r="A243" s="124"/>
      <c r="B243" s="125"/>
      <c r="C243" s="125"/>
      <c r="D243" s="125"/>
      <c r="E243" s="125"/>
      <c r="F243" s="125"/>
      <c r="G243" s="125"/>
      <c r="H243" s="126"/>
    </row>
    <row r="244" spans="1:8" x14ac:dyDescent="0.2">
      <c r="A244" s="124"/>
      <c r="B244" s="125"/>
      <c r="C244" s="125"/>
      <c r="D244" s="125"/>
      <c r="E244" s="125"/>
      <c r="F244" s="125"/>
      <c r="G244" s="125"/>
      <c r="H244" s="126"/>
    </row>
    <row r="245" spans="1:8" ht="12.75" customHeight="1" x14ac:dyDescent="0.2">
      <c r="A245" s="112" t="s">
        <v>141</v>
      </c>
      <c r="B245" s="114"/>
      <c r="C245" s="112"/>
      <c r="D245" s="113"/>
      <c r="E245" s="113"/>
      <c r="F245" s="113"/>
      <c r="G245" s="113"/>
      <c r="H245" s="114"/>
    </row>
    <row r="246" spans="1:8" x14ac:dyDescent="0.2">
      <c r="A246" s="124"/>
      <c r="B246" s="125"/>
      <c r="C246" s="125"/>
      <c r="D246" s="125"/>
      <c r="E246" s="125"/>
      <c r="F246" s="125"/>
      <c r="G246" s="125"/>
      <c r="H246" s="126"/>
    </row>
    <row r="247" spans="1:8" x14ac:dyDescent="0.2">
      <c r="A247" s="124"/>
      <c r="B247" s="125"/>
      <c r="C247" s="125"/>
      <c r="D247" s="125"/>
      <c r="E247" s="125"/>
      <c r="F247" s="125"/>
      <c r="G247" s="125"/>
      <c r="H247" s="126"/>
    </row>
    <row r="248" spans="1:8" x14ac:dyDescent="0.2">
      <c r="A248" s="124"/>
      <c r="B248" s="125"/>
      <c r="C248" s="125"/>
      <c r="D248" s="125"/>
      <c r="E248" s="125"/>
      <c r="F248" s="125"/>
      <c r="G248" s="125"/>
      <c r="H248" s="126"/>
    </row>
    <row r="249" spans="1:8" x14ac:dyDescent="0.2">
      <c r="A249" s="124"/>
      <c r="B249" s="125"/>
      <c r="C249" s="125"/>
      <c r="D249" s="125"/>
      <c r="E249" s="125"/>
      <c r="F249" s="125"/>
      <c r="G249" s="125"/>
      <c r="H249" s="126"/>
    </row>
    <row r="250" spans="1:8" x14ac:dyDescent="0.2">
      <c r="A250" s="124"/>
      <c r="B250" s="125"/>
      <c r="C250" s="125"/>
      <c r="D250" s="125"/>
      <c r="E250" s="125"/>
      <c r="F250" s="125"/>
      <c r="G250" s="125"/>
      <c r="H250" s="126"/>
    </row>
    <row r="251" spans="1:8" x14ac:dyDescent="0.2">
      <c r="A251" s="124"/>
      <c r="B251" s="125"/>
      <c r="C251" s="125"/>
      <c r="D251" s="125"/>
      <c r="E251" s="125"/>
      <c r="F251" s="125"/>
      <c r="G251" s="125"/>
      <c r="H251" s="126"/>
    </row>
    <row r="252" spans="1:8" x14ac:dyDescent="0.2">
      <c r="A252" s="124"/>
      <c r="B252" s="125"/>
      <c r="C252" s="125"/>
      <c r="D252" s="125"/>
      <c r="E252" s="125"/>
      <c r="F252" s="125"/>
      <c r="G252" s="125"/>
      <c r="H252" s="126"/>
    </row>
    <row r="253" spans="1:8" x14ac:dyDescent="0.2">
      <c r="A253" s="124"/>
      <c r="B253" s="125"/>
      <c r="C253" s="125"/>
      <c r="D253" s="125"/>
      <c r="E253" s="125"/>
      <c r="F253" s="125"/>
      <c r="G253" s="125"/>
      <c r="H253" s="126"/>
    </row>
    <row r="254" spans="1:8" x14ac:dyDescent="0.2">
      <c r="A254" s="124"/>
      <c r="B254" s="125"/>
      <c r="C254" s="125"/>
      <c r="D254" s="125"/>
      <c r="E254" s="125"/>
      <c r="F254" s="125"/>
      <c r="G254" s="125"/>
      <c r="H254" s="126"/>
    </row>
    <row r="255" spans="1:8" x14ac:dyDescent="0.2">
      <c r="A255" s="124"/>
      <c r="B255" s="125"/>
      <c r="C255" s="125"/>
      <c r="D255" s="125"/>
      <c r="E255" s="125"/>
      <c r="F255" s="125"/>
      <c r="G255" s="125"/>
      <c r="H255" s="126"/>
    </row>
    <row r="256" spans="1:8" x14ac:dyDescent="0.2">
      <c r="A256" s="124"/>
      <c r="B256" s="125"/>
      <c r="C256" s="125"/>
      <c r="D256" s="125"/>
      <c r="E256" s="125"/>
      <c r="F256" s="125"/>
      <c r="G256" s="125"/>
      <c r="H256" s="126"/>
    </row>
    <row r="257" spans="1:8" x14ac:dyDescent="0.2">
      <c r="A257" s="124"/>
      <c r="B257" s="125"/>
      <c r="C257" s="125"/>
      <c r="D257" s="125"/>
      <c r="E257" s="125"/>
      <c r="F257" s="125"/>
      <c r="G257" s="125"/>
      <c r="H257" s="126"/>
    </row>
    <row r="258" spans="1:8" x14ac:dyDescent="0.2">
      <c r="A258" s="124"/>
      <c r="B258" s="125"/>
      <c r="C258" s="125"/>
      <c r="D258" s="125"/>
      <c r="E258" s="125"/>
      <c r="F258" s="125"/>
      <c r="G258" s="125"/>
      <c r="H258" s="126"/>
    </row>
    <row r="259" spans="1:8" x14ac:dyDescent="0.2">
      <c r="A259" s="124"/>
      <c r="B259" s="125"/>
      <c r="C259" s="125"/>
      <c r="D259" s="125"/>
      <c r="E259" s="125"/>
      <c r="F259" s="125"/>
      <c r="G259" s="125"/>
      <c r="H259" s="126"/>
    </row>
    <row r="260" spans="1:8" x14ac:dyDescent="0.2">
      <c r="A260" s="124"/>
      <c r="B260" s="125"/>
      <c r="C260" s="125"/>
      <c r="D260" s="125"/>
      <c r="E260" s="125"/>
      <c r="F260" s="125"/>
      <c r="G260" s="125"/>
      <c r="H260" s="126"/>
    </row>
    <row r="261" spans="1:8" x14ac:dyDescent="0.2">
      <c r="A261" s="124"/>
      <c r="B261" s="125"/>
      <c r="C261" s="125"/>
      <c r="D261" s="125"/>
      <c r="E261" s="125"/>
      <c r="F261" s="125"/>
      <c r="G261" s="125"/>
      <c r="H261" s="126"/>
    </row>
    <row r="262" spans="1:8" x14ac:dyDescent="0.2">
      <c r="A262" s="124"/>
      <c r="B262" s="125"/>
      <c r="C262" s="125"/>
      <c r="D262" s="125"/>
      <c r="E262" s="125"/>
      <c r="F262" s="125"/>
      <c r="G262" s="125"/>
      <c r="H262" s="126"/>
    </row>
    <row r="263" spans="1:8" x14ac:dyDescent="0.2">
      <c r="A263" s="124"/>
      <c r="B263" s="125"/>
      <c r="C263" s="125"/>
      <c r="D263" s="125"/>
      <c r="E263" s="125"/>
      <c r="F263" s="125"/>
      <c r="G263" s="125"/>
      <c r="H263" s="126"/>
    </row>
    <row r="264" spans="1:8" x14ac:dyDescent="0.2">
      <c r="A264" s="124"/>
      <c r="B264" s="125"/>
      <c r="C264" s="125"/>
      <c r="D264" s="125"/>
      <c r="E264" s="125"/>
      <c r="F264" s="125"/>
      <c r="G264" s="125"/>
      <c r="H264" s="126"/>
    </row>
    <row r="265" spans="1:8" x14ac:dyDescent="0.2">
      <c r="A265" s="124"/>
      <c r="B265" s="125"/>
      <c r="C265" s="125"/>
      <c r="D265" s="125"/>
      <c r="E265" s="125"/>
      <c r="F265" s="125"/>
      <c r="G265" s="125"/>
      <c r="H265" s="126"/>
    </row>
    <row r="266" spans="1:8" x14ac:dyDescent="0.2">
      <c r="A266" s="124"/>
      <c r="B266" s="125"/>
      <c r="C266" s="125"/>
      <c r="D266" s="125"/>
      <c r="E266" s="125"/>
      <c r="F266" s="125"/>
      <c r="G266" s="125"/>
      <c r="H266" s="126"/>
    </row>
    <row r="267" spans="1:8" x14ac:dyDescent="0.2">
      <c r="A267" s="124"/>
      <c r="B267" s="125"/>
      <c r="C267" s="125"/>
      <c r="D267" s="125"/>
      <c r="E267" s="125"/>
      <c r="F267" s="125"/>
      <c r="G267" s="125"/>
      <c r="H267" s="126"/>
    </row>
    <row r="268" spans="1:8" x14ac:dyDescent="0.2">
      <c r="A268" s="124"/>
      <c r="B268" s="125"/>
      <c r="C268" s="125"/>
      <c r="D268" s="125"/>
      <c r="E268" s="125"/>
      <c r="F268" s="125"/>
      <c r="G268" s="125"/>
      <c r="H268" s="126"/>
    </row>
    <row r="269" spans="1:8" x14ac:dyDescent="0.2">
      <c r="A269" s="124"/>
      <c r="B269" s="125"/>
      <c r="C269" s="125"/>
      <c r="D269" s="125"/>
      <c r="E269" s="125"/>
      <c r="F269" s="125"/>
      <c r="G269" s="125"/>
      <c r="H269" s="126"/>
    </row>
    <row r="270" spans="1:8" x14ac:dyDescent="0.2">
      <c r="A270" s="124"/>
      <c r="B270" s="125"/>
      <c r="C270" s="125"/>
      <c r="D270" s="125"/>
      <c r="E270" s="125"/>
      <c r="F270" s="125"/>
      <c r="G270" s="125"/>
      <c r="H270" s="126"/>
    </row>
    <row r="271" spans="1:8" x14ac:dyDescent="0.2">
      <c r="A271" s="124"/>
      <c r="B271" s="125"/>
      <c r="C271" s="125"/>
      <c r="D271" s="125"/>
      <c r="E271" s="125"/>
      <c r="F271" s="125"/>
      <c r="G271" s="125"/>
      <c r="H271" s="126"/>
    </row>
    <row r="272" spans="1:8" x14ac:dyDescent="0.2">
      <c r="A272" s="124"/>
      <c r="B272" s="125"/>
      <c r="C272" s="125"/>
      <c r="D272" s="125"/>
      <c r="E272" s="125"/>
      <c r="F272" s="125"/>
      <c r="G272" s="125"/>
      <c r="H272" s="126"/>
    </row>
    <row r="273" spans="1:8" x14ac:dyDescent="0.2">
      <c r="A273" s="124"/>
      <c r="B273" s="125"/>
      <c r="C273" s="125"/>
      <c r="D273" s="125"/>
      <c r="E273" s="125"/>
      <c r="F273" s="125"/>
      <c r="G273" s="125"/>
      <c r="H273" s="126"/>
    </row>
    <row r="274" spans="1:8" x14ac:dyDescent="0.2">
      <c r="A274" s="124"/>
      <c r="B274" s="125"/>
      <c r="C274" s="125"/>
      <c r="D274" s="125"/>
      <c r="E274" s="125"/>
      <c r="F274" s="125"/>
      <c r="G274" s="125"/>
      <c r="H274" s="126"/>
    </row>
    <row r="275" spans="1:8" x14ac:dyDescent="0.2">
      <c r="A275" s="124"/>
      <c r="B275" s="125"/>
      <c r="C275" s="125"/>
      <c r="D275" s="125"/>
      <c r="E275" s="125"/>
      <c r="F275" s="125"/>
      <c r="G275" s="125"/>
      <c r="H275" s="126"/>
    </row>
    <row r="276" spans="1:8" x14ac:dyDescent="0.2">
      <c r="A276" s="124"/>
      <c r="B276" s="125"/>
      <c r="C276" s="125"/>
      <c r="D276" s="125"/>
      <c r="E276" s="125"/>
      <c r="F276" s="125"/>
      <c r="G276" s="125"/>
      <c r="H276" s="126"/>
    </row>
    <row r="277" spans="1:8" x14ac:dyDescent="0.2">
      <c r="A277" s="124"/>
      <c r="B277" s="125"/>
      <c r="C277" s="125"/>
      <c r="D277" s="125"/>
      <c r="E277" s="125"/>
      <c r="F277" s="125"/>
      <c r="G277" s="125"/>
      <c r="H277" s="126"/>
    </row>
    <row r="278" spans="1:8" x14ac:dyDescent="0.2">
      <c r="A278" s="124"/>
      <c r="B278" s="125"/>
      <c r="C278" s="125"/>
      <c r="D278" s="125"/>
      <c r="E278" s="125"/>
      <c r="F278" s="125"/>
      <c r="G278" s="125"/>
      <c r="H278" s="126"/>
    </row>
    <row r="279" spans="1:8" x14ac:dyDescent="0.2">
      <c r="A279" s="124"/>
      <c r="B279" s="125"/>
      <c r="C279" s="125"/>
      <c r="D279" s="125"/>
      <c r="E279" s="125"/>
      <c r="F279" s="125"/>
      <c r="G279" s="125"/>
      <c r="H279" s="126"/>
    </row>
    <row r="280" spans="1:8" x14ac:dyDescent="0.2">
      <c r="A280" s="124"/>
      <c r="B280" s="125"/>
      <c r="C280" s="125"/>
      <c r="D280" s="125"/>
      <c r="E280" s="125"/>
      <c r="F280" s="125"/>
      <c r="G280" s="125"/>
      <c r="H280" s="126"/>
    </row>
    <row r="281" spans="1:8" x14ac:dyDescent="0.2">
      <c r="A281" s="124"/>
      <c r="B281" s="125"/>
      <c r="C281" s="125"/>
      <c r="D281" s="125"/>
      <c r="E281" s="125"/>
      <c r="F281" s="125"/>
      <c r="G281" s="125"/>
      <c r="H281" s="126"/>
    </row>
    <row r="282" spans="1:8" x14ac:dyDescent="0.2">
      <c r="A282" s="124"/>
      <c r="B282" s="125"/>
      <c r="C282" s="125"/>
      <c r="D282" s="125"/>
      <c r="E282" s="125"/>
      <c r="F282" s="125"/>
      <c r="G282" s="125"/>
      <c r="H282" s="126"/>
    </row>
    <row r="283" spans="1:8" x14ac:dyDescent="0.2">
      <c r="A283" s="124"/>
      <c r="B283" s="125"/>
      <c r="C283" s="125"/>
      <c r="D283" s="125"/>
      <c r="E283" s="125"/>
      <c r="F283" s="125"/>
      <c r="G283" s="125"/>
      <c r="H283" s="126"/>
    </row>
    <row r="284" spans="1:8" x14ac:dyDescent="0.2">
      <c r="A284" s="124"/>
      <c r="B284" s="125"/>
      <c r="C284" s="125"/>
      <c r="D284" s="125"/>
      <c r="E284" s="125"/>
      <c r="F284" s="125"/>
      <c r="G284" s="125"/>
      <c r="H284" s="126"/>
    </row>
    <row r="285" spans="1:8" x14ac:dyDescent="0.2">
      <c r="A285" s="124"/>
      <c r="B285" s="125"/>
      <c r="C285" s="125"/>
      <c r="D285" s="125"/>
      <c r="E285" s="125"/>
      <c r="F285" s="125"/>
      <c r="G285" s="125"/>
      <c r="H285" s="126"/>
    </row>
    <row r="286" spans="1:8" x14ac:dyDescent="0.2">
      <c r="A286" s="124"/>
      <c r="B286" s="125"/>
      <c r="C286" s="125"/>
      <c r="D286" s="125"/>
      <c r="E286" s="125"/>
      <c r="F286" s="125"/>
      <c r="G286" s="125"/>
      <c r="H286" s="126"/>
    </row>
    <row r="287" spans="1:8" x14ac:dyDescent="0.2">
      <c r="A287" s="124"/>
      <c r="B287" s="125"/>
      <c r="C287" s="125"/>
      <c r="D287" s="125"/>
      <c r="E287" s="125"/>
      <c r="F287" s="125"/>
      <c r="G287" s="125"/>
      <c r="H287" s="126"/>
    </row>
    <row r="288" spans="1:8" x14ac:dyDescent="0.2">
      <c r="A288" s="124"/>
      <c r="B288" s="125"/>
      <c r="C288" s="125"/>
      <c r="D288" s="125"/>
      <c r="E288" s="125"/>
      <c r="F288" s="125"/>
      <c r="G288" s="125"/>
      <c r="H288" s="126"/>
    </row>
    <row r="289" spans="1:8" x14ac:dyDescent="0.2">
      <c r="A289" s="124"/>
      <c r="B289" s="125"/>
      <c r="C289" s="125"/>
      <c r="D289" s="125"/>
      <c r="E289" s="125"/>
      <c r="F289" s="125"/>
      <c r="G289" s="125"/>
      <c r="H289" s="126"/>
    </row>
    <row r="290" spans="1:8" x14ac:dyDescent="0.2">
      <c r="A290" s="124"/>
      <c r="B290" s="125"/>
      <c r="C290" s="125"/>
      <c r="D290" s="125"/>
      <c r="E290" s="125"/>
      <c r="F290" s="125"/>
      <c r="G290" s="125"/>
      <c r="H290" s="126"/>
    </row>
    <row r="291" spans="1:8" x14ac:dyDescent="0.2">
      <c r="A291" s="124"/>
      <c r="B291" s="125"/>
      <c r="C291" s="125"/>
      <c r="D291" s="125"/>
      <c r="E291" s="125"/>
      <c r="F291" s="125"/>
      <c r="G291" s="125"/>
      <c r="H291" s="126"/>
    </row>
    <row r="292" spans="1:8" x14ac:dyDescent="0.2">
      <c r="A292" s="124"/>
      <c r="B292" s="125"/>
      <c r="C292" s="125"/>
      <c r="D292" s="125"/>
      <c r="E292" s="125"/>
      <c r="F292" s="125"/>
      <c r="G292" s="125"/>
      <c r="H292" s="126"/>
    </row>
    <row r="293" spans="1:8" x14ac:dyDescent="0.2">
      <c r="A293" s="124"/>
      <c r="B293" s="125"/>
      <c r="C293" s="125"/>
      <c r="D293" s="125"/>
      <c r="E293" s="125"/>
      <c r="F293" s="125"/>
      <c r="G293" s="125"/>
      <c r="H293" s="126"/>
    </row>
    <row r="294" spans="1:8" x14ac:dyDescent="0.2">
      <c r="A294" s="124"/>
      <c r="B294" s="125"/>
      <c r="C294" s="125"/>
      <c r="D294" s="125"/>
      <c r="E294" s="125"/>
      <c r="F294" s="125"/>
      <c r="G294" s="125"/>
      <c r="H294" s="126"/>
    </row>
    <row r="295" spans="1:8" x14ac:dyDescent="0.2">
      <c r="A295" s="124"/>
      <c r="B295" s="125"/>
      <c r="C295" s="125"/>
      <c r="D295" s="125"/>
      <c r="E295" s="125"/>
      <c r="F295" s="125"/>
      <c r="G295" s="125"/>
      <c r="H295" s="126"/>
    </row>
    <row r="296" spans="1:8" x14ac:dyDescent="0.2">
      <c r="A296" s="124"/>
      <c r="B296" s="125"/>
      <c r="C296" s="125"/>
      <c r="D296" s="125"/>
      <c r="E296" s="125"/>
      <c r="F296" s="125"/>
      <c r="G296" s="125"/>
      <c r="H296" s="126"/>
    </row>
    <row r="297" spans="1:8" x14ac:dyDescent="0.2">
      <c r="A297" s="124"/>
      <c r="B297" s="125"/>
      <c r="C297" s="125"/>
      <c r="D297" s="125"/>
      <c r="E297" s="125"/>
      <c r="F297" s="125"/>
      <c r="G297" s="125"/>
      <c r="H297" s="126"/>
    </row>
    <row r="298" spans="1:8" x14ac:dyDescent="0.2">
      <c r="A298" s="127"/>
      <c r="B298" s="128"/>
      <c r="C298" s="128"/>
      <c r="D298" s="128"/>
      <c r="E298" s="128"/>
      <c r="F298" s="128"/>
      <c r="G298" s="128"/>
      <c r="H298" s="129"/>
    </row>
    <row r="299" spans="1:8" x14ac:dyDescent="0.2">
      <c r="A299" s="112" t="s">
        <v>121</v>
      </c>
      <c r="B299" s="114"/>
      <c r="C299" s="115"/>
      <c r="D299" s="241"/>
      <c r="E299" s="241"/>
      <c r="F299" s="241"/>
      <c r="G299" s="241"/>
      <c r="H299" s="116"/>
    </row>
    <row r="300" spans="1:8" x14ac:dyDescent="0.2">
      <c r="A300" s="124"/>
      <c r="B300" s="125"/>
      <c r="C300" s="125"/>
      <c r="D300" s="125"/>
      <c r="E300" s="125"/>
      <c r="F300" s="125"/>
      <c r="G300" s="125"/>
      <c r="H300" s="126"/>
    </row>
    <row r="301" spans="1:8" x14ac:dyDescent="0.2">
      <c r="A301" s="124"/>
      <c r="B301" s="125"/>
      <c r="C301" s="125"/>
      <c r="D301" s="125"/>
      <c r="E301" s="125"/>
      <c r="F301" s="125"/>
      <c r="G301" s="125"/>
      <c r="H301" s="126"/>
    </row>
    <row r="302" spans="1:8" x14ac:dyDescent="0.2">
      <c r="A302" s="124"/>
      <c r="B302" s="125"/>
      <c r="C302" s="125"/>
      <c r="D302" s="125"/>
      <c r="E302" s="125"/>
      <c r="F302" s="125"/>
      <c r="G302" s="125"/>
      <c r="H302" s="126"/>
    </row>
    <row r="303" spans="1:8" x14ac:dyDescent="0.2">
      <c r="A303" s="124"/>
      <c r="B303" s="125"/>
      <c r="C303" s="125"/>
      <c r="D303" s="125"/>
      <c r="E303" s="125"/>
      <c r="F303" s="125"/>
      <c r="G303" s="125"/>
      <c r="H303" s="126"/>
    </row>
    <row r="304" spans="1:8" x14ac:dyDescent="0.2">
      <c r="A304" s="124"/>
      <c r="B304" s="125"/>
      <c r="C304" s="125"/>
      <c r="D304" s="125"/>
      <c r="E304" s="125"/>
      <c r="F304" s="125"/>
      <c r="G304" s="125"/>
      <c r="H304" s="126"/>
    </row>
    <row r="305" spans="1:8" x14ac:dyDescent="0.2">
      <c r="A305" s="124"/>
      <c r="B305" s="125"/>
      <c r="C305" s="125"/>
      <c r="D305" s="125"/>
      <c r="E305" s="125"/>
      <c r="F305" s="125"/>
      <c r="G305" s="125"/>
      <c r="H305" s="126"/>
    </row>
    <row r="306" spans="1:8" x14ac:dyDescent="0.2">
      <c r="A306" s="124"/>
      <c r="B306" s="125"/>
      <c r="C306" s="125"/>
      <c r="D306" s="125"/>
      <c r="E306" s="125"/>
      <c r="F306" s="125"/>
      <c r="G306" s="125"/>
      <c r="H306" s="126"/>
    </row>
    <row r="307" spans="1:8" x14ac:dyDescent="0.2">
      <c r="A307" s="124"/>
      <c r="B307" s="125"/>
      <c r="C307" s="125"/>
      <c r="D307" s="125"/>
      <c r="E307" s="125"/>
      <c r="F307" s="125"/>
      <c r="G307" s="125"/>
      <c r="H307" s="126"/>
    </row>
    <row r="308" spans="1:8" x14ac:dyDescent="0.2">
      <c r="A308" s="124"/>
      <c r="B308" s="125"/>
      <c r="C308" s="125"/>
      <c r="D308" s="125"/>
      <c r="E308" s="125"/>
      <c r="F308" s="125"/>
      <c r="G308" s="125"/>
      <c r="H308" s="126"/>
    </row>
    <row r="309" spans="1:8" x14ac:dyDescent="0.2">
      <c r="A309" s="124"/>
      <c r="B309" s="125"/>
      <c r="C309" s="125"/>
      <c r="D309" s="125"/>
      <c r="E309" s="125"/>
      <c r="F309" s="125"/>
      <c r="G309" s="125"/>
      <c r="H309" s="126"/>
    </row>
    <row r="310" spans="1:8" x14ac:dyDescent="0.2">
      <c r="A310" s="124"/>
      <c r="B310" s="125"/>
      <c r="C310" s="125"/>
      <c r="D310" s="125"/>
      <c r="E310" s="125"/>
      <c r="F310" s="125"/>
      <c r="G310" s="125"/>
      <c r="H310" s="126"/>
    </row>
    <row r="311" spans="1:8" x14ac:dyDescent="0.2">
      <c r="A311" s="124"/>
      <c r="B311" s="125"/>
      <c r="C311" s="125"/>
      <c r="D311" s="125"/>
      <c r="E311" s="125"/>
      <c r="F311" s="125"/>
      <c r="G311" s="125"/>
      <c r="H311" s="126"/>
    </row>
    <row r="312" spans="1:8" x14ac:dyDescent="0.2">
      <c r="A312" s="124"/>
      <c r="B312" s="125"/>
      <c r="C312" s="125"/>
      <c r="D312" s="125"/>
      <c r="E312" s="125"/>
      <c r="F312" s="125"/>
      <c r="G312" s="125"/>
      <c r="H312" s="126"/>
    </row>
    <row r="313" spans="1:8" x14ac:dyDescent="0.2">
      <c r="A313" s="124"/>
      <c r="B313" s="125"/>
      <c r="C313" s="125"/>
      <c r="D313" s="125"/>
      <c r="E313" s="125"/>
      <c r="F313" s="125"/>
      <c r="G313" s="125"/>
      <c r="H313" s="126"/>
    </row>
    <row r="314" spans="1:8" x14ac:dyDescent="0.2">
      <c r="A314" s="124"/>
      <c r="B314" s="125"/>
      <c r="C314" s="125"/>
      <c r="D314" s="125"/>
      <c r="E314" s="125"/>
      <c r="F314" s="125"/>
      <c r="G314" s="125"/>
      <c r="H314" s="126"/>
    </row>
    <row r="315" spans="1:8" x14ac:dyDescent="0.2">
      <c r="A315" s="124"/>
      <c r="B315" s="125"/>
      <c r="C315" s="125"/>
      <c r="D315" s="125"/>
      <c r="E315" s="125"/>
      <c r="F315" s="125"/>
      <c r="G315" s="125"/>
      <c r="H315" s="126"/>
    </row>
    <row r="316" spans="1:8" x14ac:dyDescent="0.2">
      <c r="A316" s="124"/>
      <c r="B316" s="125"/>
      <c r="C316" s="125"/>
      <c r="D316" s="125"/>
      <c r="E316" s="125"/>
      <c r="F316" s="125"/>
      <c r="G316" s="125"/>
      <c r="H316" s="126"/>
    </row>
    <row r="317" spans="1:8" x14ac:dyDescent="0.2">
      <c r="A317" s="124"/>
      <c r="B317" s="125"/>
      <c r="C317" s="125"/>
      <c r="D317" s="125"/>
      <c r="E317" s="125"/>
      <c r="F317" s="125"/>
      <c r="G317" s="125"/>
      <c r="H317" s="126"/>
    </row>
    <row r="318" spans="1:8" x14ac:dyDescent="0.2">
      <c r="A318" s="124"/>
      <c r="B318" s="125"/>
      <c r="C318" s="125"/>
      <c r="D318" s="125"/>
      <c r="E318" s="125"/>
      <c r="F318" s="125"/>
      <c r="G318" s="125"/>
      <c r="H318" s="126"/>
    </row>
    <row r="319" spans="1:8" x14ac:dyDescent="0.2">
      <c r="A319" s="124"/>
      <c r="B319" s="125"/>
      <c r="C319" s="125"/>
      <c r="D319" s="125"/>
      <c r="E319" s="125"/>
      <c r="F319" s="125"/>
      <c r="G319" s="125"/>
      <c r="H319" s="126"/>
    </row>
    <row r="320" spans="1:8" x14ac:dyDescent="0.2">
      <c r="A320" s="124"/>
      <c r="B320" s="125"/>
      <c r="C320" s="125"/>
      <c r="D320" s="125"/>
      <c r="E320" s="125"/>
      <c r="F320" s="125"/>
      <c r="G320" s="125"/>
      <c r="H320" s="126"/>
    </row>
    <row r="321" spans="1:8" x14ac:dyDescent="0.2">
      <c r="A321" s="124"/>
      <c r="B321" s="125"/>
      <c r="C321" s="125"/>
      <c r="D321" s="125"/>
      <c r="E321" s="125"/>
      <c r="F321" s="125"/>
      <c r="G321" s="125"/>
      <c r="H321" s="126"/>
    </row>
    <row r="322" spans="1:8" x14ac:dyDescent="0.2">
      <c r="A322" s="124"/>
      <c r="B322" s="125"/>
      <c r="C322" s="125"/>
      <c r="D322" s="125"/>
      <c r="E322" s="125"/>
      <c r="F322" s="125"/>
      <c r="G322" s="125"/>
      <c r="H322" s="126"/>
    </row>
    <row r="323" spans="1:8" x14ac:dyDescent="0.2">
      <c r="A323" s="124"/>
      <c r="B323" s="125"/>
      <c r="C323" s="125"/>
      <c r="D323" s="125"/>
      <c r="E323" s="125"/>
      <c r="F323" s="125"/>
      <c r="G323" s="125"/>
      <c r="H323" s="126"/>
    </row>
    <row r="324" spans="1:8" x14ac:dyDescent="0.2">
      <c r="A324" s="124"/>
      <c r="B324" s="125"/>
      <c r="C324" s="125"/>
      <c r="D324" s="125"/>
      <c r="E324" s="125"/>
      <c r="F324" s="125"/>
      <c r="G324" s="125"/>
      <c r="H324" s="126"/>
    </row>
    <row r="325" spans="1:8" x14ac:dyDescent="0.2">
      <c r="A325" s="124"/>
      <c r="B325" s="125"/>
      <c r="C325" s="125"/>
      <c r="D325" s="125"/>
      <c r="E325" s="125"/>
      <c r="F325" s="125"/>
      <c r="G325" s="125"/>
      <c r="H325" s="126"/>
    </row>
    <row r="326" spans="1:8" x14ac:dyDescent="0.2">
      <c r="A326" s="124"/>
      <c r="B326" s="125"/>
      <c r="C326" s="125"/>
      <c r="D326" s="125"/>
      <c r="E326" s="125"/>
      <c r="F326" s="125"/>
      <c r="G326" s="125"/>
      <c r="H326" s="126"/>
    </row>
    <row r="327" spans="1:8" x14ac:dyDescent="0.2">
      <c r="A327" s="124"/>
      <c r="B327" s="125"/>
      <c r="C327" s="125"/>
      <c r="D327" s="125"/>
      <c r="E327" s="125"/>
      <c r="F327" s="125"/>
      <c r="G327" s="125"/>
      <c r="H327" s="126"/>
    </row>
    <row r="328" spans="1:8" x14ac:dyDescent="0.2">
      <c r="A328" s="124"/>
      <c r="B328" s="125"/>
      <c r="C328" s="125"/>
      <c r="D328" s="125"/>
      <c r="E328" s="125"/>
      <c r="F328" s="125"/>
      <c r="G328" s="125"/>
      <c r="H328" s="126"/>
    </row>
    <row r="329" spans="1:8" x14ac:dyDescent="0.2">
      <c r="A329" s="124"/>
      <c r="B329" s="125"/>
      <c r="C329" s="125"/>
      <c r="D329" s="125"/>
      <c r="E329" s="125"/>
      <c r="F329" s="125"/>
      <c r="G329" s="125"/>
      <c r="H329" s="126"/>
    </row>
    <row r="330" spans="1:8" x14ac:dyDescent="0.2">
      <c r="A330" s="124"/>
      <c r="B330" s="125"/>
      <c r="C330" s="125"/>
      <c r="D330" s="125"/>
      <c r="E330" s="125"/>
      <c r="F330" s="125"/>
      <c r="G330" s="125"/>
      <c r="H330" s="126"/>
    </row>
    <row r="331" spans="1:8" x14ac:dyDescent="0.2">
      <c r="A331" s="124"/>
      <c r="B331" s="125"/>
      <c r="C331" s="125"/>
      <c r="D331" s="125"/>
      <c r="E331" s="125"/>
      <c r="F331" s="125"/>
      <c r="G331" s="125"/>
      <c r="H331" s="126"/>
    </row>
    <row r="332" spans="1:8" x14ac:dyDescent="0.2">
      <c r="A332" s="124"/>
      <c r="B332" s="125"/>
      <c r="C332" s="125"/>
      <c r="D332" s="125"/>
      <c r="E332" s="125"/>
      <c r="F332" s="125"/>
      <c r="G332" s="125"/>
      <c r="H332" s="126"/>
    </row>
    <row r="333" spans="1:8" x14ac:dyDescent="0.2">
      <c r="A333" s="124"/>
      <c r="B333" s="125"/>
      <c r="C333" s="125"/>
      <c r="D333" s="125"/>
      <c r="E333" s="125"/>
      <c r="F333" s="125"/>
      <c r="G333" s="125"/>
      <c r="H333" s="126"/>
    </row>
    <row r="334" spans="1:8" x14ac:dyDescent="0.2">
      <c r="A334" s="124"/>
      <c r="B334" s="125"/>
      <c r="C334" s="125"/>
      <c r="D334" s="125"/>
      <c r="E334" s="125"/>
      <c r="F334" s="125"/>
      <c r="G334" s="125"/>
      <c r="H334" s="126"/>
    </row>
    <row r="335" spans="1:8" x14ac:dyDescent="0.2">
      <c r="A335" s="124"/>
      <c r="B335" s="125"/>
      <c r="C335" s="125"/>
      <c r="D335" s="125"/>
      <c r="E335" s="125"/>
      <c r="F335" s="125"/>
      <c r="G335" s="125"/>
      <c r="H335" s="126"/>
    </row>
    <row r="336" spans="1:8" x14ac:dyDescent="0.2">
      <c r="A336" s="124"/>
      <c r="B336" s="125"/>
      <c r="C336" s="125"/>
      <c r="D336" s="125"/>
      <c r="E336" s="125"/>
      <c r="F336" s="125"/>
      <c r="G336" s="125"/>
      <c r="H336" s="126"/>
    </row>
    <row r="337" spans="1:8" x14ac:dyDescent="0.2">
      <c r="A337" s="124"/>
      <c r="B337" s="125"/>
      <c r="C337" s="125"/>
      <c r="D337" s="125"/>
      <c r="E337" s="125"/>
      <c r="F337" s="125"/>
      <c r="G337" s="125"/>
      <c r="H337" s="126"/>
    </row>
    <row r="338" spans="1:8" x14ac:dyDescent="0.2">
      <c r="A338" s="124"/>
      <c r="B338" s="125"/>
      <c r="C338" s="125"/>
      <c r="D338" s="125"/>
      <c r="E338" s="125"/>
      <c r="F338" s="125"/>
      <c r="G338" s="125"/>
      <c r="H338" s="126"/>
    </row>
    <row r="339" spans="1:8" x14ac:dyDescent="0.2">
      <c r="A339" s="124"/>
      <c r="B339" s="125"/>
      <c r="C339" s="125"/>
      <c r="D339" s="125"/>
      <c r="E339" s="125"/>
      <c r="F339" s="125"/>
      <c r="G339" s="125"/>
      <c r="H339" s="126"/>
    </row>
    <row r="340" spans="1:8" x14ac:dyDescent="0.2">
      <c r="A340" s="124"/>
      <c r="B340" s="125"/>
      <c r="C340" s="125"/>
      <c r="D340" s="125"/>
      <c r="E340" s="125"/>
      <c r="F340" s="125"/>
      <c r="G340" s="125"/>
      <c r="H340" s="126"/>
    </row>
    <row r="341" spans="1:8" x14ac:dyDescent="0.2">
      <c r="A341" s="124"/>
      <c r="B341" s="125"/>
      <c r="C341" s="125"/>
      <c r="D341" s="125"/>
      <c r="E341" s="125"/>
      <c r="F341" s="125"/>
      <c r="G341" s="125"/>
      <c r="H341" s="126"/>
    </row>
    <row r="342" spans="1:8" x14ac:dyDescent="0.2">
      <c r="A342" s="124"/>
      <c r="B342" s="125"/>
      <c r="C342" s="125"/>
      <c r="D342" s="125"/>
      <c r="E342" s="125"/>
      <c r="F342" s="125"/>
      <c r="G342" s="125"/>
      <c r="H342" s="126"/>
    </row>
    <row r="343" spans="1:8" x14ac:dyDescent="0.2">
      <c r="A343" s="124"/>
      <c r="B343" s="125"/>
      <c r="C343" s="125"/>
      <c r="D343" s="125"/>
      <c r="E343" s="125"/>
      <c r="F343" s="125"/>
      <c r="G343" s="125"/>
      <c r="H343" s="126"/>
    </row>
    <row r="344" spans="1:8" x14ac:dyDescent="0.2">
      <c r="A344" s="124"/>
      <c r="B344" s="125"/>
      <c r="C344" s="125"/>
      <c r="D344" s="125"/>
      <c r="E344" s="125"/>
      <c r="F344" s="125"/>
      <c r="G344" s="125"/>
      <c r="H344" s="126"/>
    </row>
    <row r="345" spans="1:8" x14ac:dyDescent="0.2">
      <c r="A345" s="124"/>
      <c r="B345" s="125"/>
      <c r="C345" s="125"/>
      <c r="D345" s="125"/>
      <c r="E345" s="125"/>
      <c r="F345" s="125"/>
      <c r="G345" s="125"/>
      <c r="H345" s="126"/>
    </row>
    <row r="346" spans="1:8" x14ac:dyDescent="0.2">
      <c r="A346" s="124"/>
      <c r="B346" s="125"/>
      <c r="C346" s="125"/>
      <c r="D346" s="125"/>
      <c r="E346" s="125"/>
      <c r="F346" s="125"/>
      <c r="G346" s="125"/>
      <c r="H346" s="126"/>
    </row>
    <row r="347" spans="1:8" x14ac:dyDescent="0.2">
      <c r="A347" s="124"/>
      <c r="B347" s="125"/>
      <c r="C347" s="125"/>
      <c r="D347" s="125"/>
      <c r="E347" s="125"/>
      <c r="F347" s="125"/>
      <c r="G347" s="125"/>
      <c r="H347" s="126"/>
    </row>
    <row r="348" spans="1:8" x14ac:dyDescent="0.2">
      <c r="A348" s="124"/>
      <c r="B348" s="125"/>
      <c r="C348" s="125"/>
      <c r="D348" s="125"/>
      <c r="E348" s="125"/>
      <c r="F348" s="125"/>
      <c r="G348" s="125"/>
      <c r="H348" s="126"/>
    </row>
    <row r="349" spans="1:8" ht="50.25" customHeight="1" x14ac:dyDescent="0.2">
      <c r="A349" s="115" t="s">
        <v>118</v>
      </c>
      <c r="B349" s="116"/>
      <c r="C349" s="117" t="s">
        <v>277</v>
      </c>
      <c r="D349" s="118"/>
      <c r="E349" s="136" t="s">
        <v>119</v>
      </c>
      <c r="F349" s="136"/>
      <c r="G349" s="214"/>
      <c r="H349" s="214"/>
    </row>
  </sheetData>
  <mergeCells count="509">
    <mergeCell ref="A330:H330"/>
    <mergeCell ref="A331:H331"/>
    <mergeCell ref="A332:H332"/>
    <mergeCell ref="A333:H333"/>
    <mergeCell ref="A334:H334"/>
    <mergeCell ref="A335:H335"/>
    <mergeCell ref="A336:H336"/>
    <mergeCell ref="A323:H323"/>
    <mergeCell ref="A324:H324"/>
    <mergeCell ref="A325:H325"/>
    <mergeCell ref="A326:H326"/>
    <mergeCell ref="A327:H327"/>
    <mergeCell ref="A328:H328"/>
    <mergeCell ref="A329:H329"/>
    <mergeCell ref="A337:H337"/>
    <mergeCell ref="A338:H338"/>
    <mergeCell ref="A348:H348"/>
    <mergeCell ref="A339:H339"/>
    <mergeCell ref="A340:H340"/>
    <mergeCell ref="A341:H341"/>
    <mergeCell ref="A342:H342"/>
    <mergeCell ref="A343:H343"/>
    <mergeCell ref="A344:H344"/>
    <mergeCell ref="A345:H345"/>
    <mergeCell ref="A346:H346"/>
    <mergeCell ref="A347:H347"/>
    <mergeCell ref="A299:B299"/>
    <mergeCell ref="A321:H321"/>
    <mergeCell ref="A322:H322"/>
    <mergeCell ref="A303:H303"/>
    <mergeCell ref="A304:H304"/>
    <mergeCell ref="A305:H305"/>
    <mergeCell ref="A306:H306"/>
    <mergeCell ref="A307:H307"/>
    <mergeCell ref="A308:H308"/>
    <mergeCell ref="A309:H309"/>
    <mergeCell ref="A310:H310"/>
    <mergeCell ref="A311:H311"/>
    <mergeCell ref="C299:H299"/>
    <mergeCell ref="A312:H312"/>
    <mergeCell ref="A313:H313"/>
    <mergeCell ref="A314:H314"/>
    <mergeCell ref="A315:H315"/>
    <mergeCell ref="A316:H316"/>
    <mergeCell ref="A317:H317"/>
    <mergeCell ref="A318:H318"/>
    <mergeCell ref="A319:H319"/>
    <mergeCell ref="A320:H320"/>
    <mergeCell ref="A232:H232"/>
    <mergeCell ref="A233:H233"/>
    <mergeCell ref="A234:H234"/>
    <mergeCell ref="A300:H300"/>
    <mergeCell ref="A301:H301"/>
    <mergeCell ref="A302:H302"/>
    <mergeCell ref="A244:H244"/>
    <mergeCell ref="A235:H235"/>
    <mergeCell ref="A236:H236"/>
    <mergeCell ref="A237:H237"/>
    <mergeCell ref="A238:H238"/>
    <mergeCell ref="A239:H239"/>
    <mergeCell ref="A240:H240"/>
    <mergeCell ref="A241:H241"/>
    <mergeCell ref="A242:H242"/>
    <mergeCell ref="A243:H243"/>
    <mergeCell ref="A257:H257"/>
    <mergeCell ref="A258:H258"/>
    <mergeCell ref="A259:H259"/>
    <mergeCell ref="A260:H260"/>
    <mergeCell ref="A261:H261"/>
    <mergeCell ref="A262:H262"/>
    <mergeCell ref="A263:H263"/>
    <mergeCell ref="A264:H264"/>
    <mergeCell ref="A223:H223"/>
    <mergeCell ref="A224:H224"/>
    <mergeCell ref="A225:H225"/>
    <mergeCell ref="A226:H226"/>
    <mergeCell ref="A227:H227"/>
    <mergeCell ref="A228:H228"/>
    <mergeCell ref="A229:H229"/>
    <mergeCell ref="A230:H230"/>
    <mergeCell ref="A231:H231"/>
    <mergeCell ref="A214:H214"/>
    <mergeCell ref="A215:H215"/>
    <mergeCell ref="A216:H216"/>
    <mergeCell ref="A217:H217"/>
    <mergeCell ref="A218:H218"/>
    <mergeCell ref="A219:H219"/>
    <mergeCell ref="A220:H220"/>
    <mergeCell ref="A221:H221"/>
    <mergeCell ref="A222:H222"/>
    <mergeCell ref="A205:H205"/>
    <mergeCell ref="A206:H206"/>
    <mergeCell ref="A207:H207"/>
    <mergeCell ref="A208:H208"/>
    <mergeCell ref="A209:H209"/>
    <mergeCell ref="A210:H210"/>
    <mergeCell ref="A211:H211"/>
    <mergeCell ref="A212:H212"/>
    <mergeCell ref="A213:H213"/>
    <mergeCell ref="B191:H191"/>
    <mergeCell ref="A192:B192"/>
    <mergeCell ref="B187:E187"/>
    <mergeCell ref="A199:H199"/>
    <mergeCell ref="A200:H200"/>
    <mergeCell ref="A201:H201"/>
    <mergeCell ref="A202:H202"/>
    <mergeCell ref="A203:H203"/>
    <mergeCell ref="A204:H204"/>
    <mergeCell ref="A67:B67"/>
    <mergeCell ref="A68:B68"/>
    <mergeCell ref="C192:H192"/>
    <mergeCell ref="E124:F124"/>
    <mergeCell ref="E125:F125"/>
    <mergeCell ref="E126:F126"/>
    <mergeCell ref="G127:H127"/>
    <mergeCell ref="G128:H128"/>
    <mergeCell ref="E127:F127"/>
    <mergeCell ref="C68:D68"/>
    <mergeCell ref="C69:D69"/>
    <mergeCell ref="C70:D70"/>
    <mergeCell ref="C71:D71"/>
    <mergeCell ref="C72:D72"/>
    <mergeCell ref="C73:D73"/>
    <mergeCell ref="E122:F122"/>
    <mergeCell ref="A181:H181"/>
    <mergeCell ref="B183:H183"/>
    <mergeCell ref="B184:H184"/>
    <mergeCell ref="B185:H185"/>
    <mergeCell ref="B186:H186"/>
    <mergeCell ref="B188:H188"/>
    <mergeCell ref="B189:H189"/>
    <mergeCell ref="B190:H190"/>
    <mergeCell ref="C44:F44"/>
    <mergeCell ref="G44:H44"/>
    <mergeCell ref="C38:H38"/>
    <mergeCell ref="G42:H42"/>
    <mergeCell ref="E51:H51"/>
    <mergeCell ref="C34:D34"/>
    <mergeCell ref="C36:D36"/>
    <mergeCell ref="C42:F42"/>
    <mergeCell ref="G131:H131"/>
    <mergeCell ref="G41:H41"/>
    <mergeCell ref="C37:H37"/>
    <mergeCell ref="C28:E28"/>
    <mergeCell ref="E36:F36"/>
    <mergeCell ref="G27:H27"/>
    <mergeCell ref="G28:H28"/>
    <mergeCell ref="C35:H35"/>
    <mergeCell ref="G36:H36"/>
    <mergeCell ref="A39:H39"/>
    <mergeCell ref="C40:F40"/>
    <mergeCell ref="G40:H40"/>
    <mergeCell ref="C41:F41"/>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E349:F349"/>
    <mergeCell ref="G349:H349"/>
    <mergeCell ref="C118:H118"/>
    <mergeCell ref="A119:H119"/>
    <mergeCell ref="E120:F120"/>
    <mergeCell ref="E121:F121"/>
    <mergeCell ref="E128:F128"/>
    <mergeCell ref="A137:H137"/>
    <mergeCell ref="A248:H248"/>
    <mergeCell ref="A249:H249"/>
    <mergeCell ref="A250:H250"/>
    <mergeCell ref="A251:H251"/>
    <mergeCell ref="A252:H252"/>
    <mergeCell ref="A253:H253"/>
    <mergeCell ref="A254:H254"/>
    <mergeCell ref="A255:H255"/>
    <mergeCell ref="A256:H256"/>
    <mergeCell ref="A178:H178"/>
    <mergeCell ref="A271:H271"/>
    <mergeCell ref="A272:H272"/>
    <mergeCell ref="A179:E179"/>
    <mergeCell ref="G132:H132"/>
    <mergeCell ref="A194:H194"/>
    <mergeCell ref="A195:H195"/>
    <mergeCell ref="C128:D128"/>
    <mergeCell ref="A76:D77"/>
    <mergeCell ref="C78:H78"/>
    <mergeCell ref="A79:B79"/>
    <mergeCell ref="C79:D79"/>
    <mergeCell ref="G79:H79"/>
    <mergeCell ref="A80:B80"/>
    <mergeCell ref="C80:D80"/>
    <mergeCell ref="G80:H89"/>
    <mergeCell ref="A81:B81"/>
    <mergeCell ref="C74:D74"/>
    <mergeCell ref="C75:D75"/>
    <mergeCell ref="C120:D120"/>
    <mergeCell ref="C121:D121"/>
    <mergeCell ref="C122:D122"/>
    <mergeCell ref="C123:D123"/>
    <mergeCell ref="C124:D124"/>
    <mergeCell ref="C125:D125"/>
    <mergeCell ref="C126:D126"/>
    <mergeCell ref="A285:H285"/>
    <mergeCell ref="A286:H286"/>
    <mergeCell ref="A287:H287"/>
    <mergeCell ref="A288:H288"/>
    <mergeCell ref="A289:H289"/>
    <mergeCell ref="A290:H290"/>
    <mergeCell ref="A291:H291"/>
    <mergeCell ref="A279:H279"/>
    <mergeCell ref="A280:H280"/>
    <mergeCell ref="A281:H281"/>
    <mergeCell ref="A282:H282"/>
    <mergeCell ref="A283:H283"/>
    <mergeCell ref="A284:H284"/>
    <mergeCell ref="A15:B15"/>
    <mergeCell ref="E135:F135"/>
    <mergeCell ref="G135:H135"/>
    <mergeCell ref="E136:F136"/>
    <mergeCell ref="G136:H136"/>
    <mergeCell ref="C29:H29"/>
    <mergeCell ref="C30:H30"/>
    <mergeCell ref="A37:B37"/>
    <mergeCell ref="A38:B38"/>
    <mergeCell ref="A40:B45"/>
    <mergeCell ref="A46:B46"/>
    <mergeCell ref="A47:B47"/>
    <mergeCell ref="A48:B48"/>
    <mergeCell ref="A49:B51"/>
    <mergeCell ref="A53:B53"/>
    <mergeCell ref="A60:B60"/>
    <mergeCell ref="A65:B65"/>
    <mergeCell ref="C43:F43"/>
    <mergeCell ref="G43:H43"/>
    <mergeCell ref="C45:F45"/>
    <mergeCell ref="G45:H45"/>
    <mergeCell ref="G65:H65"/>
    <mergeCell ref="G66:H75"/>
    <mergeCell ref="E123:F123"/>
    <mergeCell ref="F18:H18"/>
    <mergeCell ref="A35:B35"/>
    <mergeCell ref="A36:B36"/>
    <mergeCell ref="A16:B16"/>
    <mergeCell ref="A17:B17"/>
    <mergeCell ref="A18:B18"/>
    <mergeCell ref="A19:B19"/>
    <mergeCell ref="A20:B20"/>
    <mergeCell ref="A21:B21"/>
    <mergeCell ref="A22:B22"/>
    <mergeCell ref="A23:B23"/>
    <mergeCell ref="A24:B24"/>
    <mergeCell ref="C27:E27"/>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C46:F46"/>
    <mergeCell ref="C48:F48"/>
    <mergeCell ref="C53:F53"/>
    <mergeCell ref="A62:D63"/>
    <mergeCell ref="A52:B52"/>
    <mergeCell ref="C52:H52"/>
    <mergeCell ref="C54:F54"/>
    <mergeCell ref="A54:B55"/>
    <mergeCell ref="C55:F55"/>
    <mergeCell ref="C58:F58"/>
    <mergeCell ref="A56:B58"/>
    <mergeCell ref="C56:F57"/>
    <mergeCell ref="E50:F50"/>
    <mergeCell ref="A59:H59"/>
    <mergeCell ref="C47:H47"/>
    <mergeCell ref="E49:H49"/>
    <mergeCell ref="C49:D49"/>
    <mergeCell ref="C50:D50"/>
    <mergeCell ref="C51:D51"/>
    <mergeCell ref="C65:D65"/>
    <mergeCell ref="C66:D66"/>
    <mergeCell ref="C67:D67"/>
    <mergeCell ref="C64:H64"/>
    <mergeCell ref="A66:B66"/>
    <mergeCell ref="E131:F131"/>
    <mergeCell ref="A129:H129"/>
    <mergeCell ref="A69:B69"/>
    <mergeCell ref="A70:B70"/>
    <mergeCell ref="E60:F60"/>
    <mergeCell ref="A61:H61"/>
    <mergeCell ref="G60:H60"/>
    <mergeCell ref="C60:D60"/>
    <mergeCell ref="A71:B71"/>
    <mergeCell ref="A72:B72"/>
    <mergeCell ref="A73:B73"/>
    <mergeCell ref="A74:B74"/>
    <mergeCell ref="A75:B75"/>
    <mergeCell ref="A118:B118"/>
    <mergeCell ref="A120:B120"/>
    <mergeCell ref="A121:B121"/>
    <mergeCell ref="C135:D135"/>
    <mergeCell ref="C136:D136"/>
    <mergeCell ref="A139:A140"/>
    <mergeCell ref="C139:C140"/>
    <mergeCell ref="D139:D140"/>
    <mergeCell ref="A130:B130"/>
    <mergeCell ref="A135:B135"/>
    <mergeCell ref="A136:B136"/>
    <mergeCell ref="A142:H142"/>
    <mergeCell ref="E132:F132"/>
    <mergeCell ref="A138:H138"/>
    <mergeCell ref="B139:B140"/>
    <mergeCell ref="A153:B153"/>
    <mergeCell ref="A145:B145"/>
    <mergeCell ref="A146:B146"/>
    <mergeCell ref="A147:B147"/>
    <mergeCell ref="A148:B148"/>
    <mergeCell ref="A149:B149"/>
    <mergeCell ref="E139:E140"/>
    <mergeCell ref="F139:F140"/>
    <mergeCell ref="A141:H141"/>
    <mergeCell ref="A269:H269"/>
    <mergeCell ref="A270:H270"/>
    <mergeCell ref="A273:H273"/>
    <mergeCell ref="A246:H246"/>
    <mergeCell ref="A247:H247"/>
    <mergeCell ref="A180:E180"/>
    <mergeCell ref="F180:H180"/>
    <mergeCell ref="A193:H193"/>
    <mergeCell ref="A163:B163"/>
    <mergeCell ref="A164:B164"/>
    <mergeCell ref="A165:B165"/>
    <mergeCell ref="A166:B166"/>
    <mergeCell ref="A167:B167"/>
    <mergeCell ref="A168:B168"/>
    <mergeCell ref="F179:H179"/>
    <mergeCell ref="A172:B172"/>
    <mergeCell ref="A173:B173"/>
    <mergeCell ref="A174:B174"/>
    <mergeCell ref="A175:B175"/>
    <mergeCell ref="A169:H169"/>
    <mergeCell ref="A170:H170"/>
    <mergeCell ref="A196:H196"/>
    <mergeCell ref="A197:H197"/>
    <mergeCell ref="A198:H198"/>
    <mergeCell ref="I51:L51"/>
    <mergeCell ref="C245:H245"/>
    <mergeCell ref="A349:B349"/>
    <mergeCell ref="C349:D349"/>
    <mergeCell ref="A245:B245"/>
    <mergeCell ref="A176:B176"/>
    <mergeCell ref="A177:B177"/>
    <mergeCell ref="B182:H182"/>
    <mergeCell ref="A292:H292"/>
    <mergeCell ref="A293:H293"/>
    <mergeCell ref="A294:H294"/>
    <mergeCell ref="A295:H295"/>
    <mergeCell ref="A296:H296"/>
    <mergeCell ref="A297:H297"/>
    <mergeCell ref="A298:H298"/>
    <mergeCell ref="A274:H274"/>
    <mergeCell ref="A275:H275"/>
    <mergeCell ref="A276:H276"/>
    <mergeCell ref="A277:H277"/>
    <mergeCell ref="A278:H278"/>
    <mergeCell ref="A265:H265"/>
    <mergeCell ref="A266:H266"/>
    <mergeCell ref="A267:H267"/>
    <mergeCell ref="A268:H268"/>
    <mergeCell ref="C81:D81"/>
    <mergeCell ref="A82:B82"/>
    <mergeCell ref="C82:D82"/>
    <mergeCell ref="A83:B83"/>
    <mergeCell ref="C83:D83"/>
    <mergeCell ref="A84:B84"/>
    <mergeCell ref="C84:D84"/>
    <mergeCell ref="A85:B85"/>
    <mergeCell ref="C85:D85"/>
    <mergeCell ref="A86:B86"/>
    <mergeCell ref="C86:D86"/>
    <mergeCell ref="A87:B87"/>
    <mergeCell ref="C87:D87"/>
    <mergeCell ref="A88:B88"/>
    <mergeCell ref="C88:D88"/>
    <mergeCell ref="A89:B89"/>
    <mergeCell ref="C89:D89"/>
    <mergeCell ref="A90:D91"/>
    <mergeCell ref="C92:H92"/>
    <mergeCell ref="A93:B93"/>
    <mergeCell ref="C93:D93"/>
    <mergeCell ref="G93:H93"/>
    <mergeCell ref="A94:B94"/>
    <mergeCell ref="C94:D94"/>
    <mergeCell ref="G94:H103"/>
    <mergeCell ref="A95:B95"/>
    <mergeCell ref="C95:D95"/>
    <mergeCell ref="A96:B96"/>
    <mergeCell ref="C96:D96"/>
    <mergeCell ref="A97:B97"/>
    <mergeCell ref="C97:D97"/>
    <mergeCell ref="A98:B98"/>
    <mergeCell ref="C98:D98"/>
    <mergeCell ref="A99:B99"/>
    <mergeCell ref="C99:D99"/>
    <mergeCell ref="A100:B100"/>
    <mergeCell ref="C100:D100"/>
    <mergeCell ref="A101:B101"/>
    <mergeCell ref="C101:D101"/>
    <mergeCell ref="A102:B102"/>
    <mergeCell ref="C102:D102"/>
    <mergeCell ref="A103:B103"/>
    <mergeCell ref="C103:D103"/>
    <mergeCell ref="A104:D105"/>
    <mergeCell ref="C106:H106"/>
    <mergeCell ref="A107:B107"/>
    <mergeCell ref="C107:D107"/>
    <mergeCell ref="G107:H107"/>
    <mergeCell ref="A108:B108"/>
    <mergeCell ref="C108:D108"/>
    <mergeCell ref="G108:H117"/>
    <mergeCell ref="A109:B109"/>
    <mergeCell ref="C109:D109"/>
    <mergeCell ref="A110:B110"/>
    <mergeCell ref="C110:D110"/>
    <mergeCell ref="A111:B111"/>
    <mergeCell ref="C111:D111"/>
    <mergeCell ref="A112:B112"/>
    <mergeCell ref="C112:D112"/>
    <mergeCell ref="A113:B113"/>
    <mergeCell ref="C113:D113"/>
    <mergeCell ref="A114:B114"/>
    <mergeCell ref="C114:D114"/>
    <mergeCell ref="A115:B115"/>
    <mergeCell ref="C115:D115"/>
    <mergeCell ref="A116:B116"/>
    <mergeCell ref="C116:D116"/>
    <mergeCell ref="A117:B117"/>
    <mergeCell ref="C117:D117"/>
    <mergeCell ref="A131:A132"/>
    <mergeCell ref="A133:A134"/>
    <mergeCell ref="C133:D133"/>
    <mergeCell ref="E133:F133"/>
    <mergeCell ref="G133:H133"/>
    <mergeCell ref="C134:D134"/>
    <mergeCell ref="E134:F134"/>
    <mergeCell ref="G134:H134"/>
    <mergeCell ref="E130:F130"/>
    <mergeCell ref="G130:H130"/>
    <mergeCell ref="C131:D131"/>
    <mergeCell ref="C132:D132"/>
    <mergeCell ref="C130:D130"/>
    <mergeCell ref="A122:B122"/>
    <mergeCell ref="A123:B123"/>
    <mergeCell ref="A124:B124"/>
    <mergeCell ref="A125:B125"/>
    <mergeCell ref="A126:B126"/>
    <mergeCell ref="A127:B127"/>
    <mergeCell ref="A128:B128"/>
    <mergeCell ref="C127:D127"/>
    <mergeCell ref="A171:H171"/>
    <mergeCell ref="A143:H143"/>
    <mergeCell ref="A144:H144"/>
    <mergeCell ref="A150:H150"/>
    <mergeCell ref="A151:H151"/>
    <mergeCell ref="A152:H152"/>
    <mergeCell ref="L152:M152"/>
    <mergeCell ref="A159:H159"/>
    <mergeCell ref="A160:H160"/>
    <mergeCell ref="A161:H161"/>
    <mergeCell ref="A154:B154"/>
    <mergeCell ref="A155:B155"/>
    <mergeCell ref="A156:B156"/>
    <mergeCell ref="A157:B157"/>
    <mergeCell ref="A158:B158"/>
    <mergeCell ref="A162:H162"/>
  </mergeCells>
  <dataValidations disablePrompts="1" count="5">
    <dataValidation type="list" allowBlank="1" showInputMessage="1" showErrorMessage="1" sqref="A9:B9">
      <formula1>"CTS No,Survey No,Plot No,Gut No,FP No,"</formula1>
    </dataValidation>
    <dataValidation type="list" allowBlank="1" showInputMessage="1" showErrorMessage="1" sqref="B139">
      <formula1>"Flat No. (Sale Plan),Sale / Rehab,Sale / Mhada"</formula1>
    </dataValidation>
    <dataValidation type="list" allowBlank="1" showInputMessage="1" showErrorMessage="1" sqref="D139">
      <formula1>"Carpet area,RERA Carpet area"</formula1>
    </dataValidation>
    <dataValidation type="list" allowBlank="1" showInputMessage="1" showErrorMessage="1" sqref="E139:E140">
      <formula1>"Fungible area,Balcony Area,Chajja Area,Cornice Area,AP Area,WS Area"</formula1>
    </dataValidation>
    <dataValidation type="list" allowBlank="1" showInputMessage="1" showErrorMessage="1" sqref="H140">
      <formula1>".45,.50,.55,.60"</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4" manualBreakCount="4">
    <brk id="30" max="7" man="1"/>
    <brk id="191" max="7" man="1"/>
    <brk id="244" max="7" man="1"/>
    <brk id="298"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42" t="s">
        <v>113</v>
      </c>
      <c r="B1" s="243"/>
      <c r="C1" s="9" t="s">
        <v>58</v>
      </c>
      <c r="D1" s="9" t="s">
        <v>59</v>
      </c>
      <c r="E1" s="9" t="s">
        <v>60</v>
      </c>
      <c r="F1" s="10" t="s">
        <v>46</v>
      </c>
    </row>
    <row r="2" spans="1:8" x14ac:dyDescent="0.25">
      <c r="A2" s="244"/>
      <c r="B2" s="245"/>
      <c r="C2" s="7">
        <v>0</v>
      </c>
      <c r="D2" s="24">
        <v>1</v>
      </c>
      <c r="E2" s="7">
        <v>0</v>
      </c>
      <c r="F2" s="8">
        <f ca="1">--TRIM(RIGHT(SUBSTITUTE(LEFT(A1,_xlfn.AGGREGATE(16,6,FIND({0,1,2,3,4,5,6,7,8,9},A1,ROW(INDIRECT("1:"&amp;LEN(A1)))),1))," ",REPT(" ",LEN(A1))),LEN(A1)))</f>
        <v>3</v>
      </c>
    </row>
    <row r="3" spans="1:8" x14ac:dyDescent="0.25">
      <c r="A3" s="2" t="s">
        <v>61</v>
      </c>
      <c r="B3" s="3" t="s">
        <v>62</v>
      </c>
      <c r="C3" s="22" t="s">
        <v>63</v>
      </c>
      <c r="D3" s="25" t="s">
        <v>56</v>
      </c>
      <c r="E3" s="246" t="s">
        <v>131</v>
      </c>
      <c r="F3" s="247"/>
      <c r="G3" s="34" t="s">
        <v>64</v>
      </c>
      <c r="H3" s="29">
        <f ca="1">F2*25%</f>
        <v>0.75</v>
      </c>
    </row>
    <row r="4" spans="1:8" x14ac:dyDescent="0.25">
      <c r="A4" s="2" t="s">
        <v>65</v>
      </c>
      <c r="B4" s="4">
        <f ca="1">H5</f>
        <v>3</v>
      </c>
      <c r="C4" s="23">
        <f ca="1">((100/F2)*B4)/100</f>
        <v>1</v>
      </c>
      <c r="D4" s="27" t="str">
        <f ca="1">IF(C13=100%,"All work Completed. Possession granted to the Building.",IF(C12=100%,"All work Completed, Waiting for OC",D10&amp;""&amp;D11&amp;""&amp;D9&amp;""&amp;D12&amp;" "&amp;D13))</f>
        <v xml:space="preserve">Excavation, Plinth, RCC Slab, Brickwork Completed </v>
      </c>
      <c r="E4" s="248" t="str">
        <f ca="1">D4</f>
        <v xml:space="preserve">Excavation, Plinth, RCC Slab, Brickwork Completed </v>
      </c>
      <c r="F4" s="249"/>
      <c r="G4" s="1" t="s">
        <v>66</v>
      </c>
      <c r="H4" s="30">
        <f ca="1">F2*50%</f>
        <v>1.5</v>
      </c>
    </row>
    <row r="5" spans="1:8" x14ac:dyDescent="0.25">
      <c r="A5" s="2" t="s">
        <v>67</v>
      </c>
      <c r="B5" s="5">
        <f ca="1">H13</f>
        <v>3</v>
      </c>
      <c r="C5" s="23">
        <f ca="1">((100/F2)*B5)/100</f>
        <v>1</v>
      </c>
      <c r="D5" s="28"/>
      <c r="E5" s="250"/>
      <c r="F5" s="251"/>
      <c r="G5" s="1" t="s">
        <v>68</v>
      </c>
      <c r="H5" s="30">
        <f ca="1">F2</f>
        <v>3</v>
      </c>
    </row>
    <row r="6" spans="1:8" x14ac:dyDescent="0.25">
      <c r="A6" s="2" t="s">
        <v>69</v>
      </c>
      <c r="B6" s="5">
        <v>4</v>
      </c>
      <c r="C6" s="23">
        <f ca="1">((100/(D2+E2+F2))*B6)/100</f>
        <v>1</v>
      </c>
      <c r="D6" s="28"/>
      <c r="E6" s="250"/>
      <c r="F6" s="251"/>
      <c r="G6" s="1" t="s">
        <v>70</v>
      </c>
      <c r="H6" s="31">
        <f ca="1">(IF(C2&gt;1,(F2/(C2+2)),F2/4))</f>
        <v>0.75</v>
      </c>
    </row>
    <row r="7" spans="1:8" x14ac:dyDescent="0.25">
      <c r="A7" s="2" t="s">
        <v>71</v>
      </c>
      <c r="B7" s="4">
        <v>3</v>
      </c>
      <c r="C7" s="23">
        <f ca="1">((100/F2)*B7)/100</f>
        <v>1</v>
      </c>
      <c r="D7" s="28"/>
      <c r="E7" s="250"/>
      <c r="F7" s="251"/>
      <c r="G7" s="1" t="s">
        <v>72</v>
      </c>
      <c r="H7" s="31">
        <f ca="1">(IF(C2&gt;1,(F2/(C2+2)+H6),F2/4+H6))</f>
        <v>1.5</v>
      </c>
    </row>
    <row r="8" spans="1:8" x14ac:dyDescent="0.25">
      <c r="A8" s="2" t="s">
        <v>73</v>
      </c>
      <c r="B8" s="4">
        <v>0</v>
      </c>
      <c r="C8" s="23">
        <f ca="1">((100/F2)*B8)/100</f>
        <v>0</v>
      </c>
      <c r="D8" s="26">
        <f ca="1">(((B5/F2*10)+(40/(D2+E2+F2)*B6)+(15/(F2)*B7)+(5/(F2)*B8)+(5/F2*B9)+(10/F2*B10)+(5/F2*B11)+(5/F2*B12)+(5/F2*B13))/100)</f>
        <v>0.65</v>
      </c>
      <c r="E8" s="250"/>
      <c r="F8" s="251"/>
      <c r="G8" s="1" t="s">
        <v>74</v>
      </c>
      <c r="H8" s="31">
        <f>(IF(C2&gt;1,(F2/(C2+2)+H7),0))</f>
        <v>0</v>
      </c>
    </row>
    <row r="9" spans="1:8" x14ac:dyDescent="0.25">
      <c r="A9" s="2" t="s">
        <v>75</v>
      </c>
      <c r="B9" s="4">
        <v>0</v>
      </c>
      <c r="C9" s="23">
        <f ca="1">((100/(F2))*B9)/100</f>
        <v>0</v>
      </c>
      <c r="D9" s="28"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50"/>
      <c r="F9" s="251"/>
      <c r="G9" s="1" t="s">
        <v>76</v>
      </c>
      <c r="H9" s="31">
        <f>(IF(C2&gt;2,(F2/(C2+2)+H8),0))</f>
        <v>0</v>
      </c>
    </row>
    <row r="10" spans="1:8" x14ac:dyDescent="0.25">
      <c r="A10" s="2" t="s">
        <v>77</v>
      </c>
      <c r="B10" s="4">
        <v>0</v>
      </c>
      <c r="C10" s="23">
        <f ca="1">((100/F2)*B10)/100</f>
        <v>0</v>
      </c>
      <c r="D10" s="28" t="str">
        <f ca="1">IF(C4=100%,"Excavation","")&amp;IF(C5=100%,", Plinth","")&amp;IF(C6=100%,", RCC Slab","")&amp;IF(C7=100%,", Brickwork","")&amp;IF(C8=100%,", Internal Plaster","")&amp;IF(C9=100%,", External Plaster","")&amp;IF(C10=100%,", Flooring","")&amp;IF(C11=100%,", Painting","")&amp;IF(C12=100%,", Building common Amenities","")</f>
        <v>Excavation, Plinth, RCC Slab, Brickwork</v>
      </c>
      <c r="E10" s="250"/>
      <c r="F10" s="251"/>
      <c r="G10" s="1" t="s">
        <v>78</v>
      </c>
      <c r="H10" s="32">
        <f>(IF(C2&gt;3,(F2/(C2+2)+H9),0))</f>
        <v>0</v>
      </c>
    </row>
    <row r="11" spans="1:8" x14ac:dyDescent="0.25">
      <c r="A11" s="2" t="s">
        <v>79</v>
      </c>
      <c r="B11" s="4">
        <v>0</v>
      </c>
      <c r="C11" s="23">
        <f ca="1">((100/F2)*B11)/100</f>
        <v>0</v>
      </c>
      <c r="D11" s="28" t="str">
        <f ca="1">IF(D10&lt;&gt;""," Completed","")</f>
        <v xml:space="preserve"> Completed</v>
      </c>
      <c r="E11" s="250"/>
      <c r="F11" s="251"/>
      <c r="G11" s="1" t="s">
        <v>80</v>
      </c>
      <c r="H11" s="31">
        <f>(IF(C2&gt;4,(F2/(C2+2)+H10),0))</f>
        <v>0</v>
      </c>
    </row>
    <row r="12" spans="1:8" x14ac:dyDescent="0.25">
      <c r="A12" s="2" t="s">
        <v>81</v>
      </c>
      <c r="B12" s="4">
        <v>0</v>
      </c>
      <c r="C12" s="23">
        <f ca="1">((100/(F2))*B12)/100</f>
        <v>0</v>
      </c>
      <c r="D12" s="28"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50"/>
      <c r="F12" s="251"/>
      <c r="G12" s="1" t="s">
        <v>82</v>
      </c>
      <c r="H12" s="31">
        <f ca="1">(IF(C2=1,(F2/(C2+3)+H7),IF(C2=0,(F2/4+H7),IF(C2&gt;1,0))))</f>
        <v>2.25</v>
      </c>
    </row>
    <row r="13" spans="1:8" ht="15.75" thickBot="1" x14ac:dyDescent="0.3">
      <c r="A13" s="36" t="s">
        <v>83</v>
      </c>
      <c r="B13" s="37">
        <v>0</v>
      </c>
      <c r="C13" s="38">
        <f ca="1">((100/(F2))*B13)/100</f>
        <v>0</v>
      </c>
      <c r="D13" s="39" t="str">
        <f ca="1">IF(D12&lt;&gt;"","Completed","")</f>
        <v/>
      </c>
      <c r="E13" s="252"/>
      <c r="F13" s="253"/>
      <c r="G13" s="35" t="s">
        <v>84</v>
      </c>
      <c r="H13" s="33">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PC-51</cp:lastModifiedBy>
  <cp:lastPrinted>2025-07-15T10:43:04Z</cp:lastPrinted>
  <dcterms:created xsi:type="dcterms:W3CDTF">2019-01-21T04:29:02Z</dcterms:created>
  <dcterms:modified xsi:type="dcterms:W3CDTF">2025-07-15T10:45:54Z</dcterms:modified>
</cp:coreProperties>
</file>