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sjadon\common drive\APF\25-26\July 2025\SCL\NEW\14322 - Shankheshwar Privia\"/>
    </mc:Choice>
  </mc:AlternateContent>
  <bookViews>
    <workbookView xWindow="-120" yWindow="-120" windowWidth="20730" windowHeight="1116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Report!$A$1:$H$370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3" i="1" l="1"/>
  <c r="J149" i="1"/>
  <c r="M143" i="1"/>
  <c r="M144" i="1"/>
  <c r="M145" i="1"/>
  <c r="M146" i="1"/>
  <c r="M147" i="1"/>
  <c r="M142" i="1"/>
  <c r="J135" i="1"/>
  <c r="G135" i="1"/>
  <c r="E131" i="1"/>
  <c r="E130" i="1"/>
  <c r="E129" i="1"/>
  <c r="E128" i="1"/>
  <c r="J129" i="1"/>
  <c r="J128" i="1"/>
  <c r="K133" i="1"/>
  <c r="J133" i="1"/>
  <c r="L133" i="1" s="1"/>
  <c r="K129" i="1"/>
  <c r="K128" i="1"/>
  <c r="I129" i="1"/>
  <c r="I46" i="1"/>
  <c r="I43" i="1"/>
  <c r="J43" i="1" s="1"/>
  <c r="I42" i="1"/>
  <c r="L129" i="1" l="1"/>
  <c r="I206" i="1"/>
  <c r="G212" i="1"/>
  <c r="G211" i="1"/>
  <c r="G210" i="1"/>
  <c r="G209" i="1"/>
  <c r="E212" i="1"/>
  <c r="D212" i="1"/>
  <c r="E211" i="1"/>
  <c r="D211" i="1"/>
  <c r="E210" i="1"/>
  <c r="D210" i="1"/>
  <c r="E209" i="1"/>
  <c r="D209" i="1"/>
  <c r="G205" i="1"/>
  <c r="G204" i="1"/>
  <c r="E205" i="1"/>
  <c r="D205" i="1"/>
  <c r="E204" i="1"/>
  <c r="D204" i="1"/>
  <c r="G202" i="1"/>
  <c r="G201" i="1"/>
  <c r="G200" i="1"/>
  <c r="E202" i="1"/>
  <c r="D202" i="1"/>
  <c r="E201" i="1"/>
  <c r="D201" i="1"/>
  <c r="E200" i="1"/>
  <c r="D200" i="1"/>
  <c r="G198" i="1"/>
  <c r="G197" i="1"/>
  <c r="G196" i="1"/>
  <c r="G195" i="1"/>
  <c r="G194" i="1"/>
  <c r="G193" i="1"/>
  <c r="E198" i="1"/>
  <c r="D198" i="1"/>
  <c r="E197" i="1"/>
  <c r="D197" i="1"/>
  <c r="E196" i="1"/>
  <c r="D196" i="1"/>
  <c r="E195" i="1"/>
  <c r="D195" i="1"/>
  <c r="E194" i="1"/>
  <c r="D194" i="1"/>
  <c r="E193" i="1"/>
  <c r="D193" i="1"/>
  <c r="G191" i="1"/>
  <c r="G190" i="1"/>
  <c r="G189" i="1"/>
  <c r="G188" i="1"/>
  <c r="G187" i="1"/>
  <c r="G186" i="1"/>
  <c r="E191" i="1"/>
  <c r="D191" i="1"/>
  <c r="E190" i="1"/>
  <c r="D190" i="1"/>
  <c r="E189" i="1"/>
  <c r="D189" i="1"/>
  <c r="E188" i="1"/>
  <c r="D188" i="1"/>
  <c r="E187" i="1"/>
  <c r="D187" i="1"/>
  <c r="E186" i="1"/>
  <c r="D186" i="1"/>
  <c r="G177" i="1"/>
  <c r="G176" i="1"/>
  <c r="G175" i="1"/>
  <c r="G174" i="1"/>
  <c r="G173" i="1"/>
  <c r="G172" i="1"/>
  <c r="G184" i="1"/>
  <c r="G183" i="1"/>
  <c r="G182" i="1"/>
  <c r="G181" i="1"/>
  <c r="G180" i="1"/>
  <c r="G179" i="1"/>
  <c r="E184" i="1"/>
  <c r="D184" i="1"/>
  <c r="E183" i="1"/>
  <c r="D183" i="1"/>
  <c r="E182" i="1"/>
  <c r="D182" i="1"/>
  <c r="E181" i="1"/>
  <c r="D181" i="1"/>
  <c r="E180" i="1"/>
  <c r="D180" i="1"/>
  <c r="E179" i="1"/>
  <c r="D179" i="1"/>
  <c r="E177" i="1"/>
  <c r="D177" i="1"/>
  <c r="E176" i="1"/>
  <c r="D176" i="1"/>
  <c r="E175" i="1"/>
  <c r="D175" i="1"/>
  <c r="E174" i="1"/>
  <c r="D174" i="1"/>
  <c r="E173" i="1"/>
  <c r="D173" i="1"/>
  <c r="E172" i="1"/>
  <c r="D172" i="1"/>
  <c r="I162" i="1"/>
  <c r="G166" i="1"/>
  <c r="G168" i="1"/>
  <c r="G167" i="1"/>
  <c r="G165" i="1"/>
  <c r="E168" i="1"/>
  <c r="D168" i="1"/>
  <c r="E167" i="1"/>
  <c r="D167" i="1"/>
  <c r="F167" i="1" s="1"/>
  <c r="E166" i="1"/>
  <c r="D166" i="1"/>
  <c r="E165" i="1"/>
  <c r="D165" i="1"/>
  <c r="G161" i="1"/>
  <c r="G160" i="1"/>
  <c r="E161" i="1"/>
  <c r="D161" i="1"/>
  <c r="E160" i="1"/>
  <c r="D160" i="1"/>
  <c r="G158" i="1"/>
  <c r="G157" i="1"/>
  <c r="G156" i="1"/>
  <c r="E158" i="1"/>
  <c r="D158" i="1"/>
  <c r="E157" i="1"/>
  <c r="D157" i="1"/>
  <c r="E156" i="1"/>
  <c r="D156" i="1"/>
  <c r="G154" i="1"/>
  <c r="G153" i="1"/>
  <c r="G152" i="1"/>
  <c r="G151" i="1"/>
  <c r="G150" i="1"/>
  <c r="G149" i="1"/>
  <c r="E154" i="1"/>
  <c r="D154" i="1"/>
  <c r="E153" i="1"/>
  <c r="D153" i="1"/>
  <c r="E152" i="1"/>
  <c r="D152" i="1"/>
  <c r="E151" i="1"/>
  <c r="D151" i="1"/>
  <c r="E150" i="1"/>
  <c r="D150" i="1"/>
  <c r="E149" i="1"/>
  <c r="D149" i="1"/>
  <c r="G147" i="1"/>
  <c r="G146" i="1"/>
  <c r="G145" i="1"/>
  <c r="G144" i="1"/>
  <c r="G143" i="1"/>
  <c r="G142" i="1"/>
  <c r="E147" i="1"/>
  <c r="D147" i="1"/>
  <c r="E146" i="1"/>
  <c r="D146" i="1"/>
  <c r="E145" i="1"/>
  <c r="D145" i="1"/>
  <c r="E144" i="1"/>
  <c r="D144" i="1"/>
  <c r="E143" i="1"/>
  <c r="D143" i="1"/>
  <c r="E142" i="1"/>
  <c r="D142" i="1"/>
  <c r="G140" i="1"/>
  <c r="G139" i="1"/>
  <c r="G138" i="1"/>
  <c r="G137" i="1"/>
  <c r="G136" i="1"/>
  <c r="E140" i="1"/>
  <c r="D140" i="1"/>
  <c r="E139" i="1"/>
  <c r="D139" i="1"/>
  <c r="F139" i="1" s="1"/>
  <c r="E138" i="1"/>
  <c r="D138" i="1"/>
  <c r="E137" i="1"/>
  <c r="D137" i="1"/>
  <c r="E136" i="1"/>
  <c r="D136" i="1"/>
  <c r="E135" i="1"/>
  <c r="D135" i="1"/>
  <c r="E133" i="1"/>
  <c r="D133" i="1"/>
  <c r="E132" i="1"/>
  <c r="D132" i="1"/>
  <c r="D131" i="1"/>
  <c r="D130" i="1"/>
  <c r="D129" i="1"/>
  <c r="D128" i="1"/>
  <c r="I123" i="1"/>
  <c r="I209" i="1"/>
  <c r="I202" i="1"/>
  <c r="I201" i="1"/>
  <c r="I199" i="1"/>
  <c r="F211" i="1" l="1"/>
  <c r="F201" i="1"/>
  <c r="H201" i="1" s="1"/>
  <c r="C118" i="1"/>
  <c r="C119" i="1"/>
  <c r="F202" i="1"/>
  <c r="H202" i="1" s="1"/>
  <c r="F204" i="1"/>
  <c r="H204" i="1" s="1"/>
  <c r="F210" i="1"/>
  <c r="H210" i="1" s="1"/>
  <c r="F212" i="1"/>
  <c r="H212" i="1" s="1"/>
  <c r="F209" i="1"/>
  <c r="H209" i="1" s="1"/>
  <c r="H211" i="1"/>
  <c r="F200" i="1"/>
  <c r="H200" i="1" s="1"/>
  <c r="F205" i="1"/>
  <c r="H205" i="1" s="1"/>
  <c r="F198" i="1"/>
  <c r="H198" i="1" s="1"/>
  <c r="F196" i="1"/>
  <c r="H196" i="1" s="1"/>
  <c r="I194" i="1"/>
  <c r="F193" i="1"/>
  <c r="H193" i="1" s="1"/>
  <c r="I192" i="1"/>
  <c r="I180" i="1"/>
  <c r="I136" i="1"/>
  <c r="F191" i="1"/>
  <c r="H191" i="1" s="1"/>
  <c r="I190" i="1"/>
  <c r="F190" i="1"/>
  <c r="H190" i="1" s="1"/>
  <c r="F189" i="1"/>
  <c r="H189" i="1" s="1"/>
  <c r="I187" i="1"/>
  <c r="F187" i="1"/>
  <c r="H187" i="1" s="1"/>
  <c r="I185" i="1"/>
  <c r="F184" i="1"/>
  <c r="H184" i="1" s="1"/>
  <c r="F182" i="1"/>
  <c r="H182" i="1" s="1"/>
  <c r="F180" i="1"/>
  <c r="H180" i="1" s="1"/>
  <c r="A180" i="1"/>
  <c r="A181" i="1" s="1"/>
  <c r="A182" i="1" s="1"/>
  <c r="A183" i="1" s="1"/>
  <c r="A184" i="1" s="1"/>
  <c r="F179" i="1"/>
  <c r="H179" i="1" s="1"/>
  <c r="I178" i="1"/>
  <c r="I165" i="1"/>
  <c r="F168" i="1"/>
  <c r="H168" i="1" s="1"/>
  <c r="H167" i="1"/>
  <c r="F166" i="1"/>
  <c r="H166" i="1" s="1"/>
  <c r="I158" i="1"/>
  <c r="I146" i="1"/>
  <c r="I143" i="1"/>
  <c r="I150" i="1"/>
  <c r="I155" i="1"/>
  <c r="I148" i="1"/>
  <c r="I141" i="1"/>
  <c r="I134" i="1"/>
  <c r="I127" i="1"/>
  <c r="F147" i="1"/>
  <c r="H147" i="1" s="1"/>
  <c r="F140" i="1"/>
  <c r="H140" i="1" s="1"/>
  <c r="I175" i="1"/>
  <c r="I173" i="1"/>
  <c r="A173" i="1"/>
  <c r="A174" i="1" s="1"/>
  <c r="A175" i="1" s="1"/>
  <c r="A176" i="1" s="1"/>
  <c r="A177" i="1" s="1"/>
  <c r="I172" i="1"/>
  <c r="F172" i="1"/>
  <c r="I131" i="1"/>
  <c r="I128" i="1"/>
  <c r="L128" i="1" s="1"/>
  <c r="F132" i="1"/>
  <c r="H132" i="1" s="1"/>
  <c r="D63" i="1"/>
  <c r="E46" i="1"/>
  <c r="E42" i="1"/>
  <c r="E43" i="1" s="1"/>
  <c r="C120" i="1" l="1"/>
  <c r="H172" i="1"/>
  <c r="F161" i="1"/>
  <c r="H161" i="1" s="1"/>
  <c r="F194" i="1"/>
  <c r="H194" i="1" s="1"/>
  <c r="F152" i="1"/>
  <c r="H152" i="1" s="1"/>
  <c r="F160" i="1"/>
  <c r="H160" i="1" s="1"/>
  <c r="F165" i="1"/>
  <c r="H165" i="1" s="1"/>
  <c r="F186" i="1"/>
  <c r="H186" i="1" s="1"/>
  <c r="F133" i="1"/>
  <c r="H133" i="1" s="1"/>
  <c r="F174" i="1"/>
  <c r="H174" i="1" s="1"/>
  <c r="F154" i="1"/>
  <c r="H154" i="1" s="1"/>
  <c r="F157" i="1"/>
  <c r="H157" i="1" s="1"/>
  <c r="F183" i="1"/>
  <c r="H183" i="1" s="1"/>
  <c r="F188" i="1"/>
  <c r="H188" i="1" s="1"/>
  <c r="F195" i="1"/>
  <c r="H195" i="1" s="1"/>
  <c r="F197" i="1"/>
  <c r="H197" i="1" s="1"/>
  <c r="F181" i="1"/>
  <c r="H181" i="1" s="1"/>
  <c r="F150" i="1"/>
  <c r="H150" i="1" s="1"/>
  <c r="F175" i="1"/>
  <c r="H175" i="1" s="1"/>
  <c r="F177" i="1"/>
  <c r="H177" i="1" s="1"/>
  <c r="F151" i="1"/>
  <c r="H151" i="1" s="1"/>
  <c r="F156" i="1"/>
  <c r="H156" i="1" s="1"/>
  <c r="F158" i="1"/>
  <c r="H158" i="1" s="1"/>
  <c r="F153" i="1"/>
  <c r="H153" i="1" s="1"/>
  <c r="F149" i="1"/>
  <c r="H149" i="1" s="1"/>
  <c r="F173" i="1"/>
  <c r="H173" i="1" s="1"/>
  <c r="F176" i="1"/>
  <c r="H176" i="1" s="1"/>
  <c r="B54" i="6"/>
  <c r="G119" i="1" l="1"/>
  <c r="E119" i="1"/>
  <c r="C75" i="1"/>
  <c r="B38" i="6" l="1"/>
  <c r="B39" i="6" s="1"/>
  <c r="B40" i="6" s="1"/>
  <c r="B41" i="6" s="1"/>
  <c r="B42" i="6" s="1"/>
  <c r="B43" i="6" s="1"/>
  <c r="B44" i="6" s="1"/>
  <c r="B45" i="6" s="1"/>
  <c r="B46" i="6" s="1"/>
  <c r="B47" i="6" s="1"/>
  <c r="B48" i="6" s="1"/>
  <c r="B49" i="6" s="1"/>
  <c r="B50" i="6" s="1"/>
  <c r="B51" i="6" s="1"/>
  <c r="B52" i="6" s="1"/>
  <c r="B53" i="6" s="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39" i="1"/>
  <c r="B215" i="1"/>
  <c r="F146" i="1"/>
  <c r="H146" i="1" s="1"/>
  <c r="F145" i="1"/>
  <c r="H145" i="1" s="1"/>
  <c r="J145" i="1" s="1"/>
  <c r="F144" i="1"/>
  <c r="H144" i="1" s="1"/>
  <c r="F143" i="1"/>
  <c r="H143" i="1" s="1"/>
  <c r="F142" i="1"/>
  <c r="H142" i="1" s="1"/>
  <c r="H139" i="1"/>
  <c r="J139" i="1" s="1"/>
  <c r="F138" i="1"/>
  <c r="H138" i="1" s="1"/>
  <c r="F137" i="1"/>
  <c r="H137" i="1" s="1"/>
  <c r="F136" i="1"/>
  <c r="H136" i="1" s="1"/>
  <c r="F135" i="1"/>
  <c r="H135" i="1" s="1"/>
  <c r="A136" i="1"/>
  <c r="A137" i="1" s="1"/>
  <c r="A138" i="1" s="1"/>
  <c r="A139" i="1" s="1"/>
  <c r="A140" i="1" s="1"/>
  <c r="F131" i="1"/>
  <c r="H131" i="1" s="1"/>
  <c r="F130" i="1"/>
  <c r="H130" i="1" s="1"/>
  <c r="F129" i="1"/>
  <c r="H129" i="1" s="1"/>
  <c r="A129" i="1"/>
  <c r="A130" i="1" s="1"/>
  <c r="A131" i="1" s="1"/>
  <c r="A132" i="1" s="1"/>
  <c r="A133" i="1" s="1"/>
  <c r="F128" i="1"/>
  <c r="F115" i="1"/>
  <c r="C89" i="1"/>
  <c r="B76" i="1"/>
  <c r="D69" i="1"/>
  <c r="K54" i="1"/>
  <c r="G51" i="1"/>
  <c r="C51" i="1"/>
  <c r="C52" i="1" s="1"/>
  <c r="E44" i="1"/>
  <c r="E45" i="1" s="1"/>
  <c r="S33" i="1"/>
  <c r="E31" i="1"/>
  <c r="E28" i="1"/>
  <c r="E26" i="1"/>
  <c r="C16" i="1"/>
  <c r="I15" i="1"/>
  <c r="Z13" i="1"/>
  <c r="E8" i="1"/>
  <c r="E3" i="1"/>
  <c r="B225" i="1" s="1"/>
  <c r="H90" i="1"/>
  <c r="K136" i="1" l="1"/>
  <c r="J136" i="1"/>
  <c r="H128" i="1"/>
  <c r="E118" i="1"/>
  <c r="E120" i="1" s="1"/>
  <c r="E42" i="7"/>
  <c r="J83" i="1"/>
  <c r="J84" i="1"/>
  <c r="I42" i="7"/>
  <c r="H42" i="7" s="1"/>
  <c r="L42" i="7"/>
  <c r="K42" i="7" s="1"/>
  <c r="J89" i="1"/>
  <c r="J91" i="1" s="1"/>
  <c r="D98" i="1"/>
  <c r="D97" i="1"/>
  <c r="D102" i="1"/>
  <c r="D96" i="1"/>
  <c r="J92" i="1"/>
  <c r="D101" i="1"/>
  <c r="J94" i="1"/>
  <c r="C93" i="1" s="1"/>
  <c r="D95" i="1"/>
  <c r="D100" i="1"/>
  <c r="J93" i="1"/>
  <c r="D99" i="1"/>
  <c r="D42" i="7"/>
  <c r="L54" i="1"/>
  <c r="B90" i="1"/>
  <c r="J85" i="1"/>
  <c r="J86" i="1"/>
  <c r="I52" i="1"/>
  <c r="H76" i="1"/>
  <c r="G118" i="1" l="1"/>
  <c r="G120" i="1" s="1"/>
  <c r="D87" i="1"/>
  <c r="D81" i="1"/>
  <c r="J81" i="1"/>
  <c r="J82" i="1" s="1"/>
  <c r="J87" i="1" s="1"/>
  <c r="J88" i="1" s="1"/>
  <c r="C80" i="1" s="1"/>
  <c r="E79" i="1" s="1"/>
  <c r="J80" i="1"/>
  <c r="C79" i="1" s="1"/>
  <c r="D79" i="1" s="1"/>
  <c r="D86" i="1"/>
  <c r="D85" i="1"/>
  <c r="J75" i="1"/>
  <c r="J77" i="1" s="1"/>
  <c r="D84" i="1"/>
  <c r="D88" i="1"/>
  <c r="D82" i="1"/>
  <c r="J79" i="1"/>
  <c r="J78" i="1"/>
  <c r="D83" i="1"/>
  <c r="D44" i="7"/>
  <c r="E44" i="7"/>
  <c r="D93" i="1"/>
  <c r="J98" i="1"/>
  <c r="J95" i="1"/>
  <c r="J96" i="1" s="1"/>
  <c r="J101" i="1" s="1"/>
  <c r="J102" i="1" s="1"/>
  <c r="C94" i="1" s="1"/>
  <c r="J100" i="1"/>
  <c r="J97" i="1"/>
  <c r="J99" i="1"/>
  <c r="G79" i="1" l="1"/>
  <c r="D73" i="1" s="1"/>
  <c r="D74" i="1" s="1"/>
  <c r="D80" i="1"/>
  <c r="I76" i="1" s="1"/>
  <c r="I77" i="1" s="1"/>
  <c r="J76" i="1"/>
  <c r="E93" i="1"/>
  <c r="D94" i="1"/>
  <c r="I90" i="1" s="1"/>
  <c r="J90" i="1"/>
  <c r="G93" i="1"/>
  <c r="F74" i="1" l="1"/>
  <c r="I75" i="1"/>
  <c r="C77" i="1" s="1"/>
  <c r="I91" i="1"/>
  <c r="I89" i="1" s="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8"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<sst xmlns="http://schemas.openxmlformats.org/spreadsheetml/2006/main" count="725" uniqueCount="433">
  <si>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</si>
  <si>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</si>
  <si>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</si>
  <si>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</si>
  <si>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</si>
  <si>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</si>
  <si>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</si>
  <si>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</si>
  <si>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</si>
  <si>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</si>
  <si>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</si>
  <si>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</si>
  <si>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</si>
  <si>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</si>
  <si>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</si>
  <si>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</si>
  <si>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</si>
  <si>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</si>
  <si>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</si>
  <si>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</si>
  <si>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</si>
  <si>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</si>
  <si>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</si>
  <si>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</si>
  <si>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</si>
  <si>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</si>
  <si>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</si>
  <si>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</si>
  <si>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</si>
  <si>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</si>
  <si>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</si>
  <si>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</si>
  <si>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</si>
  <si>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</si>
  <si>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</si>
  <si>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</si>
  <si>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</si>
  <si>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</si>
  <si>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</si>
  <si>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</si>
  <si>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</si>
  <si>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</si>
  <si>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</si>
  <si>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</si>
  <si>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</si>
  <si>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</si>
  <si>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</si>
  <si>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</si>
  <si>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</si>
  <si>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</si>
  <si>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</si>
  <si>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</si>
  <si>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</si>
  <si>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</si>
  <si>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</si>
  <si>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</si>
  <si>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</si>
  <si>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</si>
  <si>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</si>
  <si>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</si>
  <si>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</si>
  <si>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</si>
  <si>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</si>
  <si>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</si>
  <si>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</si>
  <si>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</si>
  <si>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</si>
  <si>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</si>
  <si>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</si>
  <si>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</si>
  <si>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</si>
  <si>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</si>
  <si>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</si>
  <si>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</si>
  <si>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</si>
  <si>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</si>
  <si>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</si>
  <si>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</si>
  <si>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</si>
  <si>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</si>
  <si>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</si>
  <si>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</si>
  <si>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</si>
  <si>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</si>
  <si>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</si>
  <si>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</si>
  <si>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</si>
  <si>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</si>
  <si>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</si>
  <si>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</si>
  <si>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</si>
  <si>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</si>
  <si>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</si>
  <si>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</si>
  <si>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</si>
  <si>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</si>
  <si>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</si>
  <si>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</si>
  <si>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</si>
  <si>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</si>
  <si>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</si>
  <si>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</si>
  <si>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</si>
  <si>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</si>
  <si>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</si>
  <si>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</si>
  <si>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</si>
  <si>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</si>
  <si>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</si>
  <si>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</si>
  <si>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</si>
  <si>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</si>
  <si>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</si>
  <si>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</si>
  <si>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</si>
  <si>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</si>
  <si>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</si>
  <si>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</si>
  <si>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</si>
  <si>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</si>
  <si>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</si>
  <si>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</si>
  <si>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</si>
  <si>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</si>
  <si>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</si>
  <si>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</si>
  <si>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</si>
  <si>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</si>
  <si>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</si>
  <si>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</si>
  <si>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</si>
  <si>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</si>
  <si>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</si>
  <si>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</si>
  <si>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</si>
  <si>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</si>
  <si>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</si>
  <si>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</si>
  <si>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</si>
  <si>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</si>
  <si>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</si>
  <si>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</si>
  <si>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</si>
  <si>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</si>
  <si>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</si>
  <si>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</si>
  <si>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</si>
  <si>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</si>
  <si>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</si>
  <si>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</si>
  <si>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</si>
  <si>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</si>
  <si>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</si>
  <si>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</si>
  <si>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</si>
  <si>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</si>
  <si>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</si>
  <si>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</si>
  <si>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</si>
  <si>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</si>
  <si>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</si>
  <si>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</si>
  <si>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</si>
  <si>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</si>
  <si>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</si>
  <si>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</si>
  <si>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</si>
  <si>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</si>
  <si>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</si>
  <si>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</si>
  <si>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</si>
  <si>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</si>
  <si>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</si>
  <si>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</si>
  <si>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</si>
  <si>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</si>
  <si>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</si>
  <si>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</si>
  <si>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</si>
  <si>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</si>
  <si>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</si>
  <si>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</si>
  <si>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</si>
  <si>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</si>
  <si>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</si>
  <si>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</si>
  <si>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</si>
  <si>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</si>
  <si>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</si>
  <si>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</si>
  <si>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</si>
  <si>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</si>
  <si>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</si>
  <si>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</si>
  <si>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</si>
  <si>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</si>
  <si>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</si>
  <si>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</si>
  <si>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</si>
  <si>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</si>
  <si>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</si>
  <si>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</si>
  <si>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</si>
  <si>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</si>
  <si>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</si>
  <si>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</si>
  <si>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</si>
  <si>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</si>
  <si>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</si>
  <si>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</si>
  <si>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</si>
  <si>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</si>
  <si>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</si>
  <si>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</si>
  <si>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</si>
  <si>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</si>
  <si>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</si>
  <si>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</si>
  <si>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</si>
  <si>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</si>
  <si>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</si>
  <si>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</si>
  <si>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</si>
  <si>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</si>
  <si>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</si>
  <si>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</si>
  <si>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</si>
  <si>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</si>
  <si>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</si>
  <si>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</si>
  <si>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</si>
  <si>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</si>
  <si>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</si>
  <si>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</si>
  <si>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</si>
  <si>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</si>
  <si>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</si>
  <si>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</si>
  <si>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</si>
  <si>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</si>
  <si>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</si>
  <si>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</si>
  <si>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</si>
  <si>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</si>
  <si>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</si>
  <si>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</si>
  <si>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</si>
  <si>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</si>
  <si>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</si>
  <si>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</si>
  <si>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</si>
  <si>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</si>
  <si>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</si>
  <si>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</si>
  <si>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</si>
  <si>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</si>
  <si>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</si>
  <si>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</si>
  <si>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</si>
  <si>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</si>
  <si>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</si>
  <si>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</si>
  <si>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</si>
  <si>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</si>
  <si>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</si>
  <si>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</si>
  <si>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</si>
  <si>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</si>
  <si>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</si>
  <si>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</si>
  <si>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</si>
  <si>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</si>
  <si>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</si>
  <si>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</si>
  <si>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</si>
  <si>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</si>
  <si>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</si>
  <si>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</si>
  <si>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</si>
  <si>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</si>
  <si>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</si>
  <si>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</si>
  <si>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</si>
  <si>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</si>
  <si>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</si>
  <si>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</si>
  <si>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</si>
  <si>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</si>
  <si>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</si>
  <si>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</si>
  <si>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</si>
  <si>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</si>
  <si>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</si>
  <si>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</si>
  <si>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</si>
  <si>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</si>
  <si>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</si>
  <si>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</si>
  <si>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</si>
  <si>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</si>
  <si>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</si>
  <si>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</si>
  <si>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</si>
  <si>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</si>
  <si>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</si>
  <si>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</si>
  <si>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</si>
  <si>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</si>
  <si>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</si>
  <si>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</si>
  <si>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</si>
  <si>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</si>
  <si>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</si>
  <si>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</si>
  <si>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</si>
  <si>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</si>
  <si>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</si>
  <si>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</si>
  <si>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</si>
  <si>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</si>
  <si>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</si>
  <si>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</si>
  <si>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</si>
  <si>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</si>
  <si>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</si>
  <si>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</si>
  <si>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</si>
  <si>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</si>
  <si>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</si>
  <si>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</si>
  <si>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</si>
  <si>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</si>
  <si>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</si>
  <si>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</si>
  <si>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</si>
  <si>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</si>
  <si>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</si>
  <si>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</si>
  <si>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</si>
  <si>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</si>
  <si>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</si>
  <si>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</si>
  <si>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</si>
  <si>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</si>
  <si>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</si>
  <si>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</si>
  <si>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</si>
  <si>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</si>
  <si>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</si>
  <si>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</si>
  <si>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</si>
  <si>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</si>
  <si>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</si>
  <si>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</si>
  <si>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</si>
  <si>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</si>
  <si>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</si>
  <si>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</si>
  <si>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</si>
  <si>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</si>
  <si>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</si>
  <si>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</si>
  <si>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</si>
  <si>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</si>
  <si>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</si>
  <si>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</si>
  <si>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</si>
  <si>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</si>
  <si>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</si>
  <si>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Jio Finance</t>
  </si>
  <si>
    <t>JFL Koparkhairane</t>
  </si>
  <si>
    <t>The Domus Prive</t>
  </si>
  <si>
    <t>As per the approved floor plan dtd.22/07/2024, the building height is 61.55 Mtrs (Upto OHT), which is reached up to his maximum height limit of 61.73 Mtrs with reference to the airport
NOC.</t>
  </si>
  <si>
    <t>M/s. Shankheshwar Kreaters</t>
  </si>
  <si>
    <t>P51700054835</t>
  </si>
  <si>
    <t>Survey No</t>
  </si>
  <si>
    <t>4, Hissa No. 1A/3</t>
  </si>
  <si>
    <t>Kolivali</t>
  </si>
  <si>
    <t xml:space="preserve">Building A </t>
  </si>
  <si>
    <t>Ground Floor For Parking, Entrance Lobby &amp; Meter Room</t>
  </si>
  <si>
    <t>1st Floor For Residential</t>
  </si>
  <si>
    <t>2BHK</t>
  </si>
  <si>
    <t>1BHK</t>
  </si>
  <si>
    <t>Balcony + Enclosed Balcony Area</t>
  </si>
  <si>
    <t>Building B</t>
  </si>
  <si>
    <t>2nd Floor For Residential</t>
  </si>
  <si>
    <t>3rd Floor</t>
  </si>
  <si>
    <t>4th to 7th &amp; 9th to 12th Floor</t>
  </si>
  <si>
    <t>8th &amp; 13th Floor For Residential (Part Refuge Area)</t>
  </si>
  <si>
    <t xml:space="preserve"> - </t>
  </si>
  <si>
    <t>Refuge Area</t>
  </si>
  <si>
    <t>1.5BHK</t>
  </si>
  <si>
    <t>2.5BHK</t>
  </si>
  <si>
    <t xml:space="preserve"> -</t>
  </si>
  <si>
    <t xml:space="preserve">Terrace Area </t>
  </si>
  <si>
    <t xml:space="preserve">Society Office </t>
  </si>
  <si>
    <t>14th Floor For Residential (Part Terrace Area)</t>
  </si>
  <si>
    <t xml:space="preserve">Details of Residential in Building   </t>
  </si>
  <si>
    <r>
      <t xml:space="preserve">Flat No.
</t>
    </r>
    <r>
      <rPr>
        <b/>
        <sz val="11"/>
        <rFont val="Times New Roman"/>
        <family val="1"/>
      </rPr>
      <t>(Approved Plan)</t>
    </r>
  </si>
  <si>
    <t>We considered Gross carpet area = Net carpet + Balcony + Enclosed Balcony Area.</t>
  </si>
  <si>
    <t>Open Gym, Amphitheatre, Yoga &amp; Meditation Arena, Gazebo, Kid's Fun Zone, Party Lawn etc.</t>
  </si>
  <si>
    <t>KDMCC/RB/2024/APL/00084</t>
  </si>
  <si>
    <t xml:space="preserve">Building A &amp; B = G + 1st to 14th Floor </t>
  </si>
  <si>
    <t>Flats - 160</t>
  </si>
  <si>
    <r>
      <t xml:space="preserve">Proposed Amenities :                                                                                                                                                                                                                         </t>
    </r>
    <r>
      <rPr>
        <b/>
        <sz val="12"/>
        <rFont val="Times New Roman"/>
        <family val="1"/>
      </rPr>
      <t xml:space="preserve">                                               </t>
    </r>
  </si>
  <si>
    <t>As per RERA - 31/12/2028</t>
  </si>
  <si>
    <t>15.00 M W Road</t>
  </si>
  <si>
    <t>Saurav Panse</t>
  </si>
  <si>
    <t>Kalyan West</t>
  </si>
  <si>
    <t>Construction work is in process at the time of Visit (Internal Visit not allowed).</t>
  </si>
  <si>
    <t>Shankheshwar Privia</t>
  </si>
  <si>
    <t>Mr. Sahil 7021417250</t>
  </si>
  <si>
    <t>Bhagat Singh Marg</t>
  </si>
  <si>
    <t>Om Tanishq Residency</t>
  </si>
  <si>
    <t>Khadakpada</t>
  </si>
  <si>
    <t>3.60 KM from Kalyan Junction Railway Station</t>
  </si>
  <si>
    <t>Open Plot</t>
  </si>
  <si>
    <t>19.263323,73.130402</t>
  </si>
  <si>
    <t>https://maps.app.goo.gl/BicA2nPbrf4RkS9M6</t>
  </si>
  <si>
    <t>Mr. Krishna Kambali</t>
  </si>
  <si>
    <t>Mr. Dinesh Mehta 0251-2304625 / 2304626</t>
  </si>
  <si>
    <t>Approved Plans, CC, Sale plan</t>
  </si>
  <si>
    <t>Other Plot &amp; 15.00 M W Road</t>
  </si>
  <si>
    <t>Adj H. No. 1/A/1 &amp; 1/A/4</t>
  </si>
  <si>
    <t>Open Plot &amp; Road</t>
  </si>
  <si>
    <t>Wing A &amp; B</t>
  </si>
  <si>
    <t>02 Wings</t>
  </si>
  <si>
    <t>Wing A = G + 1st to 14th Floor</t>
  </si>
  <si>
    <t>Wing B = G + 1st to 14th Floor</t>
  </si>
  <si>
    <t>Wing A &amp; B = G + 1st to 14th Floor
Wing B = G + 1st to 14th Floor</t>
  </si>
  <si>
    <t>1st Floor For Residential &amp; Podium Garden</t>
  </si>
  <si>
    <t xml:space="preserve">Please check for Fire NOC.
</t>
  </si>
  <si>
    <t>14th Floor For Residential &amp; Society Office (Part Terrace Area)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</si>
</sst>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6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4" fillId="2" borderId="0" xfId="1" applyFont="1" applyFill="1"/>
    <xf numFmtId="14" fontId="11"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2" xfId="0" applyBorder="1" applyAlignment="1">
      <alignment vertical="top"/>
    </xf>
    <xf numFmtId="0" fontId="0" fillId="0" borderId="33" xfId="0" applyBorder="1" applyAlignment="1">
      <alignment vertical="top" wrapText="1"/>
    </xf>
    <xf numFmtId="0" fontId="0" fillId="0" borderId="34"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3"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16" fontId="6" fillId="0" borderId="0" xfId="1" applyNumberFormat="1" applyFont="1"/>
    <xf numFmtId="0" fontId="0" fillId="0" borderId="1" xfId="0" applyFill="1" applyBorder="1" applyAlignment="1">
      <alignment vertical="top" wrapText="1"/>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0" fontId="14" fillId="0" borderId="0" xfId="0" applyFont="1" applyAlignment="1">
      <alignment horizontal="center" vertical="center"/>
    </xf>
    <xf numFmtId="0" fontId="11" fillId="0" borderId="1"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0" fontId="7" fillId="0" borderId="16" xfId="1" applyFont="1" applyBorder="1" applyAlignment="1" applyProtection="1">
      <alignment horizontal="center" vertical="top"/>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center"/>
      <protection locked="0"/>
    </xf>
    <xf numFmtId="0" fontId="11" fillId="0" borderId="1" xfId="1" applyFont="1" applyBorder="1" applyAlignment="1" applyProtection="1">
      <alignment horizontal="left" vertical="top"/>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5" fillId="0" borderId="1"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1" fillId="0" borderId="1" xfId="1" applyFont="1" applyBorder="1" applyAlignment="1" applyProtection="1">
      <alignment horizontal="left"/>
      <protection locked="0"/>
    </xf>
    <xf numFmtId="0" fontId="14" fillId="0" borderId="25" xfId="1" applyFont="1" applyBorder="1" applyAlignment="1" applyProtection="1">
      <alignment horizontal="left" vertical="top" wrapText="1"/>
      <protection locked="0"/>
    </xf>
    <xf numFmtId="0" fontId="14" fillId="0" borderId="26"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17" xfId="1" applyFont="1" applyBorder="1" applyAlignment="1" applyProtection="1">
      <alignment horizontal="center" vertical="top" wrapText="1"/>
      <protection locked="0"/>
    </xf>
    <xf numFmtId="0" fontId="5" fillId="0" borderId="24" xfId="1" applyFont="1" applyBorder="1" applyAlignment="1" applyProtection="1">
      <alignment horizontal="center" vertical="top" wrapText="1"/>
      <protection locked="0"/>
    </xf>
    <xf numFmtId="0" fontId="5" fillId="0" borderId="18" xfId="1" applyFont="1" applyBorder="1" applyAlignment="1" applyProtection="1">
      <alignment horizontal="center" vertical="top" wrapText="1"/>
      <protection locked="0"/>
    </xf>
    <xf numFmtId="0" fontId="5" fillId="0" borderId="19" xfId="1" applyFont="1" applyBorder="1" applyAlignment="1" applyProtection="1">
      <alignment horizontal="center" vertical="top" wrapText="1"/>
      <protection locked="0"/>
    </xf>
    <xf numFmtId="0" fontId="5" fillId="0" borderId="2" xfId="1" applyFont="1" applyBorder="1" applyAlignment="1" applyProtection="1">
      <alignment horizontal="center" vertical="top" wrapText="1"/>
      <protection locked="0"/>
    </xf>
    <xf numFmtId="0" fontId="5" fillId="0" borderId="20" xfId="1" applyFont="1" applyBorder="1" applyAlignment="1" applyProtection="1">
      <alignment horizontal="center" vertical="top" wrapText="1"/>
      <protection locked="0"/>
    </xf>
    <xf numFmtId="2" fontId="5"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2" fillId="0" borderId="4" xfId="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7" xfId="1" applyFont="1" applyBorder="1" applyAlignment="1" applyProtection="1">
      <alignment horizontal="left" vertical="top"/>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16" xfId="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24" xfId="1" applyFont="1" applyBorder="1" applyAlignment="1" applyProtection="1">
      <alignment horizontal="left" vertical="top" wrapText="1"/>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2" fontId="6" fillId="0" borderId="0" xfId="1" applyNumberFormat="1" applyFont="1"/>
    <xf numFmtId="2" fontId="6" fillId="0" borderId="0" xfId="1" applyNumberFormat="1" applyFont="1" applyAlignment="1">
      <alignment horizontal="center" vertical="center"/>
    </xf>
    <xf numFmtId="1" fontId="6" fillId="0" borderId="0" xfId="1" applyNumberFormat="1" applyFont="1" applyAlignment="1">
      <alignment horizontal="center" vertical="center"/>
    </xf>
    <xf numFmtId="1" fontId="7" fillId="0" borderId="1" xfId="0" applyNumberFormat="1" applyFont="1" applyFill="1" applyBorder="1" applyAlignment="1" applyProtection="1">
      <alignment horizontal="center" vertical="top" wrapText="1"/>
      <protection locked="0"/>
    </xf>
    <xf numFmtId="0" fontId="11" fillId="0" borderId="1" xfId="1" applyFont="1" applyFill="1" applyBorder="1" applyAlignment="1" applyProtection="1">
      <alignment horizontal="left" vertical="top" wrapText="1"/>
      <protection locked="0"/>
    </xf>
    <xf numFmtId="0" fontId="11" fillId="0" borderId="1" xfId="1" applyFont="1" applyFill="1" applyBorder="1" applyAlignment="1" applyProtection="1">
      <alignment horizontal="left" vertical="top"/>
      <protection locked="0"/>
    </xf>
    <xf numFmtId="0" fontId="12" fillId="0" borderId="16" xfId="1" applyFont="1" applyBorder="1" applyAlignment="1" applyProtection="1">
      <alignment horizontal="center" vertical="top"/>
      <protection locked="0"/>
    </xf>
    <xf numFmtId="0" fontId="7" fillId="0" borderId="22" xfId="1" applyFont="1" applyFill="1" applyBorder="1" applyAlignment="1" applyProtection="1">
      <alignment horizontal="left" vertical="top" wrapText="1"/>
      <protection locked="0"/>
    </xf>
    <xf numFmtId="0" fontId="7" fillId="0" borderId="15" xfId="1" applyFont="1" applyFill="1" applyBorder="1" applyAlignment="1" applyProtection="1">
      <alignment horizontal="left" vertical="top" wrapText="1"/>
      <protection locked="0"/>
    </xf>
    <xf numFmtId="0" fontId="7" fillId="0" borderId="16" xfId="1" applyFont="1" applyFill="1" applyBorder="1" applyAlignment="1" applyProtection="1">
      <alignment horizontal="left" vertical="top"/>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127</xdr:row>
      <xdr:rowOff>47625</xdr:rowOff>
    </xdr:from>
    <xdr:to>
      <xdr:col>19</xdr:col>
      <xdr:colOff>22225</xdr:colOff>
      <xdr:row>154</xdr:row>
      <xdr:rowOff>110392</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926" t="26154" r="27223" b="14097"/>
        <a:stretch/>
      </xdr:blipFill>
      <xdr:spPr>
        <a:xfrm>
          <a:off x="11544300" y="26670000"/>
          <a:ext cx="3556000" cy="5463442"/>
        </a:xfrm>
        <a:prstGeom prst="rect">
          <a:avLst/>
        </a:prstGeom>
      </xdr:spPr>
    </xdr:pic>
    <xdr:clientData/>
  </xdr:twoCellAnchor>
  <xdr:twoCellAnchor editAs="oneCell">
    <xdr:from>
      <xdr:col>11</xdr:col>
      <xdr:colOff>381000</xdr:colOff>
      <xdr:row>170</xdr:row>
      <xdr:rowOff>85725</xdr:rowOff>
    </xdr:from>
    <xdr:to>
      <xdr:col>16</xdr:col>
      <xdr:colOff>170996</xdr:colOff>
      <xdr:row>195</xdr:row>
      <xdr:rowOff>194129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048" t="20000" r="23598" b="24127"/>
        <a:stretch/>
      </xdr:blipFill>
      <xdr:spPr>
        <a:xfrm>
          <a:off x="9372600" y="35309175"/>
          <a:ext cx="3933371" cy="5109029"/>
        </a:xfrm>
        <a:prstGeom prst="rect">
          <a:avLst/>
        </a:prstGeom>
      </xdr:spPr>
    </xdr:pic>
    <xdr:clientData/>
  </xdr:twoCellAnchor>
  <xdr:twoCellAnchor>
    <xdr:from>
      <xdr:col>1</xdr:col>
      <xdr:colOff>276225</xdr:colOff>
      <xdr:row>327</xdr:row>
      <xdr:rowOff>9525</xdr:rowOff>
    </xdr:from>
    <xdr:to>
      <xdr:col>7</xdr:col>
      <xdr:colOff>136575</xdr:colOff>
      <xdr:row>367</xdr:row>
      <xdr:rowOff>29636</xdr:rowOff>
    </xdr:to>
    <xdr:grpSp>
      <xdr:nvGrpSpPr>
        <xdr:cNvPr id="11" name="Group 10"/>
        <xdr:cNvGrpSpPr/>
      </xdr:nvGrpSpPr>
      <xdr:grpSpPr>
        <a:xfrm>
          <a:off x="1038225" y="64284225"/>
          <a:ext cx="4680000" cy="8021111"/>
          <a:chOff x="861644" y="765662"/>
          <a:chExt cx="4680000" cy="8021111"/>
        </a:xfrm>
      </xdr:grpSpPr>
      <xdr:pic>
        <xdr:nvPicPr>
          <xdr:cNvPr id="12" name="Picture 11"/>
          <xdr:cNvPicPr>
            <a:picLocks noChangeAspect="1"/>
          </xdr:cNvPicPr>
        </xdr:nvPicPr>
        <xdr:blipFill rotWithShape="1">
          <a:blip xmlns:r="http://schemas.openxmlformats.org/officeDocument/2006/relationships" r:embed="rId3"/>
          <a:srcRect l="33557" t="21956" r="26033" b="16987"/>
          <a:stretch/>
        </xdr:blipFill>
        <xdr:spPr>
          <a:xfrm>
            <a:off x="861644" y="765662"/>
            <a:ext cx="4680000" cy="3960000"/>
          </a:xfrm>
          <a:prstGeom prst="rect">
            <a:avLst/>
          </a:prstGeom>
          <a:ln>
            <a:solidFill>
              <a:schemeClr val="tx1"/>
            </a:solidFill>
          </a:ln>
        </xdr:spPr>
      </xdr:pic>
      <xdr:grpSp>
        <xdr:nvGrpSpPr>
          <xdr:cNvPr id="13" name="Group 12"/>
          <xdr:cNvGrpSpPr/>
        </xdr:nvGrpSpPr>
        <xdr:grpSpPr>
          <a:xfrm>
            <a:off x="861644" y="4826773"/>
            <a:ext cx="4680000" cy="3960000"/>
            <a:chOff x="861644" y="4826773"/>
            <a:chExt cx="4680000" cy="3960000"/>
          </a:xfrm>
        </xdr:grpSpPr>
        <xdr:pic>
          <xdr:nvPicPr>
            <xdr:cNvPr id="14" name="Picture 13"/>
            <xdr:cNvPicPr>
              <a:picLocks noChangeAspect="1"/>
            </xdr:cNvPicPr>
          </xdr:nvPicPr>
          <xdr:blipFill rotWithShape="1">
            <a:blip xmlns:r="http://schemas.openxmlformats.org/officeDocument/2006/relationships" r:embed="rId4"/>
            <a:srcRect l="25666" t="19231" r="28618" b="14423"/>
            <a:stretch/>
          </xdr:blipFill>
          <xdr:spPr>
            <a:xfrm>
              <a:off x="861644" y="4826773"/>
              <a:ext cx="4680000" cy="3960000"/>
            </a:xfrm>
            <a:prstGeom prst="rect">
              <a:avLst/>
            </a:prstGeom>
            <a:ln>
              <a:solidFill>
                <a:schemeClr val="tx1"/>
              </a:solidFill>
            </a:ln>
          </xdr:spPr>
        </xdr:pic>
        <xdr:sp macro="" textlink="">
          <xdr:nvSpPr>
            <xdr:cNvPr id="15" name="Rectangle 14"/>
            <xdr:cNvSpPr/>
          </xdr:nvSpPr>
          <xdr:spPr>
            <a:xfrm rot="20377599">
              <a:off x="1609265" y="5650909"/>
              <a:ext cx="2416445" cy="111772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6" name="TextBox 63"/>
            <xdr:cNvSpPr txBox="1"/>
          </xdr:nvSpPr>
          <xdr:spPr>
            <a:xfrm>
              <a:off x="2446020" y="7154303"/>
              <a:ext cx="21746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Shankheshwar Privia</a:t>
              </a:r>
              <a:endParaRPr lang="en-IN" b="1">
                <a:solidFill>
                  <a:srgbClr val="FFFF00"/>
                </a:solidFill>
              </a:endParaRPr>
            </a:p>
          </xdr:txBody>
        </xdr:sp>
      </xdr:grpSp>
    </xdr:grpSp>
    <xdr:clientData/>
  </xdr:twoCellAnchor>
  <xdr:twoCellAnchor>
    <xdr:from>
      <xdr:col>0</xdr:col>
      <xdr:colOff>228600</xdr:colOff>
      <xdr:row>283</xdr:row>
      <xdr:rowOff>85725</xdr:rowOff>
    </xdr:from>
    <xdr:to>
      <xdr:col>7</xdr:col>
      <xdr:colOff>590550</xdr:colOff>
      <xdr:row>324</xdr:row>
      <xdr:rowOff>133350</xdr:rowOff>
    </xdr:to>
    <xdr:grpSp>
      <xdr:nvGrpSpPr>
        <xdr:cNvPr id="39" name="Group 38"/>
        <xdr:cNvGrpSpPr/>
      </xdr:nvGrpSpPr>
      <xdr:grpSpPr>
        <a:xfrm>
          <a:off x="228600" y="55559325"/>
          <a:ext cx="5943600" cy="8248650"/>
          <a:chOff x="228600" y="57369075"/>
          <a:chExt cx="5943600" cy="8248650"/>
        </a:xfrm>
      </xdr:grpSpPr>
      <xdr:pic>
        <xdr:nvPicPr>
          <xdr:cNvPr id="33" name="Picture 32"/>
          <xdr:cNvPicPr>
            <a:picLocks noChangeAspect="1"/>
          </xdr:cNvPicPr>
        </xdr:nvPicPr>
        <xdr:blipFill>
          <a:blip xmlns:r="http://schemas.openxmlformats.org/officeDocument/2006/relationships" r:embed="rId5"/>
          <a:stretch>
            <a:fillRect/>
          </a:stretch>
        </xdr:blipFill>
        <xdr:spPr>
          <a:xfrm>
            <a:off x="1276349" y="62112525"/>
            <a:ext cx="4010025" cy="3505200"/>
          </a:xfrm>
          <a:prstGeom prst="rect">
            <a:avLst/>
          </a:prstGeom>
          <a:ln>
            <a:solidFill>
              <a:schemeClr val="tx1"/>
            </a:solidFill>
          </a:ln>
        </xdr:spPr>
      </xdr:pic>
      <xdr:grpSp>
        <xdr:nvGrpSpPr>
          <xdr:cNvPr id="38" name="Group 37"/>
          <xdr:cNvGrpSpPr/>
        </xdr:nvGrpSpPr>
        <xdr:grpSpPr>
          <a:xfrm>
            <a:off x="228600" y="57369075"/>
            <a:ext cx="5943600" cy="4603800"/>
            <a:chOff x="180975" y="57369075"/>
            <a:chExt cx="5943600" cy="4603800"/>
          </a:xfrm>
        </xdr:grpSpPr>
        <xdr:grpSp>
          <xdr:nvGrpSpPr>
            <xdr:cNvPr id="4" name="Group 3"/>
            <xdr:cNvGrpSpPr/>
          </xdr:nvGrpSpPr>
          <xdr:grpSpPr>
            <a:xfrm>
              <a:off x="180975" y="57369075"/>
              <a:ext cx="5943600" cy="4603800"/>
              <a:chOff x="234950" y="2673350"/>
              <a:chExt cx="6438900" cy="3155156"/>
            </a:xfrm>
          </xdr:grpSpPr>
          <xdr:pic>
            <xdr:nvPicPr>
              <xdr:cNvPr id="5" name="Picture 4"/>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111" t="14901"/>
              <a:stretch/>
            </xdr:blipFill>
            <xdr:spPr>
              <a:xfrm>
                <a:off x="234950" y="2673350"/>
                <a:ext cx="6438900" cy="3155156"/>
              </a:xfrm>
              <a:prstGeom prst="rect">
                <a:avLst/>
              </a:prstGeom>
              <a:ln>
                <a:solidFill>
                  <a:schemeClr val="tx1"/>
                </a:solidFill>
              </a:ln>
            </xdr:spPr>
          </xdr:pic>
          <xdr:sp macro="" textlink="">
            <xdr:nvSpPr>
              <xdr:cNvPr id="6" name="Rectangle 5"/>
              <xdr:cNvSpPr/>
            </xdr:nvSpPr>
            <xdr:spPr>
              <a:xfrm rot="20468131">
                <a:off x="1875450" y="3879071"/>
                <a:ext cx="1064990" cy="4054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 name="Rectangle 6"/>
              <xdr:cNvSpPr/>
            </xdr:nvSpPr>
            <xdr:spPr>
              <a:xfrm rot="20468131">
                <a:off x="2921905" y="3515070"/>
                <a:ext cx="1064990" cy="405436"/>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 name="TextBox 40"/>
              <xdr:cNvSpPr txBox="1"/>
            </xdr:nvSpPr>
            <xdr:spPr>
              <a:xfrm>
                <a:off x="1714500" y="3441700"/>
                <a:ext cx="1030465" cy="25223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Bldg A</a:t>
                </a:r>
                <a:endParaRPr lang="en-IN" b="1">
                  <a:solidFill>
                    <a:srgbClr val="FF0000"/>
                  </a:solidFill>
                </a:endParaRPr>
              </a:p>
            </xdr:txBody>
          </xdr:sp>
          <xdr:sp macro="" textlink="">
            <xdr:nvSpPr>
              <xdr:cNvPr id="9" name="TextBox 66"/>
              <xdr:cNvSpPr txBox="1"/>
            </xdr:nvSpPr>
            <xdr:spPr>
              <a:xfrm>
                <a:off x="2641800" y="3105150"/>
                <a:ext cx="1030465" cy="25223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70C0"/>
                    </a:solidFill>
                  </a:rPr>
                  <a:t>Bldg B</a:t>
                </a:r>
                <a:endParaRPr lang="en-IN" b="1">
                  <a:solidFill>
                    <a:srgbClr val="0070C0"/>
                  </a:solidFill>
                </a:endParaRPr>
              </a:p>
            </xdr:txBody>
          </xdr:sp>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0235698">
                <a:off x="729932" y="4655759"/>
                <a:ext cx="1080000" cy="1080000"/>
              </a:xfrm>
              <a:prstGeom prst="rect">
                <a:avLst/>
              </a:prstGeom>
            </xdr:spPr>
          </xdr:pic>
        </xdr:grpSp>
        <xdr:sp macro="" textlink="">
          <xdr:nvSpPr>
            <xdr:cNvPr id="34" name="Rectangle 33"/>
            <xdr:cNvSpPr/>
          </xdr:nvSpPr>
          <xdr:spPr>
            <a:xfrm rot="20032489">
              <a:off x="2071164" y="60032342"/>
              <a:ext cx="2132308" cy="7715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6" name="TextBox 40"/>
            <xdr:cNvSpPr txBox="1"/>
          </xdr:nvSpPr>
          <xdr:spPr>
            <a:xfrm rot="19947593">
              <a:off x="2667001" y="60912375"/>
              <a:ext cx="951198" cy="36804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Bldg C</a:t>
              </a:r>
              <a:endParaRPr lang="en-IN" b="1">
                <a:solidFill>
                  <a:sysClr val="windowText" lastClr="000000"/>
                </a:solidFill>
              </a:endParaRPr>
            </a:p>
          </xdr:txBody>
        </xdr:sp>
        <xdr:sp macro="" textlink="">
          <xdr:nvSpPr>
            <xdr:cNvPr id="37" name="TextBox 40"/>
            <xdr:cNvSpPr txBox="1"/>
          </xdr:nvSpPr>
          <xdr:spPr>
            <a:xfrm rot="19855031">
              <a:off x="3600447" y="60417077"/>
              <a:ext cx="951198" cy="36804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Bldg D</a:t>
              </a:r>
              <a:endParaRPr lang="en-IN" b="1">
                <a:solidFill>
                  <a:sysClr val="windowText" lastClr="000000"/>
                </a:solidFill>
              </a:endParaRPr>
            </a:p>
          </xdr:txBody>
        </xdr:sp>
      </xdr:grpSp>
    </xdr:grpSp>
    <xdr:clientData/>
  </xdr:twoCellAnchor>
  <xdr:twoCellAnchor>
    <xdr:from>
      <xdr:col>0</xdr:col>
      <xdr:colOff>76199</xdr:colOff>
      <xdr:row>239</xdr:row>
      <xdr:rowOff>62468</xdr:rowOff>
    </xdr:from>
    <xdr:to>
      <xdr:col>7</xdr:col>
      <xdr:colOff>662174</xdr:colOff>
      <xdr:row>280</xdr:row>
      <xdr:rowOff>152400</xdr:rowOff>
    </xdr:to>
    <xdr:grpSp>
      <xdr:nvGrpSpPr>
        <xdr:cNvPr id="42" name="Group 41"/>
        <xdr:cNvGrpSpPr/>
      </xdr:nvGrpSpPr>
      <xdr:grpSpPr>
        <a:xfrm>
          <a:off x="76199" y="46744493"/>
          <a:ext cx="6167625" cy="8281432"/>
          <a:chOff x="76199" y="48554243"/>
          <a:chExt cx="6167625" cy="8281432"/>
        </a:xfrm>
      </xdr:grpSpPr>
      <xdr:grpSp>
        <xdr:nvGrpSpPr>
          <xdr:cNvPr id="17" name="Group 16"/>
          <xdr:cNvGrpSpPr/>
        </xdr:nvGrpSpPr>
        <xdr:grpSpPr>
          <a:xfrm>
            <a:off x="76199" y="48554243"/>
            <a:ext cx="6167625" cy="8281432"/>
            <a:chOff x="-939767" y="-24722"/>
            <a:chExt cx="7400367" cy="8281432"/>
          </a:xfrm>
        </xdr:grpSpPr>
        <xdr:grpSp>
          <xdr:nvGrpSpPr>
            <xdr:cNvPr id="18" name="Group 17"/>
            <xdr:cNvGrpSpPr/>
          </xdr:nvGrpSpPr>
          <xdr:grpSpPr>
            <a:xfrm>
              <a:off x="-939767" y="6640686"/>
              <a:ext cx="7400367" cy="1616024"/>
              <a:chOff x="-1182379" y="8582250"/>
              <a:chExt cx="7400367" cy="1616024"/>
            </a:xfrm>
          </xdr:grpSpPr>
          <xdr:pic>
            <xdr:nvPicPr>
              <xdr:cNvPr id="30" name="Pictur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20209" y="8582250"/>
                <a:ext cx="2397779" cy="1616024"/>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2379" y="8582250"/>
                <a:ext cx="2397777" cy="1616024"/>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4629" y="8582250"/>
                <a:ext cx="2397777" cy="1616024"/>
              </a:xfrm>
              <a:prstGeom prst="rect">
                <a:avLst/>
              </a:prstGeom>
              <a:ln>
                <a:solidFill>
                  <a:schemeClr val="tx1"/>
                </a:solidFill>
              </a:ln>
            </xdr:spPr>
          </xdr:pic>
        </xdr:grpSp>
        <xdr:grpSp>
          <xdr:nvGrpSpPr>
            <xdr:cNvPr id="19" name="Group 18"/>
            <xdr:cNvGrpSpPr/>
          </xdr:nvGrpSpPr>
          <xdr:grpSpPr>
            <a:xfrm>
              <a:off x="-734049" y="-24722"/>
              <a:ext cx="7005376" cy="3988446"/>
              <a:chOff x="-2202907" y="74000"/>
              <a:chExt cx="7005376" cy="3988446"/>
            </a:xfrm>
          </xdr:grpSpPr>
          <xdr:grpSp>
            <xdr:nvGrpSpPr>
              <xdr:cNvPr id="24" name="Group 23"/>
              <xdr:cNvGrpSpPr/>
            </xdr:nvGrpSpPr>
            <xdr:grpSpPr>
              <a:xfrm>
                <a:off x="1356992" y="74000"/>
                <a:ext cx="3445477" cy="3983385"/>
                <a:chOff x="1339407" y="-66676"/>
                <a:chExt cx="3445477" cy="3983385"/>
              </a:xfrm>
            </xdr:grpSpPr>
            <xdr:pic>
              <xdr:nvPicPr>
                <xdr:cNvPr id="28" name="Picture 2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39407" y="-66676"/>
                  <a:ext cx="3445477" cy="3983385"/>
                </a:xfrm>
                <a:prstGeom prst="rect">
                  <a:avLst/>
                </a:prstGeom>
                <a:ln>
                  <a:solidFill>
                    <a:schemeClr val="tx1"/>
                  </a:solidFill>
                </a:ln>
              </xdr:spPr>
            </xdr:pic>
            <xdr:sp macro="" textlink="">
              <xdr:nvSpPr>
                <xdr:cNvPr id="29" name="TextBox 79"/>
                <xdr:cNvSpPr txBox="1"/>
              </xdr:nvSpPr>
              <xdr:spPr>
                <a:xfrm>
                  <a:off x="1673298" y="-24369"/>
                  <a:ext cx="1399188" cy="374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Building B</a:t>
                  </a:r>
                  <a:endParaRPr lang="en-IN" b="1"/>
                </a:p>
              </xdr:txBody>
            </xdr:sp>
          </xdr:grpSp>
          <xdr:grpSp>
            <xdr:nvGrpSpPr>
              <xdr:cNvPr id="25" name="Group 24"/>
              <xdr:cNvGrpSpPr/>
            </xdr:nvGrpSpPr>
            <xdr:grpSpPr>
              <a:xfrm>
                <a:off x="-2202907" y="79060"/>
                <a:ext cx="3445476" cy="3983386"/>
                <a:chOff x="-2202907" y="-61616"/>
                <a:chExt cx="3445476" cy="3983386"/>
              </a:xfrm>
            </xdr:grpSpPr>
            <xdr:pic>
              <xdr:nvPicPr>
                <xdr:cNvPr id="26" name="Picture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02907" y="-61616"/>
                  <a:ext cx="3445476" cy="3983386"/>
                </a:xfrm>
                <a:prstGeom prst="rect">
                  <a:avLst/>
                </a:prstGeom>
                <a:ln>
                  <a:solidFill>
                    <a:schemeClr val="tx1"/>
                  </a:solidFill>
                </a:ln>
              </xdr:spPr>
            </xdr:pic>
            <xdr:sp macro="" textlink="">
              <xdr:nvSpPr>
                <xdr:cNvPr id="27" name="TextBox 87"/>
                <xdr:cNvSpPr txBox="1"/>
              </xdr:nvSpPr>
              <xdr:spPr>
                <a:xfrm>
                  <a:off x="-1377580" y="13731"/>
                  <a:ext cx="1399188" cy="374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Building A</a:t>
                  </a:r>
                  <a:endParaRPr lang="en-IN" b="1"/>
                </a:p>
              </xdr:txBody>
            </xdr:sp>
          </xdr:grpSp>
        </xdr:grpSp>
        <xdr:grpSp>
          <xdr:nvGrpSpPr>
            <xdr:cNvPr id="20" name="Group 19"/>
            <xdr:cNvGrpSpPr/>
          </xdr:nvGrpSpPr>
          <xdr:grpSpPr>
            <a:xfrm>
              <a:off x="-363771" y="3990203"/>
              <a:ext cx="3835516" cy="2568064"/>
              <a:chOff x="-1352055" y="5784252"/>
              <a:chExt cx="3835516" cy="2568064"/>
            </a:xfrm>
          </xdr:grpSpPr>
          <xdr:pic>
            <xdr:nvPicPr>
              <xdr:cNvPr id="21" name="Picture 2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52055" y="5832316"/>
                <a:ext cx="3835516" cy="2520000"/>
              </a:xfrm>
              <a:prstGeom prst="rect">
                <a:avLst/>
              </a:prstGeom>
              <a:ln>
                <a:solidFill>
                  <a:schemeClr val="tx1"/>
                </a:solidFill>
              </a:ln>
            </xdr:spPr>
          </xdr:pic>
          <xdr:sp macro="" textlink="">
            <xdr:nvSpPr>
              <xdr:cNvPr id="22" name="TextBox 91"/>
              <xdr:cNvSpPr txBox="1"/>
            </xdr:nvSpPr>
            <xdr:spPr>
              <a:xfrm>
                <a:off x="-136327" y="5784252"/>
                <a:ext cx="1399189" cy="342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t>Building A</a:t>
                </a:r>
                <a:endParaRPr lang="en-IN" sz="1600" b="1"/>
              </a:p>
            </xdr:txBody>
          </xdr:sp>
          <xdr:sp macro="" textlink="">
            <xdr:nvSpPr>
              <xdr:cNvPr id="23" name="TextBox 92"/>
              <xdr:cNvSpPr txBox="1"/>
            </xdr:nvSpPr>
            <xdr:spPr>
              <a:xfrm>
                <a:off x="-1281487" y="6330532"/>
                <a:ext cx="1399189" cy="342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t>Building B</a:t>
                </a:r>
                <a:endParaRPr lang="en-IN" sz="1600" b="1"/>
              </a:p>
            </xdr:txBody>
          </xdr:sp>
        </xdr:grpSp>
      </xdr:grpSp>
      <xdr:pic>
        <xdr:nvPicPr>
          <xdr:cNvPr id="41" name="Picture 40" descr="https://vsjcllp.vsjadon.com/upload/insp-240655-847.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3838575" y="52616100"/>
            <a:ext cx="1883986" cy="2514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627530</xdr:colOff>
      <xdr:row>14</xdr:row>
      <xdr:rowOff>137482</xdr:rowOff>
    </xdr:from>
    <xdr:to>
      <xdr:col>5</xdr:col>
      <xdr:colOff>449535</xdr:colOff>
      <xdr:row>33</xdr:row>
      <xdr:rowOff>78365</xdr:rowOff>
    </xdr:to>
    <xdr:pic>
      <xdr:nvPicPr>
        <xdr:cNvPr id="3" name="Picture 2"/>
        <xdr:cNvPicPr>
          <a:picLocks noChangeAspect="1"/>
        </xdr:cNvPicPr>
      </xdr:nvPicPr>
      <xdr:blipFill>
        <a:blip xmlns:r="http://schemas.openxmlformats.org/officeDocument/2006/relationships" r:embed="rId2"/>
        <a:stretch>
          <a:fillRect/>
        </a:stretch>
      </xdr:blipFill>
      <xdr:spPr>
        <a:xfrm>
          <a:off x="1210236" y="2815688"/>
          <a:ext cx="5290475" cy="35603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icA2nPbrf4RkS9M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27"/>
  <sheetViews>
    <sheetView tabSelected="1" view="pageBreakPreview" topLeftCell="A53" zoomScaleNormal="100" zoomScaleSheetLayoutView="100" zoomScalePageLayoutView="85" workbookViewId="0">
      <selection activeCell="D65" sqref="D65:H65"/>
    </sheetView>
  </sheetViews>
  <sheetFormatPr defaultColWidth="9.140625" defaultRowHeight="15.75" x14ac:dyDescent="0.25"/>
  <cols>
    <col min="1" max="1" width="11.42578125" style="39" customWidth="1"/>
    <col min="2" max="2" width="12" style="39" customWidth="1"/>
    <col min="3" max="3" width="12.7109375" style="39" customWidth="1"/>
    <col min="4" max="4" width="13.7109375" style="39" customWidth="1"/>
    <col min="5" max="5" width="11.7109375" style="39" customWidth="1"/>
    <col min="6" max="6" width="11.140625" style="39" customWidth="1"/>
    <col min="7" max="8" width="11" style="39" customWidth="1"/>
    <col min="9" max="9" width="17.42578125" style="20" customWidth="1"/>
    <col min="10" max="10" width="11.42578125" style="20" customWidth="1"/>
    <col min="11" max="11" width="11.28515625" style="20" bestFit="1" customWidth="1"/>
    <col min="12" max="12" width="13.85546875" style="20" bestFit="1" customWidth="1"/>
    <col min="13" max="13" width="11.85546875" style="20" customWidth="1"/>
    <col min="14" max="14" width="12.5703125" style="20" customWidth="1"/>
    <col min="15" max="15" width="12.140625" style="20" customWidth="1"/>
    <col min="16" max="16" width="11.7109375" style="20" customWidth="1"/>
    <col min="17" max="18" width="9.140625" style="20"/>
    <col min="19" max="19" width="10.85546875" style="20" bestFit="1" customWidth="1"/>
    <col min="20" max="20" width="10.7109375" style="20" customWidth="1"/>
    <col min="21"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26" ht="46.5" customHeight="1" x14ac:dyDescent="0.25">
      <c r="A1" s="168" t="s">
        <v>366</v>
      </c>
      <c r="B1" s="168"/>
      <c r="C1" s="168"/>
      <c r="D1" s="168"/>
      <c r="E1" s="168"/>
      <c r="F1" s="168"/>
      <c r="G1" s="168"/>
      <c r="H1" s="168"/>
    </row>
    <row r="2" spans="1:26" ht="16.5" customHeight="1" x14ac:dyDescent="0.25">
      <c r="A2" s="169" t="s">
        <v>0</v>
      </c>
      <c r="B2" s="169"/>
      <c r="C2" s="169"/>
      <c r="D2" s="169"/>
      <c r="E2" s="169"/>
      <c r="F2" s="169"/>
      <c r="G2" s="169"/>
      <c r="H2" s="169"/>
    </row>
    <row r="3" spans="1:26" x14ac:dyDescent="0.25">
      <c r="A3" s="142" t="s">
        <v>1</v>
      </c>
      <c r="B3" s="142"/>
      <c r="C3" s="142"/>
      <c r="D3" s="142"/>
      <c r="E3" s="142" t="str">
        <f ca="1">TEXT(TODAY(),"DD/MM/YYYY")</f>
        <v>18/07/2025</v>
      </c>
      <c r="F3" s="142"/>
      <c r="G3" s="142"/>
      <c r="H3" s="142"/>
      <c r="K3" s="53" t="s">
        <v>224</v>
      </c>
      <c r="L3" s="52" t="s">
        <v>222</v>
      </c>
      <c r="M3" s="52" t="s">
        <v>227</v>
      </c>
      <c r="N3" s="52" t="s">
        <v>225</v>
      </c>
      <c r="O3" s="52" t="s">
        <v>343</v>
      </c>
      <c r="P3" s="52" t="s">
        <v>369</v>
      </c>
    </row>
    <row r="4" spans="1:26" ht="15" customHeight="1" x14ac:dyDescent="0.25">
      <c r="A4" s="142" t="s">
        <v>221</v>
      </c>
      <c r="B4" s="142"/>
      <c r="C4" s="142"/>
      <c r="D4" s="142"/>
      <c r="E4" s="142" t="s">
        <v>343</v>
      </c>
      <c r="F4" s="142"/>
      <c r="G4" s="142"/>
      <c r="H4" s="142"/>
      <c r="K4" s="51" t="s">
        <v>223</v>
      </c>
      <c r="L4" s="52" t="s">
        <v>161</v>
      </c>
      <c r="M4" s="52" t="s">
        <v>232</v>
      </c>
      <c r="N4" s="52" t="s">
        <v>234</v>
      </c>
      <c r="O4" s="52" t="s">
        <v>329</v>
      </c>
      <c r="P4" s="52" t="s">
        <v>370</v>
      </c>
    </row>
    <row r="5" spans="1:26" ht="15" customHeight="1" x14ac:dyDescent="0.25">
      <c r="A5" s="142" t="s">
        <v>2</v>
      </c>
      <c r="B5" s="142"/>
      <c r="C5" s="142"/>
      <c r="D5" s="142"/>
      <c r="E5" s="142" t="s">
        <v>329</v>
      </c>
      <c r="F5" s="142"/>
      <c r="G5" s="142"/>
      <c r="H5" s="142"/>
      <c r="K5" s="51"/>
      <c r="L5" s="52" t="s">
        <v>229</v>
      </c>
      <c r="M5" s="52" t="s">
        <v>233</v>
      </c>
      <c r="N5" s="52" t="s">
        <v>235</v>
      </c>
      <c r="O5" s="52" t="s">
        <v>330</v>
      </c>
      <c r="P5" s="52"/>
    </row>
    <row r="6" spans="1:26" x14ac:dyDescent="0.25">
      <c r="A6" s="142" t="s">
        <v>3</v>
      </c>
      <c r="B6" s="142"/>
      <c r="C6" s="142"/>
      <c r="D6" s="142"/>
      <c r="E6" s="171">
        <v>45852</v>
      </c>
      <c r="F6" s="142"/>
      <c r="G6" s="142"/>
      <c r="H6" s="142"/>
      <c r="K6" s="51"/>
      <c r="L6" s="52" t="s">
        <v>230</v>
      </c>
      <c r="M6" s="52" t="s">
        <v>341</v>
      </c>
      <c r="N6" s="52"/>
      <c r="O6" s="52" t="s">
        <v>331</v>
      </c>
      <c r="P6" s="52"/>
    </row>
    <row r="7" spans="1:26" ht="16.5" customHeight="1" x14ac:dyDescent="0.25">
      <c r="A7" s="142" t="s">
        <v>4</v>
      </c>
      <c r="B7" s="142"/>
      <c r="C7" s="142"/>
      <c r="D7" s="142"/>
      <c r="E7" s="142" t="s">
        <v>373</v>
      </c>
      <c r="F7" s="142"/>
      <c r="G7" s="142"/>
      <c r="H7" s="142"/>
      <c r="K7" s="51"/>
      <c r="L7" s="52" t="s">
        <v>231</v>
      </c>
      <c r="M7" s="52"/>
      <c r="N7" s="52"/>
      <c r="O7" s="52" t="s">
        <v>331</v>
      </c>
      <c r="P7" s="52"/>
    </row>
    <row r="8" spans="1:26" ht="15" customHeight="1" x14ac:dyDescent="0.25">
      <c r="A8" s="142" t="s">
        <v>5</v>
      </c>
      <c r="B8" s="142"/>
      <c r="C8" s="142"/>
      <c r="D8" s="142"/>
      <c r="E8" s="142" t="str">
        <f>E7</f>
        <v>M/s. Shankheshwar Kreaters</v>
      </c>
      <c r="F8" s="142"/>
      <c r="G8" s="142"/>
      <c r="H8" s="142"/>
      <c r="K8" s="51"/>
      <c r="L8" s="52"/>
      <c r="M8" s="52"/>
      <c r="N8" s="52"/>
      <c r="O8" s="52" t="s">
        <v>332</v>
      </c>
      <c r="P8" s="52"/>
    </row>
    <row r="9" spans="1:26" x14ac:dyDescent="0.25">
      <c r="A9" s="142" t="s">
        <v>6</v>
      </c>
      <c r="B9" s="142"/>
      <c r="C9" s="142"/>
      <c r="D9" s="142"/>
      <c r="E9" s="202" t="s">
        <v>410</v>
      </c>
      <c r="F9" s="170"/>
      <c r="G9" s="170"/>
      <c r="H9" s="170"/>
      <c r="K9" s="51"/>
      <c r="L9" s="52"/>
      <c r="M9" s="52"/>
      <c r="N9" s="52"/>
      <c r="O9" s="52" t="s">
        <v>333</v>
      </c>
      <c r="P9" s="52"/>
    </row>
    <row r="10" spans="1:26" x14ac:dyDescent="0.25">
      <c r="A10" s="142" t="s">
        <v>158</v>
      </c>
      <c r="B10" s="142"/>
      <c r="C10" s="142"/>
      <c r="D10" s="142"/>
      <c r="E10" s="142" t="s">
        <v>420</v>
      </c>
      <c r="F10" s="142"/>
      <c r="G10" s="142"/>
      <c r="H10" s="142"/>
      <c r="K10" s="51"/>
      <c r="L10" s="52"/>
      <c r="M10" s="52"/>
      <c r="N10" s="52"/>
      <c r="O10" s="52" t="s">
        <v>334</v>
      </c>
      <c r="P10" s="52"/>
    </row>
    <row r="11" spans="1:26" x14ac:dyDescent="0.25">
      <c r="A11" s="142" t="s">
        <v>159</v>
      </c>
      <c r="B11" s="142"/>
      <c r="C11" s="142"/>
      <c r="D11" s="142"/>
      <c r="E11" s="142" t="s">
        <v>411</v>
      </c>
      <c r="F11" s="142"/>
      <c r="G11" s="142"/>
      <c r="H11" s="142"/>
      <c r="O11" s="52" t="s">
        <v>335</v>
      </c>
    </row>
    <row r="12" spans="1:26" x14ac:dyDescent="0.25">
      <c r="A12" s="142" t="s">
        <v>7</v>
      </c>
      <c r="B12" s="142"/>
      <c r="C12" s="142"/>
      <c r="D12" s="142"/>
      <c r="E12" s="174" t="s">
        <v>425</v>
      </c>
      <c r="F12" s="175"/>
      <c r="G12" s="175"/>
      <c r="H12" s="176"/>
    </row>
    <row r="13" spans="1:26" x14ac:dyDescent="0.25">
      <c r="A13" s="142" t="s">
        <v>162</v>
      </c>
      <c r="B13" s="142"/>
      <c r="C13" s="142"/>
      <c r="D13" s="142"/>
      <c r="E13" s="142" t="s">
        <v>28</v>
      </c>
      <c r="F13" s="142"/>
      <c r="G13" s="142"/>
      <c r="H13" s="142"/>
      <c r="S13" s="52" t="s">
        <v>169</v>
      </c>
      <c r="T13" s="52" t="s">
        <v>178</v>
      </c>
      <c r="U13" s="52" t="s">
        <v>163</v>
      </c>
      <c r="V13" s="52" t="s">
        <v>183</v>
      </c>
      <c r="W13" s="52" t="s">
        <v>201</v>
      </c>
      <c r="X13"/>
      <c r="Y13" t="s">
        <v>183</v>
      </c>
      <c r="Z13" t="e">
        <f ca="1">OFFSET($S$13,1,MATCH($G20,$S$13:$W$13,0)-1,15,1)</f>
        <v>#VALUE!</v>
      </c>
    </row>
    <row r="14" spans="1:26" x14ac:dyDescent="0.25">
      <c r="A14" s="133" t="s">
        <v>267</v>
      </c>
      <c r="B14" s="133"/>
      <c r="C14" s="133"/>
      <c r="D14" s="133"/>
      <c r="E14" s="172" t="s">
        <v>421</v>
      </c>
      <c r="F14" s="173"/>
      <c r="G14" s="173"/>
      <c r="H14" s="173"/>
      <c r="S14" s="52" t="s">
        <v>169</v>
      </c>
      <c r="T14" s="52" t="s">
        <v>176</v>
      </c>
      <c r="U14" s="52" t="s">
        <v>198</v>
      </c>
      <c r="V14" s="52" t="s">
        <v>184</v>
      </c>
      <c r="W14" s="52" t="s">
        <v>202</v>
      </c>
      <c r="X14"/>
      <c r="Y14"/>
      <c r="Z14"/>
    </row>
    <row r="15" spans="1:26" x14ac:dyDescent="0.25">
      <c r="A15" s="133" t="s">
        <v>8</v>
      </c>
      <c r="B15" s="133"/>
      <c r="C15" s="133"/>
      <c r="D15" s="133"/>
      <c r="E15" s="172" t="s">
        <v>374</v>
      </c>
      <c r="F15" s="142"/>
      <c r="G15" s="142"/>
      <c r="H15" s="142"/>
      <c r="I15" s="134" t="e">
        <f ca="1">OFFSET($D$5,1,MATCH($J13,$D$5:$H$5,0)-1,15,1)</f>
        <v>#N/A</v>
      </c>
      <c r="J15" s="135"/>
      <c r="K15" s="135"/>
      <c r="L15" s="135"/>
      <c r="M15" s="135"/>
      <c r="N15" s="135"/>
      <c r="O15" s="135"/>
      <c r="P15" s="135"/>
      <c r="S15" s="52" t="s">
        <v>170</v>
      </c>
      <c r="T15" s="52" t="s">
        <v>177</v>
      </c>
      <c r="U15" s="52" t="s">
        <v>199</v>
      </c>
      <c r="V15" s="52" t="s">
        <v>185</v>
      </c>
      <c r="W15" s="52" t="s">
        <v>215</v>
      </c>
      <c r="X15"/>
      <c r="Y15"/>
      <c r="Z15"/>
    </row>
    <row r="16" spans="1:26" ht="32.25" customHeight="1" x14ac:dyDescent="0.25">
      <c r="A16" s="122" t="s">
        <v>9</v>
      </c>
      <c r="B16" s="122"/>
      <c r="C16" s="122" t="str">
        <f>CONCATENATE((IF(OR(E9="",E9="NA"),"",E9)),", ",(IF(OR(A17="",A17="NA"),"",A17)),".",(IF(OR(C17="",C17="NA"),"",C17)),", near ",(IF(OR(C22="",C22="NA"),"",C22)),", ",(IF(OR(C19="",C19="NA"),"",C19)),", ",(IF(OR(C18="",C18="NA"),"",C18)),", ",(IF(OR(G19="",G19="NA"),"",G19)),", ",(IF(OR(C20="",C20="NA"),"",C20)),", ",(IF(OR(C21="",C21="NA"),"",C21)),", ",(IF(OR(G20="",G20="NA"),"",G20))," - ",(IF(OR(G21="",G21="NA"),"",G21)),".")</f>
        <v>Shankheshwar Privia, Survey No.4, Hissa No. 1A/3, near Om Tanishq Residency, Bhagat Singh Marg, Khadakpada, Kolivali, Kalyan West, Kalyan, Thane - 421301.</v>
      </c>
      <c r="D16" s="122"/>
      <c r="E16" s="122"/>
      <c r="F16" s="122"/>
      <c r="G16" s="122"/>
      <c r="H16" s="122"/>
      <c r="S16" s="52" t="s">
        <v>171</v>
      </c>
      <c r="T16" s="52" t="s">
        <v>179</v>
      </c>
      <c r="U16" s="52" t="s">
        <v>200</v>
      </c>
      <c r="V16" s="52" t="s">
        <v>186</v>
      </c>
      <c r="W16" s="52" t="s">
        <v>203</v>
      </c>
      <c r="X16"/>
      <c r="Y16"/>
      <c r="Z16"/>
    </row>
    <row r="17" spans="1:26" x14ac:dyDescent="0.25">
      <c r="A17" s="172" t="s">
        <v>375</v>
      </c>
      <c r="B17" s="172"/>
      <c r="C17" s="172" t="s">
        <v>376</v>
      </c>
      <c r="D17" s="172"/>
      <c r="E17" s="172"/>
      <c r="F17" s="172"/>
      <c r="G17" s="172"/>
      <c r="H17" s="172"/>
      <c r="S17" s="52" t="s">
        <v>172</v>
      </c>
      <c r="T17" s="52" t="s">
        <v>180</v>
      </c>
      <c r="U17" s="52" t="s">
        <v>163</v>
      </c>
      <c r="V17" s="52" t="s">
        <v>187</v>
      </c>
      <c r="W17" s="52" t="s">
        <v>204</v>
      </c>
      <c r="X17"/>
      <c r="Y17"/>
      <c r="Z17"/>
    </row>
    <row r="18" spans="1:26" ht="15.75" customHeight="1" x14ac:dyDescent="0.25">
      <c r="A18" s="172" t="s">
        <v>155</v>
      </c>
      <c r="B18" s="172"/>
      <c r="C18" s="172" t="s">
        <v>414</v>
      </c>
      <c r="D18" s="172"/>
      <c r="E18" s="172"/>
      <c r="F18" s="172"/>
      <c r="G18" s="172"/>
      <c r="H18" s="172"/>
      <c r="S18" s="52" t="s">
        <v>173</v>
      </c>
      <c r="T18" s="52" t="s">
        <v>178</v>
      </c>
      <c r="U18" s="52"/>
      <c r="V18" s="52" t="s">
        <v>188</v>
      </c>
      <c r="W18" s="52" t="s">
        <v>205</v>
      </c>
      <c r="X18"/>
      <c r="Y18"/>
      <c r="Z18"/>
    </row>
    <row r="19" spans="1:26" ht="15.75" customHeight="1" x14ac:dyDescent="0.25">
      <c r="A19" s="122" t="s">
        <v>10</v>
      </c>
      <c r="B19" s="122"/>
      <c r="C19" s="142" t="s">
        <v>412</v>
      </c>
      <c r="D19" s="142"/>
      <c r="E19" s="122" t="s">
        <v>69</v>
      </c>
      <c r="F19" s="122"/>
      <c r="G19" s="172" t="s">
        <v>377</v>
      </c>
      <c r="H19" s="172"/>
      <c r="S19" s="52" t="s">
        <v>174</v>
      </c>
      <c r="T19" s="52" t="s">
        <v>181</v>
      </c>
      <c r="U19" s="52"/>
      <c r="V19" s="52" t="s">
        <v>189</v>
      </c>
      <c r="W19" s="52" t="s">
        <v>206</v>
      </c>
      <c r="X19"/>
      <c r="Y19"/>
      <c r="Z19"/>
    </row>
    <row r="20" spans="1:26" x14ac:dyDescent="0.25">
      <c r="A20" s="133" t="s">
        <v>12</v>
      </c>
      <c r="B20" s="133"/>
      <c r="C20" s="172" t="s">
        <v>408</v>
      </c>
      <c r="D20" s="172"/>
      <c r="E20" s="122" t="s">
        <v>11</v>
      </c>
      <c r="F20" s="122"/>
      <c r="G20" s="177" t="s">
        <v>169</v>
      </c>
      <c r="H20" s="177"/>
      <c r="S20" s="52" t="s">
        <v>175</v>
      </c>
      <c r="T20" s="52" t="s">
        <v>182</v>
      </c>
      <c r="U20" s="52"/>
      <c r="V20" s="52" t="s">
        <v>190</v>
      </c>
      <c r="W20" s="52" t="s">
        <v>207</v>
      </c>
      <c r="X20"/>
      <c r="Y20"/>
      <c r="Z20"/>
    </row>
    <row r="21" spans="1:26" x14ac:dyDescent="0.25">
      <c r="A21" s="133" t="s">
        <v>70</v>
      </c>
      <c r="B21" s="133"/>
      <c r="C21" s="172" t="s">
        <v>171</v>
      </c>
      <c r="D21" s="172"/>
      <c r="E21" s="122" t="s">
        <v>13</v>
      </c>
      <c r="F21" s="122"/>
      <c r="G21" s="172">
        <v>421301</v>
      </c>
      <c r="H21" s="172"/>
      <c r="S21" s="52"/>
      <c r="T21" s="52"/>
      <c r="U21" s="52"/>
      <c r="V21" s="52" t="s">
        <v>191</v>
      </c>
      <c r="W21" s="52" t="s">
        <v>208</v>
      </c>
      <c r="X21"/>
      <c r="Y21"/>
      <c r="Z21"/>
    </row>
    <row r="22" spans="1:26" ht="32.25" customHeight="1" x14ac:dyDescent="0.25">
      <c r="A22" s="133" t="s">
        <v>115</v>
      </c>
      <c r="B22" s="133"/>
      <c r="C22" s="172" t="s">
        <v>413</v>
      </c>
      <c r="D22" s="172"/>
      <c r="E22" s="122" t="s">
        <v>14</v>
      </c>
      <c r="F22" s="122"/>
      <c r="G22" s="172" t="s">
        <v>415</v>
      </c>
      <c r="H22" s="172"/>
      <c r="S22" s="52"/>
      <c r="T22" s="52"/>
      <c r="U22" s="52"/>
      <c r="V22" s="52" t="s">
        <v>192</v>
      </c>
      <c r="W22" s="52" t="s">
        <v>209</v>
      </c>
      <c r="X22"/>
      <c r="Y22"/>
      <c r="Z22"/>
    </row>
    <row r="23" spans="1:26" ht="15" customHeight="1" x14ac:dyDescent="0.25">
      <c r="A23" s="122" t="s">
        <v>71</v>
      </c>
      <c r="B23" s="122"/>
      <c r="C23" s="122"/>
      <c r="D23" s="122"/>
      <c r="E23" s="142" t="s">
        <v>15</v>
      </c>
      <c r="F23" s="142"/>
      <c r="G23" s="142"/>
      <c r="H23" s="142"/>
      <c r="S23" s="52"/>
      <c r="T23" s="52"/>
      <c r="U23" s="52"/>
      <c r="V23" s="52" t="s">
        <v>193</v>
      </c>
      <c r="W23" s="52" t="s">
        <v>210</v>
      </c>
      <c r="X23"/>
      <c r="Y23"/>
      <c r="Z23"/>
    </row>
    <row r="24" spans="1:26" ht="18.75" customHeight="1" x14ac:dyDescent="0.25">
      <c r="A24" s="122"/>
      <c r="B24" s="122"/>
      <c r="C24" s="122"/>
      <c r="D24" s="122"/>
      <c r="E24" s="142"/>
      <c r="F24" s="142"/>
      <c r="G24" s="142"/>
      <c r="H24" s="142"/>
      <c r="S24" s="52"/>
      <c r="T24" s="52"/>
      <c r="U24" s="52"/>
      <c r="V24" s="52" t="s">
        <v>194</v>
      </c>
      <c r="W24" s="52" t="s">
        <v>211</v>
      </c>
      <c r="X24"/>
      <c r="Y24"/>
      <c r="Z24"/>
    </row>
    <row r="25" spans="1:26" ht="15" customHeight="1" x14ac:dyDescent="0.25">
      <c r="A25" s="122" t="s">
        <v>16</v>
      </c>
      <c r="B25" s="122"/>
      <c r="C25" s="122"/>
      <c r="D25" s="122"/>
      <c r="E25" s="172" t="s">
        <v>17</v>
      </c>
      <c r="F25" s="172"/>
      <c r="G25" s="172"/>
      <c r="H25" s="172"/>
      <c r="S25" s="52"/>
      <c r="T25" s="52"/>
      <c r="U25" s="52"/>
      <c r="V25" s="52" t="s">
        <v>195</v>
      </c>
      <c r="W25" s="52" t="s">
        <v>212</v>
      </c>
      <c r="X25"/>
      <c r="Y25"/>
      <c r="Z25"/>
    </row>
    <row r="26" spans="1:26" ht="15" customHeight="1" x14ac:dyDescent="0.25">
      <c r="A26" s="133" t="s">
        <v>18</v>
      </c>
      <c r="B26" s="133"/>
      <c r="C26" s="133"/>
      <c r="D26" s="133"/>
      <c r="E26" s="172" t="str">
        <f>IF(AND(G20="Mumbai"),"Upper Class","Middle Class")</f>
        <v>Middle Class</v>
      </c>
      <c r="F26" s="172"/>
      <c r="G26" s="172"/>
      <c r="H26" s="172"/>
      <c r="S26" s="52"/>
      <c r="T26" s="52"/>
      <c r="U26" s="52"/>
      <c r="V26" s="52" t="s">
        <v>196</v>
      </c>
      <c r="W26" s="52" t="s">
        <v>213</v>
      </c>
      <c r="X26"/>
      <c r="Y26"/>
      <c r="Z26"/>
    </row>
    <row r="27" spans="1:26" x14ac:dyDescent="0.25">
      <c r="A27" s="133" t="s">
        <v>19</v>
      </c>
      <c r="B27" s="133"/>
      <c r="C27" s="133"/>
      <c r="D27" s="133"/>
      <c r="E27" s="172" t="s">
        <v>20</v>
      </c>
      <c r="F27" s="172"/>
      <c r="G27" s="172"/>
      <c r="H27" s="172"/>
      <c r="S27" s="52"/>
      <c r="T27" s="52"/>
      <c r="U27" s="52"/>
      <c r="V27" s="52" t="s">
        <v>197</v>
      </c>
      <c r="W27" s="52" t="s">
        <v>214</v>
      </c>
      <c r="X27"/>
      <c r="Y27"/>
      <c r="Z27"/>
    </row>
    <row r="28" spans="1:26" ht="15.75" customHeight="1" x14ac:dyDescent="0.25">
      <c r="A28" s="133" t="s">
        <v>21</v>
      </c>
      <c r="B28" s="133"/>
      <c r="C28" s="133"/>
      <c r="D28" s="133"/>
      <c r="E28" s="172" t="str">
        <f>IF(AND(G20="Mumbai"),"Developed","Developing")</f>
        <v>Developing</v>
      </c>
      <c r="F28" s="172"/>
      <c r="G28" s="172"/>
      <c r="H28" s="172"/>
    </row>
    <row r="29" spans="1:26" x14ac:dyDescent="0.25">
      <c r="A29" s="133" t="s">
        <v>22</v>
      </c>
      <c r="B29" s="133"/>
      <c r="C29" s="133"/>
      <c r="D29" s="133"/>
      <c r="E29" s="172" t="s">
        <v>23</v>
      </c>
      <c r="F29" s="172"/>
      <c r="G29" s="172"/>
      <c r="H29" s="172"/>
    </row>
    <row r="30" spans="1:26" ht="15.75" customHeight="1" x14ac:dyDescent="0.25">
      <c r="A30" s="133" t="s">
        <v>76</v>
      </c>
      <c r="B30" s="133"/>
      <c r="C30" s="133"/>
      <c r="D30" s="133"/>
      <c r="E30" s="172" t="s">
        <v>77</v>
      </c>
      <c r="F30" s="172"/>
      <c r="G30" s="172"/>
      <c r="H30" s="172"/>
    </row>
    <row r="31" spans="1:26" ht="15" customHeight="1" x14ac:dyDescent="0.25">
      <c r="A31" s="133" t="s">
        <v>30</v>
      </c>
      <c r="B31" s="133"/>
      <c r="C31" s="133"/>
      <c r="D31" s="133"/>
      <c r="E31" s="172"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v>
      </c>
      <c r="F31" s="172"/>
      <c r="G31" s="172"/>
      <c r="H31" s="172"/>
    </row>
    <row r="32" spans="1:26" ht="15.75" customHeight="1" x14ac:dyDescent="0.25">
      <c r="A32" s="133" t="s">
        <v>88</v>
      </c>
      <c r="B32" s="133"/>
      <c r="C32" s="133"/>
      <c r="D32" s="133"/>
      <c r="E32" s="172" t="s">
        <v>31</v>
      </c>
      <c r="F32" s="172"/>
      <c r="G32" s="172"/>
      <c r="H32" s="172"/>
    </row>
    <row r="33" spans="1:19" s="21" customFormat="1" x14ac:dyDescent="0.25">
      <c r="A33" s="195" t="s">
        <v>89</v>
      </c>
      <c r="B33" s="195"/>
      <c r="C33" s="192" t="s">
        <v>164</v>
      </c>
      <c r="D33" s="193"/>
      <c r="E33" s="194"/>
      <c r="F33" s="192" t="s">
        <v>29</v>
      </c>
      <c r="G33" s="193"/>
      <c r="H33" s="194"/>
      <c r="S33" s="21" t="e">
        <f ca="1">OFFSET($S$13,1,MATCH($G20,$S$13:$W$13,0)-1,15,1)</f>
        <v>#VALUE!</v>
      </c>
    </row>
    <row r="34" spans="1:19" s="21" customFormat="1" x14ac:dyDescent="0.25">
      <c r="A34" s="188" t="s">
        <v>24</v>
      </c>
      <c r="B34" s="188" t="s">
        <v>28</v>
      </c>
      <c r="C34" s="189" t="s">
        <v>406</v>
      </c>
      <c r="D34" s="190"/>
      <c r="E34" s="191"/>
      <c r="F34" s="189" t="s">
        <v>10</v>
      </c>
      <c r="G34" s="190"/>
      <c r="H34" s="191"/>
    </row>
    <row r="35" spans="1:19" x14ac:dyDescent="0.25">
      <c r="A35" s="188" t="s">
        <v>25</v>
      </c>
      <c r="B35" s="188" t="s">
        <v>28</v>
      </c>
      <c r="C35" s="189" t="s">
        <v>406</v>
      </c>
      <c r="D35" s="190"/>
      <c r="E35" s="191"/>
      <c r="F35" s="189" t="s">
        <v>10</v>
      </c>
      <c r="G35" s="190"/>
      <c r="H35" s="191"/>
    </row>
    <row r="36" spans="1:19" s="21" customFormat="1" x14ac:dyDescent="0.25">
      <c r="A36" s="188" t="s">
        <v>27</v>
      </c>
      <c r="B36" s="188" t="s">
        <v>28</v>
      </c>
      <c r="C36" s="189" t="s">
        <v>422</v>
      </c>
      <c r="D36" s="190"/>
      <c r="E36" s="191"/>
      <c r="F36" s="189" t="s">
        <v>424</v>
      </c>
      <c r="G36" s="190"/>
      <c r="H36" s="191"/>
    </row>
    <row r="37" spans="1:19" x14ac:dyDescent="0.25">
      <c r="A37" s="188" t="s">
        <v>26</v>
      </c>
      <c r="B37" s="188" t="s">
        <v>28</v>
      </c>
      <c r="C37" s="189" t="s">
        <v>423</v>
      </c>
      <c r="D37" s="190"/>
      <c r="E37" s="191"/>
      <c r="F37" s="189" t="s">
        <v>416</v>
      </c>
      <c r="G37" s="190"/>
      <c r="H37" s="191"/>
    </row>
    <row r="38" spans="1:19" x14ac:dyDescent="0.25">
      <c r="A38" s="133" t="s">
        <v>268</v>
      </c>
      <c r="B38" s="133"/>
      <c r="C38" s="133"/>
      <c r="D38" s="133"/>
      <c r="E38" s="133"/>
      <c r="F38" s="133"/>
      <c r="G38" s="133"/>
      <c r="H38" s="133"/>
    </row>
    <row r="39" spans="1:19" ht="15.75" customHeight="1" x14ac:dyDescent="0.25">
      <c r="A39" s="133" t="s">
        <v>157</v>
      </c>
      <c r="B39" s="133"/>
      <c r="C39" s="164" t="s">
        <v>417</v>
      </c>
      <c r="D39" s="164"/>
      <c r="E39" s="164"/>
      <c r="F39" s="164"/>
      <c r="G39" s="164"/>
      <c r="H39" s="164"/>
    </row>
    <row r="40" spans="1:19" x14ac:dyDescent="0.25">
      <c r="A40" s="133" t="s">
        <v>154</v>
      </c>
      <c r="B40" s="133"/>
      <c r="C40" s="241" t="s">
        <v>418</v>
      </c>
      <c r="D40" s="172"/>
      <c r="E40" s="172"/>
      <c r="F40" s="172"/>
      <c r="G40" s="172"/>
      <c r="H40" s="172"/>
    </row>
    <row r="41" spans="1:19" x14ac:dyDescent="0.25">
      <c r="A41" s="164" t="s">
        <v>32</v>
      </c>
      <c r="B41" s="164"/>
      <c r="C41" s="164"/>
      <c r="D41" s="164"/>
      <c r="E41" s="164"/>
      <c r="F41" s="164"/>
      <c r="G41" s="164"/>
      <c r="H41" s="164"/>
    </row>
    <row r="42" spans="1:19" x14ac:dyDescent="0.25">
      <c r="A42" s="133" t="s">
        <v>33</v>
      </c>
      <c r="B42" s="133"/>
      <c r="C42" s="133"/>
      <c r="D42" s="133"/>
      <c r="E42" s="208">
        <f>7400.82</f>
        <v>7400.82</v>
      </c>
      <c r="F42" s="208"/>
      <c r="G42" s="208"/>
      <c r="H42" s="208"/>
      <c r="I42" s="20">
        <f>6500.82+900</f>
        <v>7400.82</v>
      </c>
    </row>
    <row r="43" spans="1:19" x14ac:dyDescent="0.25">
      <c r="A43" s="133" t="s">
        <v>34</v>
      </c>
      <c r="B43" s="133"/>
      <c r="C43" s="133"/>
      <c r="D43" s="133"/>
      <c r="E43" s="187">
        <f>(7150.9+990)/E42</f>
        <v>1.0999997297596753</v>
      </c>
      <c r="F43" s="187"/>
      <c r="G43" s="187"/>
      <c r="H43" s="187"/>
      <c r="I43" s="20">
        <f>7150.9+990</f>
        <v>8140.9</v>
      </c>
      <c r="J43" s="253">
        <f>I43/I42</f>
        <v>1.0999997297596753</v>
      </c>
    </row>
    <row r="44" spans="1:19" x14ac:dyDescent="0.25">
      <c r="A44" s="133" t="s">
        <v>35</v>
      </c>
      <c r="B44" s="133"/>
      <c r="C44" s="133"/>
      <c r="D44" s="133"/>
      <c r="E44" s="210">
        <f>E46/E42-E43</f>
        <v>2.2128588453711884</v>
      </c>
      <c r="F44" s="210"/>
      <c r="G44" s="210"/>
      <c r="H44" s="210"/>
    </row>
    <row r="45" spans="1:19" x14ac:dyDescent="0.25">
      <c r="A45" s="133" t="s">
        <v>36</v>
      </c>
      <c r="B45" s="133"/>
      <c r="C45" s="133"/>
      <c r="D45" s="133"/>
      <c r="E45" s="210">
        <f>E43+E44</f>
        <v>3.3128585751308637</v>
      </c>
      <c r="F45" s="210"/>
      <c r="G45" s="210"/>
      <c r="H45" s="210"/>
    </row>
    <row r="46" spans="1:19" x14ac:dyDescent="0.25">
      <c r="A46" s="133" t="s">
        <v>87</v>
      </c>
      <c r="B46" s="133"/>
      <c r="C46" s="133"/>
      <c r="D46" s="133"/>
      <c r="E46" s="187">
        <f>22242.51+2275.36</f>
        <v>24517.87</v>
      </c>
      <c r="F46" s="187"/>
      <c r="G46" s="187"/>
      <c r="H46" s="187"/>
      <c r="I46" s="20">
        <f>22242.51+2275.36</f>
        <v>24517.87</v>
      </c>
    </row>
    <row r="47" spans="1:19" x14ac:dyDescent="0.25">
      <c r="A47" s="142" t="s">
        <v>37</v>
      </c>
      <c r="B47" s="142"/>
      <c r="C47" s="142"/>
      <c r="D47" s="142"/>
      <c r="E47" s="142" t="s">
        <v>426</v>
      </c>
      <c r="F47" s="142"/>
      <c r="G47" s="142"/>
      <c r="H47" s="142"/>
    </row>
    <row r="48" spans="1:19" x14ac:dyDescent="0.25">
      <c r="A48" s="164" t="s">
        <v>38</v>
      </c>
      <c r="B48" s="164"/>
      <c r="C48" s="164"/>
      <c r="D48" s="164"/>
      <c r="E48" s="164"/>
      <c r="F48" s="164"/>
      <c r="G48" s="164"/>
      <c r="H48" s="164"/>
    </row>
    <row r="49" spans="1:24" ht="33.75" customHeight="1" x14ac:dyDescent="0.25">
      <c r="A49" s="119" t="s">
        <v>144</v>
      </c>
      <c r="B49" s="120"/>
      <c r="C49" s="215" t="s">
        <v>249</v>
      </c>
      <c r="D49" s="216"/>
      <c r="E49" s="216"/>
      <c r="F49" s="216"/>
      <c r="G49" s="216"/>
      <c r="H49" s="217"/>
      <c r="R49" t="s">
        <v>241</v>
      </c>
      <c r="S49" s="54" t="s">
        <v>163</v>
      </c>
      <c r="T49" s="54" t="s">
        <v>169</v>
      </c>
      <c r="U49" s="54" t="s">
        <v>183</v>
      </c>
      <c r="V49" s="54" t="s">
        <v>178</v>
      </c>
    </row>
    <row r="50" spans="1:24" ht="15.75" customHeight="1" x14ac:dyDescent="0.25">
      <c r="A50" s="119" t="s">
        <v>39</v>
      </c>
      <c r="B50" s="120"/>
      <c r="C50" s="119" t="s">
        <v>401</v>
      </c>
      <c r="D50" s="180"/>
      <c r="E50" s="120"/>
      <c r="F50" s="17" t="s">
        <v>40</v>
      </c>
      <c r="G50" s="206">
        <v>45580</v>
      </c>
      <c r="H50" s="207"/>
      <c r="R50"/>
      <c r="S50" s="54" t="s">
        <v>242</v>
      </c>
      <c r="T50" s="54" t="s">
        <v>247</v>
      </c>
      <c r="U50" s="54" t="s">
        <v>258</v>
      </c>
      <c r="V50" s="54" t="s">
        <v>263</v>
      </c>
    </row>
    <row r="51" spans="1:24" x14ac:dyDescent="0.25">
      <c r="A51" s="119" t="s">
        <v>41</v>
      </c>
      <c r="B51" s="120"/>
      <c r="C51" s="119" t="str">
        <f>C50</f>
        <v>KDMCC/RB/2024/APL/00084</v>
      </c>
      <c r="D51" s="180"/>
      <c r="E51" s="120"/>
      <c r="F51" s="17" t="s">
        <v>40</v>
      </c>
      <c r="G51" s="206">
        <f>G50</f>
        <v>45580</v>
      </c>
      <c r="H51" s="207"/>
      <c r="R51"/>
      <c r="S51" s="54" t="s">
        <v>243</v>
      </c>
      <c r="T51" s="54" t="s">
        <v>344</v>
      </c>
      <c r="U51" s="54" t="s">
        <v>256</v>
      </c>
      <c r="V51" s="54" t="s">
        <v>264</v>
      </c>
    </row>
    <row r="52" spans="1:24" s="22" customFormat="1" ht="15.75" customHeight="1" x14ac:dyDescent="0.25">
      <c r="A52" s="230" t="s">
        <v>148</v>
      </c>
      <c r="B52" s="231"/>
      <c r="C52" s="230" t="str">
        <f>C51</f>
        <v>KDMCC/RB/2024/APL/00084</v>
      </c>
      <c r="D52" s="234"/>
      <c r="E52" s="231"/>
      <c r="F52" s="17" t="s">
        <v>40</v>
      </c>
      <c r="G52" s="206">
        <v>45580</v>
      </c>
      <c r="H52" s="207"/>
      <c r="I52" s="21" t="str">
        <f ca="1">IF(G52&gt;EDATE(E3,-48),"NO REMARK","CC REMARK FOR CC")</f>
        <v>NO REMARK</v>
      </c>
      <c r="J52" s="73"/>
      <c r="R52"/>
      <c r="S52" s="54" t="s">
        <v>244</v>
      </c>
      <c r="T52" s="54" t="s">
        <v>249</v>
      </c>
      <c r="U52" s="54" t="s">
        <v>246</v>
      </c>
      <c r="V52" s="54" t="s">
        <v>265</v>
      </c>
    </row>
    <row r="53" spans="1:24" s="22" customFormat="1" x14ac:dyDescent="0.25">
      <c r="A53" s="232"/>
      <c r="B53" s="233"/>
      <c r="C53" s="119" t="s">
        <v>402</v>
      </c>
      <c r="D53" s="180"/>
      <c r="E53" s="180"/>
      <c r="F53" s="180"/>
      <c r="G53" s="180"/>
      <c r="H53" s="120"/>
      <c r="R53"/>
      <c r="S53" s="54"/>
      <c r="T53" s="54"/>
      <c r="U53" s="54"/>
      <c r="V53" s="69"/>
    </row>
    <row r="54" spans="1:24" s="22" customFormat="1" hidden="1" x14ac:dyDescent="0.25">
      <c r="A54" s="145" t="s">
        <v>269</v>
      </c>
      <c r="B54" s="146"/>
      <c r="C54" s="119"/>
      <c r="D54" s="180"/>
      <c r="E54" s="120"/>
      <c r="F54" s="17" t="s">
        <v>40</v>
      </c>
      <c r="G54" s="206"/>
      <c r="H54" s="207"/>
      <c r="K54" s="74">
        <f>EDATE(G52,-48)</f>
        <v>44119</v>
      </c>
      <c r="L54" s="22" t="str">
        <f ca="1">IF(G52&gt;EDATE(E3,-48),"NO REMARK","CC REMARK FOR CC")</f>
        <v>NO REMARK</v>
      </c>
      <c r="R54"/>
      <c r="S54" s="54" t="s">
        <v>244</v>
      </c>
      <c r="T54" s="54" t="s">
        <v>249</v>
      </c>
      <c r="U54" s="54" t="s">
        <v>246</v>
      </c>
      <c r="V54" s="54" t="s">
        <v>265</v>
      </c>
    </row>
    <row r="55" spans="1:24" s="22" customFormat="1" ht="32.25" hidden="1" customHeight="1" x14ac:dyDescent="0.25">
      <c r="A55" s="147"/>
      <c r="B55" s="148"/>
      <c r="C55" s="227"/>
      <c r="D55" s="228"/>
      <c r="E55" s="228"/>
      <c r="F55" s="228"/>
      <c r="G55" s="228"/>
      <c r="H55" s="229"/>
      <c r="R55"/>
      <c r="S55" s="54" t="s">
        <v>246</v>
      </c>
      <c r="T55" s="54" t="s">
        <v>250</v>
      </c>
      <c r="U55" s="54" t="s">
        <v>260</v>
      </c>
      <c r="V55" s="70"/>
      <c r="W55" s="20"/>
      <c r="X55" s="20"/>
    </row>
    <row r="56" spans="1:24" s="22" customFormat="1" ht="34.5" hidden="1" customHeight="1" x14ac:dyDescent="0.25">
      <c r="A56" s="145" t="s">
        <v>270</v>
      </c>
      <c r="B56" s="146"/>
      <c r="C56" s="119"/>
      <c r="D56" s="180"/>
      <c r="E56" s="120"/>
      <c r="F56" s="17" t="s">
        <v>40</v>
      </c>
      <c r="G56" s="206"/>
      <c r="H56" s="207"/>
      <c r="R56"/>
      <c r="S56" s="70"/>
      <c r="T56" s="54" t="s">
        <v>251</v>
      </c>
      <c r="U56" s="54" t="s">
        <v>261</v>
      </c>
      <c r="V56" s="70"/>
      <c r="W56" s="20"/>
      <c r="X56" s="20"/>
    </row>
    <row r="57" spans="1:24" s="22" customFormat="1" ht="41.25" hidden="1" customHeight="1" x14ac:dyDescent="0.25">
      <c r="A57" s="147"/>
      <c r="B57" s="148"/>
      <c r="C57" s="119"/>
      <c r="D57" s="180"/>
      <c r="E57" s="180"/>
      <c r="F57" s="180"/>
      <c r="G57" s="180"/>
      <c r="H57" s="120"/>
      <c r="R57"/>
      <c r="S57" s="70"/>
      <c r="T57" s="54" t="s">
        <v>253</v>
      </c>
      <c r="U57" s="54" t="s">
        <v>262</v>
      </c>
      <c r="V57" s="70"/>
      <c r="W57" s="20"/>
      <c r="X57" s="20"/>
    </row>
    <row r="58" spans="1:24" s="22" customFormat="1" ht="15.75" hidden="1" customHeight="1" x14ac:dyDescent="0.25">
      <c r="A58" s="145" t="s">
        <v>339</v>
      </c>
      <c r="B58" s="146"/>
      <c r="C58" s="181"/>
      <c r="D58" s="182"/>
      <c r="E58" s="183"/>
      <c r="F58" s="17" t="s">
        <v>40</v>
      </c>
      <c r="G58" s="206"/>
      <c r="H58" s="207"/>
      <c r="R58"/>
      <c r="S58" s="70"/>
      <c r="T58" s="54" t="s">
        <v>254</v>
      </c>
      <c r="U58" s="70" t="s">
        <v>284</v>
      </c>
      <c r="V58" s="70"/>
      <c r="W58" s="20"/>
      <c r="X58" s="20"/>
    </row>
    <row r="59" spans="1:24" s="22" customFormat="1" ht="33.75" hidden="1" customHeight="1" x14ac:dyDescent="0.25">
      <c r="A59" s="178"/>
      <c r="B59" s="179"/>
      <c r="C59" s="184"/>
      <c r="D59" s="185"/>
      <c r="E59" s="186"/>
      <c r="F59" s="17" t="s">
        <v>340</v>
      </c>
      <c r="G59" s="206"/>
      <c r="H59" s="207"/>
      <c r="R59"/>
      <c r="S59" s="70"/>
      <c r="T59" s="54" t="s">
        <v>255</v>
      </c>
      <c r="U59" s="70"/>
      <c r="V59" s="70"/>
      <c r="W59" s="20"/>
      <c r="X59" s="20"/>
    </row>
    <row r="60" spans="1:24" s="22" customFormat="1" ht="33.75" hidden="1" customHeight="1" x14ac:dyDescent="0.25">
      <c r="A60" s="147"/>
      <c r="B60" s="148"/>
      <c r="C60" s="119" t="s">
        <v>362</v>
      </c>
      <c r="D60" s="180"/>
      <c r="E60" s="180"/>
      <c r="F60" s="180"/>
      <c r="G60" s="180"/>
      <c r="H60" s="120"/>
      <c r="R60"/>
      <c r="S60" s="70"/>
      <c r="T60" s="54"/>
      <c r="U60" s="70"/>
      <c r="V60" s="70"/>
      <c r="W60" s="20"/>
      <c r="X60" s="20"/>
    </row>
    <row r="61" spans="1:24" x14ac:dyDescent="0.25">
      <c r="A61" s="138" t="s">
        <v>42</v>
      </c>
      <c r="B61" s="139"/>
      <c r="C61" s="138" t="s">
        <v>101</v>
      </c>
      <c r="D61" s="140"/>
      <c r="E61" s="139"/>
      <c r="F61" s="43" t="s">
        <v>40</v>
      </c>
      <c r="G61" s="143" t="s">
        <v>28</v>
      </c>
      <c r="H61" s="144"/>
      <c r="R61"/>
      <c r="S61" s="70"/>
      <c r="T61" s="54" t="s">
        <v>257</v>
      </c>
      <c r="U61" s="70"/>
      <c r="V61" s="70"/>
    </row>
    <row r="62" spans="1:24" x14ac:dyDescent="0.25">
      <c r="A62" s="167" t="s">
        <v>44</v>
      </c>
      <c r="B62" s="167"/>
      <c r="C62" s="167"/>
      <c r="D62" s="167"/>
      <c r="E62" s="167"/>
      <c r="F62" s="167"/>
      <c r="G62" s="167"/>
      <c r="H62" s="167"/>
      <c r="S62" s="70"/>
      <c r="T62" s="54" t="s">
        <v>266</v>
      </c>
      <c r="U62" s="70"/>
      <c r="V62" s="70"/>
    </row>
    <row r="63" spans="1:24" x14ac:dyDescent="0.25">
      <c r="A63" s="122" t="s">
        <v>86</v>
      </c>
      <c r="B63" s="122"/>
      <c r="C63" s="122"/>
      <c r="D63" s="133">
        <f>5641.79+5641.79</f>
        <v>11283.58</v>
      </c>
      <c r="E63" s="133"/>
      <c r="F63" s="133"/>
      <c r="G63" s="133"/>
      <c r="H63" s="133"/>
      <c r="R63"/>
    </row>
    <row r="64" spans="1:24" x14ac:dyDescent="0.25">
      <c r="A64" s="257" t="s">
        <v>45</v>
      </c>
      <c r="B64" s="258"/>
      <c r="C64" s="258"/>
      <c r="D64" s="142" t="s">
        <v>403</v>
      </c>
      <c r="E64" s="142"/>
      <c r="F64" s="142"/>
      <c r="G64" s="142"/>
      <c r="H64" s="142"/>
      <c r="I64" s="23"/>
      <c r="R64"/>
    </row>
    <row r="65" spans="1:19" x14ac:dyDescent="0.25">
      <c r="A65" s="212" t="s">
        <v>46</v>
      </c>
      <c r="B65" s="213"/>
      <c r="C65" s="214"/>
      <c r="D65" s="123" t="s">
        <v>429</v>
      </c>
      <c r="E65" s="211"/>
      <c r="F65" s="211"/>
      <c r="G65" s="211"/>
      <c r="H65" s="211"/>
      <c r="R65"/>
    </row>
    <row r="66" spans="1:19" ht="15.75" customHeight="1" x14ac:dyDescent="0.25">
      <c r="A66" s="212" t="s">
        <v>84</v>
      </c>
      <c r="B66" s="213"/>
      <c r="C66" s="213"/>
      <c r="D66" s="220" t="s">
        <v>427</v>
      </c>
      <c r="E66" s="221"/>
      <c r="F66" s="221"/>
      <c r="G66" s="221"/>
      <c r="H66" s="222"/>
      <c r="R66"/>
    </row>
    <row r="67" spans="1:19" ht="15.75" customHeight="1" x14ac:dyDescent="0.25">
      <c r="A67" s="218"/>
      <c r="B67" s="219"/>
      <c r="C67" s="219"/>
      <c r="D67" s="223" t="s">
        <v>428</v>
      </c>
      <c r="E67" s="224"/>
      <c r="F67" s="224"/>
      <c r="G67" s="224"/>
      <c r="H67" s="225"/>
      <c r="R67"/>
    </row>
    <row r="68" spans="1:19" ht="15.75" customHeight="1" x14ac:dyDescent="0.25">
      <c r="A68" s="133" t="s">
        <v>43</v>
      </c>
      <c r="B68" s="133"/>
      <c r="C68" s="133"/>
      <c r="D68" s="226" t="s">
        <v>405</v>
      </c>
      <c r="E68" s="226"/>
      <c r="F68" s="226"/>
      <c r="G68" s="226"/>
      <c r="H68" s="226"/>
      <c r="J68" s="24"/>
      <c r="K68" s="23"/>
      <c r="N68" s="23"/>
      <c r="S68"/>
    </row>
    <row r="69" spans="1:19" ht="15.75" customHeight="1" x14ac:dyDescent="0.25">
      <c r="A69" s="133" t="s">
        <v>82</v>
      </c>
      <c r="B69" s="133"/>
      <c r="C69" s="133"/>
      <c r="D69" s="209" t="str">
        <f>(IF(G61="NA","60 Years After Completion",IF(G61&lt;&gt;"NA",""&amp;60-ROUNDDOWN((E3-G61)/360,0)&amp;" Years"," ")))</f>
        <v>60 Years After Completion</v>
      </c>
      <c r="E69" s="209"/>
      <c r="F69" s="209"/>
      <c r="G69" s="209"/>
      <c r="H69" s="209"/>
      <c r="N69" s="23"/>
      <c r="S69"/>
    </row>
    <row r="70" spans="1:19" ht="15.75" customHeight="1" x14ac:dyDescent="0.25">
      <c r="A70" s="133" t="s">
        <v>83</v>
      </c>
      <c r="B70" s="133"/>
      <c r="C70" s="133"/>
      <c r="D70" s="122" t="s">
        <v>23</v>
      </c>
      <c r="E70" s="122"/>
      <c r="F70" s="122"/>
      <c r="G70" s="122"/>
      <c r="H70" s="122"/>
      <c r="J70" s="25"/>
      <c r="K70" s="25"/>
      <c r="S70"/>
    </row>
    <row r="71" spans="1:19" ht="33" customHeight="1" x14ac:dyDescent="0.25">
      <c r="A71" s="142" t="s">
        <v>404</v>
      </c>
      <c r="B71" s="142"/>
      <c r="C71" s="142"/>
      <c r="D71" s="172" t="s">
        <v>400</v>
      </c>
      <c r="E71" s="122"/>
      <c r="F71" s="122"/>
      <c r="G71" s="122"/>
      <c r="H71" s="122"/>
      <c r="S71"/>
    </row>
    <row r="72" spans="1:19" x14ac:dyDescent="0.25">
      <c r="A72" s="122" t="s">
        <v>141</v>
      </c>
      <c r="B72" s="122"/>
      <c r="C72" s="122"/>
      <c r="D72" s="122" t="s">
        <v>28</v>
      </c>
      <c r="E72" s="122"/>
      <c r="F72" s="122"/>
      <c r="G72" s="122"/>
      <c r="H72" s="122"/>
      <c r="I72" s="26"/>
      <c r="J72" s="26"/>
      <c r="K72" s="26"/>
      <c r="L72" s="26"/>
      <c r="M72" s="26"/>
      <c r="N72" s="26"/>
    </row>
    <row r="73" spans="1:19" ht="15.75" customHeight="1" x14ac:dyDescent="0.25">
      <c r="A73" s="205" t="s">
        <v>81</v>
      </c>
      <c r="B73" s="205"/>
      <c r="C73" s="205"/>
      <c r="D73" s="123" t="str">
        <f ca="1">(IF(G79&gt;95%,"Nothing",IF(G79&gt;0%,"Cement, Aggregate, Steel, etc",IF(G79=0%,"Work not yet Started"))))</f>
        <v>Cement, Aggregate, Steel, etc</v>
      </c>
      <c r="E73" s="123"/>
      <c r="F73" s="123"/>
      <c r="G73" s="123"/>
      <c r="H73" s="123"/>
      <c r="J73" s="25"/>
      <c r="S73"/>
    </row>
    <row r="74" spans="1:19" ht="33.75" customHeight="1" thickBot="1" x14ac:dyDescent="0.3">
      <c r="A74" s="204" t="s">
        <v>114</v>
      </c>
      <c r="B74" s="204"/>
      <c r="C74" s="204"/>
      <c r="D74" s="123" t="str">
        <f ca="1">(IF(D73="Nothing","Yes",IF(D73="Cement, Aggregate, Steel, etc","Under Construction",IF(D73="Work not yet Started","Work not yet Started"))))</f>
        <v>Under Construction</v>
      </c>
      <c r="E74" s="123"/>
      <c r="F74" s="123" t="str">
        <f ca="1">(IF(D73="Nothing","Yes",IF(D73="Cement, Aggregate, Steel, etc","Under Construction",IF(D73="Work not yet Started","Work not yet Started"))))</f>
        <v>Under Construction</v>
      </c>
      <c r="G74" s="123"/>
      <c r="H74" s="123"/>
      <c r="S74"/>
    </row>
    <row r="75" spans="1:19" ht="15.75" customHeight="1" x14ac:dyDescent="0.25">
      <c r="A75" s="260" t="s">
        <v>133</v>
      </c>
      <c r="B75" s="261"/>
      <c r="C75" s="199" t="str">
        <f>D66</f>
        <v>Wing A = G + 1st to 14th Floor</v>
      </c>
      <c r="D75" s="200"/>
      <c r="E75" s="200"/>
      <c r="F75" s="200"/>
      <c r="G75" s="200"/>
      <c r="H75" s="201"/>
      <c r="I75" s="47" t="str">
        <f ca="1">IF(D88=100%,"All work Completed. Possession granted to the Building.",IF(D87=100%,"All work Completed, Waiting for OC",I76&amp;""&amp;I77&amp;""&amp;J76&amp;""&amp;J75&amp;" "&amp;J77))</f>
        <v>Excavation, Plinth Completed, RCC upto 12 Slab, Brickwork upto 8 Floor, Internal Plaster upto 6 Floor, External Plaster upto 4 Floor Completed</v>
      </c>
      <c r="J75" s="48"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12 Slab, Brickwork upto 8 Floor, Internal Plaster upto 6 Floor, External Plaster upto 4 Floor</v>
      </c>
      <c r="S75"/>
    </row>
    <row r="76" spans="1:19" x14ac:dyDescent="0.25">
      <c r="A76" s="15" t="s">
        <v>135</v>
      </c>
      <c r="B76" s="45">
        <f>IF(AND(ISNUMBER(SEARCH("1B",C75))),1,IF(AND(ISNUMBER(SEARCH("2B",C75))),2,IF(AND(ISNUMBER(SEARCH("3B",C75))),3,IF(AND(ISNUMBER(SEARCH("4B",C75))),4,IF(ISNUMBER(SEARCH("5B",C75)),5,0)))))</f>
        <v>0</v>
      </c>
      <c r="C76" s="45" t="s">
        <v>68</v>
      </c>
      <c r="D76" s="45">
        <v>1</v>
      </c>
      <c r="E76" s="45" t="s">
        <v>67</v>
      </c>
      <c r="F76" s="45">
        <v>0</v>
      </c>
      <c r="G76" s="46" t="s">
        <v>75</v>
      </c>
      <c r="H76" s="16">
        <f ca="1">--TRIM(RIGHT(SUBSTITUTE(LEFT(C75,_xlfn.AGGREGATE(16,6,FIND({0,1,2,3,4,5,6,7,8,9},C75,ROW(INDIRECT("1:"&amp;LEN(C75)))),1))," ",REPT(" ",LEN(C75))),LEN(C75)))</f>
        <v>14</v>
      </c>
      <c r="I76" s="49" t="str">
        <f ca="1">IF(D79=100%,"Excavation","")&amp;IF(D80=100%,", Plinth","")&amp;IF(D81=100%,", RCC Slab","")&amp;IF(D82=100%,", Brickwork","")&amp;IF(D83=100%,", Internal Plaster","")&amp;IF(D84=100%,", External Plaster","")&amp;IF(D85=100%,", Flooring","")&amp;IF(D86=100%,", Painting","")&amp;IF(D87=100%,", Building common Amenities","")</f>
        <v>Excavation, Plinth</v>
      </c>
      <c r="J76" s="5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6.75" customHeight="1" x14ac:dyDescent="0.25">
      <c r="A77" s="196" t="s">
        <v>85</v>
      </c>
      <c r="B77" s="170"/>
      <c r="C77" s="202" t="str">
        <f ca="1">I75</f>
        <v>Excavation, Plinth Completed, RCC upto 12 Slab, Brickwork upto 8 Floor, Internal Plaster upto 6 Floor, External Plaster upto 4 Floor Completed</v>
      </c>
      <c r="D77" s="202"/>
      <c r="E77" s="202"/>
      <c r="F77" s="202"/>
      <c r="G77" s="202"/>
      <c r="H77" s="203"/>
      <c r="I77" s="49" t="str">
        <f ca="1">IF(I76&lt;&gt;""," Completed","")</f>
        <v xml:space="preserve"> Completed</v>
      </c>
      <c r="J77" s="50" t="str">
        <f ca="1">IF(J75&lt;&gt;"","Completed","")</f>
        <v>Completed</v>
      </c>
      <c r="S77"/>
    </row>
    <row r="78" spans="1:19" ht="15.75" customHeight="1" x14ac:dyDescent="0.25">
      <c r="A78" s="117" t="s">
        <v>47</v>
      </c>
      <c r="B78" s="118"/>
      <c r="C78" s="42" t="s">
        <v>132</v>
      </c>
      <c r="D78" s="42" t="s">
        <v>78</v>
      </c>
      <c r="E78" s="118" t="s">
        <v>80</v>
      </c>
      <c r="F78" s="118"/>
      <c r="G78" s="118" t="s">
        <v>79</v>
      </c>
      <c r="H78" s="124"/>
      <c r="I78" s="13" t="s">
        <v>134</v>
      </c>
      <c r="J78" s="27">
        <f ca="1">H76*25%</f>
        <v>3.5</v>
      </c>
      <c r="S78"/>
    </row>
    <row r="79" spans="1:19" x14ac:dyDescent="0.25">
      <c r="A79" s="117" t="s">
        <v>121</v>
      </c>
      <c r="B79" s="118"/>
      <c r="C79" s="100">
        <f ca="1">J80</f>
        <v>14</v>
      </c>
      <c r="D79" s="18">
        <f ca="1">((100/H76)*C79)/100</f>
        <v>1</v>
      </c>
      <c r="E79" s="235">
        <f ca="1">(((C80/H76*10)+(40/(D76+F76+H76)*C81)+(7.5/(H76)*C82)+(7.5/(H76)*C83)+(10/H76*C84)+(10/H76*C85)+(5/H76*C86)+(5/H76*C87)+(5/H76*C88))/100)</f>
        <v>0.52357142857142858</v>
      </c>
      <c r="F79" s="244"/>
      <c r="G79" s="235">
        <f ca="1">((((C79/H76)*20)+((C80/H76)*25)+(30/(H76+F76+D76)*C81)+(5/H76*C82)+(5/H76*C83)+(5/H76*C84)+(5/H76*C85)+(0/H76*C86)+(0/H76*C87)+(5/H76*C88))/100)</f>
        <v>0.75428571428571434</v>
      </c>
      <c r="H79" s="236"/>
      <c r="I79" s="13" t="s">
        <v>96</v>
      </c>
      <c r="J79" s="28">
        <f ca="1">H76*50%</f>
        <v>7</v>
      </c>
    </row>
    <row r="80" spans="1:19" x14ac:dyDescent="0.25">
      <c r="A80" s="117" t="s">
        <v>48</v>
      </c>
      <c r="B80" s="118"/>
      <c r="C80" s="100">
        <f ca="1">J88</f>
        <v>14</v>
      </c>
      <c r="D80" s="18">
        <f ca="1">((100/H76)*C80)/100</f>
        <v>1</v>
      </c>
      <c r="E80" s="237"/>
      <c r="F80" s="245"/>
      <c r="G80" s="237"/>
      <c r="H80" s="238"/>
      <c r="I80" s="13" t="s">
        <v>97</v>
      </c>
      <c r="J80" s="28">
        <f ca="1">H76</f>
        <v>14</v>
      </c>
      <c r="L80" s="90"/>
      <c r="S80"/>
    </row>
    <row r="81" spans="1:19" ht="15.75" customHeight="1" x14ac:dyDescent="0.25">
      <c r="A81" s="117" t="s">
        <v>122</v>
      </c>
      <c r="B81" s="118"/>
      <c r="C81" s="100">
        <v>12</v>
      </c>
      <c r="D81" s="18">
        <f ca="1">((100/(D76+F76+H76))*C81)/100</f>
        <v>0.8</v>
      </c>
      <c r="E81" s="237"/>
      <c r="F81" s="245"/>
      <c r="G81" s="237"/>
      <c r="H81" s="238"/>
      <c r="I81" s="13" t="s">
        <v>98</v>
      </c>
      <c r="J81" s="29">
        <f ca="1">(IF(B76&gt;1,(H76/(B76+2)),H76/4))</f>
        <v>3.5</v>
      </c>
      <c r="S81"/>
    </row>
    <row r="82" spans="1:19" ht="15.75" customHeight="1" x14ac:dyDescent="0.25">
      <c r="A82" s="117" t="s">
        <v>129</v>
      </c>
      <c r="B82" s="118" t="s">
        <v>123</v>
      </c>
      <c r="C82" s="100">
        <v>8</v>
      </c>
      <c r="D82" s="18">
        <f ca="1">((100/H76)*C82)/100</f>
        <v>0.57142857142857151</v>
      </c>
      <c r="E82" s="237"/>
      <c r="F82" s="245"/>
      <c r="G82" s="237"/>
      <c r="H82" s="238"/>
      <c r="I82" s="13" t="s">
        <v>99</v>
      </c>
      <c r="J82" s="29">
        <f ca="1">(IF(B76&gt;1,(H76/(B76+2)+J81),H76/4+J81))</f>
        <v>7</v>
      </c>
    </row>
    <row r="83" spans="1:19" ht="15.75" customHeight="1" x14ac:dyDescent="0.25">
      <c r="A83" s="117" t="s">
        <v>130</v>
      </c>
      <c r="B83" s="118" t="s">
        <v>123</v>
      </c>
      <c r="C83" s="100">
        <v>6</v>
      </c>
      <c r="D83" s="18">
        <f ca="1">((100/H76)*C83)/100</f>
        <v>0.4285714285714286</v>
      </c>
      <c r="E83" s="237"/>
      <c r="F83" s="245"/>
      <c r="G83" s="237"/>
      <c r="H83" s="238"/>
      <c r="I83" s="13" t="s">
        <v>139</v>
      </c>
      <c r="J83" s="29">
        <f>(IF(B76&gt;1,(H76/(B76+2)+J82),0))</f>
        <v>0</v>
      </c>
    </row>
    <row r="84" spans="1:19" ht="15" customHeight="1" x14ac:dyDescent="0.25">
      <c r="A84" s="117" t="s">
        <v>128</v>
      </c>
      <c r="B84" s="118" t="s">
        <v>125</v>
      </c>
      <c r="C84" s="100">
        <v>4</v>
      </c>
      <c r="D84" s="18">
        <f ca="1">((100/(H76))*C84)/100</f>
        <v>0.28571428571428575</v>
      </c>
      <c r="E84" s="237"/>
      <c r="F84" s="245"/>
      <c r="G84" s="237"/>
      <c r="H84" s="238"/>
      <c r="I84" s="13" t="s">
        <v>136</v>
      </c>
      <c r="J84" s="29">
        <f>(IF(B76&gt;2,(H76/(B76+2)+J83),0))</f>
        <v>0</v>
      </c>
    </row>
    <row r="85" spans="1:19" ht="15.75" customHeight="1" x14ac:dyDescent="0.25">
      <c r="A85" s="117" t="s">
        <v>124</v>
      </c>
      <c r="B85" s="118" t="s">
        <v>124</v>
      </c>
      <c r="C85" s="100">
        <v>0</v>
      </c>
      <c r="D85" s="18">
        <f ca="1">((100/H76)*C85)/100</f>
        <v>0</v>
      </c>
      <c r="E85" s="237"/>
      <c r="F85" s="245"/>
      <c r="G85" s="237"/>
      <c r="H85" s="238"/>
      <c r="I85" s="13" t="s">
        <v>137</v>
      </c>
      <c r="J85" s="30">
        <f>(IF(B76&gt;3,(H76/(B76+2)+J84),0))</f>
        <v>0</v>
      </c>
    </row>
    <row r="86" spans="1:19" ht="15.75" customHeight="1" x14ac:dyDescent="0.25">
      <c r="A86" s="117" t="s">
        <v>131</v>
      </c>
      <c r="B86" s="118"/>
      <c r="C86" s="100">
        <v>0</v>
      </c>
      <c r="D86" s="18">
        <f ca="1">((100/H76)*C86)/100</f>
        <v>0</v>
      </c>
      <c r="E86" s="237"/>
      <c r="F86" s="245"/>
      <c r="G86" s="237"/>
      <c r="H86" s="238"/>
      <c r="I86" s="13" t="s">
        <v>138</v>
      </c>
      <c r="J86" s="29">
        <f>(IF(B76&gt;4,(H76/(B76+2)+J85),0))</f>
        <v>0</v>
      </c>
    </row>
    <row r="87" spans="1:19" ht="15.75" customHeight="1" x14ac:dyDescent="0.25">
      <c r="A87" s="117" t="s">
        <v>126</v>
      </c>
      <c r="B87" s="118" t="s">
        <v>126</v>
      </c>
      <c r="C87" s="100">
        <v>0</v>
      </c>
      <c r="D87" s="18">
        <f ca="1">((100/(H76))*C87)/100</f>
        <v>0</v>
      </c>
      <c r="E87" s="237"/>
      <c r="F87" s="245"/>
      <c r="G87" s="237"/>
      <c r="H87" s="238"/>
      <c r="I87" s="13" t="s">
        <v>140</v>
      </c>
      <c r="J87" s="29">
        <f ca="1">(IF(B76=1,(H76/(B76+3)+J82),IF(B76=0,(H76/4+J82),IF(B76&gt;1,0))))</f>
        <v>10.5</v>
      </c>
    </row>
    <row r="88" spans="1:19" ht="16.5" thickBot="1" x14ac:dyDescent="0.3">
      <c r="A88" s="125" t="s">
        <v>127</v>
      </c>
      <c r="B88" s="126"/>
      <c r="C88" s="101">
        <v>0</v>
      </c>
      <c r="D88" s="19">
        <f ca="1">((100/(H76))*C88)/100</f>
        <v>0</v>
      </c>
      <c r="E88" s="239"/>
      <c r="F88" s="246"/>
      <c r="G88" s="239"/>
      <c r="H88" s="240"/>
      <c r="I88" s="14" t="s">
        <v>100</v>
      </c>
      <c r="J88" s="31">
        <f ca="1">(IF(B76&gt;1.5,(H76/(B76+2)+J82+MAX(0,J83-J82)+MAX(0,J84-J83)+MAX(0,J85-J84)+MAX(0,J86-J85)+MAX(0,J87-J86)),IF(B76=1,(H76/(B76+3)+J87),IF(B76=0,H76/4+J87))))</f>
        <v>14</v>
      </c>
    </row>
    <row r="89" spans="1:19" ht="15.75" customHeight="1" x14ac:dyDescent="0.25">
      <c r="A89" s="197" t="s">
        <v>133</v>
      </c>
      <c r="B89" s="198"/>
      <c r="C89" s="199" t="str">
        <f>D67</f>
        <v>Wing B = G + 1st to 14th Floor</v>
      </c>
      <c r="D89" s="200"/>
      <c r="E89" s="200"/>
      <c r="F89" s="200"/>
      <c r="G89" s="200"/>
      <c r="H89" s="201"/>
      <c r="I89" s="47" t="str">
        <f ca="1">IF(D102=100%,"All work Completed. Possession granted to the Building.",IF(D101=100%,"All work Completed, Waiting for OC",I90&amp;""&amp;I91&amp;""&amp;J90&amp;""&amp;J89&amp;" "&amp;J91))</f>
        <v>Excavation, Plinth Completed, RCC upto 7 Slab, Brickwork upto 5 Floor, Internal Plaster upto 3 Floor, External Plaster upto 2 Floor Completed</v>
      </c>
      <c r="J89" s="48"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RCC upto 7 Slab, Brickwork upto 5 Floor, Internal Plaster upto 3 Floor, External Plaster upto 2 Floor</v>
      </c>
      <c r="S89"/>
    </row>
    <row r="90" spans="1:19" x14ac:dyDescent="0.25">
      <c r="A90" s="15" t="s">
        <v>135</v>
      </c>
      <c r="B90" s="45">
        <f>IF(AND(ISNUMBER(SEARCH("1B",C89))),1,IF(AND(ISNUMBER(SEARCH("2B",C89))),2,IF(AND(ISNUMBER(SEARCH("3B",C89))),3,IF(AND(ISNUMBER(SEARCH("4B",C89))),4,IF(ISNUMBER(SEARCH("5B",C89)),5,0)))))</f>
        <v>0</v>
      </c>
      <c r="C90" s="45" t="s">
        <v>68</v>
      </c>
      <c r="D90" s="45">
        <v>1</v>
      </c>
      <c r="E90" s="45" t="s">
        <v>67</v>
      </c>
      <c r="F90" s="45">
        <v>0</v>
      </c>
      <c r="G90" s="46" t="s">
        <v>75</v>
      </c>
      <c r="H90" s="16">
        <f ca="1">--TRIM(RIGHT(SUBSTITUTE(LEFT(C89,_xlfn.AGGREGATE(16,6,FIND({0,1,2,3,4,5,6,7,8,9},C89,ROW(INDIRECT("1:"&amp;LEN(C89)))),1))," ",REPT(" ",LEN(C89))),LEN(C89)))</f>
        <v>14</v>
      </c>
      <c r="I90" s="49" t="str">
        <f ca="1">IF(D93=100%,"Excavation","")&amp;IF(D94=100%,", Plinth","")&amp;IF(D95=100%,", RCC Slab","")&amp;IF(D96=100%,", Brickwork","")&amp;IF(D97=100%,", Internal Plaster","")&amp;IF(D98=100%,", External Plaster","")&amp;IF(D99=100%,", Flooring","")&amp;IF(D100=100%,", Painting","")&amp;IF(D101=100%,", Building common Amenities","")</f>
        <v>Excavation, Plinth</v>
      </c>
      <c r="J90" s="50"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customHeight="1" x14ac:dyDescent="0.25">
      <c r="A91" s="196" t="s">
        <v>85</v>
      </c>
      <c r="B91" s="170"/>
      <c r="C91" s="202" t="str">
        <f ca="1">I89</f>
        <v>Excavation, Plinth Completed, RCC upto 7 Slab, Brickwork upto 5 Floor, Internal Plaster upto 3 Floor, External Plaster upto 2 Floor Completed</v>
      </c>
      <c r="D91" s="202"/>
      <c r="E91" s="202"/>
      <c r="F91" s="202"/>
      <c r="G91" s="202"/>
      <c r="H91" s="203"/>
      <c r="I91" s="49" t="str">
        <f ca="1">IF(I90&lt;&gt;""," Completed","")</f>
        <v xml:space="preserve"> Completed</v>
      </c>
      <c r="J91" s="50" t="str">
        <f ca="1">IF(J89&lt;&gt;"","Completed","")</f>
        <v>Completed</v>
      </c>
      <c r="S91"/>
    </row>
    <row r="92" spans="1:19" ht="15.75" customHeight="1" x14ac:dyDescent="0.25">
      <c r="A92" s="117" t="s">
        <v>47</v>
      </c>
      <c r="B92" s="118"/>
      <c r="C92" s="42" t="s">
        <v>132</v>
      </c>
      <c r="D92" s="42" t="s">
        <v>78</v>
      </c>
      <c r="E92" s="118" t="s">
        <v>80</v>
      </c>
      <c r="F92" s="118"/>
      <c r="G92" s="118" t="s">
        <v>79</v>
      </c>
      <c r="H92" s="124"/>
      <c r="I92" s="13" t="s">
        <v>134</v>
      </c>
      <c r="J92" s="27">
        <f ca="1">H90*25%</f>
        <v>3.5</v>
      </c>
      <c r="S92"/>
    </row>
    <row r="93" spans="1:19" x14ac:dyDescent="0.25">
      <c r="A93" s="117" t="s">
        <v>121</v>
      </c>
      <c r="B93" s="118"/>
      <c r="C93" s="100">
        <f ca="1">J94</f>
        <v>14</v>
      </c>
      <c r="D93" s="18">
        <f ca="1">((100/H90)*C93)/100</f>
        <v>1</v>
      </c>
      <c r="E93" s="235">
        <f ca="1">(((C94/H90*10)+(40/(D90+F90+H90)*C95)+(7.5/(H90)*C96)+(7.5/(H90)*C97)+(10/H90*C98)+(10/H90*C99)+(5/H90*C100)+(5/H90*C101)+(5/H90*C102))/100)</f>
        <v>0.34380952380952379</v>
      </c>
      <c r="F93" s="244"/>
      <c r="G93" s="235">
        <f ca="1">((((C93/H90)*20)+((C94/H90)*25)+(30/(H90+F90+D90)*C95)+(5/H90*C96)+(5/H90*C97)+(5/H90*C98)+(5/H90*C99)+(0/H90*C100)+(0/H90*C101)+(5/H90*C102))/100)</f>
        <v>0.62571428571428567</v>
      </c>
      <c r="H93" s="236"/>
      <c r="I93" s="13" t="s">
        <v>96</v>
      </c>
      <c r="J93" s="28">
        <f ca="1">H90*50%</f>
        <v>7</v>
      </c>
    </row>
    <row r="94" spans="1:19" x14ac:dyDescent="0.25">
      <c r="A94" s="117" t="s">
        <v>48</v>
      </c>
      <c r="B94" s="118"/>
      <c r="C94" s="100">
        <f ca="1">J102</f>
        <v>14</v>
      </c>
      <c r="D94" s="18">
        <f ca="1">((100/H90)*C94)/100</f>
        <v>1</v>
      </c>
      <c r="E94" s="237"/>
      <c r="F94" s="245"/>
      <c r="G94" s="237"/>
      <c r="H94" s="238"/>
      <c r="I94" s="13" t="s">
        <v>97</v>
      </c>
      <c r="J94" s="28">
        <f ca="1">H90</f>
        <v>14</v>
      </c>
      <c r="S94"/>
    </row>
    <row r="95" spans="1:19" ht="15.75" customHeight="1" x14ac:dyDescent="0.25">
      <c r="A95" s="117" t="s">
        <v>122</v>
      </c>
      <c r="B95" s="118"/>
      <c r="C95" s="100">
        <v>7</v>
      </c>
      <c r="D95" s="18">
        <f ca="1">((100/(D90+F90+H90))*C95)/100</f>
        <v>0.46666666666666673</v>
      </c>
      <c r="E95" s="237"/>
      <c r="F95" s="245"/>
      <c r="G95" s="237"/>
      <c r="H95" s="238"/>
      <c r="I95" s="13" t="s">
        <v>98</v>
      </c>
      <c r="J95" s="29">
        <f ca="1">(IF(B90&gt;1,(H90/(B90+2)),H90/4))</f>
        <v>3.5</v>
      </c>
      <c r="S95"/>
    </row>
    <row r="96" spans="1:19" ht="15.75" customHeight="1" x14ac:dyDescent="0.25">
      <c r="A96" s="117" t="s">
        <v>129</v>
      </c>
      <c r="B96" s="118" t="s">
        <v>123</v>
      </c>
      <c r="C96" s="100">
        <v>5</v>
      </c>
      <c r="D96" s="18">
        <f ca="1">((100/H90)*C96)/100</f>
        <v>0.35714285714285715</v>
      </c>
      <c r="E96" s="237"/>
      <c r="F96" s="245"/>
      <c r="G96" s="237"/>
      <c r="H96" s="238"/>
      <c r="I96" s="13" t="s">
        <v>99</v>
      </c>
      <c r="J96" s="29">
        <f ca="1">(IF(B90&gt;1,(H90/(B90+2)+J95),H90/4+J95))</f>
        <v>7</v>
      </c>
    </row>
    <row r="97" spans="1:22" ht="15.75" customHeight="1" x14ac:dyDescent="0.25">
      <c r="A97" s="117" t="s">
        <v>130</v>
      </c>
      <c r="B97" s="118" t="s">
        <v>123</v>
      </c>
      <c r="C97" s="100">
        <v>3</v>
      </c>
      <c r="D97" s="18">
        <f ca="1">((100/H90)*C97)/100</f>
        <v>0.2142857142857143</v>
      </c>
      <c r="E97" s="237"/>
      <c r="F97" s="245"/>
      <c r="G97" s="237"/>
      <c r="H97" s="238"/>
      <c r="I97" s="13" t="s">
        <v>139</v>
      </c>
      <c r="J97" s="29">
        <f>(IF(B90&gt;1,(H90/(B90+2)+J96),0))</f>
        <v>0</v>
      </c>
    </row>
    <row r="98" spans="1:22" ht="15" customHeight="1" x14ac:dyDescent="0.25">
      <c r="A98" s="117" t="s">
        <v>128</v>
      </c>
      <c r="B98" s="118" t="s">
        <v>125</v>
      </c>
      <c r="C98" s="100">
        <v>2</v>
      </c>
      <c r="D98" s="18">
        <f ca="1">((100/(H90))*C98)/100</f>
        <v>0.14285714285714288</v>
      </c>
      <c r="E98" s="237"/>
      <c r="F98" s="245"/>
      <c r="G98" s="237"/>
      <c r="H98" s="238"/>
      <c r="I98" s="13" t="s">
        <v>136</v>
      </c>
      <c r="J98" s="29">
        <f>(IF(B90&gt;2,(H90/(B90+2)+J97),0))</f>
        <v>0</v>
      </c>
    </row>
    <row r="99" spans="1:22" ht="15.75" customHeight="1" x14ac:dyDescent="0.25">
      <c r="A99" s="117" t="s">
        <v>124</v>
      </c>
      <c r="B99" s="118" t="s">
        <v>124</v>
      </c>
      <c r="C99" s="100">
        <v>0</v>
      </c>
      <c r="D99" s="18">
        <f ca="1">((100/H90)*C99)/100</f>
        <v>0</v>
      </c>
      <c r="E99" s="237"/>
      <c r="F99" s="245"/>
      <c r="G99" s="237"/>
      <c r="H99" s="238"/>
      <c r="I99" s="13" t="s">
        <v>137</v>
      </c>
      <c r="J99" s="30">
        <f>(IF(B90&gt;3,(H90/(B90+2)+J98),0))</f>
        <v>0</v>
      </c>
    </row>
    <row r="100" spans="1:22" ht="15.75" customHeight="1" x14ac:dyDescent="0.25">
      <c r="A100" s="117" t="s">
        <v>131</v>
      </c>
      <c r="B100" s="118"/>
      <c r="C100" s="100">
        <v>0</v>
      </c>
      <c r="D100" s="18">
        <f ca="1">((100/H90)*C100)/100</f>
        <v>0</v>
      </c>
      <c r="E100" s="237"/>
      <c r="F100" s="245"/>
      <c r="G100" s="237"/>
      <c r="H100" s="238"/>
      <c r="I100" s="13" t="s">
        <v>138</v>
      </c>
      <c r="J100" s="29">
        <f>(IF(B90&gt;4,(H90/(B90+2)+J99),0))</f>
        <v>0</v>
      </c>
    </row>
    <row r="101" spans="1:22" ht="15.75" customHeight="1" x14ac:dyDescent="0.25">
      <c r="A101" s="117" t="s">
        <v>126</v>
      </c>
      <c r="B101" s="118" t="s">
        <v>126</v>
      </c>
      <c r="C101" s="100">
        <v>0</v>
      </c>
      <c r="D101" s="18">
        <f ca="1">((100/(H90))*C101)/100</f>
        <v>0</v>
      </c>
      <c r="E101" s="237"/>
      <c r="F101" s="245"/>
      <c r="G101" s="237"/>
      <c r="H101" s="238"/>
      <c r="I101" s="13" t="s">
        <v>140</v>
      </c>
      <c r="J101" s="29">
        <f ca="1">(IF(B90=1,(H90/(B90+3)+J96),IF(B90=0,(H90/4+J96),IF(B90&gt;1,0))))</f>
        <v>10.5</v>
      </c>
    </row>
    <row r="102" spans="1:22" ht="16.5" thickBot="1" x14ac:dyDescent="0.3">
      <c r="A102" s="125" t="s">
        <v>127</v>
      </c>
      <c r="B102" s="126"/>
      <c r="C102" s="101">
        <v>0</v>
      </c>
      <c r="D102" s="19">
        <f ca="1">((100/(H90))*C102)/100</f>
        <v>0</v>
      </c>
      <c r="E102" s="239"/>
      <c r="F102" s="246"/>
      <c r="G102" s="239"/>
      <c r="H102" s="240"/>
      <c r="I102" s="14" t="s">
        <v>100</v>
      </c>
      <c r="J102" s="31">
        <f ca="1">(IF(B90&gt;1.5,(H90/(B90+2)+J96+MAX(0,J97-J96)+MAX(0,J98-J97)+MAX(0,J99-J98)+MAX(0,J100-J99)+MAX(0,J101-J100)),IF(B90=1,(H90/(B90+3)+J101),IF(B90=0,H90/4+J101))))</f>
        <v>14</v>
      </c>
    </row>
    <row r="103" spans="1:22" x14ac:dyDescent="0.25">
      <c r="A103" s="262" t="s">
        <v>149</v>
      </c>
      <c r="B103" s="262"/>
      <c r="C103" s="262"/>
      <c r="D103" s="262"/>
      <c r="E103" s="262"/>
      <c r="F103" s="259" t="s">
        <v>153</v>
      </c>
      <c r="G103" s="259"/>
      <c r="H103" s="259"/>
      <c r="R103" t="s">
        <v>241</v>
      </c>
      <c r="S103" t="s">
        <v>163</v>
      </c>
      <c r="T103" t="s">
        <v>169</v>
      </c>
      <c r="U103" t="s">
        <v>183</v>
      </c>
      <c r="V103" t="s">
        <v>178</v>
      </c>
    </row>
    <row r="104" spans="1:22" x14ac:dyDescent="0.25">
      <c r="A104" s="133" t="s">
        <v>151</v>
      </c>
      <c r="B104" s="133"/>
      <c r="C104" s="133"/>
      <c r="D104" s="133"/>
      <c r="E104" s="133"/>
      <c r="F104" s="136">
        <v>6500</v>
      </c>
      <c r="G104" s="136"/>
      <c r="H104" s="136"/>
      <c r="R104"/>
      <c r="S104">
        <v>800000</v>
      </c>
      <c r="T104">
        <v>150000</v>
      </c>
      <c r="U104">
        <v>100000</v>
      </c>
      <c r="V104">
        <v>100000</v>
      </c>
    </row>
    <row r="105" spans="1:22" hidden="1" x14ac:dyDescent="0.25">
      <c r="A105" s="133" t="s">
        <v>150</v>
      </c>
      <c r="B105" s="133"/>
      <c r="C105" s="133"/>
      <c r="D105" s="133"/>
      <c r="E105" s="133"/>
      <c r="F105" s="136"/>
      <c r="G105" s="136"/>
      <c r="H105" s="136"/>
      <c r="R105"/>
      <c r="S105">
        <v>900000</v>
      </c>
      <c r="T105">
        <v>200000</v>
      </c>
      <c r="U105">
        <v>150000</v>
      </c>
      <c r="V105">
        <v>150000</v>
      </c>
    </row>
    <row r="106" spans="1:22" hidden="1" x14ac:dyDescent="0.25">
      <c r="A106" s="133" t="s">
        <v>152</v>
      </c>
      <c r="B106" s="133"/>
      <c r="C106" s="133"/>
      <c r="D106" s="133"/>
      <c r="E106" s="133"/>
      <c r="F106" s="136"/>
      <c r="G106" s="136"/>
      <c r="H106" s="136"/>
      <c r="R106"/>
      <c r="S106">
        <v>1000000</v>
      </c>
      <c r="T106">
        <v>250000</v>
      </c>
      <c r="U106">
        <v>200000</v>
      </c>
      <c r="V106">
        <v>200000</v>
      </c>
    </row>
    <row r="107" spans="1:22" s="32" customFormat="1" hidden="1" x14ac:dyDescent="0.25">
      <c r="A107" s="133" t="s">
        <v>165</v>
      </c>
      <c r="B107" s="133"/>
      <c r="C107" s="133"/>
      <c r="D107" s="133"/>
      <c r="E107" s="133"/>
      <c r="F107" s="136"/>
      <c r="G107" s="136"/>
      <c r="H107" s="136"/>
      <c r="R107"/>
      <c r="S107">
        <v>1100000</v>
      </c>
      <c r="T107">
        <v>300000</v>
      </c>
      <c r="U107">
        <v>250000</v>
      </c>
      <c r="V107" s="22">
        <v>250000</v>
      </c>
    </row>
    <row r="108" spans="1:22" s="32" customFormat="1" hidden="1" x14ac:dyDescent="0.25">
      <c r="A108" s="133" t="s">
        <v>90</v>
      </c>
      <c r="B108" s="133"/>
      <c r="C108" s="133"/>
      <c r="D108" s="133"/>
      <c r="E108" s="133"/>
      <c r="F108" s="136"/>
      <c r="G108" s="136"/>
      <c r="H108" s="136"/>
      <c r="R108"/>
      <c r="S108">
        <v>1200000</v>
      </c>
      <c r="T108">
        <v>350000</v>
      </c>
      <c r="U108">
        <v>300000</v>
      </c>
      <c r="V108">
        <v>300000</v>
      </c>
    </row>
    <row r="109" spans="1:22" s="32" customFormat="1" hidden="1" x14ac:dyDescent="0.25">
      <c r="A109" s="133" t="s">
        <v>91</v>
      </c>
      <c r="B109" s="133"/>
      <c r="C109" s="133"/>
      <c r="D109" s="133"/>
      <c r="E109" s="133"/>
      <c r="F109" s="136"/>
      <c r="G109" s="136"/>
      <c r="H109" s="136"/>
      <c r="R109"/>
      <c r="S109">
        <v>1300000</v>
      </c>
      <c r="T109">
        <v>400000</v>
      </c>
      <c r="U109">
        <v>350000</v>
      </c>
      <c r="V109" s="22">
        <v>400000</v>
      </c>
    </row>
    <row r="110" spans="1:22" s="32" customFormat="1" hidden="1" x14ac:dyDescent="0.25">
      <c r="A110" s="133" t="s">
        <v>92</v>
      </c>
      <c r="B110" s="133"/>
      <c r="C110" s="133"/>
      <c r="D110" s="133"/>
      <c r="E110" s="133"/>
      <c r="F110" s="136"/>
      <c r="G110" s="136"/>
      <c r="H110" s="136"/>
      <c r="R110"/>
      <c r="S110">
        <v>1400000</v>
      </c>
      <c r="T110">
        <v>500000</v>
      </c>
      <c r="U110">
        <v>400000</v>
      </c>
      <c r="V110"/>
    </row>
    <row r="111" spans="1:22" s="32" customFormat="1" hidden="1" x14ac:dyDescent="0.25">
      <c r="A111" s="133" t="s">
        <v>93</v>
      </c>
      <c r="B111" s="133"/>
      <c r="C111" s="133"/>
      <c r="D111" s="133"/>
      <c r="E111" s="133"/>
      <c r="F111" s="136"/>
      <c r="G111" s="136"/>
      <c r="H111" s="136"/>
      <c r="R111"/>
      <c r="S111">
        <v>1500000</v>
      </c>
      <c r="T111">
        <v>600000</v>
      </c>
      <c r="U111">
        <v>500000</v>
      </c>
      <c r="V111" s="22"/>
    </row>
    <row r="112" spans="1:22" s="32" customFormat="1" hidden="1" x14ac:dyDescent="0.25">
      <c r="A112" s="133" t="s">
        <v>94</v>
      </c>
      <c r="B112" s="133"/>
      <c r="C112" s="133"/>
      <c r="D112" s="133"/>
      <c r="E112" s="133"/>
      <c r="F112" s="136"/>
      <c r="G112" s="136"/>
      <c r="H112" s="136"/>
      <c r="R112"/>
      <c r="S112">
        <v>1600000</v>
      </c>
      <c r="T112">
        <v>700000</v>
      </c>
      <c r="U112">
        <v>600000</v>
      </c>
      <c r="V112"/>
    </row>
    <row r="113" spans="1:22" s="32" customFormat="1" hidden="1" x14ac:dyDescent="0.25">
      <c r="A113" s="133" t="s">
        <v>95</v>
      </c>
      <c r="B113" s="133"/>
      <c r="C113" s="133"/>
      <c r="D113" s="133"/>
      <c r="E113" s="133"/>
      <c r="F113" s="136"/>
      <c r="G113" s="136"/>
      <c r="H113" s="136"/>
      <c r="R113"/>
      <c r="S113">
        <v>1700000</v>
      </c>
      <c r="T113">
        <v>800000</v>
      </c>
      <c r="U113"/>
      <c r="V113" s="22"/>
    </row>
    <row r="114" spans="1:22" x14ac:dyDescent="0.25">
      <c r="A114" s="133" t="s">
        <v>49</v>
      </c>
      <c r="B114" s="133"/>
      <c r="C114" s="133"/>
      <c r="D114" s="133"/>
      <c r="E114" s="133"/>
      <c r="F114" s="136">
        <v>400000</v>
      </c>
      <c r="G114" s="136"/>
      <c r="H114" s="136"/>
      <c r="R114"/>
      <c r="S114">
        <v>1800000</v>
      </c>
      <c r="T114">
        <v>900000</v>
      </c>
      <c r="U114"/>
    </row>
    <row r="115" spans="1:22" s="33" customFormat="1" x14ac:dyDescent="0.25">
      <c r="A115" s="164" t="s">
        <v>50</v>
      </c>
      <c r="B115" s="164"/>
      <c r="C115" s="164"/>
      <c r="D115" s="164"/>
      <c r="E115" s="164"/>
      <c r="F115" s="136">
        <f>F104*0.8</f>
        <v>5200</v>
      </c>
      <c r="G115" s="136"/>
      <c r="H115" s="136"/>
      <c r="R115" s="20"/>
      <c r="S115" s="20"/>
      <c r="T115">
        <v>1000000</v>
      </c>
      <c r="U115"/>
      <c r="V115" s="20"/>
    </row>
    <row r="116" spans="1:22" s="34" customFormat="1" x14ac:dyDescent="0.25">
      <c r="A116" s="166" t="s">
        <v>66</v>
      </c>
      <c r="B116" s="166"/>
      <c r="C116" s="166"/>
      <c r="D116" s="166"/>
      <c r="E116" s="166"/>
      <c r="F116" s="166"/>
      <c r="G116" s="166"/>
      <c r="H116" s="166"/>
      <c r="T116"/>
    </row>
    <row r="117" spans="1:22" s="34" customFormat="1" ht="15.75" customHeight="1" x14ac:dyDescent="0.25">
      <c r="A117" s="256" t="s">
        <v>51</v>
      </c>
      <c r="B117" s="256"/>
      <c r="C117" s="141" t="s">
        <v>73</v>
      </c>
      <c r="D117" s="141"/>
      <c r="E117" s="127" t="s">
        <v>52</v>
      </c>
      <c r="F117" s="127"/>
      <c r="G117" s="150" t="s">
        <v>53</v>
      </c>
      <c r="H117" s="150"/>
      <c r="T117"/>
    </row>
    <row r="118" spans="1:22" s="34" customFormat="1" x14ac:dyDescent="0.25">
      <c r="A118" s="165" t="s">
        <v>378</v>
      </c>
      <c r="B118" s="165"/>
      <c r="C118" s="158">
        <f>COUNT(D128:D133)+COUNT(D135:D140)+COUNT(D142:D147)+COUNT(D149:D154)*8+COUNT(D156:D158,D160:D161)*2+COUNT(D165:D168)</f>
        <v>80</v>
      </c>
      <c r="D118" s="158"/>
      <c r="E118" s="158">
        <f t="shared" ref="E118" si="0">SUM(F128:F133)+SUM(F135:F140)+SUM(F142:F147)+SUM(F149:F154)*8+SUM(F156:F158,F160:F161)*2+SUM(F165:F168)</f>
        <v>44454.781799999997</v>
      </c>
      <c r="F118" s="158"/>
      <c r="G118" s="158">
        <f t="shared" ref="G118" si="1">SUM(H128:H133)+SUM(H135:H140)+SUM(H142:H147)+SUM(H149:H154)*8+SUM(H156:H158,H160:H161)*2+SUM(H165:H168)</f>
        <v>66837.712500000009</v>
      </c>
      <c r="H118" s="158"/>
      <c r="I118" s="99"/>
      <c r="T118"/>
    </row>
    <row r="119" spans="1:22" s="34" customFormat="1" x14ac:dyDescent="0.25">
      <c r="A119" s="165" t="s">
        <v>384</v>
      </c>
      <c r="B119" s="165"/>
      <c r="C119" s="158">
        <f>COUNT(D172:D177)+COUNT(D179:D184)+COUNT(D186:D191)+COUNT(D193:D198)*8+COUNT(D200:D202,D204:D205)*2+COUNT(D209:D212)</f>
        <v>80</v>
      </c>
      <c r="D119" s="158"/>
      <c r="E119" s="158">
        <f>SUM(F172:F177)+SUM(F179:F184)+SUM(F186:F191)+SUM(F193:F198)*8+SUM(F200:F202,F204:F205)*2+SUM(F209:F212)</f>
        <v>44454.781799999997</v>
      </c>
      <c r="F119" s="158"/>
      <c r="G119" s="158">
        <f>SUM(H172:H177)+SUM(H179:H184)+SUM(H186:H191)+SUM(H193:H198)*8+SUM(H200:H202,H204:H205)*2+SUM(H209:H212)</f>
        <v>66840.941699999996</v>
      </c>
      <c r="H119" s="158"/>
      <c r="I119" s="99"/>
      <c r="T119"/>
    </row>
    <row r="120" spans="1:22" s="34" customFormat="1" x14ac:dyDescent="0.25">
      <c r="A120" s="166" t="s">
        <v>143</v>
      </c>
      <c r="B120" s="166"/>
      <c r="C120" s="151">
        <f>SUM(C118:C119)</f>
        <v>160</v>
      </c>
      <c r="D120" s="141"/>
      <c r="E120" s="247">
        <f>SUM(E118:E119)</f>
        <v>88909.563599999994</v>
      </c>
      <c r="F120" s="127"/>
      <c r="G120" s="150">
        <f>SUM(G118:G119)</f>
        <v>133678.65419999999</v>
      </c>
      <c r="H120" s="150"/>
      <c r="T120"/>
    </row>
    <row r="121" spans="1:22" s="33" customFormat="1" x14ac:dyDescent="0.25">
      <c r="A121" s="128" t="s">
        <v>342</v>
      </c>
      <c r="B121" s="128"/>
      <c r="C121" s="128"/>
      <c r="D121" s="128"/>
      <c r="E121" s="128"/>
      <c r="F121" s="128"/>
      <c r="G121" s="128"/>
      <c r="H121" s="128"/>
      <c r="T121" s="34"/>
    </row>
    <row r="122" spans="1:22" x14ac:dyDescent="0.25">
      <c r="A122" s="137" t="s">
        <v>397</v>
      </c>
      <c r="B122" s="137"/>
      <c r="C122" s="137"/>
      <c r="D122" s="137"/>
      <c r="E122" s="137"/>
      <c r="F122" s="137"/>
      <c r="G122" s="137"/>
      <c r="H122" s="137"/>
      <c r="T122" s="34"/>
    </row>
    <row r="123" spans="1:22" ht="47.25" customHeight="1" x14ac:dyDescent="0.25">
      <c r="A123" s="129" t="s">
        <v>398</v>
      </c>
      <c r="B123" s="131" t="s">
        <v>166</v>
      </c>
      <c r="C123" s="131" t="s">
        <v>54</v>
      </c>
      <c r="D123" s="131" t="s">
        <v>363</v>
      </c>
      <c r="E123" s="131" t="s">
        <v>383</v>
      </c>
      <c r="F123" s="131" t="s">
        <v>55</v>
      </c>
      <c r="G123" s="242" t="s">
        <v>56</v>
      </c>
      <c r="H123" s="97" t="s">
        <v>142</v>
      </c>
      <c r="I123" s="96">
        <f>10.764</f>
        <v>10.763999999999999</v>
      </c>
      <c r="T123" s="36"/>
    </row>
    <row r="124" spans="1:22" s="36" customFormat="1" x14ac:dyDescent="0.25">
      <c r="A124" s="130"/>
      <c r="B124" s="132"/>
      <c r="C124" s="132"/>
      <c r="D124" s="132"/>
      <c r="E124" s="132"/>
      <c r="F124" s="132"/>
      <c r="G124" s="243"/>
      <c r="H124" s="98">
        <v>0.5</v>
      </c>
      <c r="I124" s="35"/>
    </row>
    <row r="125" spans="1:22" s="93" customFormat="1" x14ac:dyDescent="0.25">
      <c r="A125" s="110" t="s">
        <v>378</v>
      </c>
      <c r="B125" s="111"/>
      <c r="C125" s="111"/>
      <c r="D125" s="111"/>
      <c r="E125" s="111"/>
      <c r="F125" s="111"/>
      <c r="G125" s="111"/>
      <c r="H125" s="112"/>
      <c r="J125" s="35"/>
    </row>
    <row r="126" spans="1:22" s="93" customFormat="1" x14ac:dyDescent="0.25">
      <c r="A126" s="110" t="s">
        <v>379</v>
      </c>
      <c r="B126" s="111"/>
      <c r="C126" s="111"/>
      <c r="D126" s="111"/>
      <c r="E126" s="111"/>
      <c r="F126" s="111"/>
      <c r="G126" s="111"/>
      <c r="H126" s="112"/>
      <c r="J126" s="35"/>
    </row>
    <row r="127" spans="1:22" s="36" customFormat="1" x14ac:dyDescent="0.25">
      <c r="A127" s="110" t="s">
        <v>430</v>
      </c>
      <c r="B127" s="111"/>
      <c r="C127" s="111"/>
      <c r="D127" s="111"/>
      <c r="E127" s="111"/>
      <c r="F127" s="111"/>
      <c r="G127" s="111"/>
      <c r="H127" s="112"/>
      <c r="I127" s="36">
        <f>1</f>
        <v>1</v>
      </c>
      <c r="J127" s="35"/>
    </row>
    <row r="128" spans="1:22" s="36" customFormat="1" ht="15.75" customHeight="1" x14ac:dyDescent="0.25">
      <c r="A128" s="102">
        <v>1</v>
      </c>
      <c r="B128" s="103"/>
      <c r="C128" s="41" t="s">
        <v>381</v>
      </c>
      <c r="D128" s="96">
        <f>(56.81)*(10.764)</f>
        <v>611.50283999999999</v>
      </c>
      <c r="E128" s="96">
        <f>(6.59+2.07)*(10.764)</f>
        <v>93.216239999999999</v>
      </c>
      <c r="F128" s="41">
        <f t="shared" ref="F128:F133" si="2">D128+E128</f>
        <v>704.71907999999996</v>
      </c>
      <c r="G128" s="41">
        <v>0</v>
      </c>
      <c r="H128" s="41">
        <f t="shared" ref="H128:H133" si="3">F128*(($H$124)+1)+(IF(G128&lt;101,G128,IF(G128&lt;201,G128/2,IF(G128&lt;=301,G128/3,G128/4))))</f>
        <v>1057.07862</v>
      </c>
      <c r="I128" s="35">
        <f>2.98*5.94+2.36*3.82+2.9*3.96+2.74*3.05+1.15*2.13+1.22*1.68+1.22*0.45+0.99*2.66</f>
        <v>54.238900000000001</v>
      </c>
      <c r="J128" s="36">
        <f>2.07</f>
        <v>2.0699999999999998</v>
      </c>
      <c r="K128" s="36">
        <f>2.98*1.1+2.9*1.1</f>
        <v>6.468</v>
      </c>
      <c r="L128" s="255">
        <f>I128-J128</f>
        <v>52.168900000000001</v>
      </c>
      <c r="M128" s="255"/>
      <c r="N128" s="35"/>
    </row>
    <row r="129" spans="1:20" s="36" customFormat="1" ht="15.75" customHeight="1" x14ac:dyDescent="0.25">
      <c r="A129" s="102">
        <f>A128+1</f>
        <v>2</v>
      </c>
      <c r="B129" s="103"/>
      <c r="C129" s="41" t="s">
        <v>382</v>
      </c>
      <c r="D129" s="96">
        <f>(37.99)*(10.764)</f>
        <v>408.92435999999998</v>
      </c>
      <c r="E129" s="96">
        <f>(3.06+2.07)*(10.764)</f>
        <v>55.219319999999996</v>
      </c>
      <c r="F129" s="41">
        <f t="shared" si="2"/>
        <v>464.14367999999996</v>
      </c>
      <c r="G129" s="41">
        <v>0</v>
      </c>
      <c r="H129" s="41">
        <f t="shared" si="3"/>
        <v>696.21551999999997</v>
      </c>
      <c r="I129" s="35">
        <f>2.74*4.57+2.29*3.37+2.74*2.9+1.22*(1.98+1.68)+1.76*0.6+1.22*0.75+0.99*2.59</f>
        <v>37.185400000000001</v>
      </c>
      <c r="J129" s="36">
        <f>2.07</f>
        <v>2.0699999999999998</v>
      </c>
      <c r="K129" s="36">
        <f>2.74*1.1</f>
        <v>3.0140000000000007</v>
      </c>
      <c r="L129" s="255">
        <f>I129-J129</f>
        <v>35.115400000000001</v>
      </c>
      <c r="M129" s="255"/>
      <c r="N129" s="35"/>
    </row>
    <row r="130" spans="1:20" s="36" customFormat="1" ht="15.75" customHeight="1" x14ac:dyDescent="0.25">
      <c r="A130" s="102">
        <f>A129+1</f>
        <v>3</v>
      </c>
      <c r="B130" s="103"/>
      <c r="C130" s="41" t="s">
        <v>382</v>
      </c>
      <c r="D130" s="96">
        <f>(37.99)*(10.764)</f>
        <v>408.92435999999998</v>
      </c>
      <c r="E130" s="96">
        <f>(3.06+2.07)*(10.764)</f>
        <v>55.219319999999996</v>
      </c>
      <c r="F130" s="41">
        <f t="shared" si="2"/>
        <v>464.14367999999996</v>
      </c>
      <c r="G130" s="41">
        <v>0</v>
      </c>
      <c r="H130" s="41">
        <f t="shared" si="3"/>
        <v>696.21551999999997</v>
      </c>
      <c r="I130" s="35"/>
      <c r="L130" s="115"/>
      <c r="M130" s="115"/>
      <c r="N130" s="35"/>
    </row>
    <row r="131" spans="1:20" s="36" customFormat="1" ht="15.75" customHeight="1" x14ac:dyDescent="0.25">
      <c r="A131" s="102">
        <f>A130+1</f>
        <v>4</v>
      </c>
      <c r="B131" s="103"/>
      <c r="C131" s="41" t="s">
        <v>382</v>
      </c>
      <c r="D131" s="96">
        <f>(38.77)*(10.764)</f>
        <v>417.32028000000003</v>
      </c>
      <c r="E131" s="96">
        <f>(2.72+2.07)*(10.764)</f>
        <v>51.559559999999998</v>
      </c>
      <c r="F131" s="41">
        <f t="shared" si="2"/>
        <v>468.87984</v>
      </c>
      <c r="G131" s="41">
        <v>0</v>
      </c>
      <c r="H131" s="41">
        <f t="shared" si="3"/>
        <v>703.31975999999997</v>
      </c>
      <c r="I131" s="35">
        <f>2.74*4.72+2.36*3.37+2.74*2.9+1.22*(1.98+1.83)+1.83*0.66+1.22*0.45+0.9*2.66</f>
        <v>37.631</v>
      </c>
      <c r="L131" s="115"/>
      <c r="M131" s="115"/>
      <c r="N131" s="35"/>
      <c r="T131" s="20"/>
    </row>
    <row r="132" spans="1:20" s="93" customFormat="1" ht="15.75" customHeight="1" x14ac:dyDescent="0.25">
      <c r="A132" s="102">
        <f>A131+1</f>
        <v>5</v>
      </c>
      <c r="B132" s="103"/>
      <c r="C132" s="92" t="s">
        <v>381</v>
      </c>
      <c r="D132" s="96">
        <f>(51.04)*(10.764)</f>
        <v>549.39455999999996</v>
      </c>
      <c r="E132" s="96">
        <f>(4.47)*(10.764)</f>
        <v>48.115079999999992</v>
      </c>
      <c r="F132" s="92">
        <f t="shared" si="2"/>
        <v>597.50963999999999</v>
      </c>
      <c r="G132" s="92">
        <v>0</v>
      </c>
      <c r="H132" s="92">
        <f t="shared" si="3"/>
        <v>896.26445999999999</v>
      </c>
      <c r="I132" s="35"/>
      <c r="L132" s="115"/>
      <c r="M132" s="115"/>
      <c r="N132" s="35"/>
    </row>
    <row r="133" spans="1:20" s="93" customFormat="1" ht="15.75" customHeight="1" x14ac:dyDescent="0.25">
      <c r="A133" s="102">
        <f>A132+1</f>
        <v>6</v>
      </c>
      <c r="B133" s="103"/>
      <c r="C133" s="92" t="s">
        <v>381</v>
      </c>
      <c r="D133" s="96">
        <f>(51.04)*(10.764)</f>
        <v>549.39455999999996</v>
      </c>
      <c r="E133" s="96">
        <f>(4.47)*(10.764)</f>
        <v>48.115079999999992</v>
      </c>
      <c r="F133" s="92">
        <f t="shared" si="2"/>
        <v>597.50963999999999</v>
      </c>
      <c r="G133" s="92">
        <v>0</v>
      </c>
      <c r="H133" s="92">
        <f t="shared" si="3"/>
        <v>896.26445999999999</v>
      </c>
      <c r="I133" s="35"/>
      <c r="J133" s="93">
        <f>2.83*4.96+2.44*3.74+2.74*3.14+2.74*3.05+1.98*0.6+2.13*1.22+2.85+1.22*1.84+1.3*0.45+1.84*0.42+1.66*1.14</f>
        <v>52.254599999999996</v>
      </c>
      <c r="K133" s="93">
        <f>2.44*0.9+2.74*0.9</f>
        <v>4.6620000000000008</v>
      </c>
      <c r="L133" s="115">
        <f>J133-K133</f>
        <v>47.592599999999997</v>
      </c>
      <c r="M133" s="115"/>
      <c r="N133" s="35"/>
      <c r="T133" s="20"/>
    </row>
    <row r="134" spans="1:20" s="36" customFormat="1" x14ac:dyDescent="0.25">
      <c r="A134" s="114" t="s">
        <v>385</v>
      </c>
      <c r="B134" s="114"/>
      <c r="C134" s="114"/>
      <c r="D134" s="114"/>
      <c r="E134" s="114"/>
      <c r="F134" s="114"/>
      <c r="G134" s="114"/>
      <c r="H134" s="114"/>
      <c r="I134" s="35">
        <f>1</f>
        <v>1</v>
      </c>
      <c r="L134" s="115"/>
      <c r="M134" s="115"/>
    </row>
    <row r="135" spans="1:20" s="36" customFormat="1" x14ac:dyDescent="0.25">
      <c r="A135" s="116">
        <v>1</v>
      </c>
      <c r="B135" s="116"/>
      <c r="C135" s="92" t="s">
        <v>381</v>
      </c>
      <c r="D135" s="96">
        <f>(51.88)*(10.764)</f>
        <v>558.43632000000002</v>
      </c>
      <c r="E135" s="96">
        <f>(2.74)*(10.764)</f>
        <v>29.493359999999999</v>
      </c>
      <c r="F135" s="41">
        <f t="shared" ref="F135:F140" si="4">D135+E135</f>
        <v>587.92968000000008</v>
      </c>
      <c r="G135" s="96">
        <f>(11.22)*(10.764)</f>
        <v>120.77208</v>
      </c>
      <c r="H135" s="41">
        <f t="shared" ref="H135:H140" si="5">F135*(($H$124)+1)+(IF(G135&lt;101,G135,IF(G135&lt;201,G135/2,IF(G135&lt;=301,G135/3,G135/4))))</f>
        <v>942.28056000000004</v>
      </c>
      <c r="I135" s="254"/>
      <c r="J135" s="36">
        <f>2.98*2.1+2.9*1.65</f>
        <v>11.042999999999999</v>
      </c>
      <c r="N135" s="35"/>
    </row>
    <row r="136" spans="1:20" s="36" customFormat="1" x14ac:dyDescent="0.25">
      <c r="A136" s="116">
        <f>A135+1</f>
        <v>2</v>
      </c>
      <c r="B136" s="116"/>
      <c r="C136" s="92" t="s">
        <v>382</v>
      </c>
      <c r="D136" s="96">
        <f>(37.99)*(10.764)</f>
        <v>408.92435999999998</v>
      </c>
      <c r="E136" s="96">
        <f>(3.06+2.07)*(10.764)</f>
        <v>55.219319999999996</v>
      </c>
      <c r="F136" s="41">
        <f t="shared" si="4"/>
        <v>464.14367999999996</v>
      </c>
      <c r="G136" s="96">
        <f>0*(10.764)</f>
        <v>0</v>
      </c>
      <c r="H136" s="41">
        <f t="shared" si="5"/>
        <v>696.21551999999997</v>
      </c>
      <c r="I136" s="35">
        <f>2.74*4.57+2.29*3.37+2.74*2.9+1.22*(1.98+1.68)+1.76*0.6+1.22*0.75+0.99*2.59</f>
        <v>37.185400000000001</v>
      </c>
      <c r="J136" s="36">
        <f>4408000/H136</f>
        <v>6331.3727910001207</v>
      </c>
      <c r="K136" s="36">
        <f>4700000/H136</f>
        <v>6750.7831482986767</v>
      </c>
      <c r="N136" s="35"/>
    </row>
    <row r="137" spans="1:20" s="36" customFormat="1" x14ac:dyDescent="0.25">
      <c r="A137" s="116">
        <f>A136+1</f>
        <v>3</v>
      </c>
      <c r="B137" s="116"/>
      <c r="C137" s="92" t="s">
        <v>382</v>
      </c>
      <c r="D137" s="96">
        <f>(37.99)*(10.764)</f>
        <v>408.92435999999998</v>
      </c>
      <c r="E137" s="96">
        <f>(3.06+2.07)*(10.764)</f>
        <v>55.219319999999996</v>
      </c>
      <c r="F137" s="41">
        <f t="shared" si="4"/>
        <v>464.14367999999996</v>
      </c>
      <c r="G137" s="96">
        <f>0*(10.764)</f>
        <v>0</v>
      </c>
      <c r="H137" s="41">
        <f t="shared" si="5"/>
        <v>696.21551999999997</v>
      </c>
      <c r="I137" s="35"/>
      <c r="N137" s="35"/>
    </row>
    <row r="138" spans="1:20" s="36" customFormat="1" x14ac:dyDescent="0.25">
      <c r="A138" s="116">
        <f>A137+1</f>
        <v>4</v>
      </c>
      <c r="B138" s="116"/>
      <c r="C138" s="92" t="s">
        <v>382</v>
      </c>
      <c r="D138" s="96">
        <f>(38.77)*(10.764)</f>
        <v>417.32028000000003</v>
      </c>
      <c r="E138" s="96">
        <f>(2.72+2.07)*(10.764)</f>
        <v>51.559559999999998</v>
      </c>
      <c r="F138" s="41">
        <f t="shared" si="4"/>
        <v>468.87984</v>
      </c>
      <c r="G138" s="96">
        <f>0*(10.764)</f>
        <v>0</v>
      </c>
      <c r="H138" s="41">
        <f t="shared" si="5"/>
        <v>703.31975999999997</v>
      </c>
      <c r="I138" s="35"/>
      <c r="N138" s="35"/>
    </row>
    <row r="139" spans="1:20" s="36" customFormat="1" x14ac:dyDescent="0.25">
      <c r="A139" s="116">
        <f>A138+1</f>
        <v>5</v>
      </c>
      <c r="B139" s="116"/>
      <c r="C139" s="92" t="s">
        <v>381</v>
      </c>
      <c r="D139" s="96">
        <f>(51.04)*(10.764)</f>
        <v>549.39455999999996</v>
      </c>
      <c r="E139" s="96">
        <f>(4.47)*(10.764)</f>
        <v>48.115079999999992</v>
      </c>
      <c r="F139" s="41">
        <f>D139+E139</f>
        <v>597.50963999999999</v>
      </c>
      <c r="G139" s="96">
        <f>0*(10.764)</f>
        <v>0</v>
      </c>
      <c r="H139" s="41">
        <f t="shared" si="5"/>
        <v>896.26445999999999</v>
      </c>
      <c r="I139" s="35"/>
      <c r="J139" s="36">
        <f>5548000/H139</f>
        <v>6190.1372280230771</v>
      </c>
      <c r="N139" s="35"/>
    </row>
    <row r="140" spans="1:20" s="93" customFormat="1" x14ac:dyDescent="0.25">
      <c r="A140" s="116">
        <f>A139+1</f>
        <v>6</v>
      </c>
      <c r="B140" s="116"/>
      <c r="C140" s="92" t="s">
        <v>381</v>
      </c>
      <c r="D140" s="96">
        <f>(51.04)*(10.764)</f>
        <v>549.39455999999996</v>
      </c>
      <c r="E140" s="96">
        <f>(4.47)*(10.764)</f>
        <v>48.115079999999992</v>
      </c>
      <c r="F140" s="92">
        <f t="shared" si="4"/>
        <v>597.50963999999999</v>
      </c>
      <c r="G140" s="96">
        <f>0*(10.764)</f>
        <v>0</v>
      </c>
      <c r="H140" s="92">
        <f t="shared" si="5"/>
        <v>896.26445999999999</v>
      </c>
      <c r="I140" s="35"/>
      <c r="N140" s="35"/>
    </row>
    <row r="141" spans="1:20" s="36" customFormat="1" ht="15.75" customHeight="1" x14ac:dyDescent="0.25">
      <c r="A141" s="110" t="s">
        <v>386</v>
      </c>
      <c r="B141" s="111"/>
      <c r="C141" s="111"/>
      <c r="D141" s="111"/>
      <c r="E141" s="111"/>
      <c r="F141" s="111"/>
      <c r="G141" s="111"/>
      <c r="H141" s="112"/>
      <c r="I141" s="35">
        <f>1</f>
        <v>1</v>
      </c>
    </row>
    <row r="142" spans="1:20" s="36" customFormat="1" ht="15.75" customHeight="1" x14ac:dyDescent="0.25">
      <c r="A142" s="102">
        <v>1</v>
      </c>
      <c r="B142" s="103"/>
      <c r="C142" s="92" t="s">
        <v>381</v>
      </c>
      <c r="D142" s="96">
        <f>(50.71)*(10.764)</f>
        <v>545.84244000000001</v>
      </c>
      <c r="E142" s="96">
        <f>(2.07)*(10.764)</f>
        <v>22.281479999999998</v>
      </c>
      <c r="F142" s="41">
        <f t="shared" ref="F142:F147" si="6">D142+E142</f>
        <v>568.12392</v>
      </c>
      <c r="G142" s="96">
        <f>0*(10.764)</f>
        <v>0</v>
      </c>
      <c r="H142" s="41">
        <f t="shared" ref="H142:H147" si="7">F142*(($H$124)+1)+(IF(G142&lt;101,G142,IF(G142&lt;201,G142/2,IF(G142&lt;=301,G142/3,G142/4))))</f>
        <v>852.18588</v>
      </c>
      <c r="I142" s="35"/>
      <c r="M142" s="36">
        <f>6500*H142</f>
        <v>5539208.2199999997</v>
      </c>
    </row>
    <row r="143" spans="1:20" s="36" customFormat="1" ht="15.75" customHeight="1" x14ac:dyDescent="0.25">
      <c r="A143" s="102">
        <v>2</v>
      </c>
      <c r="B143" s="103"/>
      <c r="C143" s="92" t="s">
        <v>391</v>
      </c>
      <c r="D143" s="96">
        <f>(43.28)*(10.764)</f>
        <v>465.86591999999996</v>
      </c>
      <c r="E143" s="96">
        <f>(2.07)*(10.764)</f>
        <v>22.281479999999998</v>
      </c>
      <c r="F143" s="41">
        <f t="shared" si="6"/>
        <v>488.14739999999995</v>
      </c>
      <c r="G143" s="96">
        <f>(3.06)*(10.764)</f>
        <v>32.937840000000001</v>
      </c>
      <c r="H143" s="41">
        <f t="shared" si="7"/>
        <v>765.15894000000003</v>
      </c>
      <c r="I143" s="35">
        <f>2.74*4.57+2.29*3.37+2.74*3.51+1.83*2.13+1.22*(1.96+1.78)+0.99*2.59</f>
        <v>40.88130000000001</v>
      </c>
      <c r="M143" s="94">
        <f t="shared" ref="M143:M147" si="8">6500*H143</f>
        <v>4973533.1100000003</v>
      </c>
    </row>
    <row r="144" spans="1:20" s="36" customFormat="1" ht="15.75" customHeight="1" x14ac:dyDescent="0.25">
      <c r="A144" s="102">
        <v>3</v>
      </c>
      <c r="B144" s="103"/>
      <c r="C144" s="92" t="s">
        <v>391</v>
      </c>
      <c r="D144" s="96">
        <f>(43.28)*(10.764)</f>
        <v>465.86591999999996</v>
      </c>
      <c r="E144" s="96">
        <f>(2.07)*(10.764)</f>
        <v>22.281479999999998</v>
      </c>
      <c r="F144" s="41">
        <f t="shared" si="6"/>
        <v>488.14739999999995</v>
      </c>
      <c r="G144" s="96">
        <f>(3.06)*(10.764)</f>
        <v>32.937840000000001</v>
      </c>
      <c r="H144" s="41">
        <f t="shared" si="7"/>
        <v>765.15894000000003</v>
      </c>
      <c r="I144" s="35"/>
      <c r="M144" s="94">
        <f t="shared" si="8"/>
        <v>4973533.1100000003</v>
      </c>
    </row>
    <row r="145" spans="1:13" s="36" customFormat="1" ht="15.75" customHeight="1" x14ac:dyDescent="0.25">
      <c r="A145" s="102">
        <v>4</v>
      </c>
      <c r="B145" s="103"/>
      <c r="C145" s="92" t="s">
        <v>391</v>
      </c>
      <c r="D145" s="96">
        <f>(44.02)*(10.764)</f>
        <v>473.83127999999999</v>
      </c>
      <c r="E145" s="96">
        <f>(2.07)*(10.764)</f>
        <v>22.281479999999998</v>
      </c>
      <c r="F145" s="41">
        <f t="shared" si="6"/>
        <v>496.11275999999998</v>
      </c>
      <c r="G145" s="96">
        <f>(2.72)*(10.764)</f>
        <v>29.278079999999999</v>
      </c>
      <c r="H145" s="41">
        <f t="shared" si="7"/>
        <v>773.44722000000002</v>
      </c>
      <c r="I145" s="35"/>
      <c r="J145" s="36">
        <f>4759000/H145</f>
        <v>6152.9731789584812</v>
      </c>
      <c r="M145" s="94">
        <f t="shared" si="8"/>
        <v>5027406.93</v>
      </c>
    </row>
    <row r="146" spans="1:13" s="36" customFormat="1" ht="15.75" customHeight="1" x14ac:dyDescent="0.25">
      <c r="A146" s="102">
        <v>5</v>
      </c>
      <c r="B146" s="103"/>
      <c r="C146" s="92" t="s">
        <v>392</v>
      </c>
      <c r="D146" s="96">
        <f>(55.47)*(10.764)</f>
        <v>597.07907999999998</v>
      </c>
      <c r="E146" s="96">
        <f>(4.47)*(10.764)</f>
        <v>48.115079999999992</v>
      </c>
      <c r="F146" s="41">
        <f t="shared" si="6"/>
        <v>645.19416000000001</v>
      </c>
      <c r="G146" s="96">
        <f>0*(10.764)</f>
        <v>0</v>
      </c>
      <c r="H146" s="41">
        <f t="shared" si="7"/>
        <v>967.79124000000002</v>
      </c>
      <c r="I146" s="35">
        <f>2.83*4.96+2.44*3.74+2.74*3.14+2.74*3.28+1.91*2.29+2*(1.8*1.38)+0.99*3.04+1.84*0.42+1.06*1.14</f>
        <v>55.085899999999995</v>
      </c>
      <c r="M146" s="94">
        <f t="shared" si="8"/>
        <v>6290643.0600000005</v>
      </c>
    </row>
    <row r="147" spans="1:13" s="93" customFormat="1" ht="15.75" customHeight="1" x14ac:dyDescent="0.25">
      <c r="A147" s="102">
        <v>6</v>
      </c>
      <c r="B147" s="103"/>
      <c r="C147" s="92" t="s">
        <v>392</v>
      </c>
      <c r="D147" s="96">
        <f>(55.47)*(10.764)</f>
        <v>597.07907999999998</v>
      </c>
      <c r="E147" s="96">
        <f>(4.47)*(10.764)</f>
        <v>48.115079999999992</v>
      </c>
      <c r="F147" s="92">
        <f t="shared" si="6"/>
        <v>645.19416000000001</v>
      </c>
      <c r="G147" s="96">
        <f>0*(10.764)</f>
        <v>0</v>
      </c>
      <c r="H147" s="92">
        <f t="shared" si="7"/>
        <v>967.79124000000002</v>
      </c>
      <c r="I147" s="35"/>
      <c r="M147" s="94">
        <f t="shared" si="8"/>
        <v>6290643.0600000005</v>
      </c>
    </row>
    <row r="148" spans="1:13" s="93" customFormat="1" ht="15.75" customHeight="1" x14ac:dyDescent="0.25">
      <c r="A148" s="110" t="s">
        <v>387</v>
      </c>
      <c r="B148" s="111"/>
      <c r="C148" s="111"/>
      <c r="D148" s="111"/>
      <c r="E148" s="111"/>
      <c r="F148" s="111"/>
      <c r="G148" s="111"/>
      <c r="H148" s="112"/>
      <c r="I148" s="35">
        <f>4+4</f>
        <v>8</v>
      </c>
    </row>
    <row r="149" spans="1:13" s="93" customFormat="1" ht="15.75" customHeight="1" x14ac:dyDescent="0.25">
      <c r="A149" s="102">
        <v>1</v>
      </c>
      <c r="B149" s="103"/>
      <c r="C149" s="92" t="s">
        <v>381</v>
      </c>
      <c r="D149" s="96">
        <f>(50.71)*(10.764)</f>
        <v>545.84244000000001</v>
      </c>
      <c r="E149" s="96">
        <f>(2.07)*(10.764)</f>
        <v>22.281479999999998</v>
      </c>
      <c r="F149" s="92">
        <f t="shared" ref="F149:F154" si="9">D149+E149</f>
        <v>568.12392</v>
      </c>
      <c r="G149" s="96">
        <f t="shared" ref="G149:G154" si="10">0*(10.764)</f>
        <v>0</v>
      </c>
      <c r="H149" s="92">
        <f t="shared" ref="H149:H154" si="11">F149*(($H$124)+1)+(IF(G149&lt;101,G149,IF(G149&lt;201,G149/2,IF(G149&lt;=301,G149/3,G149/4))))</f>
        <v>852.18588</v>
      </c>
      <c r="I149" s="35"/>
      <c r="J149" s="93">
        <f>4450000/H149</f>
        <v>5221.8654455997321</v>
      </c>
    </row>
    <row r="150" spans="1:13" s="93" customFormat="1" ht="15.75" customHeight="1" x14ac:dyDescent="0.25">
      <c r="A150" s="102">
        <v>2</v>
      </c>
      <c r="B150" s="103"/>
      <c r="C150" s="92" t="s">
        <v>391</v>
      </c>
      <c r="D150" s="96">
        <f>(42.85)*(10.764)</f>
        <v>461.23739999999998</v>
      </c>
      <c r="E150" s="96">
        <f>(2.07)*(10.764)</f>
        <v>22.281479999999998</v>
      </c>
      <c r="F150" s="92">
        <f t="shared" si="9"/>
        <v>483.51887999999997</v>
      </c>
      <c r="G150" s="96">
        <f t="shared" si="10"/>
        <v>0</v>
      </c>
      <c r="H150" s="92">
        <f>F150*(($H$124)+1)+(IF(G150&lt;101,G150,IF(G150&lt;201,G150/2,IF(G150&lt;=301,G150/3,G150/4))))</f>
        <v>725.27831999999989</v>
      </c>
      <c r="I150" s="35">
        <f>2.74*4.57+2.29*3.37+2.74*3.51+1.83*2.13+1.22*(1.96+1.78)+0.99*2.59</f>
        <v>40.88130000000001</v>
      </c>
    </row>
    <row r="151" spans="1:13" s="93" customFormat="1" ht="15.75" customHeight="1" x14ac:dyDescent="0.25">
      <c r="A151" s="102">
        <v>3</v>
      </c>
      <c r="B151" s="103"/>
      <c r="C151" s="92" t="s">
        <v>391</v>
      </c>
      <c r="D151" s="96">
        <f>(42.85)*(10.764)</f>
        <v>461.23739999999998</v>
      </c>
      <c r="E151" s="96">
        <f>(2.07)*(10.764)</f>
        <v>22.281479999999998</v>
      </c>
      <c r="F151" s="92">
        <f t="shared" si="9"/>
        <v>483.51887999999997</v>
      </c>
      <c r="G151" s="96">
        <f t="shared" si="10"/>
        <v>0</v>
      </c>
      <c r="H151" s="92">
        <f t="shared" si="11"/>
        <v>725.27831999999989</v>
      </c>
      <c r="I151" s="35"/>
    </row>
    <row r="152" spans="1:13" s="93" customFormat="1" ht="15.75" customHeight="1" x14ac:dyDescent="0.25">
      <c r="A152" s="102">
        <v>4</v>
      </c>
      <c r="B152" s="103"/>
      <c r="C152" s="92" t="s">
        <v>391</v>
      </c>
      <c r="D152" s="96">
        <f>(43.4)*(10.764)</f>
        <v>467.15759999999995</v>
      </c>
      <c r="E152" s="96">
        <f>(2.07)*(10.764)</f>
        <v>22.281479999999998</v>
      </c>
      <c r="F152" s="92">
        <f t="shared" si="9"/>
        <v>489.43907999999993</v>
      </c>
      <c r="G152" s="96">
        <f t="shared" si="10"/>
        <v>0</v>
      </c>
      <c r="H152" s="92">
        <f t="shared" si="11"/>
        <v>734.15861999999993</v>
      </c>
      <c r="I152" s="35"/>
    </row>
    <row r="153" spans="1:13" s="93" customFormat="1" ht="15.75" customHeight="1" x14ac:dyDescent="0.25">
      <c r="A153" s="102">
        <v>5</v>
      </c>
      <c r="B153" s="103"/>
      <c r="C153" s="92" t="s">
        <v>392</v>
      </c>
      <c r="D153" s="96">
        <f>(55.47)*(10.764)</f>
        <v>597.07907999999998</v>
      </c>
      <c r="E153" s="96">
        <f>(4.47)*(10.764)</f>
        <v>48.115079999999992</v>
      </c>
      <c r="F153" s="92">
        <f t="shared" si="9"/>
        <v>645.19416000000001</v>
      </c>
      <c r="G153" s="96">
        <f t="shared" si="10"/>
        <v>0</v>
      </c>
      <c r="H153" s="92">
        <f t="shared" si="11"/>
        <v>967.79124000000002</v>
      </c>
      <c r="I153" s="35"/>
      <c r="J153" s="93">
        <f>5000000/H153</f>
        <v>5166.4034487437602</v>
      </c>
    </row>
    <row r="154" spans="1:13" s="93" customFormat="1" ht="15.75" customHeight="1" x14ac:dyDescent="0.25">
      <c r="A154" s="102">
        <v>6</v>
      </c>
      <c r="B154" s="103"/>
      <c r="C154" s="92" t="s">
        <v>392</v>
      </c>
      <c r="D154" s="96">
        <f>(55.47)*(10.764)</f>
        <v>597.07907999999998</v>
      </c>
      <c r="E154" s="96">
        <f>(4.47)*(10.764)</f>
        <v>48.115079999999992</v>
      </c>
      <c r="F154" s="92">
        <f t="shared" si="9"/>
        <v>645.19416000000001</v>
      </c>
      <c r="G154" s="96">
        <f t="shared" si="10"/>
        <v>0</v>
      </c>
      <c r="H154" s="92">
        <f t="shared" si="11"/>
        <v>967.79124000000002</v>
      </c>
      <c r="I154" s="35"/>
    </row>
    <row r="155" spans="1:13" s="93" customFormat="1" ht="15.75" customHeight="1" x14ac:dyDescent="0.25">
      <c r="A155" s="110" t="s">
        <v>388</v>
      </c>
      <c r="B155" s="111"/>
      <c r="C155" s="111"/>
      <c r="D155" s="111"/>
      <c r="E155" s="111"/>
      <c r="F155" s="111"/>
      <c r="G155" s="111"/>
      <c r="H155" s="112"/>
      <c r="I155" s="35">
        <f>2</f>
        <v>2</v>
      </c>
    </row>
    <row r="156" spans="1:13" s="93" customFormat="1" ht="15.75" customHeight="1" x14ac:dyDescent="0.25">
      <c r="A156" s="102">
        <v>1</v>
      </c>
      <c r="B156" s="103"/>
      <c r="C156" s="92" t="s">
        <v>381</v>
      </c>
      <c r="D156" s="96">
        <f>(50.71)*(10.764)</f>
        <v>545.84244000000001</v>
      </c>
      <c r="E156" s="96">
        <f>(2.07)*(10.764)</f>
        <v>22.281479999999998</v>
      </c>
      <c r="F156" s="92">
        <f>D156+E156</f>
        <v>568.12392</v>
      </c>
      <c r="G156" s="96">
        <f>0*(10.764)</f>
        <v>0</v>
      </c>
      <c r="H156" s="92">
        <f>F156*(($H$124)+1)+(IF(G156&lt;101,G156,IF(G156&lt;201,G156/2,IF(G156&lt;=301,G156/3,G156/4))))</f>
        <v>852.18588</v>
      </c>
      <c r="I156" s="35"/>
    </row>
    <row r="157" spans="1:13" s="93" customFormat="1" ht="15.75" customHeight="1" x14ac:dyDescent="0.25">
      <c r="A157" s="102">
        <v>2</v>
      </c>
      <c r="B157" s="103"/>
      <c r="C157" s="92" t="s">
        <v>391</v>
      </c>
      <c r="D157" s="96">
        <f>(42.85)*(10.764)</f>
        <v>461.23739999999998</v>
      </c>
      <c r="E157" s="96">
        <f>(2.07)*(10.764)</f>
        <v>22.281479999999998</v>
      </c>
      <c r="F157" s="92">
        <f>D157+E157</f>
        <v>483.51887999999997</v>
      </c>
      <c r="G157" s="96">
        <f>0*(10.764)</f>
        <v>0</v>
      </c>
      <c r="H157" s="92">
        <f>F157*(($H$124)+1)+(IF(G157&lt;101,G157,IF(G157&lt;201,G157/2,IF(G157&lt;=301,G157/3,G157/4))))</f>
        <v>725.27831999999989</v>
      </c>
      <c r="I157" s="35"/>
    </row>
    <row r="158" spans="1:13" s="93" customFormat="1" ht="15.75" customHeight="1" x14ac:dyDescent="0.25">
      <c r="A158" s="102">
        <v>3</v>
      </c>
      <c r="B158" s="103"/>
      <c r="C158" s="92" t="s">
        <v>392</v>
      </c>
      <c r="D158" s="96">
        <f>(52.72)*(10.764)</f>
        <v>567.47807999999998</v>
      </c>
      <c r="E158" s="96">
        <f>(2.07)*(10.764)</f>
        <v>22.281479999999998</v>
      </c>
      <c r="F158" s="92">
        <f>D158+E158</f>
        <v>589.75955999999996</v>
      </c>
      <c r="G158" s="96">
        <f>0*(10.764)</f>
        <v>0</v>
      </c>
      <c r="H158" s="92">
        <f>F158*(($H$124)+1)+(IF(G158&lt;101,G158,IF(G158&lt;201,G158/2,IF(G158&lt;=301,G158/3,G158/4))))</f>
        <v>884.63933999999995</v>
      </c>
      <c r="I158" s="35">
        <f>2.74*4.57+2.29*3.37+2.74*3.51+2.74*3.35+1.83*2.13+1.22*(1.96+1.78)+0.99*2.59</f>
        <v>50.060300000000012</v>
      </c>
    </row>
    <row r="159" spans="1:13" s="93" customFormat="1" ht="15.75" customHeight="1" x14ac:dyDescent="0.25">
      <c r="A159" s="102">
        <v>4</v>
      </c>
      <c r="B159" s="103"/>
      <c r="C159" s="92" t="s">
        <v>389</v>
      </c>
      <c r="D159" s="102" t="s">
        <v>390</v>
      </c>
      <c r="E159" s="113"/>
      <c r="F159" s="113"/>
      <c r="G159" s="113"/>
      <c r="H159" s="103"/>
      <c r="I159" s="35"/>
    </row>
    <row r="160" spans="1:13" s="93" customFormat="1" ht="15.75" customHeight="1" x14ac:dyDescent="0.25">
      <c r="A160" s="102">
        <v>5</v>
      </c>
      <c r="B160" s="103"/>
      <c r="C160" s="92" t="s">
        <v>392</v>
      </c>
      <c r="D160" s="96">
        <f>(55.47)*(10.764)</f>
        <v>597.07907999999998</v>
      </c>
      <c r="E160" s="96">
        <f>(4.47)*(10.764)</f>
        <v>48.115079999999992</v>
      </c>
      <c r="F160" s="92">
        <f>D160+E160</f>
        <v>645.19416000000001</v>
      </c>
      <c r="G160" s="96">
        <f>0*(10.764)</f>
        <v>0</v>
      </c>
      <c r="H160" s="92">
        <f>F160*(($H$124)+1)+(IF(G160&lt;101,G160,IF(G160&lt;201,G160/2,IF(G160&lt;=301,G160/3,G160/4))))</f>
        <v>967.79124000000002</v>
      </c>
      <c r="I160" s="35"/>
    </row>
    <row r="161" spans="1:20" s="93" customFormat="1" ht="15.75" customHeight="1" x14ac:dyDescent="0.25">
      <c r="A161" s="102">
        <v>6</v>
      </c>
      <c r="B161" s="103"/>
      <c r="C161" s="95" t="s">
        <v>392</v>
      </c>
      <c r="D161" s="96">
        <f>(55.47)*(10.764)</f>
        <v>597.07907999999998</v>
      </c>
      <c r="E161" s="96">
        <f>(4.47)*(10.764)</f>
        <v>48.115079999999992</v>
      </c>
      <c r="F161" s="92">
        <f>D161+E161</f>
        <v>645.19416000000001</v>
      </c>
      <c r="G161" s="96">
        <f>0*(10.764)</f>
        <v>0</v>
      </c>
      <c r="H161" s="92">
        <f>F161*(($H$124)+1)+(IF(G161&lt;101,G161,IF(G161&lt;201,G161/2,IF(G161&lt;=301,G161/3,G161/4))))</f>
        <v>967.79124000000002</v>
      </c>
      <c r="I161" s="35"/>
    </row>
    <row r="162" spans="1:20" s="93" customFormat="1" ht="15.75" customHeight="1" x14ac:dyDescent="0.25">
      <c r="A162" s="110" t="s">
        <v>432</v>
      </c>
      <c r="B162" s="111"/>
      <c r="C162" s="111"/>
      <c r="D162" s="111"/>
      <c r="E162" s="111"/>
      <c r="F162" s="111"/>
      <c r="G162" s="111"/>
      <c r="H162" s="112"/>
      <c r="I162" s="35">
        <f>1</f>
        <v>1</v>
      </c>
    </row>
    <row r="163" spans="1:20" s="93" customFormat="1" ht="15.75" customHeight="1" x14ac:dyDescent="0.25">
      <c r="A163" s="102">
        <v>1</v>
      </c>
      <c r="B163" s="103"/>
      <c r="C163" s="92" t="s">
        <v>393</v>
      </c>
      <c r="D163" s="102" t="s">
        <v>394</v>
      </c>
      <c r="E163" s="113"/>
      <c r="F163" s="113"/>
      <c r="G163" s="113"/>
      <c r="H163" s="103"/>
      <c r="I163" s="35"/>
    </row>
    <row r="164" spans="1:20" s="93" customFormat="1" ht="15.75" customHeight="1" x14ac:dyDescent="0.25">
      <c r="A164" s="102">
        <v>2</v>
      </c>
      <c r="B164" s="103"/>
      <c r="C164" s="92" t="s">
        <v>393</v>
      </c>
      <c r="D164" s="102" t="s">
        <v>395</v>
      </c>
      <c r="E164" s="113"/>
      <c r="F164" s="113"/>
      <c r="G164" s="113"/>
      <c r="H164" s="103"/>
      <c r="I164" s="35"/>
    </row>
    <row r="165" spans="1:20" s="93" customFormat="1" ht="15.75" customHeight="1" x14ac:dyDescent="0.25">
      <c r="A165" s="102">
        <v>3</v>
      </c>
      <c r="B165" s="103"/>
      <c r="C165" s="92" t="s">
        <v>391</v>
      </c>
      <c r="D165" s="96">
        <f>(42.85)*(10.764)</f>
        <v>461.23739999999998</v>
      </c>
      <c r="E165" s="96">
        <f>(2.07)*(10.764)</f>
        <v>22.281479999999998</v>
      </c>
      <c r="F165" s="92">
        <f>D165+E165</f>
        <v>483.51887999999997</v>
      </c>
      <c r="G165" s="96">
        <f>0*(10.764)</f>
        <v>0</v>
      </c>
      <c r="H165" s="92">
        <f>F165*(($H$124)+1)+(IF(G165&lt;101,G165,IF(G165&lt;201,G165/2,IF(G165&lt;=301,G165/3,G165/4))))</f>
        <v>725.27831999999989</v>
      </c>
      <c r="I165" s="35">
        <f>2.74*4.57+2.29*3.37+2.74*3.51+1.83*2.13+1.22*(1.96+1.78)+0.99*2.59</f>
        <v>40.88130000000001</v>
      </c>
    </row>
    <row r="166" spans="1:20" s="93" customFormat="1" ht="15.75" customHeight="1" x14ac:dyDescent="0.25">
      <c r="A166" s="102">
        <v>4</v>
      </c>
      <c r="B166" s="103"/>
      <c r="C166" s="92" t="s">
        <v>391</v>
      </c>
      <c r="D166" s="96">
        <f>(43.4)*(10.764)</f>
        <v>467.15759999999995</v>
      </c>
      <c r="E166" s="96">
        <f>(2.07)*(10.764)</f>
        <v>22.281479999999998</v>
      </c>
      <c r="F166" s="92">
        <f>D166+E166</f>
        <v>489.43907999999993</v>
      </c>
      <c r="G166" s="96">
        <f>0*(10.764)</f>
        <v>0</v>
      </c>
      <c r="H166" s="92">
        <f>F166*(($H$124)+1)+(IF(G166&lt;101,G166,IF(G166&lt;201,G166/2,IF(G166&lt;=301,G166/3,G166/4))))</f>
        <v>734.15861999999993</v>
      </c>
      <c r="I166" s="35"/>
    </row>
    <row r="167" spans="1:20" s="93" customFormat="1" ht="15.75" customHeight="1" x14ac:dyDescent="0.25">
      <c r="A167" s="102">
        <v>5</v>
      </c>
      <c r="B167" s="103"/>
      <c r="C167" s="92" t="s">
        <v>392</v>
      </c>
      <c r="D167" s="96">
        <f>(55.47)*(10.764)</f>
        <v>597.07907999999998</v>
      </c>
      <c r="E167" s="96">
        <f>(4.47)*(10.764)</f>
        <v>48.115079999999992</v>
      </c>
      <c r="F167" s="92">
        <f>D167+E167</f>
        <v>645.19416000000001</v>
      </c>
      <c r="G167" s="96">
        <f>0*(10.764)</f>
        <v>0</v>
      </c>
      <c r="H167" s="92">
        <f>F167*(($H$124)+1)+(IF(G167&lt;101,G167,IF(G167&lt;201,G167/2,IF(G167&lt;=301,G167/3,G167/4))))</f>
        <v>967.79124000000002</v>
      </c>
      <c r="I167" s="35"/>
    </row>
    <row r="168" spans="1:20" s="93" customFormat="1" ht="15.75" customHeight="1" x14ac:dyDescent="0.25">
      <c r="A168" s="102">
        <v>6</v>
      </c>
      <c r="B168" s="103"/>
      <c r="C168" s="92" t="s">
        <v>392</v>
      </c>
      <c r="D168" s="96">
        <f>(55.47)*(10.764)</f>
        <v>597.07907999999998</v>
      </c>
      <c r="E168" s="96">
        <f>(4.47)*(10.764)</f>
        <v>48.115079999999992</v>
      </c>
      <c r="F168" s="92">
        <f>D168+E168</f>
        <v>645.19416000000001</v>
      </c>
      <c r="G168" s="96">
        <f>0*(10.764)</f>
        <v>0</v>
      </c>
      <c r="H168" s="92">
        <f>F168*(($H$124)+1)+(IF(G168&lt;101,G168,IF(G168&lt;201,G168/2,IF(G168&lt;=301,G168/3,G168/4))))</f>
        <v>967.79124000000002</v>
      </c>
      <c r="I168" s="35"/>
    </row>
    <row r="169" spans="1:20" s="93" customFormat="1" x14ac:dyDescent="0.25">
      <c r="A169" s="110" t="s">
        <v>384</v>
      </c>
      <c r="B169" s="111"/>
      <c r="C169" s="111"/>
      <c r="D169" s="111"/>
      <c r="E169" s="111"/>
      <c r="F169" s="111"/>
      <c r="G169" s="111"/>
      <c r="H169" s="112"/>
      <c r="J169" s="35"/>
    </row>
    <row r="170" spans="1:20" s="93" customFormat="1" x14ac:dyDescent="0.25">
      <c r="A170" s="110" t="s">
        <v>379</v>
      </c>
      <c r="B170" s="111"/>
      <c r="C170" s="111"/>
      <c r="D170" s="111"/>
      <c r="E170" s="111"/>
      <c r="F170" s="111"/>
      <c r="G170" s="111"/>
      <c r="H170" s="112"/>
      <c r="J170" s="35"/>
    </row>
    <row r="171" spans="1:20" s="93" customFormat="1" x14ac:dyDescent="0.25">
      <c r="A171" s="110" t="s">
        <v>380</v>
      </c>
      <c r="B171" s="111"/>
      <c r="C171" s="111"/>
      <c r="D171" s="111"/>
      <c r="E171" s="111"/>
      <c r="F171" s="111"/>
      <c r="G171" s="111"/>
      <c r="H171" s="112"/>
      <c r="J171" s="35"/>
    </row>
    <row r="172" spans="1:20" s="93" customFormat="1" ht="15.75" customHeight="1" x14ac:dyDescent="0.25">
      <c r="A172" s="102">
        <v>1</v>
      </c>
      <c r="B172" s="103"/>
      <c r="C172" s="92" t="s">
        <v>381</v>
      </c>
      <c r="D172" s="96">
        <f>(56.81)*(10.764)</f>
        <v>611.50283999999999</v>
      </c>
      <c r="E172" s="96">
        <f>(6.59+2.07)*(10.764)</f>
        <v>93.216239999999999</v>
      </c>
      <c r="F172" s="92">
        <f t="shared" ref="F172:F177" si="12">D172+E172</f>
        <v>704.71907999999996</v>
      </c>
      <c r="G172" s="96">
        <f t="shared" ref="G172:G177" si="13">0*(10.764)</f>
        <v>0</v>
      </c>
      <c r="H172" s="92">
        <f t="shared" ref="H172:H177" si="14">F172*(($H$124)+1)+(IF(G172&lt;101,G172,IF(G172&lt;201,G172/2,IF(G172&lt;=301,G172/3,G172/4))))</f>
        <v>1057.07862</v>
      </c>
      <c r="I172" s="35">
        <f>2.98*5.94+2.36*3.82+2.9*3.96+2.74*3.05+1.15*2.13+1.22*1.68+1.22*0.45+0.99*2.66</f>
        <v>54.238900000000001</v>
      </c>
      <c r="L172" s="115"/>
      <c r="M172" s="115"/>
      <c r="N172" s="35"/>
    </row>
    <row r="173" spans="1:20" s="93" customFormat="1" ht="15.75" customHeight="1" x14ac:dyDescent="0.25">
      <c r="A173" s="102">
        <f>A172+1</f>
        <v>2</v>
      </c>
      <c r="B173" s="103"/>
      <c r="C173" s="92" t="s">
        <v>382</v>
      </c>
      <c r="D173" s="96">
        <f>(37.99)*(10.764)</f>
        <v>408.92435999999998</v>
      </c>
      <c r="E173" s="96">
        <f>(3.06+2.07)*(10.764)</f>
        <v>55.219319999999996</v>
      </c>
      <c r="F173" s="92">
        <f t="shared" si="12"/>
        <v>464.14367999999996</v>
      </c>
      <c r="G173" s="96">
        <f t="shared" si="13"/>
        <v>0</v>
      </c>
      <c r="H173" s="92">
        <f t="shared" si="14"/>
        <v>696.21551999999997</v>
      </c>
      <c r="I173" s="35">
        <f>2.74*4.57+2.29*3.37+2.74*2.9+1.22*(1.98+1.68)+1.76*0.6+1.22*0.75+0.99*2.59</f>
        <v>37.185400000000001</v>
      </c>
      <c r="L173" s="115"/>
      <c r="M173" s="115"/>
      <c r="N173" s="35"/>
    </row>
    <row r="174" spans="1:20" s="93" customFormat="1" ht="15.75" customHeight="1" x14ac:dyDescent="0.25">
      <c r="A174" s="102">
        <f>A173+1</f>
        <v>3</v>
      </c>
      <c r="B174" s="103"/>
      <c r="C174" s="92" t="s">
        <v>382</v>
      </c>
      <c r="D174" s="96">
        <f>(37.99)*(10.764)</f>
        <v>408.92435999999998</v>
      </c>
      <c r="E174" s="96">
        <f>(3.06+2.07)*(10.764)</f>
        <v>55.219319999999996</v>
      </c>
      <c r="F174" s="92">
        <f t="shared" si="12"/>
        <v>464.14367999999996</v>
      </c>
      <c r="G174" s="96">
        <f t="shared" si="13"/>
        <v>0</v>
      </c>
      <c r="H174" s="92">
        <f t="shared" si="14"/>
        <v>696.21551999999997</v>
      </c>
      <c r="I174" s="35"/>
      <c r="L174" s="115"/>
      <c r="M174" s="115"/>
      <c r="N174" s="35"/>
    </row>
    <row r="175" spans="1:20" s="93" customFormat="1" ht="15.75" customHeight="1" x14ac:dyDescent="0.25">
      <c r="A175" s="102">
        <f>A174+1</f>
        <v>4</v>
      </c>
      <c r="B175" s="103"/>
      <c r="C175" s="92" t="s">
        <v>382</v>
      </c>
      <c r="D175" s="96">
        <f>(38.77)*(10.764)</f>
        <v>417.32028000000003</v>
      </c>
      <c r="E175" s="96">
        <f>(2.72+2.07)*(10.764)</f>
        <v>51.559559999999998</v>
      </c>
      <c r="F175" s="92">
        <f t="shared" si="12"/>
        <v>468.87984</v>
      </c>
      <c r="G175" s="96">
        <f t="shared" si="13"/>
        <v>0</v>
      </c>
      <c r="H175" s="92">
        <f t="shared" si="14"/>
        <v>703.31975999999997</v>
      </c>
      <c r="I175" s="35">
        <f>2.74*4.72+2.36*3.37+2.74*2.9+1.22*(1.98+1.83)+1.83*0.66+1.22*0.45+0.9*2.66</f>
        <v>37.631</v>
      </c>
      <c r="L175" s="115"/>
      <c r="M175" s="115"/>
      <c r="N175" s="35"/>
      <c r="T175" s="20"/>
    </row>
    <row r="176" spans="1:20" s="93" customFormat="1" ht="15.75" customHeight="1" x14ac:dyDescent="0.25">
      <c r="A176" s="102">
        <f>A175+1</f>
        <v>5</v>
      </c>
      <c r="B176" s="103"/>
      <c r="C176" s="92" t="s">
        <v>381</v>
      </c>
      <c r="D176" s="96">
        <f>(51.04)*(10.764)</f>
        <v>549.39455999999996</v>
      </c>
      <c r="E176" s="96">
        <f>(4.47)*(10.764)</f>
        <v>48.115079999999992</v>
      </c>
      <c r="F176" s="92">
        <f t="shared" si="12"/>
        <v>597.50963999999999</v>
      </c>
      <c r="G176" s="96">
        <f t="shared" si="13"/>
        <v>0</v>
      </c>
      <c r="H176" s="92">
        <f t="shared" si="14"/>
        <v>896.26445999999999</v>
      </c>
      <c r="I176" s="35"/>
      <c r="L176" s="115"/>
      <c r="M176" s="115"/>
      <c r="N176" s="35"/>
    </row>
    <row r="177" spans="1:20" s="93" customFormat="1" ht="15.75" customHeight="1" x14ac:dyDescent="0.25">
      <c r="A177" s="102">
        <f>A176+1</f>
        <v>6</v>
      </c>
      <c r="B177" s="103"/>
      <c r="C177" s="92" t="s">
        <v>381</v>
      </c>
      <c r="D177" s="96">
        <f>(51.04)*(10.764)</f>
        <v>549.39455999999996</v>
      </c>
      <c r="E177" s="96">
        <f>(4.47)*(10.764)</f>
        <v>48.115079999999992</v>
      </c>
      <c r="F177" s="92">
        <f t="shared" si="12"/>
        <v>597.50963999999999</v>
      </c>
      <c r="G177" s="96">
        <f t="shared" si="13"/>
        <v>0</v>
      </c>
      <c r="H177" s="92">
        <f t="shared" si="14"/>
        <v>896.26445999999999</v>
      </c>
      <c r="I177" s="35"/>
      <c r="L177" s="115"/>
      <c r="M177" s="115"/>
      <c r="N177" s="35"/>
      <c r="T177" s="20"/>
    </row>
    <row r="178" spans="1:20" s="93" customFormat="1" x14ac:dyDescent="0.25">
      <c r="A178" s="114" t="s">
        <v>385</v>
      </c>
      <c r="B178" s="114"/>
      <c r="C178" s="114"/>
      <c r="D178" s="114"/>
      <c r="E178" s="114"/>
      <c r="F178" s="114"/>
      <c r="G178" s="114"/>
      <c r="H178" s="114"/>
      <c r="I178" s="35">
        <f>1</f>
        <v>1</v>
      </c>
      <c r="L178" s="115"/>
      <c r="M178" s="115"/>
    </row>
    <row r="179" spans="1:20" s="93" customFormat="1" x14ac:dyDescent="0.25">
      <c r="A179" s="116">
        <v>1</v>
      </c>
      <c r="B179" s="116"/>
      <c r="C179" s="92" t="s">
        <v>381</v>
      </c>
      <c r="D179" s="96">
        <f>(51.88)*(10.764)</f>
        <v>558.43632000000002</v>
      </c>
      <c r="E179" s="96">
        <f>(2.74)*(10.764)</f>
        <v>29.493359999999999</v>
      </c>
      <c r="F179" s="92">
        <f t="shared" ref="F179:F184" si="15">D179+E179</f>
        <v>587.92968000000008</v>
      </c>
      <c r="G179" s="96">
        <f>(11.82)*(10.764)</f>
        <v>127.23048</v>
      </c>
      <c r="H179" s="92">
        <f t="shared" ref="H179:H184" si="16">F179*(($H$124)+1)+(IF(G179&lt;101,G179,IF(G179&lt;201,G179/2,IF(G179&lt;=301,G179/3,G179/4))))</f>
        <v>945.50976000000003</v>
      </c>
      <c r="I179" s="35"/>
      <c r="N179" s="35"/>
    </row>
    <row r="180" spans="1:20" s="93" customFormat="1" x14ac:dyDescent="0.25">
      <c r="A180" s="116">
        <f>A179+1</f>
        <v>2</v>
      </c>
      <c r="B180" s="116"/>
      <c r="C180" s="92" t="s">
        <v>382</v>
      </c>
      <c r="D180" s="96">
        <f>(37.99)*(10.764)</f>
        <v>408.92435999999998</v>
      </c>
      <c r="E180" s="96">
        <f>(3.06+2.07)*(10.764)</f>
        <v>55.219319999999996</v>
      </c>
      <c r="F180" s="92">
        <f t="shared" si="15"/>
        <v>464.14367999999996</v>
      </c>
      <c r="G180" s="96">
        <f>0*(10.764)</f>
        <v>0</v>
      </c>
      <c r="H180" s="92">
        <f t="shared" si="16"/>
        <v>696.21551999999997</v>
      </c>
      <c r="I180" s="35">
        <f>2.74*4.57+2.29*3.37+2.74*2.9+1.22*(1.98+1.68)+1.76*0.6+1.22*0.75+0.99*2.59</f>
        <v>37.185400000000001</v>
      </c>
      <c r="N180" s="35"/>
    </row>
    <row r="181" spans="1:20" s="93" customFormat="1" x14ac:dyDescent="0.25">
      <c r="A181" s="116">
        <f>A180+1</f>
        <v>3</v>
      </c>
      <c r="B181" s="116"/>
      <c r="C181" s="92" t="s">
        <v>382</v>
      </c>
      <c r="D181" s="96">
        <f>(37.99)*(10.764)</f>
        <v>408.92435999999998</v>
      </c>
      <c r="E181" s="96">
        <f>(3.06+2.07)*(10.764)</f>
        <v>55.219319999999996</v>
      </c>
      <c r="F181" s="92">
        <f t="shared" si="15"/>
        <v>464.14367999999996</v>
      </c>
      <c r="G181" s="96">
        <f>0*(10.764)</f>
        <v>0</v>
      </c>
      <c r="H181" s="92">
        <f t="shared" si="16"/>
        <v>696.21551999999997</v>
      </c>
      <c r="I181" s="35"/>
      <c r="N181" s="35"/>
    </row>
    <row r="182" spans="1:20" s="93" customFormat="1" x14ac:dyDescent="0.25">
      <c r="A182" s="116">
        <f>A181+1</f>
        <v>4</v>
      </c>
      <c r="B182" s="116"/>
      <c r="C182" s="92" t="s">
        <v>382</v>
      </c>
      <c r="D182" s="96">
        <f>(38.77)*(10.764)</f>
        <v>417.32028000000003</v>
      </c>
      <c r="E182" s="96">
        <f>(2.72+2.07)*(10.764)</f>
        <v>51.559559999999998</v>
      </c>
      <c r="F182" s="92">
        <f t="shared" si="15"/>
        <v>468.87984</v>
      </c>
      <c r="G182" s="96">
        <f>0*(10.764)</f>
        <v>0</v>
      </c>
      <c r="H182" s="92">
        <f t="shared" si="16"/>
        <v>703.31975999999997</v>
      </c>
      <c r="I182" s="35"/>
      <c r="N182" s="35"/>
    </row>
    <row r="183" spans="1:20" s="93" customFormat="1" x14ac:dyDescent="0.25">
      <c r="A183" s="116">
        <f>A182+1</f>
        <v>5</v>
      </c>
      <c r="B183" s="116"/>
      <c r="C183" s="92" t="s">
        <v>381</v>
      </c>
      <c r="D183" s="96">
        <f>(51.04)*(10.764)</f>
        <v>549.39455999999996</v>
      </c>
      <c r="E183" s="96">
        <f>(4.47)*(10.764)</f>
        <v>48.115079999999992</v>
      </c>
      <c r="F183" s="92">
        <f t="shared" si="15"/>
        <v>597.50963999999999</v>
      </c>
      <c r="G183" s="96">
        <f>0*(10.764)</f>
        <v>0</v>
      </c>
      <c r="H183" s="92">
        <f t="shared" si="16"/>
        <v>896.26445999999999</v>
      </c>
      <c r="I183" s="35"/>
      <c r="N183" s="35"/>
    </row>
    <row r="184" spans="1:20" s="93" customFormat="1" x14ac:dyDescent="0.25">
      <c r="A184" s="116">
        <f>A183+1</f>
        <v>6</v>
      </c>
      <c r="B184" s="116"/>
      <c r="C184" s="92" t="s">
        <v>381</v>
      </c>
      <c r="D184" s="96">
        <f>(51.04)*(10.764)</f>
        <v>549.39455999999996</v>
      </c>
      <c r="E184" s="96">
        <f>(4.47)*(10.764)</f>
        <v>48.115079999999992</v>
      </c>
      <c r="F184" s="92">
        <f t="shared" si="15"/>
        <v>597.50963999999999</v>
      </c>
      <c r="G184" s="96">
        <f>0*(10.764)</f>
        <v>0</v>
      </c>
      <c r="H184" s="92">
        <f t="shared" si="16"/>
        <v>896.26445999999999</v>
      </c>
      <c r="I184" s="35"/>
      <c r="N184" s="35"/>
    </row>
    <row r="185" spans="1:20" s="93" customFormat="1" ht="15.75" customHeight="1" x14ac:dyDescent="0.25">
      <c r="A185" s="110" t="s">
        <v>386</v>
      </c>
      <c r="B185" s="111"/>
      <c r="C185" s="111"/>
      <c r="D185" s="111"/>
      <c r="E185" s="111"/>
      <c r="F185" s="111"/>
      <c r="G185" s="111"/>
      <c r="H185" s="112"/>
      <c r="I185" s="35">
        <f>1</f>
        <v>1</v>
      </c>
    </row>
    <row r="186" spans="1:20" s="93" customFormat="1" ht="15.75" customHeight="1" x14ac:dyDescent="0.25">
      <c r="A186" s="102">
        <v>1</v>
      </c>
      <c r="B186" s="103"/>
      <c r="C186" s="92" t="s">
        <v>381</v>
      </c>
      <c r="D186" s="96">
        <f>(50.71)*(10.764)</f>
        <v>545.84244000000001</v>
      </c>
      <c r="E186" s="96">
        <f>(2.07)*(10.764)</f>
        <v>22.281479999999998</v>
      </c>
      <c r="F186" s="92">
        <f t="shared" ref="F186:F191" si="17">D186+E186</f>
        <v>568.12392</v>
      </c>
      <c r="G186" s="96">
        <f>0*(10.764)</f>
        <v>0</v>
      </c>
      <c r="H186" s="92">
        <f t="shared" ref="H186:H191" si="18">F186*(($H$124)+1)+(IF(G186&lt;101,G186,IF(G186&lt;201,G186/2,IF(G186&lt;=301,G186/3,G186/4))))</f>
        <v>852.18588</v>
      </c>
      <c r="I186" s="35"/>
    </row>
    <row r="187" spans="1:20" s="93" customFormat="1" ht="15.75" customHeight="1" x14ac:dyDescent="0.25">
      <c r="A187" s="102">
        <v>2</v>
      </c>
      <c r="B187" s="103"/>
      <c r="C187" s="92" t="s">
        <v>391</v>
      </c>
      <c r="D187" s="96">
        <f>(43.28)*(10.764)</f>
        <v>465.86591999999996</v>
      </c>
      <c r="E187" s="96">
        <f>(2.07)*(10.764)</f>
        <v>22.281479999999998</v>
      </c>
      <c r="F187" s="92">
        <f t="shared" si="17"/>
        <v>488.14739999999995</v>
      </c>
      <c r="G187" s="96">
        <f>(3.06)*(10.764)</f>
        <v>32.937840000000001</v>
      </c>
      <c r="H187" s="92">
        <f t="shared" si="18"/>
        <v>765.15894000000003</v>
      </c>
      <c r="I187" s="35">
        <f>2.74*4.57+2.29*3.37+2.74*3.51+1.83*2.13+1.22*(1.96+1.78)+0.99*2.59</f>
        <v>40.88130000000001</v>
      </c>
    </row>
    <row r="188" spans="1:20" s="93" customFormat="1" ht="15.75" customHeight="1" x14ac:dyDescent="0.25">
      <c r="A188" s="102">
        <v>3</v>
      </c>
      <c r="B188" s="103"/>
      <c r="C188" s="92" t="s">
        <v>391</v>
      </c>
      <c r="D188" s="96">
        <f>(43.28)*(10.764)</f>
        <v>465.86591999999996</v>
      </c>
      <c r="E188" s="96">
        <f>(2.07)*(10.764)</f>
        <v>22.281479999999998</v>
      </c>
      <c r="F188" s="92">
        <f t="shared" si="17"/>
        <v>488.14739999999995</v>
      </c>
      <c r="G188" s="96">
        <f>(3.06)*(10.764)</f>
        <v>32.937840000000001</v>
      </c>
      <c r="H188" s="92">
        <f t="shared" si="18"/>
        <v>765.15894000000003</v>
      </c>
      <c r="I188" s="35"/>
    </row>
    <row r="189" spans="1:20" s="93" customFormat="1" ht="15.75" customHeight="1" x14ac:dyDescent="0.25">
      <c r="A189" s="102">
        <v>4</v>
      </c>
      <c r="B189" s="103"/>
      <c r="C189" s="92" t="s">
        <v>391</v>
      </c>
      <c r="D189" s="96">
        <f>(44.02)*(10.764)</f>
        <v>473.83127999999999</v>
      </c>
      <c r="E189" s="96">
        <f>(2.07)*(10.764)</f>
        <v>22.281479999999998</v>
      </c>
      <c r="F189" s="92">
        <f t="shared" si="17"/>
        <v>496.11275999999998</v>
      </c>
      <c r="G189" s="96">
        <f>(2.72)*(10.764)</f>
        <v>29.278079999999999</v>
      </c>
      <c r="H189" s="92">
        <f t="shared" si="18"/>
        <v>773.44722000000002</v>
      </c>
      <c r="I189" s="35"/>
    </row>
    <row r="190" spans="1:20" s="93" customFormat="1" ht="15.75" customHeight="1" x14ac:dyDescent="0.25">
      <c r="A190" s="102">
        <v>5</v>
      </c>
      <c r="B190" s="103"/>
      <c r="C190" s="92" t="s">
        <v>392</v>
      </c>
      <c r="D190" s="96">
        <f>(55.47)*(10.764)</f>
        <v>597.07907999999998</v>
      </c>
      <c r="E190" s="96">
        <f>(4.47)*(10.764)</f>
        <v>48.115079999999992</v>
      </c>
      <c r="F190" s="92">
        <f t="shared" si="17"/>
        <v>645.19416000000001</v>
      </c>
      <c r="G190" s="96">
        <f>0*(10.764)</f>
        <v>0</v>
      </c>
      <c r="H190" s="92">
        <f t="shared" si="18"/>
        <v>967.79124000000002</v>
      </c>
      <c r="I190" s="35">
        <f>2.83*4.96+2.44*3.74+2.74*3.14+2.74*3.28+1.91*2.29+2*(1.8*1.38)+0.99*3.04+1.84*0.42+1.06*1.14</f>
        <v>55.085899999999995</v>
      </c>
    </row>
    <row r="191" spans="1:20" s="93" customFormat="1" ht="15.75" customHeight="1" x14ac:dyDescent="0.25">
      <c r="A191" s="102">
        <v>6</v>
      </c>
      <c r="B191" s="103"/>
      <c r="C191" s="92" t="s">
        <v>392</v>
      </c>
      <c r="D191" s="96">
        <f>(55.47)*(10.764)</f>
        <v>597.07907999999998</v>
      </c>
      <c r="E191" s="96">
        <f>(4.47)*(10.764)</f>
        <v>48.115079999999992</v>
      </c>
      <c r="F191" s="92">
        <f t="shared" si="17"/>
        <v>645.19416000000001</v>
      </c>
      <c r="G191" s="96">
        <f>0*(10.764)</f>
        <v>0</v>
      </c>
      <c r="H191" s="92">
        <f t="shared" si="18"/>
        <v>967.79124000000002</v>
      </c>
      <c r="I191" s="35"/>
    </row>
    <row r="192" spans="1:20" s="93" customFormat="1" ht="15.75" customHeight="1" x14ac:dyDescent="0.25">
      <c r="A192" s="110" t="s">
        <v>387</v>
      </c>
      <c r="B192" s="111"/>
      <c r="C192" s="111"/>
      <c r="D192" s="111"/>
      <c r="E192" s="111"/>
      <c r="F192" s="111"/>
      <c r="G192" s="111"/>
      <c r="H192" s="112"/>
      <c r="I192" s="35">
        <f>4+4</f>
        <v>8</v>
      </c>
    </row>
    <row r="193" spans="1:9" s="93" customFormat="1" ht="15.75" customHeight="1" x14ac:dyDescent="0.25">
      <c r="A193" s="102">
        <v>1</v>
      </c>
      <c r="B193" s="103"/>
      <c r="C193" s="92" t="s">
        <v>381</v>
      </c>
      <c r="D193" s="96">
        <f>(50.71)*(10.764)</f>
        <v>545.84244000000001</v>
      </c>
      <c r="E193" s="96">
        <f>(2.07)*(10.764)</f>
        <v>22.281479999999998</v>
      </c>
      <c r="F193" s="92">
        <f t="shared" ref="F193:F198" si="19">D193+E193</f>
        <v>568.12392</v>
      </c>
      <c r="G193" s="96">
        <f t="shared" ref="G193:G198" si="20">0*(10.764)</f>
        <v>0</v>
      </c>
      <c r="H193" s="92">
        <f t="shared" ref="H193:H198" si="21">F193*(($H$124)+1)+(IF(G193&lt;101,G193,IF(G193&lt;201,G193/2,IF(G193&lt;=301,G193/3,G193/4))))</f>
        <v>852.18588</v>
      </c>
      <c r="I193" s="35"/>
    </row>
    <row r="194" spans="1:9" s="93" customFormat="1" ht="15.75" customHeight="1" x14ac:dyDescent="0.25">
      <c r="A194" s="102">
        <v>2</v>
      </c>
      <c r="B194" s="103"/>
      <c r="C194" s="92" t="s">
        <v>391</v>
      </c>
      <c r="D194" s="96">
        <f>(42.85)*(10.764)</f>
        <v>461.23739999999998</v>
      </c>
      <c r="E194" s="96">
        <f>(2.07)*(10.764)</f>
        <v>22.281479999999998</v>
      </c>
      <c r="F194" s="92">
        <f t="shared" si="19"/>
        <v>483.51887999999997</v>
      </c>
      <c r="G194" s="96">
        <f t="shared" si="20"/>
        <v>0</v>
      </c>
      <c r="H194" s="92">
        <f t="shared" si="21"/>
        <v>725.27831999999989</v>
      </c>
      <c r="I194" s="35">
        <f>2.74*4.57+2.29*3.37+2.74*3.51+1.83*2.13+1.22*(1.96+1.78)+0.99*2.59</f>
        <v>40.88130000000001</v>
      </c>
    </row>
    <row r="195" spans="1:9" s="93" customFormat="1" ht="15.75" customHeight="1" x14ac:dyDescent="0.25">
      <c r="A195" s="102">
        <v>3</v>
      </c>
      <c r="B195" s="103"/>
      <c r="C195" s="92" t="s">
        <v>391</v>
      </c>
      <c r="D195" s="96">
        <f>(42.85)*(10.764)</f>
        <v>461.23739999999998</v>
      </c>
      <c r="E195" s="96">
        <f>(2.07)*(10.764)</f>
        <v>22.281479999999998</v>
      </c>
      <c r="F195" s="92">
        <f t="shared" si="19"/>
        <v>483.51887999999997</v>
      </c>
      <c r="G195" s="96">
        <f t="shared" si="20"/>
        <v>0</v>
      </c>
      <c r="H195" s="92">
        <f t="shared" si="21"/>
        <v>725.27831999999989</v>
      </c>
      <c r="I195" s="35"/>
    </row>
    <row r="196" spans="1:9" s="93" customFormat="1" ht="15.75" customHeight="1" x14ac:dyDescent="0.25">
      <c r="A196" s="102">
        <v>4</v>
      </c>
      <c r="B196" s="103"/>
      <c r="C196" s="92" t="s">
        <v>391</v>
      </c>
      <c r="D196" s="96">
        <f>(43.4)*(10.764)</f>
        <v>467.15759999999995</v>
      </c>
      <c r="E196" s="96">
        <f>(2.07)*(10.764)</f>
        <v>22.281479999999998</v>
      </c>
      <c r="F196" s="92">
        <f t="shared" si="19"/>
        <v>489.43907999999993</v>
      </c>
      <c r="G196" s="96">
        <f t="shared" si="20"/>
        <v>0</v>
      </c>
      <c r="H196" s="92">
        <f t="shared" si="21"/>
        <v>734.15861999999993</v>
      </c>
      <c r="I196" s="35"/>
    </row>
    <row r="197" spans="1:9" s="93" customFormat="1" ht="15.75" customHeight="1" x14ac:dyDescent="0.25">
      <c r="A197" s="102">
        <v>5</v>
      </c>
      <c r="B197" s="103"/>
      <c r="C197" s="92" t="s">
        <v>392</v>
      </c>
      <c r="D197" s="96">
        <f>(55.47)*(10.764)</f>
        <v>597.07907999999998</v>
      </c>
      <c r="E197" s="96">
        <f>(4.47)*(10.764)</f>
        <v>48.115079999999992</v>
      </c>
      <c r="F197" s="92">
        <f t="shared" si="19"/>
        <v>645.19416000000001</v>
      </c>
      <c r="G197" s="96">
        <f t="shared" si="20"/>
        <v>0</v>
      </c>
      <c r="H197" s="92">
        <f t="shared" si="21"/>
        <v>967.79124000000002</v>
      </c>
      <c r="I197" s="35"/>
    </row>
    <row r="198" spans="1:9" s="93" customFormat="1" ht="15.75" customHeight="1" x14ac:dyDescent="0.25">
      <c r="A198" s="102">
        <v>6</v>
      </c>
      <c r="B198" s="103"/>
      <c r="C198" s="92" t="s">
        <v>392</v>
      </c>
      <c r="D198" s="96">
        <f>(55.47)*(10.764)</f>
        <v>597.07907999999998</v>
      </c>
      <c r="E198" s="96">
        <f>(4.47)*(10.764)</f>
        <v>48.115079999999992</v>
      </c>
      <c r="F198" s="92">
        <f t="shared" si="19"/>
        <v>645.19416000000001</v>
      </c>
      <c r="G198" s="96">
        <f t="shared" si="20"/>
        <v>0</v>
      </c>
      <c r="H198" s="92">
        <f t="shared" si="21"/>
        <v>967.79124000000002</v>
      </c>
      <c r="I198" s="35"/>
    </row>
    <row r="199" spans="1:9" s="93" customFormat="1" ht="15.75" customHeight="1" x14ac:dyDescent="0.25">
      <c r="A199" s="110" t="s">
        <v>388</v>
      </c>
      <c r="B199" s="111"/>
      <c r="C199" s="111"/>
      <c r="D199" s="111"/>
      <c r="E199" s="111"/>
      <c r="F199" s="111"/>
      <c r="G199" s="111"/>
      <c r="H199" s="112"/>
      <c r="I199" s="35">
        <f>2</f>
        <v>2</v>
      </c>
    </row>
    <row r="200" spans="1:9" s="93" customFormat="1" ht="15.75" customHeight="1" x14ac:dyDescent="0.25">
      <c r="A200" s="102">
        <v>1</v>
      </c>
      <c r="B200" s="103"/>
      <c r="C200" s="92" t="s">
        <v>381</v>
      </c>
      <c r="D200" s="96">
        <f>(50.71)*(10.764)</f>
        <v>545.84244000000001</v>
      </c>
      <c r="E200" s="96">
        <f>(2.07)*(10.764)</f>
        <v>22.281479999999998</v>
      </c>
      <c r="F200" s="92">
        <f>D200+E200</f>
        <v>568.12392</v>
      </c>
      <c r="G200" s="96">
        <f>0*(10.764)</f>
        <v>0</v>
      </c>
      <c r="H200" s="92">
        <f>F200*(($H$124)+1)+(IF(G200&lt;101,G200,IF(G200&lt;201,G200/2,IF(G200&lt;=301,G200/3,G200/4))))</f>
        <v>852.18588</v>
      </c>
      <c r="I200" s="35"/>
    </row>
    <row r="201" spans="1:9" s="93" customFormat="1" ht="15.75" customHeight="1" x14ac:dyDescent="0.25">
      <c r="A201" s="102">
        <v>2</v>
      </c>
      <c r="B201" s="103"/>
      <c r="C201" s="92" t="s">
        <v>391</v>
      </c>
      <c r="D201" s="96">
        <f>(42.85)*(10.764)</f>
        <v>461.23739999999998</v>
      </c>
      <c r="E201" s="96">
        <f>(2.07)*(10.764)</f>
        <v>22.281479999999998</v>
      </c>
      <c r="F201" s="92">
        <f>D201+E201</f>
        <v>483.51887999999997</v>
      </c>
      <c r="G201" s="96">
        <f>0*(10.764)</f>
        <v>0</v>
      </c>
      <c r="H201" s="92">
        <f>F201*(($H$124)+1)+(IF(G201&lt;101,G201,IF(G201&lt;201,G201/2,IF(G201&lt;=301,G201/3,G201/4))))</f>
        <v>725.27831999999989</v>
      </c>
      <c r="I201" s="35">
        <f>2.74*4.57+2.29*3.37+2.74*3.51+1.83*2.13+1.22*(1.96+1.78)+0.99*2.59</f>
        <v>40.88130000000001</v>
      </c>
    </row>
    <row r="202" spans="1:9" s="93" customFormat="1" ht="15.75" customHeight="1" x14ac:dyDescent="0.25">
      <c r="A202" s="102">
        <v>3</v>
      </c>
      <c r="B202" s="103"/>
      <c r="C202" s="92" t="s">
        <v>392</v>
      </c>
      <c r="D202" s="96">
        <f>(52.72)*(10.764)</f>
        <v>567.47807999999998</v>
      </c>
      <c r="E202" s="96">
        <f>(2.07)*(10.764)</f>
        <v>22.281479999999998</v>
      </c>
      <c r="F202" s="92">
        <f>D202+E202</f>
        <v>589.75955999999996</v>
      </c>
      <c r="G202" s="96">
        <f>0*(10.764)</f>
        <v>0</v>
      </c>
      <c r="H202" s="92">
        <f>F202*(($H$124)+1)+(IF(G202&lt;101,G202,IF(G202&lt;201,G202/2,IF(G202&lt;=301,G202/3,G202/4))))</f>
        <v>884.63933999999995</v>
      </c>
      <c r="I202" s="35">
        <f>2.74*4.57+2.29*3.37+2.74*3.51+2.74*3.35+1.83*2.13+1.22*(1.96+1.78)+0.99*2.59</f>
        <v>50.060300000000012</v>
      </c>
    </row>
    <row r="203" spans="1:9" s="93" customFormat="1" ht="15.75" customHeight="1" x14ac:dyDescent="0.25">
      <c r="A203" s="102">
        <v>4</v>
      </c>
      <c r="B203" s="103"/>
      <c r="C203" s="92" t="s">
        <v>389</v>
      </c>
      <c r="D203" s="102" t="s">
        <v>390</v>
      </c>
      <c r="E203" s="113"/>
      <c r="F203" s="113"/>
      <c r="G203" s="113"/>
      <c r="H203" s="103"/>
      <c r="I203" s="35"/>
    </row>
    <row r="204" spans="1:9" s="93" customFormat="1" ht="15.75" customHeight="1" x14ac:dyDescent="0.25">
      <c r="A204" s="102">
        <v>5</v>
      </c>
      <c r="B204" s="103"/>
      <c r="C204" s="92" t="s">
        <v>392</v>
      </c>
      <c r="D204" s="96">
        <f>(55.47)*(10.764)</f>
        <v>597.07907999999998</v>
      </c>
      <c r="E204" s="96">
        <f>(4.47)*(10.764)</f>
        <v>48.115079999999992</v>
      </c>
      <c r="F204" s="92">
        <f>D204+E204</f>
        <v>645.19416000000001</v>
      </c>
      <c r="G204" s="96">
        <f>0*(10.764)</f>
        <v>0</v>
      </c>
      <c r="H204" s="92">
        <f>F204*(($H$124)+1)+(IF(G204&lt;101,G204,IF(G204&lt;201,G204/2,IF(G204&lt;=301,G204/3,G204/4))))</f>
        <v>967.79124000000002</v>
      </c>
      <c r="I204" s="35"/>
    </row>
    <row r="205" spans="1:9" s="93" customFormat="1" ht="15.75" customHeight="1" x14ac:dyDescent="0.25">
      <c r="A205" s="102">
        <v>6</v>
      </c>
      <c r="B205" s="103"/>
      <c r="C205" s="95" t="s">
        <v>392</v>
      </c>
      <c r="D205" s="96">
        <f>(55.47)*(10.764)</f>
        <v>597.07907999999998</v>
      </c>
      <c r="E205" s="96">
        <f>(4.47)*(10.764)</f>
        <v>48.115079999999992</v>
      </c>
      <c r="F205" s="92">
        <f>D205+E205</f>
        <v>645.19416000000001</v>
      </c>
      <c r="G205" s="96">
        <f>0*(10.764)</f>
        <v>0</v>
      </c>
      <c r="H205" s="92">
        <f>F205*(($H$124)+1)+(IF(G205&lt;101,G205,IF(G205&lt;201,G205/2,IF(G205&lt;=301,G205/3,G205/4))))</f>
        <v>967.79124000000002</v>
      </c>
      <c r="I205" s="35"/>
    </row>
    <row r="206" spans="1:9" s="93" customFormat="1" ht="15.75" customHeight="1" x14ac:dyDescent="0.25">
      <c r="A206" s="110" t="s">
        <v>396</v>
      </c>
      <c r="B206" s="111"/>
      <c r="C206" s="111"/>
      <c r="D206" s="111"/>
      <c r="E206" s="111"/>
      <c r="F206" s="111"/>
      <c r="G206" s="111"/>
      <c r="H206" s="112"/>
      <c r="I206" s="35">
        <f>1</f>
        <v>1</v>
      </c>
    </row>
    <row r="207" spans="1:9" s="93" customFormat="1" ht="15.75" customHeight="1" x14ac:dyDescent="0.25">
      <c r="A207" s="102">
        <v>1</v>
      </c>
      <c r="B207" s="103"/>
      <c r="C207" s="92" t="s">
        <v>393</v>
      </c>
      <c r="D207" s="104" t="s">
        <v>394</v>
      </c>
      <c r="E207" s="105"/>
      <c r="F207" s="105"/>
      <c r="G207" s="105"/>
      <c r="H207" s="106"/>
      <c r="I207" s="35"/>
    </row>
    <row r="208" spans="1:9" s="93" customFormat="1" ht="15.75" customHeight="1" x14ac:dyDescent="0.25">
      <c r="A208" s="102">
        <v>2</v>
      </c>
      <c r="B208" s="103"/>
      <c r="C208" s="92" t="s">
        <v>393</v>
      </c>
      <c r="D208" s="107"/>
      <c r="E208" s="108"/>
      <c r="F208" s="108"/>
      <c r="G208" s="108"/>
      <c r="H208" s="109"/>
      <c r="I208" s="35"/>
    </row>
    <row r="209" spans="1:20" s="93" customFormat="1" ht="15.75" customHeight="1" x14ac:dyDescent="0.25">
      <c r="A209" s="102">
        <v>3</v>
      </c>
      <c r="B209" s="103"/>
      <c r="C209" s="92" t="s">
        <v>391</v>
      </c>
      <c r="D209" s="96">
        <f>(42.85)*(10.764)</f>
        <v>461.23739999999998</v>
      </c>
      <c r="E209" s="96">
        <f>(2.07)*(10.764)</f>
        <v>22.281479999999998</v>
      </c>
      <c r="F209" s="92">
        <f>D209+E209</f>
        <v>483.51887999999997</v>
      </c>
      <c r="G209" s="96">
        <f>0*(10.764)</f>
        <v>0</v>
      </c>
      <c r="H209" s="92">
        <f>F209*(($H$124)+1)+(IF(G209&lt;101,G209,IF(G209&lt;201,G209/2,IF(G209&lt;=301,G209/3,G209/4))))</f>
        <v>725.27831999999989</v>
      </c>
      <c r="I209" s="35">
        <f>2.74*4.57+2.29*3.37+2.74*3.51+1.83*2.13+1.22*(1.96+1.78)+0.99*2.59</f>
        <v>40.88130000000001</v>
      </c>
    </row>
    <row r="210" spans="1:20" s="93" customFormat="1" ht="15.75" customHeight="1" x14ac:dyDescent="0.25">
      <c r="A210" s="102">
        <v>4</v>
      </c>
      <c r="B210" s="103"/>
      <c r="C210" s="92" t="s">
        <v>391</v>
      </c>
      <c r="D210" s="96">
        <f>(43.4)*(10.764)</f>
        <v>467.15759999999995</v>
      </c>
      <c r="E210" s="96">
        <f>(2.07)*(10.764)</f>
        <v>22.281479999999998</v>
      </c>
      <c r="F210" s="92">
        <f>D210+E210</f>
        <v>489.43907999999993</v>
      </c>
      <c r="G210" s="96">
        <f>0*(10.764)</f>
        <v>0</v>
      </c>
      <c r="H210" s="92">
        <f>F210*(($H$124)+1)+(IF(G210&lt;101,G210,IF(G210&lt;201,G210/2,IF(G210&lt;=301,G210/3,G210/4))))</f>
        <v>734.15861999999993</v>
      </c>
      <c r="I210" s="35"/>
    </row>
    <row r="211" spans="1:20" s="93" customFormat="1" ht="15.75" customHeight="1" x14ac:dyDescent="0.25">
      <c r="A211" s="102">
        <v>5</v>
      </c>
      <c r="B211" s="103"/>
      <c r="C211" s="92" t="s">
        <v>392</v>
      </c>
      <c r="D211" s="96">
        <f>(55.47)*(10.764)</f>
        <v>597.07907999999998</v>
      </c>
      <c r="E211" s="96">
        <f>(4.47)*(10.764)</f>
        <v>48.115079999999992</v>
      </c>
      <c r="F211" s="92">
        <f>D211+E211</f>
        <v>645.19416000000001</v>
      </c>
      <c r="G211" s="96">
        <f>0*(10.764)</f>
        <v>0</v>
      </c>
      <c r="H211" s="92">
        <f>F211*(($H$124)+1)+(IF(G211&lt;101,G211,IF(G211&lt;201,G211/2,IF(G211&lt;=301,G211/3,G211/4))))</f>
        <v>967.79124000000002</v>
      </c>
      <c r="I211" s="35"/>
    </row>
    <row r="212" spans="1:20" s="93" customFormat="1" ht="15.75" customHeight="1" x14ac:dyDescent="0.25">
      <c r="A212" s="102">
        <v>6</v>
      </c>
      <c r="B212" s="103"/>
      <c r="C212" s="92" t="s">
        <v>392</v>
      </c>
      <c r="D212" s="96">
        <f>(55.47)*(10.764)</f>
        <v>597.07907999999998</v>
      </c>
      <c r="E212" s="96">
        <f>(4.47)*(10.764)</f>
        <v>48.115079999999992</v>
      </c>
      <c r="F212" s="92">
        <f>D212+E212</f>
        <v>645.19416000000001</v>
      </c>
      <c r="G212" s="96">
        <f>0*(10.764)</f>
        <v>0</v>
      </c>
      <c r="H212" s="92">
        <f>F212*(($H$124)+1)+(IF(G212&lt;101,G212,IF(G212&lt;201,G212/2,IF(G212&lt;=301,G212/3,G212/4))))</f>
        <v>967.79124000000002</v>
      </c>
      <c r="I212" s="35"/>
    </row>
    <row r="213" spans="1:20" s="34" customFormat="1" x14ac:dyDescent="0.25">
      <c r="A213" s="121" t="s">
        <v>64</v>
      </c>
      <c r="B213" s="121"/>
      <c r="C213" s="121"/>
      <c r="D213" s="121"/>
      <c r="E213" s="121"/>
      <c r="F213" s="121"/>
      <c r="G213" s="121"/>
      <c r="H213" s="121"/>
      <c r="T213" s="36"/>
    </row>
    <row r="214" spans="1:20" s="34" customFormat="1" x14ac:dyDescent="0.25">
      <c r="A214" s="44" t="s">
        <v>146</v>
      </c>
      <c r="B214" s="152" t="s">
        <v>409</v>
      </c>
      <c r="C214" s="153"/>
      <c r="D214" s="153"/>
      <c r="E214" s="153"/>
      <c r="F214" s="153"/>
      <c r="G214" s="153"/>
      <c r="H214" s="154"/>
      <c r="T214" s="36"/>
    </row>
    <row r="215" spans="1:20" s="34" customFormat="1" x14ac:dyDescent="0.25">
      <c r="A215" s="44" t="s">
        <v>146</v>
      </c>
      <c r="B215" s="152" t="str">
        <f>(IF(H123="Saleable area Loading :","We have considered Saleable area of Flats as per our Calculation.","We considered Saleable area of Flat as per Builder area Sheet."))</f>
        <v>We have considered Saleable area of Flats as per our Calculation.</v>
      </c>
      <c r="C215" s="153"/>
      <c r="D215" s="153"/>
      <c r="E215" s="153"/>
      <c r="F215" s="153"/>
      <c r="G215" s="153"/>
      <c r="H215" s="154"/>
      <c r="T215" s="36"/>
    </row>
    <row r="216" spans="1:20" s="34" customFormat="1" x14ac:dyDescent="0.25">
      <c r="A216" s="44" t="s">
        <v>146</v>
      </c>
      <c r="B216" s="159" t="s">
        <v>116</v>
      </c>
      <c r="C216" s="160"/>
      <c r="D216" s="160"/>
      <c r="E216" s="160"/>
      <c r="F216" s="160"/>
      <c r="G216" s="160"/>
      <c r="H216" s="161"/>
      <c r="T216" s="36"/>
    </row>
    <row r="217" spans="1:20" s="34" customFormat="1" x14ac:dyDescent="0.25">
      <c r="A217" s="44" t="s">
        <v>146</v>
      </c>
      <c r="B217" s="152" t="s">
        <v>399</v>
      </c>
      <c r="C217" s="153"/>
      <c r="D217" s="153"/>
      <c r="E217" s="153"/>
      <c r="F217" s="153"/>
      <c r="G217" s="153"/>
      <c r="H217" s="154"/>
      <c r="T217" s="36"/>
    </row>
    <row r="218" spans="1:20" s="34" customFormat="1" x14ac:dyDescent="0.25">
      <c r="A218" s="44" t="s">
        <v>146</v>
      </c>
      <c r="B218" s="159" t="s">
        <v>145</v>
      </c>
      <c r="C218" s="160"/>
      <c r="D218" s="160"/>
      <c r="E218" s="160"/>
      <c r="F218" s="160"/>
      <c r="G218" s="160"/>
      <c r="H218" s="161"/>
    </row>
    <row r="219" spans="1:20" s="34" customFormat="1" x14ac:dyDescent="0.25">
      <c r="A219" s="44" t="s">
        <v>146</v>
      </c>
      <c r="B219" s="159" t="s">
        <v>117</v>
      </c>
      <c r="C219" s="160"/>
      <c r="D219" s="160"/>
      <c r="E219" s="160"/>
      <c r="F219" s="160"/>
      <c r="G219" s="160"/>
      <c r="H219" s="161"/>
    </row>
    <row r="220" spans="1:20" s="34" customFormat="1" ht="34.5" customHeight="1" x14ac:dyDescent="0.25">
      <c r="A220" s="44" t="s">
        <v>146</v>
      </c>
      <c r="B220" s="152" t="s">
        <v>147</v>
      </c>
      <c r="C220" s="153"/>
      <c r="D220" s="153"/>
      <c r="E220" s="153"/>
      <c r="F220" s="153"/>
      <c r="G220" s="153"/>
      <c r="H220" s="154"/>
    </row>
    <row r="221" spans="1:20" s="34" customFormat="1" x14ac:dyDescent="0.25">
      <c r="A221" s="44" t="s">
        <v>146</v>
      </c>
      <c r="B221" s="159" t="s">
        <v>118</v>
      </c>
      <c r="C221" s="160"/>
      <c r="D221" s="160"/>
      <c r="E221" s="160"/>
      <c r="F221" s="160"/>
      <c r="G221" s="160"/>
      <c r="H221" s="161"/>
    </row>
    <row r="222" spans="1:20" s="34" customFormat="1" ht="32.25" hidden="1" customHeight="1" x14ac:dyDescent="0.25">
      <c r="A222" s="44" t="s">
        <v>146</v>
      </c>
      <c r="B222" s="155" t="s">
        <v>167</v>
      </c>
      <c r="C222" s="156"/>
      <c r="D222" s="156"/>
      <c r="E222" s="156"/>
      <c r="F222" s="156"/>
      <c r="G222" s="156"/>
      <c r="H222" s="157"/>
    </row>
    <row r="223" spans="1:20" s="34" customFormat="1" x14ac:dyDescent="0.25">
      <c r="A223" s="44" t="s">
        <v>146</v>
      </c>
      <c r="B223" s="152" t="s">
        <v>431</v>
      </c>
      <c r="C223" s="153"/>
      <c r="D223" s="153"/>
      <c r="E223" s="153"/>
      <c r="F223" s="153"/>
      <c r="G223" s="153"/>
      <c r="H223" s="154"/>
    </row>
    <row r="224" spans="1:20" s="34" customFormat="1" hidden="1" x14ac:dyDescent="0.25">
      <c r="A224" s="44" t="s">
        <v>146</v>
      </c>
      <c r="B224" s="155" t="s">
        <v>337</v>
      </c>
      <c r="C224" s="156"/>
      <c r="D224" s="156"/>
      <c r="E224" s="156"/>
      <c r="F224" s="156"/>
      <c r="G224" s="156"/>
      <c r="H224" s="157"/>
    </row>
    <row r="225" spans="1:20" s="34" customFormat="1" hidden="1" x14ac:dyDescent="0.25">
      <c r="A225" s="44" t="s">
        <v>146</v>
      </c>
      <c r="B225" s="155" t="str">
        <f ca="1">IF(G52&gt;EDATE(E3,-48),"NO REMARK FOR CC","REMARK FOR CC")</f>
        <v>NO REMARK FOR CC</v>
      </c>
      <c r="C225" s="156"/>
      <c r="D225" s="156"/>
      <c r="E225" s="156"/>
      <c r="F225" s="156"/>
      <c r="G225" s="156"/>
      <c r="H225" s="157"/>
    </row>
    <row r="226" spans="1:20" s="34" customFormat="1" ht="81.75" hidden="1" customHeight="1" x14ac:dyDescent="0.25">
      <c r="A226" s="44" t="s">
        <v>146</v>
      </c>
      <c r="B226" s="155" t="s">
        <v>338</v>
      </c>
      <c r="C226" s="156"/>
      <c r="D226" s="156"/>
      <c r="E226" s="156"/>
      <c r="F226" s="156"/>
      <c r="G226" s="156"/>
      <c r="H226" s="157"/>
    </row>
    <row r="227" spans="1:20" x14ac:dyDescent="0.25">
      <c r="A227" s="167" t="s">
        <v>57</v>
      </c>
      <c r="B227" s="167"/>
      <c r="C227" s="167"/>
      <c r="D227" s="167"/>
      <c r="E227" s="167"/>
      <c r="F227" s="167"/>
      <c r="G227" s="167"/>
      <c r="H227" s="167"/>
      <c r="T227" s="34"/>
    </row>
    <row r="228" spans="1:20" x14ac:dyDescent="0.25">
      <c r="A228" s="133" t="s">
        <v>58</v>
      </c>
      <c r="B228" s="133"/>
      <c r="C228" s="133"/>
      <c r="D228" s="133"/>
      <c r="E228" s="133"/>
      <c r="F228" s="133"/>
      <c r="G228" s="133"/>
      <c r="H228" s="133"/>
      <c r="T228" s="34"/>
    </row>
    <row r="229" spans="1:20" ht="15.75" customHeight="1" x14ac:dyDescent="0.25">
      <c r="A229" s="149" t="s">
        <v>59</v>
      </c>
      <c r="B229" s="149"/>
      <c r="C229" s="149"/>
      <c r="D229" s="149"/>
      <c r="E229" s="149"/>
      <c r="F229" s="149"/>
      <c r="G229" s="149"/>
      <c r="H229" s="149"/>
      <c r="T229" s="34"/>
    </row>
    <row r="230" spans="1:20" x14ac:dyDescent="0.25">
      <c r="A230" s="133" t="s">
        <v>60</v>
      </c>
      <c r="B230" s="133"/>
      <c r="C230" s="133"/>
      <c r="D230" s="133"/>
      <c r="E230" s="133"/>
      <c r="F230" s="133"/>
      <c r="G230" s="133"/>
      <c r="H230" s="133"/>
      <c r="T230" s="34"/>
    </row>
    <row r="231" spans="1:20" x14ac:dyDescent="0.25">
      <c r="A231" s="133" t="s">
        <v>61</v>
      </c>
      <c r="B231" s="133"/>
      <c r="C231" s="133"/>
      <c r="D231" s="133"/>
      <c r="E231" s="133"/>
      <c r="F231" s="133"/>
      <c r="G231" s="133"/>
      <c r="H231" s="133"/>
      <c r="T231" s="34"/>
    </row>
    <row r="232" spans="1:20" x14ac:dyDescent="0.25">
      <c r="A232" s="133" t="s">
        <v>119</v>
      </c>
      <c r="B232" s="133"/>
      <c r="C232" s="133"/>
      <c r="D232" s="133"/>
      <c r="E232" s="133"/>
      <c r="F232" s="133"/>
      <c r="G232" s="133"/>
      <c r="H232" s="133"/>
      <c r="T232" s="34"/>
    </row>
    <row r="233" spans="1:20" ht="33.950000000000003" customHeight="1" x14ac:dyDescent="0.25">
      <c r="A233" s="122" t="s">
        <v>120</v>
      </c>
      <c r="B233" s="122"/>
      <c r="C233" s="122"/>
      <c r="D233" s="122"/>
      <c r="E233" s="122"/>
      <c r="F233" s="122"/>
      <c r="G233" s="122"/>
      <c r="H233" s="122"/>
    </row>
    <row r="234" spans="1:20" x14ac:dyDescent="0.25">
      <c r="A234" s="163" t="s">
        <v>72</v>
      </c>
      <c r="B234" s="163"/>
      <c r="C234" s="163" t="s">
        <v>419</v>
      </c>
      <c r="D234" s="163"/>
      <c r="E234" s="163" t="s">
        <v>102</v>
      </c>
      <c r="F234" s="163"/>
      <c r="G234" s="163" t="s">
        <v>407</v>
      </c>
      <c r="H234" s="163"/>
    </row>
    <row r="235" spans="1:20" x14ac:dyDescent="0.25">
      <c r="A235" s="162" t="s">
        <v>74</v>
      </c>
      <c r="B235" s="162"/>
      <c r="C235" s="162"/>
      <c r="D235" s="162"/>
      <c r="E235" s="162"/>
      <c r="F235" s="162"/>
      <c r="G235" s="162"/>
      <c r="H235" s="162"/>
    </row>
    <row r="236" spans="1:20" x14ac:dyDescent="0.25">
      <c r="A236" s="162"/>
      <c r="B236" s="162"/>
      <c r="C236" s="162"/>
      <c r="D236" s="162"/>
      <c r="E236" s="162"/>
      <c r="F236" s="162"/>
      <c r="G236" s="162"/>
      <c r="H236" s="162"/>
    </row>
    <row r="237" spans="1:20" x14ac:dyDescent="0.25">
      <c r="A237" s="162"/>
      <c r="B237" s="162"/>
      <c r="C237" s="162"/>
      <c r="D237" s="162"/>
      <c r="E237" s="162"/>
      <c r="F237" s="162"/>
      <c r="G237" s="162"/>
      <c r="H237" s="162"/>
    </row>
    <row r="238" spans="1:20" x14ac:dyDescent="0.25">
      <c r="A238" s="162"/>
      <c r="B238" s="162"/>
      <c r="C238" s="162"/>
      <c r="D238" s="162"/>
      <c r="E238" s="162"/>
      <c r="F238" s="162"/>
      <c r="G238" s="162"/>
      <c r="H238" s="162"/>
    </row>
    <row r="239" spans="1:20" x14ac:dyDescent="0.25">
      <c r="A239" s="37" t="s">
        <v>62</v>
      </c>
      <c r="B239" s="38"/>
      <c r="C239" s="38"/>
      <c r="D239" s="37" t="str">
        <f>E9</f>
        <v>Shankheshwar Privia</v>
      </c>
      <c r="F239" s="38"/>
      <c r="G239" s="38"/>
      <c r="H239" s="38"/>
    </row>
    <row r="240" spans="1:20" x14ac:dyDescent="0.25">
      <c r="A240" s="38"/>
      <c r="B240" s="38"/>
      <c r="C240" s="38"/>
      <c r="D240" s="38"/>
      <c r="E240" s="38"/>
      <c r="F240" s="38"/>
      <c r="G240" s="38"/>
      <c r="H240" s="38"/>
    </row>
    <row r="241" spans="1:8" x14ac:dyDescent="0.25">
      <c r="A241" s="38"/>
      <c r="B241" s="38"/>
      <c r="C241" s="38"/>
      <c r="D241" s="38"/>
      <c r="E241" s="38"/>
      <c r="F241" s="38"/>
      <c r="G241" s="38"/>
      <c r="H241" s="38"/>
    </row>
    <row r="242" spans="1:8" ht="15" customHeight="1" x14ac:dyDescent="0.25"/>
    <row r="283" spans="1:1" x14ac:dyDescent="0.25">
      <c r="A283" s="40" t="s">
        <v>156</v>
      </c>
    </row>
    <row r="327" spans="1:1" x14ac:dyDescent="0.25">
      <c r="A327" s="40" t="s">
        <v>63</v>
      </c>
    </row>
  </sheetData>
  <mergeCells count="378">
    <mergeCell ref="B226:H226"/>
    <mergeCell ref="B123:B124"/>
    <mergeCell ref="A92:B92"/>
    <mergeCell ref="E92:F92"/>
    <mergeCell ref="E93:F102"/>
    <mergeCell ref="B223:H223"/>
    <mergeCell ref="A108:E108"/>
    <mergeCell ref="A120:B120"/>
    <mergeCell ref="E120:F120"/>
    <mergeCell ref="A113:E113"/>
    <mergeCell ref="G120:H120"/>
    <mergeCell ref="A119:B119"/>
    <mergeCell ref="C119:D119"/>
    <mergeCell ref="E119:F119"/>
    <mergeCell ref="B221:H221"/>
    <mergeCell ref="A142:B142"/>
    <mergeCell ref="L131:M131"/>
    <mergeCell ref="L128:M128"/>
    <mergeCell ref="A129:B129"/>
    <mergeCell ref="L129:M129"/>
    <mergeCell ref="A130:B130"/>
    <mergeCell ref="L130:M130"/>
    <mergeCell ref="A81:B81"/>
    <mergeCell ref="E79:F88"/>
    <mergeCell ref="G79:H88"/>
    <mergeCell ref="A98:B98"/>
    <mergeCell ref="G92:H92"/>
    <mergeCell ref="A100:B100"/>
    <mergeCell ref="A38:H38"/>
    <mergeCell ref="A86:B86"/>
    <mergeCell ref="C118:D118"/>
    <mergeCell ref="E118:F118"/>
    <mergeCell ref="G118:H118"/>
    <mergeCell ref="A104:E104"/>
    <mergeCell ref="A89:B89"/>
    <mergeCell ref="C89:H89"/>
    <mergeCell ref="A93:B93"/>
    <mergeCell ref="C91:H91"/>
    <mergeCell ref="A94:B94"/>
    <mergeCell ref="A95:B95"/>
    <mergeCell ref="G93:H102"/>
    <mergeCell ref="A96:B96"/>
    <mergeCell ref="F105:H105"/>
    <mergeCell ref="A105:E105"/>
    <mergeCell ref="A40:B40"/>
    <mergeCell ref="C40:H40"/>
    <mergeCell ref="A91:B91"/>
    <mergeCell ref="C53:H53"/>
    <mergeCell ref="A63:C63"/>
    <mergeCell ref="A68:C68"/>
    <mergeCell ref="A69:C69"/>
    <mergeCell ref="D68:H68"/>
    <mergeCell ref="F37:H37"/>
    <mergeCell ref="C51:E51"/>
    <mergeCell ref="C50:E50"/>
    <mergeCell ref="G50:H50"/>
    <mergeCell ref="A51:B51"/>
    <mergeCell ref="G56:H56"/>
    <mergeCell ref="G58:H58"/>
    <mergeCell ref="G51:H51"/>
    <mergeCell ref="A39:B39"/>
    <mergeCell ref="C39:H39"/>
    <mergeCell ref="C55:H55"/>
    <mergeCell ref="A52:B53"/>
    <mergeCell ref="C54:E54"/>
    <mergeCell ref="C52:E52"/>
    <mergeCell ref="A64:C64"/>
    <mergeCell ref="C56:E56"/>
    <mergeCell ref="G54:H54"/>
    <mergeCell ref="A56:B57"/>
    <mergeCell ref="A41:H41"/>
    <mergeCell ref="A78:B78"/>
    <mergeCell ref="A46:D46"/>
    <mergeCell ref="A47:D47"/>
    <mergeCell ref="D69:H69"/>
    <mergeCell ref="A44:D44"/>
    <mergeCell ref="E44:H44"/>
    <mergeCell ref="E45:H45"/>
    <mergeCell ref="E46:H46"/>
    <mergeCell ref="E47:H47"/>
    <mergeCell ref="C57:H57"/>
    <mergeCell ref="A48:H48"/>
    <mergeCell ref="D65:H65"/>
    <mergeCell ref="A65:C65"/>
    <mergeCell ref="A45:D45"/>
    <mergeCell ref="A49:B49"/>
    <mergeCell ref="C49:H49"/>
    <mergeCell ref="A66:C67"/>
    <mergeCell ref="D66:H66"/>
    <mergeCell ref="D67:H67"/>
    <mergeCell ref="G52:H52"/>
    <mergeCell ref="A62:H62"/>
    <mergeCell ref="A77:B77"/>
    <mergeCell ref="A75:B75"/>
    <mergeCell ref="C75:H75"/>
    <mergeCell ref="A70:C70"/>
    <mergeCell ref="D70:H70"/>
    <mergeCell ref="C77:H77"/>
    <mergeCell ref="A71:C71"/>
    <mergeCell ref="D71:H71"/>
    <mergeCell ref="A74:C74"/>
    <mergeCell ref="D74:H74"/>
    <mergeCell ref="A73:C73"/>
    <mergeCell ref="C58:E59"/>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A42:D42"/>
    <mergeCell ref="G59:H59"/>
    <mergeCell ref="E42:H42"/>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E14:H14"/>
    <mergeCell ref="A15:D15"/>
    <mergeCell ref="A11:D11"/>
    <mergeCell ref="E11:H11"/>
    <mergeCell ref="A23:D24"/>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35:H238"/>
    <mergeCell ref="A234:B234"/>
    <mergeCell ref="E234:F234"/>
    <mergeCell ref="C234:D234"/>
    <mergeCell ref="G234:H234"/>
    <mergeCell ref="A114:E114"/>
    <mergeCell ref="F114:H114"/>
    <mergeCell ref="A115:E115"/>
    <mergeCell ref="F115:H115"/>
    <mergeCell ref="A134:H134"/>
    <mergeCell ref="A118:B118"/>
    <mergeCell ref="A144:B144"/>
    <mergeCell ref="A230:H230"/>
    <mergeCell ref="A116:H116"/>
    <mergeCell ref="A233:H233"/>
    <mergeCell ref="A231:H231"/>
    <mergeCell ref="A227:H227"/>
    <mergeCell ref="G117:H117"/>
    <mergeCell ref="B218:H218"/>
    <mergeCell ref="A188:B188"/>
    <mergeCell ref="A138:B138"/>
    <mergeCell ref="B219:H219"/>
    <mergeCell ref="A139:B139"/>
    <mergeCell ref="A136:B136"/>
    <mergeCell ref="B220:H220"/>
    <mergeCell ref="A187:B187"/>
    <mergeCell ref="A195:B195"/>
    <mergeCell ref="B214:H214"/>
    <mergeCell ref="B215:H215"/>
    <mergeCell ref="B216:H216"/>
    <mergeCell ref="F103:H103"/>
    <mergeCell ref="F108:H108"/>
    <mergeCell ref="A128:B128"/>
    <mergeCell ref="F109:H109"/>
    <mergeCell ref="A111:E111"/>
    <mergeCell ref="A137:B137"/>
    <mergeCell ref="A186:B186"/>
    <mergeCell ref="C123:C124"/>
    <mergeCell ref="G123:G124"/>
    <mergeCell ref="A232:H232"/>
    <mergeCell ref="A229:H229"/>
    <mergeCell ref="A135:B135"/>
    <mergeCell ref="A117:B117"/>
    <mergeCell ref="D123:D124"/>
    <mergeCell ref="E123:E124"/>
    <mergeCell ref="A97:B97"/>
    <mergeCell ref="A99:B99"/>
    <mergeCell ref="F104:H104"/>
    <mergeCell ref="A102:B102"/>
    <mergeCell ref="F110:H110"/>
    <mergeCell ref="C120:D120"/>
    <mergeCell ref="A127:H127"/>
    <mergeCell ref="A145:B145"/>
    <mergeCell ref="B217:H217"/>
    <mergeCell ref="A193:B193"/>
    <mergeCell ref="A196:B196"/>
    <mergeCell ref="B225:H225"/>
    <mergeCell ref="B224:H224"/>
    <mergeCell ref="F106:H106"/>
    <mergeCell ref="A110:E110"/>
    <mergeCell ref="G119:H119"/>
    <mergeCell ref="B222:H222"/>
    <mergeCell ref="A101:B101"/>
    <mergeCell ref="A228:H228"/>
    <mergeCell ref="A109:E109"/>
    <mergeCell ref="A85:B85"/>
    <mergeCell ref="I15:P15"/>
    <mergeCell ref="F113:H113"/>
    <mergeCell ref="F111:H111"/>
    <mergeCell ref="A143:B143"/>
    <mergeCell ref="A122:H122"/>
    <mergeCell ref="A112:E112"/>
    <mergeCell ref="A61:B61"/>
    <mergeCell ref="C61:E61"/>
    <mergeCell ref="D63:H63"/>
    <mergeCell ref="F112:H112"/>
    <mergeCell ref="C117:D117"/>
    <mergeCell ref="D72:H72"/>
    <mergeCell ref="D64:H64"/>
    <mergeCell ref="G61:H61"/>
    <mergeCell ref="A54:B55"/>
    <mergeCell ref="A106:E106"/>
    <mergeCell ref="A103:E103"/>
    <mergeCell ref="F107:H107"/>
    <mergeCell ref="A146:B146"/>
    <mergeCell ref="A107:E107"/>
    <mergeCell ref="A131:B131"/>
    <mergeCell ref="A84:B84"/>
    <mergeCell ref="A50:B50"/>
    <mergeCell ref="A213:H213"/>
    <mergeCell ref="A189:B189"/>
    <mergeCell ref="A190:B190"/>
    <mergeCell ref="A185:H185"/>
    <mergeCell ref="A141:H141"/>
    <mergeCell ref="A194:B194"/>
    <mergeCell ref="A72:C72"/>
    <mergeCell ref="D73:H73"/>
    <mergeCell ref="A79:B79"/>
    <mergeCell ref="G78:H78"/>
    <mergeCell ref="A87:B87"/>
    <mergeCell ref="A88:B88"/>
    <mergeCell ref="A83:B83"/>
    <mergeCell ref="A82:B82"/>
    <mergeCell ref="E78:F78"/>
    <mergeCell ref="A80:B80"/>
    <mergeCell ref="E117:F117"/>
    <mergeCell ref="A121:H121"/>
    <mergeCell ref="A123:A124"/>
    <mergeCell ref="F123:F124"/>
    <mergeCell ref="A58:B60"/>
    <mergeCell ref="C60:H60"/>
    <mergeCell ref="A173:B173"/>
    <mergeCell ref="L173:M173"/>
    <mergeCell ref="A174:B174"/>
    <mergeCell ref="L174:M174"/>
    <mergeCell ref="A175:B175"/>
    <mergeCell ref="L175:M175"/>
    <mergeCell ref="A176:B176"/>
    <mergeCell ref="L176:M176"/>
    <mergeCell ref="A125:H125"/>
    <mergeCell ref="A126:H126"/>
    <mergeCell ref="A132:B132"/>
    <mergeCell ref="L132:M132"/>
    <mergeCell ref="A133:B133"/>
    <mergeCell ref="L133:M133"/>
    <mergeCell ref="A169:H169"/>
    <mergeCell ref="A170:H170"/>
    <mergeCell ref="A171:H171"/>
    <mergeCell ref="A165:B165"/>
    <mergeCell ref="A166:B166"/>
    <mergeCell ref="A167:B167"/>
    <mergeCell ref="A168:B168"/>
    <mergeCell ref="D163:H163"/>
    <mergeCell ref="D164:H164"/>
    <mergeCell ref="L134:M134"/>
    <mergeCell ref="A177:B177"/>
    <mergeCell ref="L177:M177"/>
    <mergeCell ref="A140:B140"/>
    <mergeCell ref="A147:B147"/>
    <mergeCell ref="A150:B150"/>
    <mergeCell ref="A151:B151"/>
    <mergeCell ref="A152:B152"/>
    <mergeCell ref="A153:B153"/>
    <mergeCell ref="A154:B154"/>
    <mergeCell ref="A148:H148"/>
    <mergeCell ref="A149:B149"/>
    <mergeCell ref="A155:H155"/>
    <mergeCell ref="A156:B156"/>
    <mergeCell ref="A157:B157"/>
    <mergeCell ref="A158:B158"/>
    <mergeCell ref="A159:B159"/>
    <mergeCell ref="A160:B160"/>
    <mergeCell ref="A161:B161"/>
    <mergeCell ref="D159:H159"/>
    <mergeCell ref="A162:H162"/>
    <mergeCell ref="A163:B163"/>
    <mergeCell ref="A164:B164"/>
    <mergeCell ref="A172:B172"/>
    <mergeCell ref="L172:M172"/>
    <mergeCell ref="A178:H178"/>
    <mergeCell ref="L178:M178"/>
    <mergeCell ref="A179:B179"/>
    <mergeCell ref="A180:B180"/>
    <mergeCell ref="A181:B181"/>
    <mergeCell ref="A182:B182"/>
    <mergeCell ref="A183:B183"/>
    <mergeCell ref="A184:B184"/>
    <mergeCell ref="A191:B191"/>
    <mergeCell ref="A192:H192"/>
    <mergeCell ref="A197:B197"/>
    <mergeCell ref="A198:B198"/>
    <mergeCell ref="A199:H199"/>
    <mergeCell ref="A200:B200"/>
    <mergeCell ref="A201:B201"/>
    <mergeCell ref="A202:B202"/>
    <mergeCell ref="A203:B203"/>
    <mergeCell ref="D203:H203"/>
    <mergeCell ref="A211:B211"/>
    <mergeCell ref="A212:B212"/>
    <mergeCell ref="D207:H208"/>
    <mergeCell ref="A204:B204"/>
    <mergeCell ref="A205:B205"/>
    <mergeCell ref="A206:H206"/>
    <mergeCell ref="A207:B207"/>
    <mergeCell ref="A208:B208"/>
    <mergeCell ref="A209:B209"/>
    <mergeCell ref="A210:B210"/>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G234:H234">
      <formula1>"Kunal Kadam,Pranita Mhatre,Shruti Fule,Pooja Kawale,Gaurav Panchal,Shruti Tathare, Dipti Gothawade,Saurav Panse, Sachin Sawant"</formula1>
    </dataValidation>
    <dataValidation type="list" allowBlank="1" showInputMessage="1" showErrorMessage="1" sqref="F103:H103">
      <formula1>"On Saleable Area,On Builtup Area,On Carpet Area,On Plot Area"</formula1>
    </dataValidation>
    <dataValidation type="list" allowBlank="1" showInputMessage="1" showErrorMessage="1" sqref="F114:H114">
      <formula1>OFFSET($S$103,1,MATCH($G20,$S$103:$W$103,0)-1,15,1)</formula1>
    </dataValidation>
    <dataValidation type="list" allowBlank="1" showInputMessage="1" showErrorMessage="1" sqref="B123:B12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3:E124">
      <formula1>"Balcony + Enclosed Balcony + Chajja Area, Fungible area,Balcony Area,Chajja Area,Cornice Area,AP Area,WS Area"</formula1>
    </dataValidation>
    <dataValidation type="list" allowBlank="1" showInputMessage="1" showErrorMessage="1" sqref="H12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3">
      <formula1>"Saleable area Loading :,Builder Saleable Area"</formula1>
    </dataValidation>
    <dataValidation type="list" allowBlank="1" showInputMessage="1" showErrorMessage="1" sqref="D123:D124">
      <formula1>"Carpet Area,Carpet + Encl Balcony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&amp;F&amp;R&amp;"Times New Roman,Bold"&amp;12&amp;P</oddFooter>
  </headerFooter>
  <rowBreaks count="4" manualBreakCount="4">
    <brk id="38" max="7" man="1"/>
    <brk id="238" max="16383" man="1"/>
    <brk id="282" max="16383" man="1"/>
    <brk id="32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8" t="s">
        <v>103</v>
      </c>
      <c r="C3" s="248"/>
      <c r="D3" s="248"/>
      <c r="E3" s="248"/>
      <c r="F3" s="248"/>
      <c r="G3" s="248"/>
      <c r="H3" s="248"/>
    </row>
    <row r="4" spans="1:9" x14ac:dyDescent="0.25">
      <c r="A4" s="2"/>
      <c r="B4" s="3" t="s">
        <v>104</v>
      </c>
      <c r="C4" s="3" t="s">
        <v>105</v>
      </c>
      <c r="D4" s="3" t="s">
        <v>65</v>
      </c>
      <c r="E4" s="3" t="s">
        <v>106</v>
      </c>
      <c r="F4" s="3" t="s">
        <v>112</v>
      </c>
      <c r="G4" s="3" t="s">
        <v>113</v>
      </c>
      <c r="H4" s="3" t="s">
        <v>107</v>
      </c>
    </row>
    <row r="5" spans="1:9" ht="15" customHeight="1" x14ac:dyDescent="0.25">
      <c r="A5" s="2"/>
      <c r="B5" s="5" t="s">
        <v>108</v>
      </c>
      <c r="C5" s="6"/>
      <c r="D5" s="5"/>
      <c r="E5" s="5"/>
      <c r="F5" s="7">
        <f>E5*1.6</f>
        <v>0</v>
      </c>
      <c r="G5" s="7" t="e">
        <f>H5/F5</f>
        <v>#DIV/0!</v>
      </c>
      <c r="H5" s="8"/>
    </row>
    <row r="6" spans="1:9" x14ac:dyDescent="0.25">
      <c r="A6" s="2"/>
      <c r="B6" s="5" t="s">
        <v>108</v>
      </c>
      <c r="C6" s="9"/>
      <c r="D6" s="5"/>
      <c r="E6" s="5"/>
      <c r="F6" s="7">
        <f t="shared" ref="F6:F11" si="0">E6*1.6</f>
        <v>0</v>
      </c>
      <c r="G6" s="7" t="e">
        <f t="shared" ref="G6:G11" si="1">H6/F6</f>
        <v>#DIV/0!</v>
      </c>
      <c r="H6" s="8"/>
    </row>
    <row r="7" spans="1:9" ht="15" customHeight="1" x14ac:dyDescent="0.25">
      <c r="A7" s="2"/>
      <c r="B7" s="5" t="s">
        <v>108</v>
      </c>
      <c r="C7" s="6"/>
      <c r="D7" s="5"/>
      <c r="E7" s="5"/>
      <c r="F7" s="7">
        <f t="shared" si="0"/>
        <v>0</v>
      </c>
      <c r="G7" s="7" t="e">
        <f t="shared" si="1"/>
        <v>#DIV/0!</v>
      </c>
      <c r="H7" s="8"/>
    </row>
    <row r="8" spans="1:9" x14ac:dyDescent="0.25">
      <c r="A8" s="2"/>
      <c r="B8" s="5" t="s">
        <v>108</v>
      </c>
      <c r="C8" s="9"/>
      <c r="D8" s="5"/>
      <c r="E8" s="5"/>
      <c r="F8" s="7">
        <f t="shared" si="0"/>
        <v>0</v>
      </c>
      <c r="G8" s="7" t="e">
        <f t="shared" si="1"/>
        <v>#DIV/0!</v>
      </c>
      <c r="H8" s="8"/>
    </row>
    <row r="9" spans="1:9" ht="15" customHeight="1" x14ac:dyDescent="0.25">
      <c r="A9" s="2"/>
      <c r="B9" s="5" t="s">
        <v>108</v>
      </c>
      <c r="C9" s="9"/>
      <c r="D9" s="5"/>
      <c r="E9" s="5"/>
      <c r="F9" s="7">
        <f t="shared" si="0"/>
        <v>0</v>
      </c>
      <c r="G9" s="7" t="e">
        <f t="shared" si="1"/>
        <v>#DIV/0!</v>
      </c>
      <c r="H9" s="8"/>
    </row>
    <row r="10" spans="1:9" ht="15" customHeight="1" x14ac:dyDescent="0.25">
      <c r="A10" s="2"/>
      <c r="B10" s="5" t="s">
        <v>109</v>
      </c>
      <c r="C10" s="6"/>
      <c r="D10" s="5"/>
      <c r="E10" s="5"/>
      <c r="F10" s="7">
        <f t="shared" si="0"/>
        <v>0</v>
      </c>
      <c r="G10" s="7" t="e">
        <f t="shared" si="1"/>
        <v>#DIV/0!</v>
      </c>
      <c r="H10" s="8"/>
    </row>
    <row r="11" spans="1:9" ht="15" customHeight="1" x14ac:dyDescent="0.25">
      <c r="A11" s="2"/>
      <c r="B11" s="5" t="s">
        <v>109</v>
      </c>
      <c r="C11" s="6"/>
      <c r="D11" s="5"/>
      <c r="E11" s="5"/>
      <c r="F11" s="7">
        <f t="shared" si="0"/>
        <v>0</v>
      </c>
      <c r="G11" s="7" t="e">
        <f t="shared" si="1"/>
        <v>#DIV/0!</v>
      </c>
      <c r="H11" s="8"/>
    </row>
    <row r="12" spans="1:9" ht="15" customHeight="1" x14ac:dyDescent="0.25">
      <c r="A12" s="2"/>
      <c r="B12" s="10" t="s">
        <v>110</v>
      </c>
      <c r="C12" s="5"/>
      <c r="D12" s="5"/>
      <c r="E12" s="5"/>
      <c r="F12" s="5"/>
      <c r="G12" s="11" t="e">
        <f>AVERAGE(G5:G11)</f>
        <v>#DIV/0!</v>
      </c>
      <c r="H12" s="5"/>
    </row>
    <row r="13" spans="1:9" ht="15" customHeight="1" x14ac:dyDescent="0.25">
      <c r="B13" s="10" t="s">
        <v>111</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1"/>
      <c r="C4" s="51" t="s">
        <v>11</v>
      </c>
      <c r="D4" s="52" t="s">
        <v>168</v>
      </c>
      <c r="E4" s="52" t="s">
        <v>178</v>
      </c>
      <c r="F4" s="52" t="s">
        <v>163</v>
      </c>
      <c r="G4" s="52" t="s">
        <v>183</v>
      </c>
      <c r="H4" s="52" t="s">
        <v>201</v>
      </c>
      <c r="J4" t="s">
        <v>183</v>
      </c>
      <c r="K4" t="s">
        <v>199</v>
      </c>
    </row>
    <row r="5" spans="2:11" x14ac:dyDescent="0.25">
      <c r="B5" s="51"/>
      <c r="C5" s="51"/>
      <c r="D5" s="52" t="s">
        <v>169</v>
      </c>
      <c r="E5" s="52" t="s">
        <v>176</v>
      </c>
      <c r="F5" s="52" t="s">
        <v>198</v>
      </c>
      <c r="G5" s="52" t="s">
        <v>184</v>
      </c>
      <c r="H5" s="52" t="s">
        <v>202</v>
      </c>
    </row>
    <row r="6" spans="2:11" x14ac:dyDescent="0.25">
      <c r="B6" s="51"/>
      <c r="C6" s="51"/>
      <c r="D6" s="52" t="s">
        <v>170</v>
      </c>
      <c r="E6" s="52" t="s">
        <v>177</v>
      </c>
      <c r="F6" s="52" t="s">
        <v>199</v>
      </c>
      <c r="G6" s="52" t="s">
        <v>185</v>
      </c>
      <c r="H6" s="52" t="s">
        <v>215</v>
      </c>
    </row>
    <row r="7" spans="2:11" x14ac:dyDescent="0.25">
      <c r="B7" s="51"/>
      <c r="C7" s="51"/>
      <c r="D7" s="52" t="s">
        <v>171</v>
      </c>
      <c r="E7" s="52" t="s">
        <v>179</v>
      </c>
      <c r="F7" s="52" t="s">
        <v>200</v>
      </c>
      <c r="G7" s="52" t="s">
        <v>186</v>
      </c>
      <c r="H7" s="52" t="s">
        <v>203</v>
      </c>
    </row>
    <row r="8" spans="2:11" x14ac:dyDescent="0.25">
      <c r="B8" s="51"/>
      <c r="C8" s="51"/>
      <c r="D8" s="52" t="s">
        <v>172</v>
      </c>
      <c r="E8" s="52" t="s">
        <v>180</v>
      </c>
      <c r="F8" s="52"/>
      <c r="G8" s="52" t="s">
        <v>187</v>
      </c>
      <c r="H8" s="52" t="s">
        <v>204</v>
      </c>
    </row>
    <row r="9" spans="2:11" x14ac:dyDescent="0.25">
      <c r="B9" s="51"/>
      <c r="C9" s="51"/>
      <c r="D9" s="52" t="s">
        <v>173</v>
      </c>
      <c r="E9" s="52" t="s">
        <v>178</v>
      </c>
      <c r="F9" s="52"/>
      <c r="G9" s="52" t="s">
        <v>188</v>
      </c>
      <c r="H9" s="52" t="s">
        <v>205</v>
      </c>
    </row>
    <row r="10" spans="2:11" x14ac:dyDescent="0.25">
      <c r="B10" s="51"/>
      <c r="C10" s="51"/>
      <c r="D10" s="52" t="s">
        <v>174</v>
      </c>
      <c r="E10" s="52" t="s">
        <v>181</v>
      </c>
      <c r="F10" s="52"/>
      <c r="G10" s="52" t="s">
        <v>189</v>
      </c>
      <c r="H10" s="52" t="s">
        <v>206</v>
      </c>
    </row>
    <row r="11" spans="2:11" x14ac:dyDescent="0.25">
      <c r="B11" s="51"/>
      <c r="C11" s="51"/>
      <c r="D11" s="52" t="s">
        <v>175</v>
      </c>
      <c r="E11" s="52" t="s">
        <v>182</v>
      </c>
      <c r="F11" s="52"/>
      <c r="G11" s="52" t="s">
        <v>190</v>
      </c>
      <c r="H11" s="52" t="s">
        <v>207</v>
      </c>
    </row>
    <row r="12" spans="2:11" x14ac:dyDescent="0.25">
      <c r="B12" s="51"/>
      <c r="C12" s="51"/>
      <c r="D12" s="52"/>
      <c r="E12" s="52"/>
      <c r="F12" s="52"/>
      <c r="G12" s="52" t="s">
        <v>191</v>
      </c>
      <c r="H12" s="52" t="s">
        <v>208</v>
      </c>
    </row>
    <row r="13" spans="2:11" x14ac:dyDescent="0.25">
      <c r="B13" s="51"/>
      <c r="C13" s="51"/>
      <c r="D13" s="52"/>
      <c r="E13" s="52"/>
      <c r="F13" s="52"/>
      <c r="G13" s="52" t="s">
        <v>192</v>
      </c>
      <c r="H13" s="52" t="s">
        <v>209</v>
      </c>
    </row>
    <row r="14" spans="2:11" x14ac:dyDescent="0.25">
      <c r="B14" s="51"/>
      <c r="C14" s="51"/>
      <c r="D14" s="52"/>
      <c r="E14" s="52"/>
      <c r="F14" s="52"/>
      <c r="G14" s="52" t="s">
        <v>193</v>
      </c>
      <c r="H14" s="52" t="s">
        <v>210</v>
      </c>
    </row>
    <row r="15" spans="2:11" x14ac:dyDescent="0.25">
      <c r="B15" s="51"/>
      <c r="C15" s="51"/>
      <c r="D15" s="52"/>
      <c r="E15" s="52"/>
      <c r="F15" s="52"/>
      <c r="G15" s="52" t="s">
        <v>194</v>
      </c>
      <c r="H15" s="52" t="s">
        <v>211</v>
      </c>
    </row>
    <row r="16" spans="2:11" x14ac:dyDescent="0.25">
      <c r="B16" s="51"/>
      <c r="C16" s="51"/>
      <c r="D16" s="52"/>
      <c r="E16" s="52"/>
      <c r="F16" s="52"/>
      <c r="G16" s="52" t="s">
        <v>195</v>
      </c>
      <c r="H16" s="52" t="s">
        <v>212</v>
      </c>
    </row>
    <row r="17" spans="2:8" x14ac:dyDescent="0.25">
      <c r="B17" s="51"/>
      <c r="C17" s="51"/>
      <c r="D17" s="52"/>
      <c r="E17" s="52"/>
      <c r="F17" s="52"/>
      <c r="G17" s="52" t="s">
        <v>196</v>
      </c>
      <c r="H17" s="52" t="s">
        <v>213</v>
      </c>
    </row>
    <row r="18" spans="2:8" x14ac:dyDescent="0.25">
      <c r="B18" s="51"/>
      <c r="C18" s="51"/>
      <c r="D18" s="52"/>
      <c r="E18" s="52"/>
      <c r="F18" s="52"/>
      <c r="G18" s="52" t="s">
        <v>197</v>
      </c>
      <c r="H18" s="52" t="s">
        <v>214</v>
      </c>
    </row>
    <row r="24" spans="2:8" x14ac:dyDescent="0.25">
      <c r="C24" t="s">
        <v>160</v>
      </c>
    </row>
    <row r="25" spans="2:8" x14ac:dyDescent="0.25">
      <c r="C25" t="s">
        <v>216</v>
      </c>
    </row>
    <row r="26" spans="2:8" x14ac:dyDescent="0.25">
      <c r="C26" t="s">
        <v>217</v>
      </c>
    </row>
    <row r="27" spans="2:8" x14ac:dyDescent="0.25">
      <c r="C27" t="s">
        <v>218</v>
      </c>
    </row>
    <row r="28" spans="2:8" x14ac:dyDescent="0.25">
      <c r="C28" t="s">
        <v>219</v>
      </c>
    </row>
    <row r="29" spans="2:8" x14ac:dyDescent="0.25">
      <c r="C29" t="s">
        <v>220</v>
      </c>
    </row>
    <row r="30" spans="2:8" x14ac:dyDescent="0.25">
      <c r="C30" t="s">
        <v>160</v>
      </c>
    </row>
    <row r="33" spans="3:11" x14ac:dyDescent="0.25">
      <c r="J33">
        <v>1</v>
      </c>
      <c r="K33">
        <v>2</v>
      </c>
    </row>
    <row r="34" spans="3:11" x14ac:dyDescent="0.25">
      <c r="C34" s="53" t="s">
        <v>224</v>
      </c>
      <c r="D34" s="52" t="s">
        <v>222</v>
      </c>
      <c r="E34" s="52" t="s">
        <v>227</v>
      </c>
      <c r="F34" s="52" t="s">
        <v>225</v>
      </c>
      <c r="G34" s="52" t="s">
        <v>226</v>
      </c>
      <c r="H34" s="52" t="s">
        <v>228</v>
      </c>
      <c r="J34" t="s">
        <v>183</v>
      </c>
      <c r="K34" t="s">
        <v>199</v>
      </c>
    </row>
    <row r="35" spans="3:11" x14ac:dyDescent="0.25">
      <c r="C35" s="51" t="s">
        <v>223</v>
      </c>
      <c r="D35" s="52" t="s">
        <v>161</v>
      </c>
      <c r="E35" s="52" t="s">
        <v>232</v>
      </c>
      <c r="F35" s="52" t="s">
        <v>234</v>
      </c>
      <c r="G35" s="52" t="s">
        <v>236</v>
      </c>
      <c r="H35" s="52"/>
    </row>
    <row r="36" spans="3:11" x14ac:dyDescent="0.25">
      <c r="C36" s="51"/>
      <c r="D36" s="52" t="s">
        <v>229</v>
      </c>
      <c r="E36" s="52" t="s">
        <v>233</v>
      </c>
      <c r="F36" s="52" t="s">
        <v>235</v>
      </c>
      <c r="G36" s="52" t="s">
        <v>237</v>
      </c>
      <c r="H36" s="52"/>
    </row>
    <row r="37" spans="3:11" x14ac:dyDescent="0.25">
      <c r="C37" s="51"/>
      <c r="D37" s="52" t="s">
        <v>230</v>
      </c>
      <c r="E37" s="52"/>
      <c r="F37" s="52"/>
      <c r="G37" s="52" t="s">
        <v>238</v>
      </c>
      <c r="H37" s="52"/>
    </row>
    <row r="38" spans="3:11" x14ac:dyDescent="0.25">
      <c r="C38" s="51"/>
      <c r="D38" s="52" t="s">
        <v>231</v>
      </c>
      <c r="E38" s="52"/>
      <c r="F38" s="52"/>
      <c r="G38" s="52" t="s">
        <v>238</v>
      </c>
      <c r="H38" s="52"/>
    </row>
    <row r="39" spans="3:11" x14ac:dyDescent="0.25">
      <c r="C39" s="51"/>
      <c r="D39" s="52"/>
      <c r="E39" s="52"/>
      <c r="F39" s="52"/>
      <c r="G39" s="52" t="s">
        <v>239</v>
      </c>
      <c r="H39" s="52"/>
    </row>
    <row r="40" spans="3:11" x14ac:dyDescent="0.25">
      <c r="C40" s="51"/>
      <c r="D40" s="52"/>
      <c r="E40" s="52"/>
      <c r="F40" s="52"/>
      <c r="G40" s="52" t="s">
        <v>240</v>
      </c>
      <c r="H40" s="52"/>
    </row>
    <row r="41" spans="3:11" x14ac:dyDescent="0.25">
      <c r="C41" s="51"/>
      <c r="D41" s="52"/>
      <c r="E41" s="52"/>
      <c r="F41" s="52"/>
      <c r="G41" s="52"/>
      <c r="H41" s="52"/>
    </row>
    <row r="43" spans="3:11" x14ac:dyDescent="0.25">
      <c r="C43" t="s">
        <v>241</v>
      </c>
    </row>
    <row r="44" spans="3:11" x14ac:dyDescent="0.25">
      <c r="C44" t="s">
        <v>163</v>
      </c>
      <c r="D44" t="s">
        <v>242</v>
      </c>
    </row>
    <row r="45" spans="3:11" x14ac:dyDescent="0.25">
      <c r="D45" t="s">
        <v>243</v>
      </c>
    </row>
    <row r="46" spans="3:11" x14ac:dyDescent="0.25">
      <c r="D46" t="s">
        <v>244</v>
      </c>
    </row>
    <row r="47" spans="3:11" x14ac:dyDescent="0.25">
      <c r="D47" t="s">
        <v>245</v>
      </c>
    </row>
    <row r="48" spans="3:11" x14ac:dyDescent="0.25">
      <c r="D48" t="s">
        <v>246</v>
      </c>
    </row>
    <row r="49" spans="3:4" x14ac:dyDescent="0.25">
      <c r="C49" t="s">
        <v>168</v>
      </c>
      <c r="D49" t="s">
        <v>247</v>
      </c>
    </row>
    <row r="50" spans="3:4" x14ac:dyDescent="0.25">
      <c r="D50" t="s">
        <v>248</v>
      </c>
    </row>
    <row r="51" spans="3:4" x14ac:dyDescent="0.25">
      <c r="D51" t="s">
        <v>249</v>
      </c>
    </row>
    <row r="52" spans="3:4" x14ac:dyDescent="0.25">
      <c r="D52" t="s">
        <v>252</v>
      </c>
    </row>
    <row r="53" spans="3:4" x14ac:dyDescent="0.25">
      <c r="D53" t="s">
        <v>250</v>
      </c>
    </row>
    <row r="54" spans="3:4" x14ac:dyDescent="0.25">
      <c r="D54" t="s">
        <v>251</v>
      </c>
    </row>
    <row r="55" spans="3:4" x14ac:dyDescent="0.25">
      <c r="D55" t="s">
        <v>253</v>
      </c>
    </row>
    <row r="56" spans="3:4" x14ac:dyDescent="0.25">
      <c r="D56" t="s">
        <v>254</v>
      </c>
    </row>
    <row r="57" spans="3:4" x14ac:dyDescent="0.25">
      <c r="D57" t="s">
        <v>255</v>
      </c>
    </row>
    <row r="58" spans="3:4" x14ac:dyDescent="0.25">
      <c r="D58" t="s">
        <v>257</v>
      </c>
    </row>
    <row r="59" spans="3:4" x14ac:dyDescent="0.25">
      <c r="D59" t="s">
        <v>266</v>
      </c>
    </row>
    <row r="60" spans="3:4" x14ac:dyDescent="0.25">
      <c r="C60" t="s">
        <v>183</v>
      </c>
      <c r="D60" t="s">
        <v>258</v>
      </c>
    </row>
    <row r="61" spans="3:4" x14ac:dyDescent="0.25">
      <c r="D61" t="s">
        <v>256</v>
      </c>
    </row>
    <row r="62" spans="3:4" x14ac:dyDescent="0.25">
      <c r="D62" t="s">
        <v>246</v>
      </c>
    </row>
    <row r="63" spans="3:4" x14ac:dyDescent="0.25">
      <c r="D63" t="s">
        <v>259</v>
      </c>
    </row>
    <row r="64" spans="3:4" x14ac:dyDescent="0.25">
      <c r="D64" t="s">
        <v>260</v>
      </c>
    </row>
    <row r="65" spans="3:4" x14ac:dyDescent="0.25">
      <c r="D65" t="s">
        <v>261</v>
      </c>
    </row>
    <row r="66" spans="3:4" x14ac:dyDescent="0.25">
      <c r="D66" t="s">
        <v>262</v>
      </c>
    </row>
    <row r="67" spans="3:4" x14ac:dyDescent="0.25">
      <c r="C67" t="s">
        <v>178</v>
      </c>
      <c r="D67" t="s">
        <v>263</v>
      </c>
    </row>
    <row r="68" spans="3:4" x14ac:dyDescent="0.25">
      <c r="D68" t="s">
        <v>264</v>
      </c>
    </row>
    <row r="69" spans="3:4" x14ac:dyDescent="0.25">
      <c r="D69" t="s">
        <v>265</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4"/>
  <sheetViews>
    <sheetView topLeftCell="A16" zoomScaleNormal="100" workbookViewId="0">
      <selection activeCell="C24" sqref="C24"/>
    </sheetView>
  </sheetViews>
  <sheetFormatPr defaultRowHeight="15" x14ac:dyDescent="0.25"/>
  <cols>
    <col min="2" max="2" width="3" bestFit="1" customWidth="1"/>
    <col min="3" max="3" width="155.28515625" customWidth="1"/>
  </cols>
  <sheetData>
    <row r="2" spans="2:3" ht="15" customHeight="1" x14ac:dyDescent="0.25">
      <c r="B2" s="54">
        <v>1</v>
      </c>
      <c r="C2" s="56" t="s">
        <v>271</v>
      </c>
    </row>
    <row r="3" spans="2:3" x14ac:dyDescent="0.25">
      <c r="B3" s="54">
        <v>2</v>
      </c>
      <c r="C3" s="55" t="s">
        <v>272</v>
      </c>
    </row>
    <row r="4" spans="2:3" x14ac:dyDescent="0.25">
      <c r="B4" s="54">
        <v>3</v>
      </c>
      <c r="C4" s="54" t="s">
        <v>273</v>
      </c>
    </row>
    <row r="5" spans="2:3" x14ac:dyDescent="0.25">
      <c r="B5" s="54">
        <v>4</v>
      </c>
      <c r="C5" s="55" t="s">
        <v>274</v>
      </c>
    </row>
    <row r="6" spans="2:3" x14ac:dyDescent="0.25">
      <c r="B6" s="54">
        <v>5</v>
      </c>
      <c r="C6" s="54" t="s">
        <v>275</v>
      </c>
    </row>
    <row r="7" spans="2:3" ht="30" x14ac:dyDescent="0.25">
      <c r="B7" s="54">
        <v>6</v>
      </c>
      <c r="C7" s="55" t="s">
        <v>276</v>
      </c>
    </row>
    <row r="8" spans="2:3" ht="75" x14ac:dyDescent="0.25">
      <c r="B8" s="54">
        <v>7</v>
      </c>
      <c r="C8" s="55" t="s">
        <v>277</v>
      </c>
    </row>
    <row r="9" spans="2:3" x14ac:dyDescent="0.25">
      <c r="B9" s="54">
        <v>8</v>
      </c>
      <c r="C9" s="54" t="s">
        <v>278</v>
      </c>
    </row>
    <row r="10" spans="2:3" x14ac:dyDescent="0.25">
      <c r="B10" s="54">
        <v>9</v>
      </c>
      <c r="C10" s="54" t="s">
        <v>279</v>
      </c>
    </row>
    <row r="11" spans="2:3" x14ac:dyDescent="0.25">
      <c r="B11" s="54">
        <v>10</v>
      </c>
      <c r="C11" s="54" t="s">
        <v>280</v>
      </c>
    </row>
    <row r="12" spans="2:3" x14ac:dyDescent="0.25">
      <c r="B12" s="54">
        <v>11</v>
      </c>
      <c r="C12" s="54" t="s">
        <v>281</v>
      </c>
    </row>
    <row r="13" spans="2:3" x14ac:dyDescent="0.25">
      <c r="B13" s="54">
        <v>12</v>
      </c>
      <c r="C13" s="54" t="s">
        <v>282</v>
      </c>
    </row>
    <row r="14" spans="2:3" x14ac:dyDescent="0.25">
      <c r="B14" s="54">
        <v>13</v>
      </c>
      <c r="C14" s="54" t="s">
        <v>283</v>
      </c>
    </row>
    <row r="15" spans="2:3" x14ac:dyDescent="0.25">
      <c r="B15" s="54">
        <v>14</v>
      </c>
      <c r="C15" s="54" t="s">
        <v>273</v>
      </c>
    </row>
    <row r="16" spans="2:3" x14ac:dyDescent="0.25">
      <c r="B16" s="54">
        <v>15</v>
      </c>
      <c r="C16" s="54" t="s">
        <v>285</v>
      </c>
    </row>
    <row r="17" spans="2:3" x14ac:dyDescent="0.25">
      <c r="B17" s="72">
        <v>16</v>
      </c>
      <c r="C17" s="59" t="s">
        <v>286</v>
      </c>
    </row>
    <row r="18" spans="2:3" x14ac:dyDescent="0.25">
      <c r="B18" s="58">
        <v>17</v>
      </c>
      <c r="C18" s="59" t="s">
        <v>287</v>
      </c>
    </row>
    <row r="19" spans="2:3" x14ac:dyDescent="0.25">
      <c r="B19" s="57">
        <v>18</v>
      </c>
      <c r="C19" s="54" t="s">
        <v>288</v>
      </c>
    </row>
    <row r="20" spans="2:3" x14ac:dyDescent="0.25">
      <c r="B20" s="58">
        <v>19</v>
      </c>
      <c r="C20" s="54" t="s">
        <v>324</v>
      </c>
    </row>
    <row r="21" spans="2:3" x14ac:dyDescent="0.25">
      <c r="B21" s="54">
        <v>20</v>
      </c>
      <c r="C21" s="54" t="s">
        <v>289</v>
      </c>
    </row>
    <row r="22" spans="2:3" x14ac:dyDescent="0.25">
      <c r="B22" s="58">
        <v>21</v>
      </c>
      <c r="C22" s="54" t="s">
        <v>288</v>
      </c>
    </row>
    <row r="23" spans="2:3" s="67" customFormat="1" ht="29.25" customHeight="1" x14ac:dyDescent="0.25">
      <c r="B23" s="66">
        <v>22</v>
      </c>
      <c r="C23" s="56" t="s">
        <v>316</v>
      </c>
    </row>
    <row r="24" spans="2:3" s="67" customFormat="1" ht="30.75" customHeight="1" x14ac:dyDescent="0.25">
      <c r="B24" s="68">
        <v>23</v>
      </c>
      <c r="C24" s="56" t="s">
        <v>317</v>
      </c>
    </row>
    <row r="25" spans="2:3" x14ac:dyDescent="0.25">
      <c r="B25" s="54">
        <v>24</v>
      </c>
      <c r="C25" s="54" t="s">
        <v>320</v>
      </c>
    </row>
    <row r="26" spans="2:3" x14ac:dyDescent="0.25">
      <c r="B26" s="58">
        <v>25</v>
      </c>
      <c r="C26" s="54" t="s">
        <v>318</v>
      </c>
    </row>
    <row r="27" spans="2:3" x14ac:dyDescent="0.25">
      <c r="B27" s="68">
        <v>26</v>
      </c>
      <c r="C27" s="54" t="s">
        <v>319</v>
      </c>
    </row>
    <row r="28" spans="2:3" x14ac:dyDescent="0.25">
      <c r="B28" s="58">
        <v>27</v>
      </c>
      <c r="C28" s="54" t="s">
        <v>321</v>
      </c>
    </row>
    <row r="29" spans="2:3" ht="60" x14ac:dyDescent="0.25">
      <c r="B29" s="71">
        <v>28</v>
      </c>
      <c r="C29" s="55" t="s">
        <v>322</v>
      </c>
    </row>
    <row r="30" spans="2:3" x14ac:dyDescent="0.25">
      <c r="B30" s="68">
        <v>29</v>
      </c>
      <c r="C30" s="54" t="s">
        <v>323</v>
      </c>
    </row>
    <row r="31" spans="2:3" ht="30" x14ac:dyDescent="0.25">
      <c r="B31" s="68">
        <v>30</v>
      </c>
      <c r="C31" s="55" t="s">
        <v>325</v>
      </c>
    </row>
    <row r="32" spans="2:3" x14ac:dyDescent="0.25">
      <c r="B32" s="68">
        <v>31</v>
      </c>
      <c r="C32" s="54" t="s">
        <v>326</v>
      </c>
    </row>
    <row r="33" spans="2:4" x14ac:dyDescent="0.25">
      <c r="B33" s="68">
        <v>32</v>
      </c>
      <c r="C33" s="54" t="s">
        <v>327</v>
      </c>
    </row>
    <row r="34" spans="2:4" ht="36.75" customHeight="1" x14ac:dyDescent="0.25">
      <c r="B34" s="68">
        <v>33</v>
      </c>
      <c r="C34" s="59" t="s">
        <v>328</v>
      </c>
    </row>
    <row r="35" spans="2:4" x14ac:dyDescent="0.25">
      <c r="B35" s="66">
        <v>34</v>
      </c>
      <c r="C35" s="54" t="s">
        <v>336</v>
      </c>
    </row>
    <row r="36" spans="2:4" ht="60" x14ac:dyDescent="0.25">
      <c r="B36" s="66">
        <v>35</v>
      </c>
      <c r="C36" s="55" t="s">
        <v>338</v>
      </c>
    </row>
    <row r="37" spans="2:4" x14ac:dyDescent="0.25">
      <c r="B37" s="54">
        <v>36</v>
      </c>
      <c r="C37" s="55" t="s">
        <v>349</v>
      </c>
    </row>
    <row r="38" spans="2:4" x14ac:dyDescent="0.25">
      <c r="B38" s="54">
        <f t="shared" ref="B38:B44" si="0">B37+1</f>
        <v>37</v>
      </c>
      <c r="C38" s="54" t="s">
        <v>345</v>
      </c>
    </row>
    <row r="39" spans="2:4" x14ac:dyDescent="0.25">
      <c r="B39" s="54">
        <f t="shared" si="0"/>
        <v>38</v>
      </c>
      <c r="C39" s="54" t="s">
        <v>346</v>
      </c>
    </row>
    <row r="40" spans="2:4" x14ac:dyDescent="0.25">
      <c r="B40" s="54">
        <f t="shared" si="0"/>
        <v>39</v>
      </c>
      <c r="C40" s="54" t="s">
        <v>347</v>
      </c>
    </row>
    <row r="41" spans="2:4" x14ac:dyDescent="0.25">
      <c r="B41" s="54">
        <f t="shared" si="0"/>
        <v>40</v>
      </c>
      <c r="C41" s="54" t="s">
        <v>348</v>
      </c>
    </row>
    <row r="42" spans="2:4" ht="30.75" thickBot="1" x14ac:dyDescent="0.3">
      <c r="B42" s="75">
        <f t="shared" si="0"/>
        <v>41</v>
      </c>
      <c r="C42" s="76" t="s">
        <v>350</v>
      </c>
    </row>
    <row r="43" spans="2:4" ht="30" x14ac:dyDescent="0.25">
      <c r="B43" s="79">
        <f t="shared" si="0"/>
        <v>42</v>
      </c>
      <c r="C43" s="84" t="s">
        <v>355</v>
      </c>
      <c r="D43" t="s">
        <v>356</v>
      </c>
    </row>
    <row r="44" spans="2:4" ht="15.75" thickBot="1" x14ac:dyDescent="0.3">
      <c r="B44" s="81">
        <f t="shared" si="0"/>
        <v>43</v>
      </c>
      <c r="C44" s="83" t="s">
        <v>351</v>
      </c>
    </row>
    <row r="45" spans="2:4" ht="15.75" thickBot="1" x14ac:dyDescent="0.3">
      <c r="B45" s="77">
        <f t="shared" ref="B45:B54" si="1">B44+1</f>
        <v>44</v>
      </c>
      <c r="C45" s="78" t="s">
        <v>352</v>
      </c>
    </row>
    <row r="46" spans="2:4" ht="30" x14ac:dyDescent="0.25">
      <c r="B46" s="79">
        <f t="shared" si="1"/>
        <v>45</v>
      </c>
      <c r="C46" s="80" t="s">
        <v>353</v>
      </c>
    </row>
    <row r="47" spans="2:4" ht="15.75" thickBot="1" x14ac:dyDescent="0.3">
      <c r="B47" s="81">
        <f t="shared" si="1"/>
        <v>46</v>
      </c>
      <c r="C47" s="82" t="s">
        <v>354</v>
      </c>
    </row>
    <row r="48" spans="2:4" x14ac:dyDescent="0.25">
      <c r="B48" s="85">
        <f t="shared" si="1"/>
        <v>47</v>
      </c>
      <c r="C48" s="86" t="s">
        <v>357</v>
      </c>
    </row>
    <row r="49" spans="2:4" x14ac:dyDescent="0.25">
      <c r="B49" s="85">
        <f t="shared" si="1"/>
        <v>48</v>
      </c>
      <c r="C49" s="86" t="s">
        <v>358</v>
      </c>
    </row>
    <row r="50" spans="2:4" x14ac:dyDescent="0.25">
      <c r="B50" s="85">
        <f t="shared" si="1"/>
        <v>49</v>
      </c>
      <c r="C50" s="86" t="s">
        <v>360</v>
      </c>
      <c r="D50" t="s">
        <v>359</v>
      </c>
    </row>
    <row r="51" spans="2:4" ht="30" x14ac:dyDescent="0.25">
      <c r="B51" s="87">
        <f t="shared" si="1"/>
        <v>50</v>
      </c>
      <c r="C51" s="88" t="s">
        <v>361</v>
      </c>
    </row>
    <row r="52" spans="2:4" x14ac:dyDescent="0.25">
      <c r="B52" s="87">
        <f t="shared" si="1"/>
        <v>51</v>
      </c>
      <c r="C52" s="89" t="s">
        <v>364</v>
      </c>
      <c r="D52" t="s">
        <v>365</v>
      </c>
    </row>
    <row r="53" spans="2:4" x14ac:dyDescent="0.25">
      <c r="B53" s="87">
        <f t="shared" si="1"/>
        <v>52</v>
      </c>
      <c r="C53" s="89" t="s">
        <v>367</v>
      </c>
      <c r="D53" t="s">
        <v>368</v>
      </c>
    </row>
    <row r="54" spans="2:4" ht="45" x14ac:dyDescent="0.25">
      <c r="B54" s="87">
        <f t="shared" si="1"/>
        <v>53</v>
      </c>
      <c r="C54" s="91" t="s">
        <v>372</v>
      </c>
      <c r="D54" t="s">
        <v>371</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51"/>
    <col min="2" max="2" width="12.28515625" style="51" customWidth="1"/>
    <col min="3" max="16384" width="9.140625" style="51"/>
  </cols>
  <sheetData>
    <row r="2" spans="1:12" x14ac:dyDescent="0.25">
      <c r="B2" s="60" t="s">
        <v>290</v>
      </c>
      <c r="C2" s="249"/>
      <c r="D2" s="249"/>
    </row>
    <row r="3" spans="1:12" x14ac:dyDescent="0.25">
      <c r="D3" s="61"/>
      <c r="E3" s="61"/>
      <c r="F3" s="61"/>
      <c r="G3" s="61"/>
      <c r="H3" s="61"/>
      <c r="I3" s="61"/>
    </row>
    <row r="4" spans="1:12" x14ac:dyDescent="0.25">
      <c r="A4" s="60" t="s">
        <v>65</v>
      </c>
      <c r="B4" s="62" t="s">
        <v>291</v>
      </c>
      <c r="C4" s="250" t="s">
        <v>292</v>
      </c>
      <c r="D4" s="250"/>
      <c r="E4" s="250"/>
      <c r="F4" s="62"/>
      <c r="G4" s="251" t="s">
        <v>293</v>
      </c>
      <c r="H4" s="251"/>
      <c r="I4" s="251"/>
      <c r="J4" s="252" t="s">
        <v>294</v>
      </c>
      <c r="K4" s="252"/>
      <c r="L4" s="252"/>
    </row>
    <row r="5" spans="1:12" x14ac:dyDescent="0.25">
      <c r="A5" s="60"/>
      <c r="B5" s="62"/>
      <c r="C5" s="62" t="s">
        <v>295</v>
      </c>
      <c r="D5" s="62" t="s">
        <v>296</v>
      </c>
      <c r="E5" s="62" t="s">
        <v>297</v>
      </c>
      <c r="F5" s="62"/>
      <c r="G5" s="62" t="s">
        <v>295</v>
      </c>
      <c r="H5" s="62" t="s">
        <v>296</v>
      </c>
      <c r="I5" s="62" t="s">
        <v>297</v>
      </c>
      <c r="J5" s="62" t="s">
        <v>295</v>
      </c>
      <c r="K5" s="62" t="s">
        <v>296</v>
      </c>
      <c r="L5" s="62" t="s">
        <v>297</v>
      </c>
    </row>
    <row r="6" spans="1:12" x14ac:dyDescent="0.25">
      <c r="B6" s="52" t="s">
        <v>298</v>
      </c>
      <c r="C6" s="52"/>
      <c r="D6" s="52"/>
      <c r="E6" s="52">
        <f>C6*D6</f>
        <v>0</v>
      </c>
      <c r="F6" s="52" t="s">
        <v>315</v>
      </c>
      <c r="G6" s="52"/>
      <c r="H6" s="52"/>
      <c r="I6" s="52">
        <f>G6*H6</f>
        <v>0</v>
      </c>
      <c r="J6" s="52"/>
      <c r="K6" s="52"/>
      <c r="L6" s="52">
        <f>J6*K6</f>
        <v>0</v>
      </c>
    </row>
    <row r="7" spans="1:12" x14ac:dyDescent="0.25">
      <c r="B7" s="52"/>
      <c r="C7" s="52"/>
      <c r="D7" s="52"/>
      <c r="E7" s="52">
        <f t="shared" ref="E7:E41" si="0">C7*D7</f>
        <v>0</v>
      </c>
      <c r="F7" s="52" t="s">
        <v>315</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299</v>
      </c>
      <c r="G9" s="52"/>
      <c r="H9" s="52"/>
      <c r="I9" s="52">
        <f t="shared" si="1"/>
        <v>0</v>
      </c>
      <c r="J9" s="52"/>
      <c r="K9" s="52"/>
      <c r="L9" s="52">
        <f t="shared" si="2"/>
        <v>0</v>
      </c>
    </row>
    <row r="10" spans="1:12" x14ac:dyDescent="0.25">
      <c r="B10" s="52" t="s">
        <v>300</v>
      </c>
      <c r="C10" s="52"/>
      <c r="D10" s="52"/>
      <c r="E10" s="52">
        <f t="shared" si="0"/>
        <v>0</v>
      </c>
      <c r="F10" s="52" t="s">
        <v>299</v>
      </c>
      <c r="G10" s="52"/>
      <c r="H10" s="52"/>
      <c r="I10" s="52">
        <f t="shared" si="1"/>
        <v>0</v>
      </c>
      <c r="J10" s="52"/>
      <c r="K10" s="52"/>
      <c r="L10" s="52">
        <f t="shared" si="2"/>
        <v>0</v>
      </c>
    </row>
    <row r="11" spans="1:12" x14ac:dyDescent="0.25">
      <c r="B11" s="52"/>
      <c r="C11" s="52"/>
      <c r="D11" s="52"/>
      <c r="E11" s="52">
        <f t="shared" si="0"/>
        <v>0</v>
      </c>
      <c r="F11" s="52" t="s">
        <v>301</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302</v>
      </c>
      <c r="C14" s="52"/>
      <c r="D14" s="52"/>
      <c r="E14" s="52">
        <f t="shared" si="0"/>
        <v>0</v>
      </c>
      <c r="F14" s="52" t="s">
        <v>299</v>
      </c>
      <c r="G14" s="52"/>
      <c r="H14" s="52"/>
      <c r="I14" s="52">
        <f t="shared" si="1"/>
        <v>0</v>
      </c>
      <c r="J14" s="52"/>
      <c r="K14" s="52"/>
      <c r="L14" s="52">
        <f t="shared" si="2"/>
        <v>0</v>
      </c>
    </row>
    <row r="15" spans="1:12" x14ac:dyDescent="0.25">
      <c r="B15" s="52"/>
      <c r="C15" s="52"/>
      <c r="D15" s="52"/>
      <c r="E15" s="52">
        <f t="shared" si="0"/>
        <v>0</v>
      </c>
      <c r="F15" s="52" t="s">
        <v>301</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303</v>
      </c>
      <c r="C18" s="52"/>
      <c r="D18" s="52"/>
      <c r="E18" s="52">
        <f t="shared" si="0"/>
        <v>0</v>
      </c>
      <c r="F18" s="52" t="s">
        <v>299</v>
      </c>
      <c r="G18" s="52"/>
      <c r="H18" s="52"/>
      <c r="I18" s="52">
        <f t="shared" si="1"/>
        <v>0</v>
      </c>
      <c r="J18" s="52"/>
      <c r="K18" s="52"/>
      <c r="L18" s="52">
        <f t="shared" si="2"/>
        <v>0</v>
      </c>
    </row>
    <row r="19" spans="2:12" x14ac:dyDescent="0.25">
      <c r="B19" s="52"/>
      <c r="C19" s="52"/>
      <c r="D19" s="52"/>
      <c r="E19" s="52">
        <f t="shared" si="0"/>
        <v>0</v>
      </c>
      <c r="F19" s="52" t="s">
        <v>301</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304</v>
      </c>
      <c r="C21" s="52"/>
      <c r="D21" s="52"/>
      <c r="E21" s="52">
        <f t="shared" si="0"/>
        <v>0</v>
      </c>
      <c r="F21" s="52" t="s">
        <v>299</v>
      </c>
      <c r="G21" s="52"/>
      <c r="H21" s="52"/>
      <c r="I21" s="52">
        <f t="shared" si="1"/>
        <v>0</v>
      </c>
      <c r="J21" s="52"/>
      <c r="K21" s="52"/>
      <c r="L21" s="52">
        <f t="shared" si="2"/>
        <v>0</v>
      </c>
    </row>
    <row r="22" spans="2:12" x14ac:dyDescent="0.25">
      <c r="B22" s="52"/>
      <c r="C22" s="52"/>
      <c r="D22" s="52"/>
      <c r="E22" s="52">
        <f t="shared" si="0"/>
        <v>0</v>
      </c>
      <c r="F22" s="52" t="s">
        <v>301</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305</v>
      </c>
      <c r="C24" s="52"/>
      <c r="D24" s="52"/>
      <c r="E24" s="52">
        <f t="shared" si="0"/>
        <v>0</v>
      </c>
      <c r="F24" s="52" t="s">
        <v>306</v>
      </c>
      <c r="G24" s="52"/>
      <c r="H24" s="52"/>
      <c r="I24" s="52">
        <f t="shared" si="1"/>
        <v>0</v>
      </c>
      <c r="J24" s="52"/>
      <c r="K24" s="52"/>
      <c r="L24" s="52">
        <f t="shared" si="2"/>
        <v>0</v>
      </c>
    </row>
    <row r="25" spans="2:12" x14ac:dyDescent="0.25">
      <c r="B25" s="52"/>
      <c r="C25" s="52"/>
      <c r="D25" s="52"/>
      <c r="E25" s="52">
        <f>C25*D25</f>
        <v>0</v>
      </c>
      <c r="F25" s="52" t="s">
        <v>306</v>
      </c>
      <c r="G25" s="52"/>
      <c r="H25" s="52"/>
      <c r="I25" s="52">
        <f>G25*H25</f>
        <v>0</v>
      </c>
      <c r="J25" s="52"/>
      <c r="K25" s="52"/>
      <c r="L25" s="52">
        <f>J25*K25</f>
        <v>0</v>
      </c>
    </row>
    <row r="26" spans="2:12" x14ac:dyDescent="0.25">
      <c r="B26" s="52"/>
      <c r="C26" s="52"/>
      <c r="D26" s="52"/>
      <c r="E26" s="52">
        <f>C26*D26</f>
        <v>0</v>
      </c>
      <c r="F26" s="52" t="s">
        <v>306</v>
      </c>
      <c r="G26" s="52"/>
      <c r="H26" s="52"/>
      <c r="I26" s="52">
        <f>G26*H26</f>
        <v>0</v>
      </c>
      <c r="J26" s="52"/>
      <c r="K26" s="52"/>
      <c r="L26" s="52">
        <f>J26*K26</f>
        <v>0</v>
      </c>
    </row>
    <row r="27" spans="2:12" x14ac:dyDescent="0.25">
      <c r="B27" s="52"/>
      <c r="C27" s="52"/>
      <c r="D27" s="52"/>
      <c r="E27" s="52">
        <f>C27*D27</f>
        <v>0</v>
      </c>
      <c r="F27" s="52" t="s">
        <v>306</v>
      </c>
      <c r="G27" s="52"/>
      <c r="H27" s="52"/>
      <c r="I27" s="52">
        <f>G27*H27</f>
        <v>0</v>
      </c>
      <c r="J27" s="52"/>
      <c r="K27" s="52"/>
      <c r="L27" s="52">
        <f>J27*K27</f>
        <v>0</v>
      </c>
    </row>
    <row r="28" spans="2:12" x14ac:dyDescent="0.25">
      <c r="B28" s="52" t="s">
        <v>307</v>
      </c>
      <c r="C28" s="52"/>
      <c r="D28" s="52"/>
      <c r="E28" s="52">
        <f t="shared" si="0"/>
        <v>0</v>
      </c>
      <c r="F28" s="52" t="s">
        <v>306</v>
      </c>
      <c r="G28" s="52"/>
      <c r="H28" s="52"/>
      <c r="I28" s="52">
        <f t="shared" si="1"/>
        <v>0</v>
      </c>
      <c r="J28" s="52"/>
      <c r="K28" s="52"/>
      <c r="L28" s="52">
        <f t="shared" si="2"/>
        <v>0</v>
      </c>
    </row>
    <row r="29" spans="2:12" x14ac:dyDescent="0.25">
      <c r="B29" s="52" t="s">
        <v>308</v>
      </c>
      <c r="C29" s="52"/>
      <c r="D29" s="52"/>
      <c r="E29" s="52">
        <f t="shared" si="0"/>
        <v>0</v>
      </c>
      <c r="F29" s="52" t="s">
        <v>306</v>
      </c>
      <c r="G29" s="52"/>
      <c r="H29" s="52"/>
      <c r="I29" s="52">
        <f t="shared" si="1"/>
        <v>0</v>
      </c>
      <c r="J29" s="52"/>
      <c r="K29" s="52"/>
      <c r="L29" s="52">
        <f t="shared" si="2"/>
        <v>0</v>
      </c>
    </row>
    <row r="30" spans="2:12" x14ac:dyDescent="0.25">
      <c r="B30" s="52" t="s">
        <v>312</v>
      </c>
      <c r="C30" s="52"/>
      <c r="D30" s="52"/>
      <c r="E30" s="52">
        <f t="shared" si="0"/>
        <v>0</v>
      </c>
      <c r="F30" s="52"/>
      <c r="G30" s="52"/>
      <c r="H30" s="52"/>
      <c r="I30" s="52">
        <f t="shared" si="1"/>
        <v>0</v>
      </c>
      <c r="J30" s="52"/>
      <c r="K30" s="52"/>
      <c r="L30" s="52">
        <f t="shared" si="2"/>
        <v>0</v>
      </c>
    </row>
    <row r="31" spans="2:12" x14ac:dyDescent="0.25">
      <c r="B31" s="52"/>
      <c r="C31" s="52"/>
      <c r="D31" s="52"/>
      <c r="E31" s="52">
        <f>C31*D31</f>
        <v>0</v>
      </c>
      <c r="F31" s="52"/>
      <c r="G31" s="52"/>
      <c r="H31" s="52"/>
      <c r="I31" s="52">
        <f>G31*H31</f>
        <v>0</v>
      </c>
      <c r="J31" s="52"/>
      <c r="K31" s="52"/>
      <c r="L31" s="52">
        <f>J31*K31</f>
        <v>0</v>
      </c>
    </row>
    <row r="32" spans="2:12" x14ac:dyDescent="0.25">
      <c r="B32" s="52"/>
      <c r="C32" s="52"/>
      <c r="D32" s="52"/>
      <c r="E32" s="52">
        <f>C32*D32</f>
        <v>0</v>
      </c>
      <c r="F32" s="52"/>
      <c r="G32" s="52"/>
      <c r="H32" s="52"/>
      <c r="I32" s="52">
        <f>G32*H32</f>
        <v>0</v>
      </c>
      <c r="J32" s="52"/>
      <c r="K32" s="52"/>
      <c r="L32" s="52">
        <f>J32*K32</f>
        <v>0</v>
      </c>
    </row>
    <row r="33" spans="2:12" x14ac:dyDescent="0.25">
      <c r="B33" s="52" t="s">
        <v>309</v>
      </c>
      <c r="C33" s="52"/>
      <c r="D33" s="52"/>
      <c r="E33" s="52">
        <f t="shared" si="0"/>
        <v>0</v>
      </c>
      <c r="F33" s="52"/>
      <c r="G33" s="52"/>
      <c r="H33" s="52"/>
      <c r="I33" s="52">
        <f t="shared" si="1"/>
        <v>0</v>
      </c>
      <c r="J33" s="52"/>
      <c r="K33" s="52"/>
      <c r="L33" s="52">
        <f t="shared" si="2"/>
        <v>0</v>
      </c>
    </row>
    <row r="34" spans="2:12" x14ac:dyDescent="0.25">
      <c r="B34" s="52" t="s">
        <v>313</v>
      </c>
      <c r="C34" s="52"/>
      <c r="D34" s="52"/>
      <c r="E34" s="52">
        <f t="shared" si="0"/>
        <v>0</v>
      </c>
      <c r="F34" s="52"/>
      <c r="G34" s="52"/>
      <c r="H34" s="52"/>
      <c r="I34" s="52">
        <f t="shared" si="1"/>
        <v>0</v>
      </c>
      <c r="J34" s="52"/>
      <c r="K34" s="52"/>
      <c r="L34" s="52">
        <f t="shared" si="2"/>
        <v>0</v>
      </c>
    </row>
    <row r="35" spans="2:12" x14ac:dyDescent="0.25">
      <c r="B35" s="52" t="s">
        <v>310</v>
      </c>
      <c r="C35" s="52"/>
      <c r="D35" s="52"/>
      <c r="E35" s="52">
        <f t="shared" si="0"/>
        <v>0</v>
      </c>
      <c r="F35" s="52"/>
      <c r="G35" s="52"/>
      <c r="H35" s="52"/>
      <c r="I35" s="52">
        <f t="shared" si="1"/>
        <v>0</v>
      </c>
      <c r="J35" s="52"/>
      <c r="K35" s="52"/>
      <c r="L35" s="52">
        <f t="shared" si="2"/>
        <v>0</v>
      </c>
    </row>
    <row r="36" spans="2:12" x14ac:dyDescent="0.25">
      <c r="B36" s="52" t="s">
        <v>311</v>
      </c>
      <c r="C36" s="52"/>
      <c r="D36" s="52"/>
      <c r="E36" s="52">
        <f t="shared" si="0"/>
        <v>0</v>
      </c>
      <c r="F36" s="52"/>
      <c r="G36" s="52"/>
      <c r="H36" s="52"/>
      <c r="I36" s="52">
        <f t="shared" ref="I36:I41" si="3">G36*H36</f>
        <v>0</v>
      </c>
      <c r="J36" s="52"/>
      <c r="K36" s="52"/>
      <c r="L36" s="52">
        <f t="shared" ref="L36:L41" si="4">J36*K36</f>
        <v>0</v>
      </c>
    </row>
    <row r="37" spans="2:12" x14ac:dyDescent="0.25">
      <c r="B37" s="52"/>
      <c r="C37" s="52"/>
      <c r="D37" s="52"/>
      <c r="E37" s="52">
        <f>C37*D37</f>
        <v>0</v>
      </c>
      <c r="F37" s="52"/>
      <c r="G37" s="52"/>
      <c r="H37" s="52"/>
      <c r="I37" s="52">
        <f t="shared" si="3"/>
        <v>0</v>
      </c>
      <c r="J37" s="52"/>
      <c r="K37" s="52"/>
      <c r="L37" s="52">
        <f t="shared" si="4"/>
        <v>0</v>
      </c>
    </row>
    <row r="38" spans="2:12" x14ac:dyDescent="0.25">
      <c r="B38" s="52" t="s">
        <v>314</v>
      </c>
      <c r="C38" s="52"/>
      <c r="D38" s="52"/>
      <c r="E38" s="52">
        <f>C38*D38</f>
        <v>0</v>
      </c>
      <c r="F38" s="52"/>
      <c r="G38" s="52"/>
      <c r="H38" s="52"/>
      <c r="I38" s="52">
        <f t="shared" si="3"/>
        <v>0</v>
      </c>
      <c r="J38" s="52"/>
      <c r="K38" s="52"/>
      <c r="L38" s="52">
        <f t="shared" si="4"/>
        <v>0</v>
      </c>
    </row>
    <row r="39" spans="2:12" x14ac:dyDescent="0.25">
      <c r="B39" s="52"/>
      <c r="C39" s="52"/>
      <c r="D39" s="52"/>
      <c r="E39" s="52">
        <f t="shared" si="0"/>
        <v>0</v>
      </c>
      <c r="F39" s="52"/>
      <c r="G39" s="52"/>
      <c r="H39" s="52"/>
      <c r="I39" s="52">
        <f t="shared" si="3"/>
        <v>0</v>
      </c>
      <c r="J39" s="52"/>
      <c r="K39" s="52"/>
      <c r="L39" s="52">
        <f t="shared" si="4"/>
        <v>0</v>
      </c>
    </row>
    <row r="40" spans="2:12" x14ac:dyDescent="0.25">
      <c r="B40" s="52"/>
      <c r="C40" s="52"/>
      <c r="D40" s="52"/>
      <c r="E40" s="52">
        <f t="shared" si="0"/>
        <v>0</v>
      </c>
      <c r="F40" s="52"/>
      <c r="G40" s="52"/>
      <c r="H40" s="52"/>
      <c r="I40" s="52">
        <f t="shared" si="3"/>
        <v>0</v>
      </c>
      <c r="J40" s="52"/>
      <c r="K40" s="52"/>
      <c r="L40" s="52">
        <f t="shared" si="4"/>
        <v>0</v>
      </c>
    </row>
    <row r="41" spans="2:12" x14ac:dyDescent="0.25">
      <c r="B41" s="52"/>
      <c r="C41" s="52"/>
      <c r="D41" s="52"/>
      <c r="E41" s="52">
        <f t="shared" si="0"/>
        <v>0</v>
      </c>
      <c r="F41" s="52"/>
      <c r="G41" s="52"/>
      <c r="H41" s="52"/>
      <c r="I41" s="52">
        <f t="shared" si="3"/>
        <v>0</v>
      </c>
      <c r="J41" s="52"/>
      <c r="K41" s="52"/>
      <c r="L41" s="52">
        <f t="shared" si="4"/>
        <v>0</v>
      </c>
    </row>
    <row r="42" spans="2:12" x14ac:dyDescent="0.25">
      <c r="B42" s="52" t="s">
        <v>143</v>
      </c>
      <c r="C42" s="52"/>
      <c r="D42" s="52">
        <f>E42*10.764</f>
        <v>0</v>
      </c>
      <c r="E42" s="65">
        <f>SUM(E6:E41)</f>
        <v>0</v>
      </c>
      <c r="F42" s="52"/>
      <c r="G42" s="52"/>
      <c r="H42" s="52">
        <f>I42*10.764</f>
        <v>0</v>
      </c>
      <c r="I42" s="64">
        <f>SUM(I6:I41)</f>
        <v>0</v>
      </c>
      <c r="J42" s="52"/>
      <c r="K42" s="52">
        <f>L42*10.764</f>
        <v>0</v>
      </c>
      <c r="L42" s="63">
        <f>SUM(L6:L41)</f>
        <v>0</v>
      </c>
    </row>
    <row r="44" spans="2:12" x14ac:dyDescent="0.2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2025-07-18T13:05:32Z</cp:lastPrinted>
  <dcterms:created xsi:type="dcterms:W3CDTF">2019-07-16T09:29:46Z</dcterms:created>
  <dcterms:modified xsi:type="dcterms:W3CDTF">2025-07-18T13:09:48Z</dcterms:modified>
</cp:coreProperties>
</file>