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bookViews>
  <sheets>
    <sheet name="Report" sheetId="1" r:id="rId1"/>
    <sheet name="Sheet1" sheetId="6" r:id="rId2"/>
    <sheet name="Flat detail" sheetId="3" r:id="rId3"/>
    <sheet name="Note" sheetId="4" r:id="rId4"/>
    <sheet name="valuation" sheetId="5" r:id="rId5"/>
  </sheets>
  <definedNames>
    <definedName name="_xlnm.Print_Area" localSheetId="0">Report!$A$1:$H$925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2" i="1" l="1"/>
  <c r="J201" i="1"/>
  <c r="J200" i="1"/>
  <c r="J199" i="1"/>
  <c r="C81" i="1"/>
  <c r="H192" i="1"/>
  <c r="C197" i="1" l="1"/>
  <c r="G195" i="1" s="1"/>
  <c r="D196" i="1"/>
  <c r="D203" i="1"/>
  <c r="D199" i="1"/>
  <c r="J195" i="1"/>
  <c r="D202" i="1"/>
  <c r="D198" i="1"/>
  <c r="J197" i="1"/>
  <c r="J198" i="1" s="1"/>
  <c r="J203" i="1" s="1"/>
  <c r="J204" i="1" s="1"/>
  <c r="D204" i="1"/>
  <c r="D200" i="1"/>
  <c r="J196" i="1"/>
  <c r="D195" i="1"/>
  <c r="D201" i="1"/>
  <c r="J194" i="1"/>
  <c r="C169" i="1"/>
  <c r="C142" i="1"/>
  <c r="E195" i="1" l="1"/>
  <c r="I191" i="1" s="1"/>
  <c r="C193" i="1" s="1"/>
  <c r="D197" i="1"/>
  <c r="C65" i="1"/>
  <c r="J90" i="1"/>
  <c r="J89" i="1"/>
  <c r="J88" i="1"/>
  <c r="J87" i="1"/>
  <c r="C86" i="1"/>
  <c r="H79" i="1"/>
  <c r="J83" i="1" l="1"/>
  <c r="D90" i="1"/>
  <c r="D86" i="1"/>
  <c r="D88" i="1"/>
  <c r="J82" i="1"/>
  <c r="D91" i="1"/>
  <c r="D87" i="1"/>
  <c r="D89" i="1"/>
  <c r="J85" i="1"/>
  <c r="J86" i="1" s="1"/>
  <c r="J91" i="1" s="1"/>
  <c r="J92" i="1" s="1"/>
  <c r="C84" i="1" s="1"/>
  <c r="D85" i="1"/>
  <c r="D92" i="1"/>
  <c r="J84" i="1"/>
  <c r="C83" i="1" s="1"/>
  <c r="D83" i="1" s="1"/>
  <c r="E83" i="1" l="1"/>
  <c r="I78" i="1" s="1"/>
  <c r="D84" i="1"/>
  <c r="G83" i="1"/>
  <c r="J104" i="1"/>
  <c r="J103" i="1"/>
  <c r="J102" i="1"/>
  <c r="J101" i="1"/>
  <c r="C100" i="1"/>
  <c r="H94" i="1"/>
  <c r="D99" i="1" l="1"/>
  <c r="D106" i="1"/>
  <c r="D102" i="1"/>
  <c r="J98" i="1"/>
  <c r="C97" i="1" s="1"/>
  <c r="D97" i="1" s="1"/>
  <c r="J96" i="1"/>
  <c r="D103" i="1"/>
  <c r="D105" i="1"/>
  <c r="D101" i="1"/>
  <c r="J97" i="1"/>
  <c r="J99" i="1"/>
  <c r="J100" i="1" s="1"/>
  <c r="J105" i="1" s="1"/>
  <c r="J106" i="1" s="1"/>
  <c r="C98" i="1" s="1"/>
  <c r="D104" i="1"/>
  <c r="D100" i="1"/>
  <c r="J129" i="1"/>
  <c r="J130" i="1"/>
  <c r="J131" i="1"/>
  <c r="J132" i="1"/>
  <c r="H122" i="1"/>
  <c r="C127" i="1" l="1"/>
  <c r="C128" i="1" s="1"/>
  <c r="E97" i="1"/>
  <c r="I93" i="1" s="1"/>
  <c r="C95" i="1" s="1"/>
  <c r="D98" i="1"/>
  <c r="G97" i="1"/>
  <c r="J124" i="1"/>
  <c r="D125" i="1"/>
  <c r="D131" i="1"/>
  <c r="D126" i="1"/>
  <c r="J127" i="1"/>
  <c r="J128" i="1" s="1"/>
  <c r="J133" i="1" s="1"/>
  <c r="J134" i="1" s="1"/>
  <c r="J125" i="1"/>
  <c r="D132" i="1"/>
  <c r="J126" i="1"/>
  <c r="D133" i="1"/>
  <c r="D134" i="1"/>
  <c r="C170" i="1"/>
  <c r="J160" i="1"/>
  <c r="J159" i="1"/>
  <c r="J158" i="1"/>
  <c r="J157" i="1"/>
  <c r="H150" i="1"/>
  <c r="D129" i="1" l="1"/>
  <c r="D130" i="1"/>
  <c r="C155" i="1"/>
  <c r="C156" i="1" s="1"/>
  <c r="D158" i="1" s="1"/>
  <c r="D127" i="1"/>
  <c r="D128" i="1"/>
  <c r="D153" i="1"/>
  <c r="D162" i="1"/>
  <c r="J155" i="1"/>
  <c r="J156" i="1" s="1"/>
  <c r="J161" i="1" s="1"/>
  <c r="J162" i="1" s="1"/>
  <c r="J152" i="1"/>
  <c r="J154" i="1"/>
  <c r="D154" i="1"/>
  <c r="D161" i="1"/>
  <c r="D160" i="1"/>
  <c r="J153" i="1"/>
  <c r="D159" i="1"/>
  <c r="J174" i="1"/>
  <c r="J173" i="1"/>
  <c r="J172" i="1"/>
  <c r="J171" i="1"/>
  <c r="H164" i="1"/>
  <c r="D156" i="1" l="1"/>
  <c r="E153" i="1"/>
  <c r="I149" i="1" s="1"/>
  <c r="C151" i="1" s="1"/>
  <c r="D155" i="1"/>
  <c r="E125" i="1"/>
  <c r="I121" i="1" s="1"/>
  <c r="C123" i="1" s="1"/>
  <c r="G125" i="1"/>
  <c r="J168" i="1"/>
  <c r="D176" i="1"/>
  <c r="D172" i="1"/>
  <c r="D168" i="1"/>
  <c r="J167" i="1"/>
  <c r="E167" i="1"/>
  <c r="J166" i="1"/>
  <c r="D175" i="1"/>
  <c r="D171" i="1"/>
  <c r="G167" i="1"/>
  <c r="J169" i="1"/>
  <c r="J170" i="1" s="1"/>
  <c r="J175" i="1" s="1"/>
  <c r="J176" i="1" s="1"/>
  <c r="D174" i="1"/>
  <c r="D170" i="1"/>
  <c r="D167" i="1"/>
  <c r="D173" i="1"/>
  <c r="D169" i="1"/>
  <c r="J146" i="1"/>
  <c r="J145" i="1"/>
  <c r="J144" i="1"/>
  <c r="J143" i="1"/>
  <c r="J75" i="1"/>
  <c r="J74" i="1"/>
  <c r="J73" i="1"/>
  <c r="J72" i="1"/>
  <c r="C71" i="1"/>
  <c r="H136" i="1"/>
  <c r="H64" i="1"/>
  <c r="G153" i="1" l="1"/>
  <c r="D157" i="1"/>
  <c r="I163" i="1"/>
  <c r="C165" i="1" s="1"/>
  <c r="J141" i="1"/>
  <c r="J142" i="1" s="1"/>
  <c r="J147" i="1" s="1"/>
  <c r="J148" i="1" s="1"/>
  <c r="D147" i="1"/>
  <c r="D141" i="1"/>
  <c r="D148" i="1"/>
  <c r="D142" i="1"/>
  <c r="J140" i="1"/>
  <c r="D144" i="1"/>
  <c r="D146" i="1"/>
  <c r="D140" i="1"/>
  <c r="J139" i="1"/>
  <c r="D139" i="1"/>
  <c r="J138" i="1"/>
  <c r="D143" i="1"/>
  <c r="D145" i="1"/>
  <c r="G139" i="1"/>
  <c r="E139" i="1"/>
  <c r="D77" i="1"/>
  <c r="D71" i="1"/>
  <c r="J67" i="1"/>
  <c r="D76" i="1"/>
  <c r="J70" i="1"/>
  <c r="J71" i="1" s="1"/>
  <c r="J76" i="1" s="1"/>
  <c r="J77" i="1" s="1"/>
  <c r="C69" i="1" s="1"/>
  <c r="D70" i="1"/>
  <c r="D75" i="1"/>
  <c r="J69" i="1"/>
  <c r="C68" i="1" s="1"/>
  <c r="D68" i="1" s="1"/>
  <c r="J68" i="1"/>
  <c r="D73" i="1"/>
  <c r="D72" i="1"/>
  <c r="D74" i="1"/>
  <c r="I135" i="1" l="1"/>
  <c r="C137" i="1" s="1"/>
  <c r="E68" i="1"/>
  <c r="D69" i="1"/>
  <c r="G68" i="1"/>
  <c r="G66" i="1" s="1"/>
  <c r="D627" i="1"/>
  <c r="F627" i="1" s="1"/>
  <c r="D626" i="1"/>
  <c r="F626" i="1" s="1"/>
  <c r="D625" i="1"/>
  <c r="F625" i="1" s="1"/>
  <c r="D624" i="1"/>
  <c r="F624" i="1" s="1"/>
  <c r="D622" i="1"/>
  <c r="F622" i="1" s="1"/>
  <c r="D621" i="1"/>
  <c r="F621" i="1" s="1"/>
  <c r="D620" i="1"/>
  <c r="F620" i="1" s="1"/>
  <c r="D613" i="1"/>
  <c r="F613" i="1" s="1"/>
  <c r="D614" i="1"/>
  <c r="F614" i="1" s="1"/>
  <c r="D618" i="1"/>
  <c r="F618" i="1" s="1"/>
  <c r="D617" i="1"/>
  <c r="F617" i="1" s="1"/>
  <c r="D616" i="1"/>
  <c r="F616" i="1" s="1"/>
  <c r="D615" i="1"/>
  <c r="F615" i="1" s="1"/>
  <c r="D612" i="1"/>
  <c r="F612" i="1" s="1"/>
  <c r="D611" i="1"/>
  <c r="F611" i="1" s="1"/>
  <c r="D609" i="1"/>
  <c r="F609" i="1" s="1"/>
  <c r="D608" i="1"/>
  <c r="F608" i="1" s="1"/>
  <c r="D607" i="1"/>
  <c r="F607" i="1" s="1"/>
  <c r="D606" i="1"/>
  <c r="D603" i="1"/>
  <c r="D602" i="1"/>
  <c r="F602" i="1" s="1"/>
  <c r="E600" i="1"/>
  <c r="D600" i="1"/>
  <c r="E599" i="1"/>
  <c r="D599" i="1"/>
  <c r="E598" i="1"/>
  <c r="E597" i="1"/>
  <c r="D598" i="1"/>
  <c r="D597" i="1"/>
  <c r="D596" i="1"/>
  <c r="E596" i="1"/>
  <c r="E593" i="1"/>
  <c r="D593" i="1"/>
  <c r="G620" i="1"/>
  <c r="G611" i="1"/>
  <c r="E603" i="1"/>
  <c r="G602" i="1"/>
  <c r="G593" i="1"/>
  <c r="D292" i="1"/>
  <c r="F292" i="1" s="1"/>
  <c r="D291" i="1"/>
  <c r="F291" i="1" s="1"/>
  <c r="D290" i="1"/>
  <c r="F290" i="1" s="1"/>
  <c r="D289" i="1"/>
  <c r="F289" i="1" s="1"/>
  <c r="D288" i="1"/>
  <c r="F288" i="1" s="1"/>
  <c r="D287" i="1"/>
  <c r="F287" i="1" s="1"/>
  <c r="D286" i="1"/>
  <c r="F286" i="1" s="1"/>
  <c r="D285" i="1"/>
  <c r="F285" i="1" s="1"/>
  <c r="D281" i="1"/>
  <c r="D284" i="1"/>
  <c r="F284" i="1" s="1"/>
  <c r="D283" i="1"/>
  <c r="F283" i="1" s="1"/>
  <c r="D282" i="1"/>
  <c r="F282" i="1" s="1"/>
  <c r="A282" i="1"/>
  <c r="A283" i="1" s="1"/>
  <c r="A284" i="1" s="1"/>
  <c r="A285" i="1" s="1"/>
  <c r="A286" i="1" s="1"/>
  <c r="A287" i="1" s="1"/>
  <c r="A288" i="1" s="1"/>
  <c r="A289" i="1" s="1"/>
  <c r="A290" i="1" s="1"/>
  <c r="A291" i="1" s="1"/>
  <c r="A292" i="1" s="1"/>
  <c r="J281" i="1"/>
  <c r="G281" i="1"/>
  <c r="I63" i="1" l="1"/>
  <c r="C66" i="1"/>
  <c r="F597" i="1"/>
  <c r="F603" i="1"/>
  <c r="C226" i="1"/>
  <c r="F600" i="1"/>
  <c r="D240" i="1"/>
  <c r="F598" i="1"/>
  <c r="F593" i="1"/>
  <c r="F599" i="1"/>
  <c r="C240" i="1"/>
  <c r="D226" i="1"/>
  <c r="F281" i="1"/>
  <c r="F226" i="1" s="1"/>
  <c r="F596" i="1"/>
  <c r="F606" i="1"/>
  <c r="E567" i="1"/>
  <c r="E564" i="1"/>
  <c r="E559" i="1"/>
  <c r="E554" i="1"/>
  <c r="F240" i="1" l="1"/>
  <c r="D560" i="1"/>
  <c r="D588" i="1"/>
  <c r="D587" i="1"/>
  <c r="D586" i="1"/>
  <c r="F586" i="1" s="1"/>
  <c r="D585" i="1"/>
  <c r="D584" i="1"/>
  <c r="D583" i="1"/>
  <c r="D582" i="1"/>
  <c r="D575" i="1"/>
  <c r="D574" i="1"/>
  <c r="D579" i="1"/>
  <c r="D578" i="1"/>
  <c r="D577" i="1"/>
  <c r="D576" i="1"/>
  <c r="D573" i="1"/>
  <c r="D572" i="1"/>
  <c r="D570" i="1"/>
  <c r="D569" i="1"/>
  <c r="D568" i="1"/>
  <c r="D567" i="1"/>
  <c r="D564" i="1"/>
  <c r="D563" i="1"/>
  <c r="D561" i="1"/>
  <c r="D559" i="1"/>
  <c r="D554" i="1"/>
  <c r="D278" i="1"/>
  <c r="F278" i="1" s="1"/>
  <c r="D277" i="1"/>
  <c r="F277" i="1" s="1"/>
  <c r="D276" i="1"/>
  <c r="F276" i="1" s="1"/>
  <c r="D275" i="1"/>
  <c r="F275" i="1" s="1"/>
  <c r="D274" i="1"/>
  <c r="F274" i="1" s="1"/>
  <c r="D273" i="1"/>
  <c r="F273" i="1" s="1"/>
  <c r="D272" i="1"/>
  <c r="F272" i="1" s="1"/>
  <c r="D271" i="1"/>
  <c r="A272" i="1"/>
  <c r="A273" i="1" s="1"/>
  <c r="A274" i="1" s="1"/>
  <c r="A275" i="1" s="1"/>
  <c r="A276" i="1" s="1"/>
  <c r="A277" i="1" s="1"/>
  <c r="A278" i="1" s="1"/>
  <c r="J271" i="1"/>
  <c r="G271" i="1"/>
  <c r="D666" i="1"/>
  <c r="F666" i="1" s="1"/>
  <c r="D665" i="1"/>
  <c r="F665" i="1" s="1"/>
  <c r="D663" i="1"/>
  <c r="F663" i="1" s="1"/>
  <c r="D662" i="1"/>
  <c r="F662" i="1" s="1"/>
  <c r="D661" i="1"/>
  <c r="F661" i="1" s="1"/>
  <c r="D660" i="1"/>
  <c r="F660" i="1" s="1"/>
  <c r="G659" i="1"/>
  <c r="D659" i="1"/>
  <c r="F659" i="1" s="1"/>
  <c r="D657" i="1"/>
  <c r="F657" i="1" s="1"/>
  <c r="D656" i="1"/>
  <c r="F656" i="1" s="1"/>
  <c r="D655" i="1"/>
  <c r="F655" i="1" s="1"/>
  <c r="D654" i="1"/>
  <c r="F654" i="1" s="1"/>
  <c r="D653" i="1"/>
  <c r="F653" i="1" s="1"/>
  <c r="D652" i="1"/>
  <c r="F652" i="1" s="1"/>
  <c r="D651" i="1"/>
  <c r="F651" i="1" s="1"/>
  <c r="G650" i="1"/>
  <c r="D650" i="1"/>
  <c r="F650" i="1" s="1"/>
  <c r="D648" i="1"/>
  <c r="F648" i="1" s="1"/>
  <c r="D647" i="1"/>
  <c r="F647" i="1" s="1"/>
  <c r="D646" i="1"/>
  <c r="F646" i="1" s="1"/>
  <c r="E645" i="1"/>
  <c r="D645" i="1"/>
  <c r="F645" i="1" s="1"/>
  <c r="E642" i="1"/>
  <c r="D642" i="1"/>
  <c r="G641" i="1"/>
  <c r="D641" i="1"/>
  <c r="F641" i="1" s="1"/>
  <c r="E639" i="1"/>
  <c r="D639" i="1"/>
  <c r="E638" i="1"/>
  <c r="D638" i="1"/>
  <c r="E637" i="1"/>
  <c r="D637" i="1"/>
  <c r="G632" i="1"/>
  <c r="E632" i="1"/>
  <c r="D632" i="1"/>
  <c r="F642" i="1" l="1"/>
  <c r="C239" i="1"/>
  <c r="D239" i="1"/>
  <c r="F638" i="1"/>
  <c r="F271" i="1"/>
  <c r="F225" i="1" s="1"/>
  <c r="C225" i="1"/>
  <c r="D225" i="1"/>
  <c r="F632" i="1"/>
  <c r="F639" i="1"/>
  <c r="F637" i="1"/>
  <c r="C241" i="1"/>
  <c r="D241" i="1"/>
  <c r="F588" i="1"/>
  <c r="F584" i="1"/>
  <c r="F583" i="1"/>
  <c r="F582" i="1"/>
  <c r="F579" i="1"/>
  <c r="F578" i="1"/>
  <c r="F575" i="1"/>
  <c r="F574" i="1"/>
  <c r="F573" i="1"/>
  <c r="F572" i="1"/>
  <c r="F570" i="1"/>
  <c r="F569" i="1"/>
  <c r="I689" i="1"/>
  <c r="F561" i="1"/>
  <c r="F560" i="1"/>
  <c r="D300" i="1"/>
  <c r="F300" i="1" s="1"/>
  <c r="D299" i="1"/>
  <c r="F299" i="1" s="1"/>
  <c r="D298" i="1"/>
  <c r="F298" i="1" s="1"/>
  <c r="D297" i="1"/>
  <c r="F297" i="1" s="1"/>
  <c r="D296" i="1"/>
  <c r="F296" i="1" s="1"/>
  <c r="D295" i="1"/>
  <c r="A296" i="1"/>
  <c r="A297" i="1" s="1"/>
  <c r="A298" i="1" s="1"/>
  <c r="A299" i="1" s="1"/>
  <c r="A300" i="1" s="1"/>
  <c r="J295" i="1"/>
  <c r="G295" i="1"/>
  <c r="F587" i="1"/>
  <c r="F585" i="1"/>
  <c r="G581" i="1"/>
  <c r="F577" i="1"/>
  <c r="F576" i="1"/>
  <c r="G572" i="1"/>
  <c r="F568" i="1"/>
  <c r="G563" i="1"/>
  <c r="F563" i="1"/>
  <c r="G554" i="1"/>
  <c r="E3" i="1"/>
  <c r="J188" i="1"/>
  <c r="J187" i="1"/>
  <c r="J186" i="1"/>
  <c r="J185" i="1"/>
  <c r="J118" i="1"/>
  <c r="J117" i="1"/>
  <c r="J116" i="1"/>
  <c r="J115" i="1"/>
  <c r="C114" i="1"/>
  <c r="H178" i="1"/>
  <c r="H108" i="1"/>
  <c r="C183" i="1" l="1"/>
  <c r="E181" i="1" s="1"/>
  <c r="D116" i="1"/>
  <c r="F295" i="1"/>
  <c r="F227" i="1" s="1"/>
  <c r="D227" i="1"/>
  <c r="C227" i="1"/>
  <c r="F554" i="1"/>
  <c r="F559" i="1"/>
  <c r="F564" i="1"/>
  <c r="F567" i="1"/>
  <c r="J183" i="1"/>
  <c r="J184" i="1" s="1"/>
  <c r="J189" i="1" s="1"/>
  <c r="J190" i="1" s="1"/>
  <c r="J182" i="1"/>
  <c r="J181" i="1"/>
  <c r="J180" i="1"/>
  <c r="D190" i="1"/>
  <c r="D189" i="1"/>
  <c r="D188" i="1"/>
  <c r="D187" i="1"/>
  <c r="D186" i="1"/>
  <c r="D185" i="1"/>
  <c r="D184" i="1"/>
  <c r="D182" i="1"/>
  <c r="D181" i="1"/>
  <c r="D115" i="1"/>
  <c r="D113" i="1"/>
  <c r="J111" i="1"/>
  <c r="D120" i="1"/>
  <c r="D119" i="1"/>
  <c r="D118" i="1"/>
  <c r="D117" i="1"/>
  <c r="D114" i="1"/>
  <c r="J113" i="1"/>
  <c r="J114" i="1" s="1"/>
  <c r="J119" i="1" s="1"/>
  <c r="J120" i="1" s="1"/>
  <c r="C112" i="1" s="1"/>
  <c r="J112" i="1"/>
  <c r="C111" i="1" s="1"/>
  <c r="D111" i="1" s="1"/>
  <c r="J110" i="1"/>
  <c r="G181" i="1" l="1"/>
  <c r="D183" i="1"/>
  <c r="F239" i="1"/>
  <c r="F241" i="1"/>
  <c r="I177" i="1"/>
  <c r="C179" i="1" s="1"/>
  <c r="E111" i="1"/>
  <c r="I107" i="1" s="1"/>
  <c r="C109" i="1" s="1"/>
  <c r="D112" i="1"/>
  <c r="G111" i="1"/>
  <c r="D320" i="1"/>
  <c r="F320" i="1" s="1"/>
  <c r="D319" i="1"/>
  <c r="F319" i="1" s="1"/>
  <c r="D318" i="1"/>
  <c r="F318" i="1" s="1"/>
  <c r="D317" i="1"/>
  <c r="D316" i="1"/>
  <c r="F316" i="1" s="1"/>
  <c r="D315" i="1"/>
  <c r="D312" i="1"/>
  <c r="F312" i="1" s="1"/>
  <c r="D311" i="1"/>
  <c r="F311" i="1" s="1"/>
  <c r="D310" i="1"/>
  <c r="F310" i="1" s="1"/>
  <c r="D309" i="1"/>
  <c r="F309" i="1" s="1"/>
  <c r="D308" i="1"/>
  <c r="F308" i="1" s="1"/>
  <c r="D307" i="1"/>
  <c r="F307" i="1" s="1"/>
  <c r="D306" i="1"/>
  <c r="D305" i="1"/>
  <c r="F305" i="1" s="1"/>
  <c r="D304" i="1"/>
  <c r="D267" i="1"/>
  <c r="F267" i="1" s="1"/>
  <c r="D266" i="1"/>
  <c r="F266" i="1" s="1"/>
  <c r="D265" i="1"/>
  <c r="F265" i="1" s="1"/>
  <c r="D264" i="1"/>
  <c r="F264" i="1" s="1"/>
  <c r="D263" i="1"/>
  <c r="F263" i="1" s="1"/>
  <c r="D262" i="1"/>
  <c r="D259" i="1"/>
  <c r="F259" i="1" s="1"/>
  <c r="D258" i="1"/>
  <c r="F258" i="1" s="1"/>
  <c r="D257" i="1"/>
  <c r="F257" i="1" s="1"/>
  <c r="D256" i="1"/>
  <c r="F256" i="1" s="1"/>
  <c r="D255" i="1"/>
  <c r="F255" i="1" s="1"/>
  <c r="D254" i="1"/>
  <c r="J254" i="1"/>
  <c r="A316" i="1"/>
  <c r="A317" i="1" s="1"/>
  <c r="A318" i="1" s="1"/>
  <c r="A319" i="1" s="1"/>
  <c r="A320" i="1" s="1"/>
  <c r="G315" i="1"/>
  <c r="A305" i="1"/>
  <c r="A306" i="1" s="1"/>
  <c r="A307" i="1" s="1"/>
  <c r="A308" i="1" s="1"/>
  <c r="A309" i="1" s="1"/>
  <c r="A310" i="1" s="1"/>
  <c r="A311" i="1" s="1"/>
  <c r="A312" i="1" s="1"/>
  <c r="G304" i="1"/>
  <c r="A263" i="1"/>
  <c r="A264" i="1" s="1"/>
  <c r="A265" i="1" s="1"/>
  <c r="A266" i="1" s="1"/>
  <c r="A267" i="1" s="1"/>
  <c r="G262" i="1"/>
  <c r="A255" i="1"/>
  <c r="A256" i="1" s="1"/>
  <c r="A257" i="1" s="1"/>
  <c r="A258" i="1" s="1"/>
  <c r="A259" i="1" s="1"/>
  <c r="G254" i="1"/>
  <c r="F325" i="1"/>
  <c r="F324" i="1"/>
  <c r="F323" i="1"/>
  <c r="A323" i="1"/>
  <c r="A324" i="1" s="1"/>
  <c r="A325" i="1" s="1"/>
  <c r="G322" i="1"/>
  <c r="G323" i="1" s="1"/>
  <c r="G324" i="1" s="1"/>
  <c r="G325" i="1" s="1"/>
  <c r="F322" i="1"/>
  <c r="D229" i="1" l="1"/>
  <c r="F306" i="1"/>
  <c r="F317" i="1"/>
  <c r="D223" i="1"/>
  <c r="C228" i="1"/>
  <c r="C229" i="1"/>
  <c r="C224" i="1"/>
  <c r="F254" i="1"/>
  <c r="F223" i="1" s="1"/>
  <c r="F262" i="1"/>
  <c r="F224" i="1" s="1"/>
  <c r="F304" i="1"/>
  <c r="D228" i="1"/>
  <c r="C223" i="1"/>
  <c r="F315" i="1"/>
  <c r="D224" i="1"/>
  <c r="E760" i="1"/>
  <c r="E757" i="1"/>
  <c r="D781" i="1"/>
  <c r="F781" i="1" s="1"/>
  <c r="D780" i="1"/>
  <c r="F780" i="1" s="1"/>
  <c r="D778" i="1"/>
  <c r="F778" i="1" s="1"/>
  <c r="D777" i="1"/>
  <c r="F777" i="1" s="1"/>
  <c r="D776" i="1"/>
  <c r="F776" i="1" s="1"/>
  <c r="D775" i="1"/>
  <c r="F775" i="1" s="1"/>
  <c r="D774" i="1"/>
  <c r="F774" i="1" s="1"/>
  <c r="D768" i="1"/>
  <c r="F768" i="1" s="1"/>
  <c r="D767" i="1"/>
  <c r="F767" i="1" s="1"/>
  <c r="D772" i="1"/>
  <c r="F772" i="1" s="1"/>
  <c r="D771" i="1"/>
  <c r="F771" i="1" s="1"/>
  <c r="D770" i="1"/>
  <c r="F770" i="1" s="1"/>
  <c r="D769" i="1"/>
  <c r="F769" i="1" s="1"/>
  <c r="D766" i="1"/>
  <c r="F766" i="1" s="1"/>
  <c r="D765" i="1"/>
  <c r="F765" i="1" s="1"/>
  <c r="D763" i="1"/>
  <c r="F763" i="1" s="1"/>
  <c r="D762" i="1"/>
  <c r="F762" i="1" s="1"/>
  <c r="D761" i="1"/>
  <c r="F761" i="1" s="1"/>
  <c r="D760" i="1"/>
  <c r="D757" i="1"/>
  <c r="D756" i="1"/>
  <c r="F756" i="1" s="1"/>
  <c r="D754" i="1"/>
  <c r="F754" i="1" s="1"/>
  <c r="D753" i="1"/>
  <c r="F753" i="1" s="1"/>
  <c r="D752" i="1"/>
  <c r="F752" i="1" s="1"/>
  <c r="D747" i="1"/>
  <c r="G747" i="1"/>
  <c r="E722" i="1"/>
  <c r="E714" i="1"/>
  <c r="E709" i="1"/>
  <c r="J680" i="1"/>
  <c r="E711" i="1"/>
  <c r="D743" i="1"/>
  <c r="F743" i="1" s="1"/>
  <c r="D742" i="1"/>
  <c r="F742" i="1" s="1"/>
  <c r="D741" i="1"/>
  <c r="F741" i="1" s="1"/>
  <c r="D740" i="1"/>
  <c r="F740" i="1" s="1"/>
  <c r="D739" i="1"/>
  <c r="F739" i="1" s="1"/>
  <c r="D737" i="1"/>
  <c r="F737" i="1" s="1"/>
  <c r="D736" i="1"/>
  <c r="F736" i="1" s="1"/>
  <c r="D734" i="1"/>
  <c r="F734" i="1" s="1"/>
  <c r="D733" i="1"/>
  <c r="F733" i="1" s="1"/>
  <c r="D732" i="1"/>
  <c r="F732" i="1" s="1"/>
  <c r="D731" i="1"/>
  <c r="F731" i="1" s="1"/>
  <c r="D730" i="1"/>
  <c r="F730" i="1" s="1"/>
  <c r="D729" i="1"/>
  <c r="F729" i="1" s="1"/>
  <c r="D728" i="1"/>
  <c r="F728" i="1" s="1"/>
  <c r="D727" i="1"/>
  <c r="F727" i="1" s="1"/>
  <c r="D725" i="1"/>
  <c r="F725" i="1" s="1"/>
  <c r="D724" i="1"/>
  <c r="F724" i="1" s="1"/>
  <c r="D723" i="1"/>
  <c r="F723" i="1" s="1"/>
  <c r="D722" i="1"/>
  <c r="D719" i="1"/>
  <c r="F719" i="1" s="1"/>
  <c r="D718" i="1"/>
  <c r="F718" i="1" s="1"/>
  <c r="D716" i="1"/>
  <c r="F716" i="1" s="1"/>
  <c r="D715" i="1"/>
  <c r="F715" i="1" s="1"/>
  <c r="D714" i="1"/>
  <c r="D710" i="1"/>
  <c r="F710" i="1" s="1"/>
  <c r="D711" i="1"/>
  <c r="D709" i="1"/>
  <c r="G709" i="1"/>
  <c r="E684" i="1"/>
  <c r="E681" i="1"/>
  <c r="E678" i="1"/>
  <c r="E677" i="1"/>
  <c r="E676" i="1"/>
  <c r="E671" i="1"/>
  <c r="J672" i="1"/>
  <c r="J671" i="1"/>
  <c r="D705" i="1"/>
  <c r="D704" i="1"/>
  <c r="F704" i="1" s="1"/>
  <c r="D703" i="1"/>
  <c r="F703" i="1" s="1"/>
  <c r="D702" i="1"/>
  <c r="F702" i="1" s="1"/>
  <c r="D701" i="1"/>
  <c r="F701" i="1" s="1"/>
  <c r="D700" i="1"/>
  <c r="F700" i="1" s="1"/>
  <c r="D699" i="1"/>
  <c r="F699" i="1" s="1"/>
  <c r="D696" i="1"/>
  <c r="F696" i="1" s="1"/>
  <c r="D695" i="1"/>
  <c r="D694" i="1"/>
  <c r="F694" i="1" s="1"/>
  <c r="D693" i="1"/>
  <c r="F693" i="1" s="1"/>
  <c r="D692" i="1"/>
  <c r="F692" i="1" s="1"/>
  <c r="D691" i="1"/>
  <c r="F691" i="1" s="1"/>
  <c r="D690" i="1"/>
  <c r="F690" i="1" s="1"/>
  <c r="D689" i="1"/>
  <c r="F689" i="1" s="1"/>
  <c r="D687" i="1"/>
  <c r="F687" i="1" s="1"/>
  <c r="D686" i="1"/>
  <c r="F686" i="1" s="1"/>
  <c r="D685" i="1"/>
  <c r="F685" i="1" s="1"/>
  <c r="D684" i="1"/>
  <c r="D681" i="1"/>
  <c r="D680" i="1"/>
  <c r="F680" i="1" s="1"/>
  <c r="D678" i="1"/>
  <c r="D677" i="1"/>
  <c r="D676" i="1"/>
  <c r="D671" i="1"/>
  <c r="G671" i="1"/>
  <c r="E527" i="1"/>
  <c r="E524" i="1"/>
  <c r="E521" i="1"/>
  <c r="E520" i="1"/>
  <c r="E519" i="1"/>
  <c r="E514" i="1"/>
  <c r="D548" i="1"/>
  <c r="F548" i="1" s="1"/>
  <c r="D547" i="1"/>
  <c r="F547" i="1" s="1"/>
  <c r="D545" i="1"/>
  <c r="F545" i="1" s="1"/>
  <c r="D544" i="1"/>
  <c r="F544" i="1" s="1"/>
  <c r="D543" i="1"/>
  <c r="F543" i="1" s="1"/>
  <c r="D542" i="1"/>
  <c r="F542" i="1" s="1"/>
  <c r="D541" i="1"/>
  <c r="F541" i="1" s="1"/>
  <c r="D539" i="1"/>
  <c r="F539" i="1" s="1"/>
  <c r="D538" i="1"/>
  <c r="F538" i="1" s="1"/>
  <c r="D537" i="1"/>
  <c r="F537" i="1" s="1"/>
  <c r="D536" i="1"/>
  <c r="F536" i="1" s="1"/>
  <c r="D535" i="1"/>
  <c r="F535" i="1" s="1"/>
  <c r="D534" i="1"/>
  <c r="F534" i="1" s="1"/>
  <c r="D533" i="1"/>
  <c r="F533" i="1" s="1"/>
  <c r="D532" i="1"/>
  <c r="F532" i="1" s="1"/>
  <c r="D530" i="1"/>
  <c r="F530" i="1" s="1"/>
  <c r="D529" i="1"/>
  <c r="F529" i="1" s="1"/>
  <c r="D528" i="1"/>
  <c r="F528" i="1" s="1"/>
  <c r="D527" i="1"/>
  <c r="D524" i="1"/>
  <c r="F524" i="1" s="1"/>
  <c r="D523" i="1"/>
  <c r="F523" i="1" s="1"/>
  <c r="F527" i="1" l="1"/>
  <c r="C230" i="1"/>
  <c r="D230" i="1"/>
  <c r="F760" i="1"/>
  <c r="F757" i="1"/>
  <c r="F228" i="1"/>
  <c r="F229" i="1"/>
  <c r="F681" i="1"/>
  <c r="F714" i="1"/>
  <c r="F676" i="1"/>
  <c r="F684" i="1"/>
  <c r="F678" i="1"/>
  <c r="F711" i="1"/>
  <c r="F747" i="1"/>
  <c r="D244" i="1"/>
  <c r="C244" i="1"/>
  <c r="F671" i="1"/>
  <c r="D242" i="1"/>
  <c r="C242" i="1"/>
  <c r="F677" i="1"/>
  <c r="I677" i="1" s="1"/>
  <c r="F695" i="1"/>
  <c r="F705" i="1"/>
  <c r="I705" i="1" s="1"/>
  <c r="F709" i="1"/>
  <c r="C243" i="1"/>
  <c r="D243" i="1"/>
  <c r="F722" i="1"/>
  <c r="D521" i="1"/>
  <c r="F521" i="1" s="1"/>
  <c r="D520" i="1"/>
  <c r="D519" i="1"/>
  <c r="F519" i="1" s="1"/>
  <c r="D514" i="1"/>
  <c r="G514" i="1"/>
  <c r="E482" i="1"/>
  <c r="E481" i="1"/>
  <c r="E477" i="1"/>
  <c r="E476" i="1"/>
  <c r="D509" i="1"/>
  <c r="F509" i="1" s="1"/>
  <c r="D508" i="1"/>
  <c r="F508" i="1" s="1"/>
  <c r="D507" i="1"/>
  <c r="F507" i="1" s="1"/>
  <c r="D506" i="1"/>
  <c r="F506" i="1" s="1"/>
  <c r="D505" i="1"/>
  <c r="F505" i="1" s="1"/>
  <c r="D503" i="1"/>
  <c r="F503" i="1" s="1"/>
  <c r="D502" i="1"/>
  <c r="F502" i="1" s="1"/>
  <c r="D500" i="1"/>
  <c r="F500" i="1" s="1"/>
  <c r="D499" i="1"/>
  <c r="F499" i="1" s="1"/>
  <c r="D491" i="1"/>
  <c r="F491" i="1" s="1"/>
  <c r="D490" i="1"/>
  <c r="F490" i="1" s="1"/>
  <c r="D498" i="1"/>
  <c r="F498" i="1" s="1"/>
  <c r="D497" i="1"/>
  <c r="F497" i="1" s="1"/>
  <c r="D496" i="1"/>
  <c r="F496" i="1" s="1"/>
  <c r="D495" i="1"/>
  <c r="F495" i="1" s="1"/>
  <c r="D494" i="1"/>
  <c r="F494" i="1" s="1"/>
  <c r="D493" i="1"/>
  <c r="F493" i="1" s="1"/>
  <c r="D489" i="1"/>
  <c r="F489" i="1" s="1"/>
  <c r="D488" i="1"/>
  <c r="F488" i="1" s="1"/>
  <c r="D485" i="1"/>
  <c r="F485" i="1" s="1"/>
  <c r="D484" i="1"/>
  <c r="F484" i="1" s="1"/>
  <c r="D482" i="1"/>
  <c r="D481" i="1"/>
  <c r="D480" i="1"/>
  <c r="F480" i="1" s="1"/>
  <c r="D477" i="1"/>
  <c r="D476" i="1"/>
  <c r="D475" i="1"/>
  <c r="G475" i="1"/>
  <c r="E454" i="1"/>
  <c r="E452" i="1"/>
  <c r="D470" i="1"/>
  <c r="F470" i="1" s="1"/>
  <c r="D469" i="1"/>
  <c r="F469" i="1" s="1"/>
  <c r="D468" i="1"/>
  <c r="F468" i="1" s="1"/>
  <c r="D467" i="1"/>
  <c r="F467" i="1" s="1"/>
  <c r="D466" i="1"/>
  <c r="F466" i="1" s="1"/>
  <c r="D463" i="1"/>
  <c r="F463" i="1" s="1"/>
  <c r="D462" i="1"/>
  <c r="F462" i="1" s="1"/>
  <c r="D461" i="1"/>
  <c r="F461" i="1" s="1"/>
  <c r="D455" i="1"/>
  <c r="F455" i="1" s="1"/>
  <c r="D454" i="1"/>
  <c r="D456" i="1"/>
  <c r="F456" i="1" s="1"/>
  <c r="D460" i="1"/>
  <c r="F460" i="1" s="1"/>
  <c r="D459" i="1"/>
  <c r="F459" i="1" s="1"/>
  <c r="D458" i="1"/>
  <c r="F458" i="1" s="1"/>
  <c r="D452" i="1"/>
  <c r="D451" i="1"/>
  <c r="F451" i="1" s="1"/>
  <c r="D449" i="1"/>
  <c r="F449" i="1" s="1"/>
  <c r="D448" i="1"/>
  <c r="F448" i="1" s="1"/>
  <c r="D444" i="1"/>
  <c r="G444" i="1"/>
  <c r="D439" i="1"/>
  <c r="F439" i="1" s="1"/>
  <c r="D438" i="1"/>
  <c r="F438" i="1" s="1"/>
  <c r="D436" i="1"/>
  <c r="F436" i="1" s="1"/>
  <c r="D435" i="1"/>
  <c r="F435" i="1" s="1"/>
  <c r="D434" i="1"/>
  <c r="F434" i="1" s="1"/>
  <c r="D433" i="1"/>
  <c r="F433" i="1" s="1"/>
  <c r="D432" i="1"/>
  <c r="F432" i="1" s="1"/>
  <c r="E418" i="1"/>
  <c r="E415" i="1"/>
  <c r="J415" i="1"/>
  <c r="D411" i="1"/>
  <c r="F411" i="1" s="1"/>
  <c r="D430" i="1"/>
  <c r="F430" i="1" s="1"/>
  <c r="D429" i="1"/>
  <c r="F429" i="1" s="1"/>
  <c r="D428" i="1"/>
  <c r="F428" i="1" s="1"/>
  <c r="D427" i="1"/>
  <c r="F427" i="1" s="1"/>
  <c r="D426" i="1"/>
  <c r="F426" i="1" s="1"/>
  <c r="D425" i="1"/>
  <c r="F425" i="1" s="1"/>
  <c r="D424" i="1"/>
  <c r="F424" i="1" s="1"/>
  <c r="D423" i="1"/>
  <c r="F423" i="1" s="1"/>
  <c r="D412" i="1"/>
  <c r="F412" i="1" s="1"/>
  <c r="D421" i="1"/>
  <c r="F421" i="1" s="1"/>
  <c r="D420" i="1"/>
  <c r="F420" i="1" s="1"/>
  <c r="D419" i="1"/>
  <c r="F419" i="1" s="1"/>
  <c r="D418" i="1"/>
  <c r="D415" i="1"/>
  <c r="D414" i="1"/>
  <c r="F414" i="1" s="1"/>
  <c r="D410" i="1"/>
  <c r="F410" i="1" s="1"/>
  <c r="D405" i="1"/>
  <c r="G405" i="1"/>
  <c r="D400" i="1"/>
  <c r="F400" i="1" s="1"/>
  <c r="D399" i="1"/>
  <c r="F399" i="1" s="1"/>
  <c r="D398" i="1"/>
  <c r="F398" i="1" s="1"/>
  <c r="D397" i="1"/>
  <c r="F397" i="1" s="1"/>
  <c r="D395" i="1"/>
  <c r="F395" i="1" s="1"/>
  <c r="D394" i="1"/>
  <c r="F394" i="1" s="1"/>
  <c r="D393" i="1"/>
  <c r="F393" i="1" s="1"/>
  <c r="D391" i="1"/>
  <c r="F391" i="1" s="1"/>
  <c r="D390" i="1"/>
  <c r="F390" i="1" s="1"/>
  <c r="D389" i="1"/>
  <c r="F389" i="1" s="1"/>
  <c r="D388" i="1"/>
  <c r="F388" i="1" s="1"/>
  <c r="D387" i="1"/>
  <c r="F387" i="1" s="1"/>
  <c r="D386" i="1"/>
  <c r="F386" i="1" s="1"/>
  <c r="D385" i="1"/>
  <c r="F385" i="1" s="1"/>
  <c r="D384" i="1"/>
  <c r="F384" i="1" s="1"/>
  <c r="E376" i="1"/>
  <c r="D382" i="1"/>
  <c r="F382" i="1" s="1"/>
  <c r="D381" i="1"/>
  <c r="F381" i="1" s="1"/>
  <c r="D380" i="1"/>
  <c r="F380" i="1" s="1"/>
  <c r="D379" i="1"/>
  <c r="F379" i="1" s="1"/>
  <c r="D371" i="1"/>
  <c r="F371" i="1" s="1"/>
  <c r="I371" i="1" s="1"/>
  <c r="D370" i="1"/>
  <c r="F370" i="1" s="1"/>
  <c r="D376" i="1"/>
  <c r="D375" i="1"/>
  <c r="F375" i="1" s="1"/>
  <c r="D373" i="1"/>
  <c r="F373" i="1" s="1"/>
  <c r="D372" i="1"/>
  <c r="F372" i="1" s="1"/>
  <c r="I372" i="1" s="1"/>
  <c r="D369" i="1"/>
  <c r="F369" i="1" s="1"/>
  <c r="D366" i="1"/>
  <c r="G366" i="1"/>
  <c r="J374" i="1"/>
  <c r="J375" i="1"/>
  <c r="D361" i="1"/>
  <c r="F361" i="1" s="1"/>
  <c r="D360" i="1"/>
  <c r="F360" i="1" s="1"/>
  <c r="D359" i="1"/>
  <c r="F359" i="1" s="1"/>
  <c r="D358" i="1"/>
  <c r="F358" i="1" s="1"/>
  <c r="D357" i="1"/>
  <c r="F357" i="1" s="1"/>
  <c r="D351" i="1"/>
  <c r="F351" i="1" s="1"/>
  <c r="D354" i="1"/>
  <c r="F354" i="1" s="1"/>
  <c r="D353" i="1"/>
  <c r="F353" i="1" s="1"/>
  <c r="D352" i="1"/>
  <c r="F352" i="1" s="1"/>
  <c r="D350" i="1"/>
  <c r="F350" i="1" s="1"/>
  <c r="D349" i="1"/>
  <c r="F349" i="1" s="1"/>
  <c r="E345" i="1"/>
  <c r="E343" i="1"/>
  <c r="D347" i="1"/>
  <c r="F347" i="1" s="1"/>
  <c r="D346" i="1"/>
  <c r="F346" i="1" s="1"/>
  <c r="D345" i="1"/>
  <c r="D343" i="1"/>
  <c r="D342" i="1"/>
  <c r="F342" i="1" s="1"/>
  <c r="D340" i="1"/>
  <c r="F340" i="1" s="1"/>
  <c r="D339" i="1"/>
  <c r="D335" i="1"/>
  <c r="J334" i="1"/>
  <c r="J336" i="1"/>
  <c r="J335" i="1"/>
  <c r="G335" i="1"/>
  <c r="F415" i="1" l="1"/>
  <c r="F244" i="1"/>
  <c r="F230" i="1"/>
  <c r="F418" i="1"/>
  <c r="F343" i="1"/>
  <c r="F345" i="1"/>
  <c r="F520" i="1"/>
  <c r="F476" i="1"/>
  <c r="F482" i="1"/>
  <c r="F454" i="1"/>
  <c r="F477" i="1"/>
  <c r="F376" i="1"/>
  <c r="F339" i="1"/>
  <c r="F405" i="1"/>
  <c r="D235" i="1"/>
  <c r="C235" i="1"/>
  <c r="F335" i="1"/>
  <c r="D233" i="1"/>
  <c r="C233" i="1"/>
  <c r="F366" i="1"/>
  <c r="C234" i="1"/>
  <c r="D234" i="1"/>
  <c r="F444" i="1"/>
  <c r="C236" i="1"/>
  <c r="D236" i="1"/>
  <c r="F452" i="1"/>
  <c r="F475" i="1"/>
  <c r="D237" i="1"/>
  <c r="C237" i="1"/>
  <c r="F481" i="1"/>
  <c r="F514" i="1"/>
  <c r="F238" i="1" s="1"/>
  <c r="C238" i="1"/>
  <c r="D238" i="1"/>
  <c r="F243" i="1"/>
  <c r="F242" i="1"/>
  <c r="J376" i="1"/>
  <c r="J337" i="1"/>
  <c r="F235" i="1" l="1"/>
  <c r="D245" i="1"/>
  <c r="J230" i="1" s="1"/>
  <c r="C245" i="1"/>
  <c r="F234" i="1"/>
  <c r="F233" i="1"/>
  <c r="F237" i="1"/>
  <c r="F236" i="1"/>
  <c r="F245" i="1" l="1"/>
  <c r="F13" i="5" l="1"/>
  <c r="G13" i="5" s="1"/>
  <c r="F12" i="5"/>
  <c r="G12" i="5" s="1"/>
  <c r="F11" i="5"/>
  <c r="G11" i="5" s="1"/>
  <c r="F10" i="5"/>
  <c r="G10" i="5" s="1"/>
  <c r="F9" i="5"/>
  <c r="G9" i="5" s="1"/>
  <c r="F8" i="5"/>
  <c r="G8" i="5" s="1"/>
  <c r="F7" i="5"/>
  <c r="G7" i="5" s="1"/>
  <c r="F6" i="5"/>
  <c r="G6" i="5" s="1"/>
  <c r="F5" i="5"/>
  <c r="G5"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796" i="1"/>
  <c r="G774" i="1"/>
  <c r="G765" i="1"/>
  <c r="G756" i="1"/>
  <c r="J739" i="1"/>
  <c r="G736" i="1"/>
  <c r="G727" i="1"/>
  <c r="G718" i="1"/>
  <c r="I703" i="1"/>
  <c r="G698" i="1"/>
  <c r="G689" i="1"/>
  <c r="G680" i="1"/>
  <c r="G541" i="1"/>
  <c r="G532" i="1"/>
  <c r="G523" i="1"/>
  <c r="G502" i="1"/>
  <c r="G493" i="1"/>
  <c r="G484" i="1"/>
  <c r="G465" i="1"/>
  <c r="I461" i="1"/>
  <c r="G458" i="1"/>
  <c r="I458" i="1"/>
  <c r="G451" i="1"/>
  <c r="I438" i="1"/>
  <c r="I434" i="1"/>
  <c r="G432" i="1"/>
  <c r="I429" i="1"/>
  <c r="I425" i="1"/>
  <c r="G423" i="1"/>
  <c r="J421" i="1"/>
  <c r="G414" i="1"/>
  <c r="G393" i="1"/>
  <c r="G384" i="1"/>
  <c r="G375" i="1"/>
  <c r="G356" i="1"/>
  <c r="I355" i="1"/>
  <c r="G349" i="1"/>
  <c r="G342" i="1"/>
  <c r="F220" i="1"/>
  <c r="G47" i="1"/>
  <c r="G48" i="1" s="1"/>
  <c r="C47" i="1"/>
  <c r="E41" i="1"/>
  <c r="E42" i="1" s="1"/>
  <c r="E7" i="1"/>
  <c r="E34" i="3" l="1"/>
  <c r="I34" i="3"/>
  <c r="H34" i="3" s="1"/>
  <c r="G14" i="5"/>
  <c r="L34" i="3"/>
  <c r="K34" i="3" s="1"/>
  <c r="D34" i="3"/>
  <c r="D36" i="3" s="1"/>
  <c r="E36" i="3"/>
</calcChain>
</file>

<file path=xl/sharedStrings.xml><?xml version="1.0" encoding="utf-8"?>
<sst xmlns="http://schemas.openxmlformats.org/spreadsheetml/2006/main" count="1188" uniqueCount="299">
  <si>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</si>
  <si>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</si>
  <si>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</si>
  <si>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</si>
  <si>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</si>
  <si>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</si>
  <si>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</si>
  <si>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</si>
  <si>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</si>
  <si>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</si>
  <si>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</si>
  <si>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</si>
  <si>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</si>
  <si>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</si>
  <si>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</si>
  <si>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</si>
  <si>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</si>
  <si>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</si>
  <si>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</si>
  <si>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</si>
  <si>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</si>
  <si>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</si>
  <si>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</si>
  <si>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</si>
  <si>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</si>
  <si>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</si>
  <si>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</si>
  <si>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</si>
  <si>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</si>
  <si>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</si>
  <si>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</si>
  <si>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</si>
  <si>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</si>
  <si>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</si>
  <si>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</si>
  <si>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</si>
  <si>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</si>
  <si>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</si>
  <si>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</si>
  <si>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</si>
  <si>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</si>
  <si>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</si>
  <si>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</si>
  <si>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</si>
  <si>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</si>
  <si>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</si>
  <si>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</si>
  <si>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</si>
  <si>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</si>
  <si>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</si>
  <si>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</si>
  <si>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</si>
  <si>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</si>
  <si>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</si>
  <si>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</si>
  <si>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</si>
  <si>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</si>
  <si>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</si>
  <si>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</si>
  <si>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</si>
  <si>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</si>
  <si>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</si>
  <si>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</si>
  <si>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</si>
  <si>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</si>
  <si>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</si>
  <si>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</si>
  <si>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</si>
  <si>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</si>
  <si>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</si>
  <si>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</si>
  <si>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</si>
  <si>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</si>
  <si>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</si>
  <si>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</si>
  <si>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</si>
  <si>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</si>
  <si>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</si>
  <si>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</si>
  <si>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</si>
  <si>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</si>
  <si>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</si>
  <si>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</si>
  <si>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</si>
  <si>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</si>
  <si>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</si>
  <si>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</si>
  <si>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</si>
  <si>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</si>
  <si>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</si>
  <si>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</si>
  <si>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</si>
  <si>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</si>
  <si>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</si>
  <si>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</si>
  <si>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</si>
  <si>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</si>
  <si>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</si>
  <si>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</si>
  <si>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</si>
  <si>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</si>
  <si>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</si>
  <si>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</si>
  <si>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</si>
  <si>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</si>
  <si>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</si>
  <si>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</si>
  <si>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</si>
  <si>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</si>
  <si>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</si>
  <si>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</si>
  <si>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</si>
  <si>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</si>
  <si>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</si>
  <si>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</si>
  <si>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</si>
  <si>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</si>
  <si>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</si>
  <si>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</si>
  <si>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</si>
  <si>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</si>
  <si>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</si>
  <si>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</si>
  <si>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</si>
  <si>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</si>
  <si>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</si>
  <si>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</si>
  <si>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</si>
  <si>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</si>
  <si>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</si>
  <si>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</si>
  <si>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</si>
  <si>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</si>
  <si>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</si>
  <si>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</si>
  <si>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</si>
  <si>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</si>
  <si>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</si>
  <si>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</si>
  <si>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</si>
  <si>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</si>
  <si>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</si>
  <si>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</si>
  <si>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</si>
  <si>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</si>
  <si>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</si>
  <si>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</si>
  <si>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</si>
  <si>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</si>
  <si>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</si>
  <si>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</si>
  <si>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</si>
  <si>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3BHK</t>
  </si>
  <si>
    <t>Average</t>
  </si>
  <si>
    <t xml:space="preserve">Valuation Adopted </t>
  </si>
  <si>
    <t>Saleable Area</t>
  </si>
  <si>
    <t>Rate on Saleable</t>
  </si>
  <si>
    <t>Axis Sanpada</t>
  </si>
  <si>
    <t>M/s.Horizon Projects Pvt Ltd</t>
  </si>
  <si>
    <t>Middle Class</t>
  </si>
  <si>
    <t>Developing</t>
  </si>
  <si>
    <t>Open Plot</t>
  </si>
  <si>
    <t>Building</t>
  </si>
  <si>
    <t>Vetaleshwar Mandir</t>
  </si>
  <si>
    <t>Thane</t>
  </si>
  <si>
    <t>Kalyan</t>
  </si>
  <si>
    <t>3Km from Datiwali Railway Station</t>
  </si>
  <si>
    <t>Sandap</t>
  </si>
  <si>
    <t>Internal Road</t>
  </si>
  <si>
    <t>Cluster 05</t>
  </si>
  <si>
    <t>Part I</t>
  </si>
  <si>
    <t>Tower No.1</t>
  </si>
  <si>
    <t>Lower Ground Floor for Parking</t>
  </si>
  <si>
    <t>2BHK</t>
  </si>
  <si>
    <t>Stilt/ Lobby Floor for Residential &amp; Parking</t>
  </si>
  <si>
    <t>Refuge Area</t>
  </si>
  <si>
    <t>1BHK</t>
  </si>
  <si>
    <t>Tower No.3</t>
  </si>
  <si>
    <t>Tower No.4</t>
  </si>
  <si>
    <t>Tower No.5</t>
  </si>
  <si>
    <t>Tower No.6</t>
  </si>
  <si>
    <t>Tower No.10</t>
  </si>
  <si>
    <t>Part III</t>
  </si>
  <si>
    <t>Tower No.11</t>
  </si>
  <si>
    <t>Tower No.12</t>
  </si>
  <si>
    <t xml:space="preserve">Residential </t>
  </si>
  <si>
    <t>commonfloor.</t>
  </si>
  <si>
    <t xml:space="preserve">My City- Phase II </t>
  </si>
  <si>
    <t>squareyards.</t>
  </si>
  <si>
    <t>Approved Plans, CC.</t>
  </si>
  <si>
    <t xml:space="preserve">Cement, Aggregate, Steel, etc </t>
  </si>
  <si>
    <t>Wheather the construction is as per approved Building plan : Under Construction</t>
  </si>
  <si>
    <t xml:space="preserve">02261133000
</t>
  </si>
  <si>
    <t xml:space="preserve">17/1, 17/2, 17/3/A, 17/3/B, 17/4, 17/5, 19/1,
19/2,19/3, 19/4, 20/3, 20/4, 20/5, 34/1, 36/1/A, 36/1/B, 37/1, 37/2, 38/1, 38/2, 38/3, 38/4, 70/9, 70/10, 70/11, 71/1, 71/2, 71/3, 71/4, 71/8, 91/1, 91/2, 91/3, 91/4, 91/5, 92/1, 92/2, 93(Pt), 103/2, 103/3, 103/4, 103/5, 103/6/A, 103/6/B, 103/7, 103/8, 103/9, 103/10, 103/11, 103/12, 103/13, 103/14/B, 103/15, 103/16, 103/17, 103/18, 106/2, 106/3, 107/1, 107/2A, 107/2B, 107/3, 107/4, 107/5, 107/6, 107/7, 107/8, 107/9,107/10, 107/11, 107/12, 107/13, 107/14, 107/15, 107/16, 107/17, 107/18, 107/19, 107/20, 107/22, 107/23, 107/24, 107 /2SA, 107 /25B, 107 /26A, 107 /26B, 108/1, 108/2, 108/3, 109(Pt), 134/1, 134/2, 134/3 </t>
  </si>
  <si>
    <t>Survey No</t>
  </si>
  <si>
    <t>Tower No.2</t>
  </si>
  <si>
    <t>400000/-</t>
  </si>
  <si>
    <t>25/- from 2nd Floor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</si>
  <si>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</si>
  <si>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</si>
  <si>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</si>
  <si>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</si>
  <si>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</si>
  <si>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</si>
  <si>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</si>
  <si>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</si>
  <si>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</si>
  <si>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</si>
  <si>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</si>
  <si>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</si>
  <si>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</si>
  <si>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</si>
  <si>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</si>
  <si>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</si>
  <si>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</si>
  <si>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</si>
  <si>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Ground Floor for Parking</t>
  </si>
  <si>
    <t>Podium For Parking</t>
  </si>
  <si>
    <t>Stilt/ Lobby Floor for Residential</t>
  </si>
  <si>
    <t>Upper Ground Floor Residential (Part Podium)</t>
  </si>
  <si>
    <t>1st to 5th, 7th to 10th, 12th to 16th, 18th to 22nd, 24th &amp; 25th Floor</t>
  </si>
  <si>
    <t>6th, 11th, 17th &amp; 23rd Floor (Part Refuge Area)</t>
  </si>
  <si>
    <t>Upper Stilt Floor For Residential &amp; Part Podium</t>
  </si>
  <si>
    <t>Upper Ground Floor For Residential &amp; Part Podium</t>
  </si>
  <si>
    <t>Podium Area</t>
  </si>
  <si>
    <t>Stilt Area</t>
  </si>
  <si>
    <t>1st to 5th, 7th to 10th, 12th to 16th, 18th to 22nd Floor</t>
  </si>
  <si>
    <t>Ground Floor for Part Podium Parking</t>
  </si>
  <si>
    <r>
      <t xml:space="preserve">Shop No.
</t>
    </r>
    <r>
      <rPr>
        <b/>
        <sz val="11"/>
        <color rgb="FF000000"/>
        <rFont val="Times New Roman"/>
        <family val="1"/>
      </rPr>
      <t>(Approved Plan)</t>
    </r>
  </si>
  <si>
    <t>Shop No.
(Sale Plan)</t>
  </si>
  <si>
    <t>Attached Loft area</t>
  </si>
  <si>
    <t>Saleable area Loading :</t>
  </si>
  <si>
    <t>Ground Floor For Part Commercial</t>
  </si>
  <si>
    <t>Shop</t>
  </si>
  <si>
    <t>Tower No. 6</t>
  </si>
  <si>
    <t>Tower No. 5</t>
  </si>
  <si>
    <t>Tower No. 10</t>
  </si>
  <si>
    <t>Tower No. 11</t>
  </si>
  <si>
    <t>SROT/KGC/2401/BP/ITP/Usarghar-Sandep/01/Vol/18/1188/2022</t>
  </si>
  <si>
    <t>SROT/Growth Centre/2401/BP/ITP/ Usarghar-Sandep/01/Vol/18/1188/2022</t>
  </si>
  <si>
    <t>Cluster 5</t>
  </si>
  <si>
    <t>Recommended rate of the Shop Per Sq. Ft. ( on Saleable area)</t>
  </si>
  <si>
    <t>55000/-</t>
  </si>
  <si>
    <t>1,25,000/-</t>
  </si>
  <si>
    <t>Society &amp; Other Charges</t>
  </si>
  <si>
    <t>Cam Charges</t>
  </si>
  <si>
    <t>70000/-</t>
  </si>
  <si>
    <t>29/11/2022 by Abhishek, Asmi 6300 to 6800 + Other Charges</t>
  </si>
  <si>
    <t xml:space="preserve">Part I - P51700019085
Part II - P51700032157
Part III - P51700027171
</t>
  </si>
  <si>
    <t>Tower No.9</t>
  </si>
  <si>
    <t>Part II</t>
  </si>
  <si>
    <t>Tower No. 9</t>
  </si>
  <si>
    <t>Ground Floor for Parking &amp; Commercial</t>
  </si>
  <si>
    <t>Tower No.7</t>
  </si>
  <si>
    <t>Tower No. 7</t>
  </si>
  <si>
    <t>Ground Floor for Pump Room, Society Office, Parking &amp; Commercial</t>
  </si>
  <si>
    <t>Part I - Tower No.1 to 6
Part II - Tower No.7 to 9
Part III - Tower No.10 to 12</t>
  </si>
  <si>
    <t>17/1, 17/2, 17/3/A, 17/3/B, 17/4, 17/5, 19/1, 19/2,19/3, 19/4, 20/3, 20/4, 20/5, 34/1, 36/1/A, 36/1/B, 37/1, 37/2, 38/1, 38/2, 38/3, 38/4, 70/9, 70/10, 70/11, 71/1, 71/2, 71/3, 71/4, 71/8, 91/1, 91/2, 91/3, 91/4, 91/5, 92/1, 92/2, 93(Pt), 103/2, 103/3, 103/4, 103/5, 103/6/A, 103/6/B, 103/7, 103/8, 103/9, 103/10, 103/11, 103/12, 103/13, 103/14/B, 103/15, 103/16, 103/17, 103/18, 106/2, 106/3, 107/1, 107/2A, 107/2B, 107/3, 107/4, 107/5, 107/6, 107/7, 107/8, 107/9,107/10, 107/11, 107/12, 107/13, 107/14, 107/15, 107/16, 107/17, 107/18, 107/19, 107/20, 107/22, 107/23, 107/24, 107 /2SA, 107 /25B, 107 /26A, 107 /26B, 108/1, 108/2, 108/3, 109(Pt), 134/1, 134/2, 134/3, Internal Road, Sandap Bearing S. No.2,21/1, Dombivali, Kalyan, Thane - 421201.</t>
  </si>
  <si>
    <t>Valid Up to: 
Cluster 05 - Part I (Tower No.1 to 6) = Lr. Gr + Gr + Up. Gr (Pt. Podium) + Stilt Floor + 1st to 25th floor
Cluster 05 - Part III (Tower No.10 to 12) = Gr + Up. Gr (Pt. Podium) + Stilt Floor + 1st to 25th floor
Cluster 05 - Part II (Tower No.7 to 9) = Gr + Up. Gr (Pt. Podium) + Stilt Floor + 1st to 25th floor</t>
  </si>
  <si>
    <t xml:space="preserve">Tower No. 8 </t>
  </si>
  <si>
    <t>Tower No.8</t>
  </si>
  <si>
    <t>Flats - 2360, Shops - 53</t>
  </si>
  <si>
    <t>Cluster 05 - Part I (Tower No.1 to 6) = Lr. Gr + Gr + Up. Gr (Pt. Podium) + Stilt Floor + 1st to 25th floor
Cluster 05 - Part II (Tower No.7 to 9) = Gr + Up. Gr (Pt. Podium) + Stilt Floor + 1st to 25th floor
Cluster 05 - Part III (Tower No.10 to 12) = Gr + Up. Gr (Pt. Podium) + Stilt Floor + 1st to 25th floor</t>
  </si>
  <si>
    <t>12 Buildings</t>
  </si>
  <si>
    <t>Location Link</t>
  </si>
  <si>
    <t>https://goo.gl/maps/a7aW4jnnZEoCJiSU7?coh=178572&amp;entry=tt</t>
  </si>
  <si>
    <t>Contact Details ( Name &amp; Contact No.)</t>
  </si>
  <si>
    <t>7208497596 V V Urgent</t>
  </si>
  <si>
    <t>tower 1 rcc Breck work plaster in out flooring kitchen platform bathroom style plumbing elc work completed doors and windows sliding complete and internal work working progress tower 2 3 4 5 6 rcc Breck work plaster in out complete flooring and Kitchen platform working progress tower 7 9 10 rcc 3/4 slap working progress 2nd slap complete tower 8 8 th slap complete 9/10 th slap working progress tower 11 rcc 6 th complete 7/8 slap working progress 12 rcc 16 slap complete 17/18 working progress side Meet Mr vinod thkare 7208497596 external visit complete</t>
  </si>
  <si>
    <t>Site Meet Person Contact Details ( Name &amp; Contact No.)</t>
  </si>
  <si>
    <t>Tower No. 10  =  Gr + Up. Gr (Pt. Podium) + Stilt Floor + 1st to 25th floor</t>
  </si>
  <si>
    <t>Tower No. 07  =  Gr + Up. Gr (Pt. Podium) + Stilt Floor + 1st to 25th floor</t>
  </si>
  <si>
    <t>Tower No. 09  =  Gr + Up. Gr (Pt. Podium) + Stilt Floor + 1st to 25th floor</t>
  </si>
  <si>
    <t>Tower No. 8  =  Gr + Up. Gr (Pt. Podium) + Stilt Floor + 1st to 25th floor</t>
  </si>
  <si>
    <t>Latitude,Longitude</t>
  </si>
  <si>
    <t>19.179933,73.0731161</t>
  </si>
  <si>
    <t>My City Phase II - Cluster 05 - (Part I, II &amp; III)</t>
  </si>
  <si>
    <t>Office No. 1031, Wing J, Akshar Business Park, Plot No. 03 Sector 25, Near APMC Market, 
Vashi, Navi Mumbai, Maharashtra 400703 TEL: 022-46090378/79/80                                                                                                                                      E mail : vsjcapf@gmail.com. Web site : www.vsjadon.com</t>
  </si>
  <si>
    <t>Dombivali East</t>
  </si>
  <si>
    <t>Tower No. 5 =  Lr. Gr + Gr + Up. Gr (Pt. Podium) + Stilt Floor + 1st to 25th floor</t>
  </si>
  <si>
    <t>Tower No. 6 =  Lr. Gr + Gr + Up. Gr (Pt. Podium) + Stilt Floor + 1st to 25th floor</t>
  </si>
  <si>
    <t>Tower No. 4 =  Lr. Gr + Gr + Up. Gr (Pt. Podium) + Stilt Floor + 1st to 25th floor</t>
  </si>
  <si>
    <t xml:space="preserve">SROT/Growth Centre/2401/BP/ITP-Usarghar &amp; Sandep/01/OC-Cluster 05/1152/2024
</t>
  </si>
  <si>
    <t xml:space="preserve">O. Certificate No.: 
</t>
  </si>
  <si>
    <t>Approved upto :</t>
  </si>
  <si>
    <t>Tower 1 = LG + Gr/P + UG/P + Stilt/P + 1st to 25th Floor (154 Units)
Tower 2 = LG + Gr/P + UG/P + Stilt/P + 1st to 25th Floor (208 Units)
Tower 3 = LG + Gr/P + UG/P + Stilt/P + 1st to 25th Floor (206 Units)</t>
  </si>
  <si>
    <t>12K to 13.3Kt rupti verbal Shop No.14 index 2 18/12/2024</t>
  </si>
  <si>
    <t>Finishing work pending</t>
  </si>
  <si>
    <t>T4 T5 T6</t>
  </si>
  <si>
    <t>Mr. Vinod : 7208497596</t>
  </si>
  <si>
    <t>Tower 4 = LG + Gr/P + UG/P + Stilt/P + 1st to 25th Floor (154 Units)
Tower 5 = LG + Gr/P + UG/P + Stilt/P + 1st to 25th Floor (208 Units)
Tower 6 = LG + Gr/P + UG/P + Stilt/P + 1st to 25th Floor (206 Units)</t>
  </si>
  <si>
    <t xml:space="preserve">SROT/Growth Centre/2401/BP/ITP-Usarghar &amp; Sandep-01/OC-Cluster 05-Tower 4, 5, 6/120/2025
</t>
  </si>
  <si>
    <t>Tower No. 12  =  Gr + Up. Gr (Pt. Podium) + Stilt Floor + 1st to 25th floor</t>
  </si>
  <si>
    <t>Tower No. 11 =  Gr + Up. Gr (Pt. Podium) + Stilt Floor + 1st to 25th floor</t>
  </si>
  <si>
    <t>1. Tower 1 to 4 = All Work Completed OC Received.
    Tower 5 &amp; 6 = OC received but window &amp; finishing work is in process.
    Tower 7 to 12 = Construction work is in process at the time of Visit. Internal visit was not allowed.
2. We considered  Saleable area  as per our calculation.
3. We considered Carpet area as per Approved Plan.
4. We considered Gross carpet area = Net carpet + Deck Area + Utility Area
5. We have considered rate by verifying it from market inquire.
6. Car parking is subjected to authentic documentation.
7. In approved plans tower no.4's 24th &amp; 25th Floors are not mentioned anywhere. Maybe there is printing mistake. Plans are provided upto 23rd Floors. So please provide plans for 24th &amp; 25th Floor of tower no.4.
8. We have updated Approved floor plan &amp; CC of (Cluster 5 = Part I &amp; III) on (07/10/2022)
9. Details of project are collected from Mr. vinod thakre - 7208497596.
10. We have updated approved floor plan &amp; C.C of Tower 9 (on 02/11/2022), Tower 7 ( on 20/12/2022) &amp; Tower 8 ( on 16/01/2023).
11. We have updated OC for Tower 1 to 3 on 17/12/2024.
12. Recommended Rates/Other Charges of the Property have been revised on 18/12/2024.
13. We have updated OC for Tower 4 to 6 (On 19/04/2025).</t>
  </si>
  <si>
    <t>As per RERA :
Part I = 30/03/2025
Part II = 31/12/2027
Part III = 30/06/2027</t>
  </si>
  <si>
    <t>Tower No. 1, 2, 3 &amp; 4 =  Lr. Gr + Gr + Up. Gr (Pt. Podium) + Stilt Floor + 1st to 25th floor</t>
  </si>
  <si>
    <t>Gaurav Panchal</t>
  </si>
  <si>
    <t>Mr. Gangaram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</si>
</sst>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_(* #,##0_);_(* \(#,##0\);_(* &quot;-&quot;??_);_(@_)"/>
    <numFmt numFmtId="167" formatCode="0.000"/>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sz val="11"/>
      <color rgb="FF272727"/>
      <name val="Arial"/>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9" fontId="22" fillId="0" borderId="0" applyFont="0" applyFill="0" applyBorder="0" applyAlignment="0" applyProtection="0"/>
    <xf numFmtId="0" fontId="24" fillId="0" borderId="0" applyNumberFormat="0" applyFill="0" applyBorder="0" applyAlignment="0" applyProtection="0"/>
  </cellStyleXfs>
  <cellXfs count="228">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8" fillId="0" borderId="0" xfId="1" applyFont="1" applyProtection="1">
      <protection locked="0"/>
    </xf>
    <xf numFmtId="0" fontId="8" fillId="0" borderId="0" xfId="1" applyFont="1" applyProtection="1">
      <protection hidden="1"/>
    </xf>
    <xf numFmtId="0" fontId="8" fillId="0" borderId="6" xfId="1" applyFont="1" applyBorder="1" applyProtection="1">
      <protection hidden="1"/>
    </xf>
    <xf numFmtId="0" fontId="8" fillId="0" borderId="7" xfId="1" applyFont="1" applyBorder="1" applyProtection="1">
      <protection hidden="1"/>
    </xf>
    <xf numFmtId="0" fontId="8" fillId="0" borderId="7" xfId="1" applyFont="1" applyBorder="1"/>
    <xf numFmtId="9" fontId="18" fillId="0" borderId="7" xfId="0" applyNumberFormat="1" applyFont="1" applyBorder="1" applyProtection="1">
      <protection hidden="1"/>
    </xf>
    <xf numFmtId="9" fontId="18" fillId="0" borderId="9"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 fillId="0" borderId="1" xfId="5" applyFont="1" applyBorder="1" applyAlignment="1">
      <alignment horizontal="center" vertical="center"/>
    </xf>
    <xf numFmtId="0" fontId="1" fillId="0" borderId="1" xfId="5" applyFont="1" applyBorder="1" applyAlignment="1">
      <alignment horizontal="left" vertical="center"/>
    </xf>
    <xf numFmtId="0" fontId="8" fillId="0" borderId="5" xfId="1" applyFont="1" applyBorder="1" applyProtection="1">
      <protection hidden="1"/>
    </xf>
    <xf numFmtId="0" fontId="18" fillId="0" borderId="0" xfId="0" applyFont="1" applyProtection="1">
      <protection hidden="1"/>
    </xf>
    <xf numFmtId="0" fontId="18" fillId="0" borderId="8" xfId="0" applyFont="1" applyBorder="1" applyProtection="1">
      <protection hidden="1"/>
    </xf>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1" fontId="8" fillId="0" borderId="1" xfId="1" applyNumberFormat="1" applyFont="1" applyBorder="1" applyAlignment="1">
      <alignment horizontal="center" vertical="center"/>
    </xf>
    <xf numFmtId="1" fontId="13" fillId="0" borderId="1" xfId="1" applyNumberFormat="1" applyFont="1" applyBorder="1" applyAlignment="1" applyProtection="1">
      <alignment horizontal="center" vertical="center" wrapText="1"/>
      <protection locked="0"/>
    </xf>
    <xf numFmtId="1" fontId="8" fillId="0" borderId="0" xfId="1" applyNumberFormat="1" applyFont="1" applyAlignment="1">
      <alignment horizontal="center" vertical="center"/>
    </xf>
    <xf numFmtId="167" fontId="8" fillId="0" borderId="0" xfId="1" applyNumberFormat="1" applyFont="1" applyAlignment="1">
      <alignment horizontal="center" vertical="center"/>
    </xf>
    <xf numFmtId="9" fontId="9" fillId="0" borderId="19" xfId="1" applyNumberFormat="1" applyFont="1" applyBorder="1" applyAlignment="1" applyProtection="1">
      <alignment horizontal="center" vertical="top" wrapText="1"/>
      <protection locked="0"/>
    </xf>
    <xf numFmtId="1" fontId="14" fillId="0" borderId="18" xfId="1" applyNumberFormat="1" applyFont="1" applyBorder="1" applyAlignment="1" applyProtection="1">
      <alignment horizontal="center" vertical="top" wrapText="1"/>
      <protection locked="0"/>
    </xf>
    <xf numFmtId="9" fontId="14" fillId="0" borderId="19" xfId="8" applyFont="1" applyFill="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vertical="top"/>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1" fillId="0" borderId="0" xfId="1" applyFont="1"/>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0" fontId="13" fillId="0" borderId="23" xfId="1" applyFont="1" applyBorder="1" applyAlignment="1" applyProtection="1">
      <alignment horizontal="center" vertical="top"/>
      <protection locked="0"/>
    </xf>
    <xf numFmtId="0" fontId="13" fillId="0" borderId="24" xfId="1" applyFont="1" applyBorder="1" applyAlignment="1" applyProtection="1">
      <alignment horizontal="center" vertical="top"/>
      <protection locked="0"/>
    </xf>
    <xf numFmtId="0" fontId="13" fillId="0" borderId="26" xfId="1" applyFont="1" applyBorder="1" applyAlignment="1" applyProtection="1">
      <alignment horizontal="center" wrapText="1"/>
      <protection locked="0"/>
    </xf>
    <xf numFmtId="9" fontId="13" fillId="0" borderId="26"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9" fontId="13" fillId="0" borderId="26" xfId="1" applyNumberFormat="1" applyFont="1" applyBorder="1" applyAlignment="1" applyProtection="1">
      <alignment horizontal="center" vertical="center" wrapText="1"/>
      <protection hidden="1"/>
    </xf>
    <xf numFmtId="0" fontId="13" fillId="0" borderId="23"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1" fontId="8" fillId="0" borderId="0" xfId="0" applyNumberFormat="1" applyFont="1" applyAlignment="1">
      <alignment horizontal="center" vertical="center"/>
    </xf>
    <xf numFmtId="0" fontId="13" fillId="0" borderId="1" xfId="1" applyFont="1" applyBorder="1" applyAlignment="1" applyProtection="1">
      <alignment horizontal="center" vertical="top" wrapText="1"/>
      <protection locked="0"/>
    </xf>
    <xf numFmtId="0" fontId="13" fillId="0" borderId="23"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25" fillId="0" borderId="0" xfId="0" applyFont="1"/>
    <xf numFmtId="0" fontId="13" fillId="0" borderId="23"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9" fontId="13" fillId="0" borderId="1" xfId="1" applyNumberFormat="1" applyFont="1" applyBorder="1" applyAlignment="1" applyProtection="1">
      <alignment horizontal="center" vertical="center" wrapText="1"/>
      <protection hidden="1"/>
    </xf>
    <xf numFmtId="9" fontId="13" fillId="0" borderId="26"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9" fontId="13" fillId="0" borderId="1"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23" xfId="1" applyFont="1" applyBorder="1" applyAlignment="1" applyProtection="1">
      <alignment horizontal="center" vertical="top"/>
      <protection locked="0"/>
    </xf>
    <xf numFmtId="0" fontId="13" fillId="0" borderId="19" xfId="1" applyFont="1" applyBorder="1" applyAlignment="1" applyProtection="1">
      <alignment horizontal="center" vertical="top" wrapText="1"/>
      <protection locked="0"/>
    </xf>
    <xf numFmtId="0" fontId="13" fillId="0" borderId="19" xfId="1" applyFont="1" applyBorder="1" applyAlignment="1" applyProtection="1">
      <alignment horizontal="center" vertical="top"/>
      <protection locked="0"/>
    </xf>
    <xf numFmtId="0" fontId="14"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center" wrapText="1"/>
      <protection locked="0"/>
    </xf>
    <xf numFmtId="1" fontId="7" fillId="0" borderId="12" xfId="1" applyNumberFormat="1" applyFont="1" applyBorder="1" applyAlignment="1" applyProtection="1">
      <alignment horizontal="center" vertical="center" wrapText="1"/>
      <protection locked="0"/>
    </xf>
    <xf numFmtId="1" fontId="7" fillId="0" borderId="11"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9" fontId="13" fillId="0" borderId="24" xfId="1" applyNumberFormat="1" applyFont="1" applyBorder="1" applyAlignment="1" applyProtection="1">
      <alignment horizontal="center" vertical="center" wrapText="1"/>
      <protection hidden="1"/>
    </xf>
    <xf numFmtId="9" fontId="13" fillId="0" borderId="26" xfId="1" applyNumberFormat="1" applyFont="1" applyBorder="1" applyAlignment="1" applyProtection="1">
      <alignment horizontal="center" vertical="center" wrapText="1"/>
      <protection hidden="1"/>
    </xf>
    <xf numFmtId="9" fontId="13" fillId="0" borderId="27" xfId="1" applyNumberFormat="1" applyFont="1" applyBorder="1" applyAlignment="1" applyProtection="1">
      <alignment horizontal="center" vertical="center" wrapText="1"/>
      <protection hidden="1"/>
    </xf>
    <xf numFmtId="0" fontId="13" fillId="0" borderId="23" xfId="1" applyFont="1" applyBorder="1" applyAlignment="1" applyProtection="1">
      <alignment horizontal="center" vertical="top" wrapText="1"/>
      <protection locked="0"/>
    </xf>
    <xf numFmtId="0" fontId="13" fillId="0" borderId="23"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24" xfId="1" applyFont="1" applyBorder="1" applyAlignment="1" applyProtection="1">
      <alignment horizontal="center" vertical="top" wrapText="1"/>
      <protection locked="0"/>
    </xf>
    <xf numFmtId="0" fontId="14" fillId="0" borderId="29" xfId="1" applyFont="1" applyFill="1" applyBorder="1" applyAlignment="1" applyProtection="1">
      <alignment horizontal="left" vertical="top" wrapText="1"/>
      <protection locked="0"/>
    </xf>
    <xf numFmtId="0" fontId="14" fillId="0" borderId="19" xfId="1" applyFont="1" applyFill="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30" xfId="1" applyFont="1" applyBorder="1" applyAlignment="1" applyProtection="1">
      <alignment horizontal="left" vertical="top" wrapText="1"/>
      <protection locked="0"/>
    </xf>
    <xf numFmtId="0" fontId="14" fillId="0" borderId="23"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24" xfId="1" applyFont="1" applyBorder="1" applyAlignment="1" applyProtection="1">
      <alignment horizontal="left" vertical="top" wrapText="1"/>
      <protection locked="0"/>
    </xf>
    <xf numFmtId="0" fontId="13" fillId="0" borderId="19"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25" xfId="1" applyFont="1" applyBorder="1" applyAlignment="1" applyProtection="1">
      <alignment horizontal="center" vertical="top" wrapText="1"/>
      <protection locked="0"/>
    </xf>
    <xf numFmtId="0" fontId="13" fillId="0" borderId="26" xfId="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14" xfId="1" applyNumberFormat="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10" xfId="0" applyNumberFormat="1" applyFont="1" applyBorder="1" applyAlignment="1" applyProtection="1">
      <alignment horizontal="center" vertical="top" wrapText="1"/>
      <protection locked="0"/>
    </xf>
    <xf numFmtId="1" fontId="8" fillId="0" borderId="4" xfId="0" applyNumberFormat="1" applyFont="1" applyBorder="1" applyAlignment="1" applyProtection="1">
      <alignment horizontal="center" vertical="top" wrapText="1"/>
      <protection locked="0"/>
    </xf>
    <xf numFmtId="1" fontId="7" fillId="0" borderId="18" xfId="0" applyNumberFormat="1"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4" fillId="0" borderId="21"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14" fillId="0" borderId="1" xfId="1" applyFont="1" applyFill="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3" fillId="0" borderId="1" xfId="1" applyFont="1" applyBorder="1" applyAlignment="1" applyProtection="1">
      <alignment horizontal="left"/>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1" fontId="14" fillId="0" borderId="1"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1" fontId="9" fillId="0" borderId="4" xfId="1" applyNumberFormat="1" applyFont="1" applyBorder="1" applyAlignment="1" applyProtection="1">
      <alignment horizontal="center" vertical="center" wrapText="1"/>
      <protection locked="0"/>
    </xf>
    <xf numFmtId="1" fontId="9" fillId="0" borderId="18"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0" xfId="1" applyNumberFormat="1" applyFont="1" applyAlignment="1" applyProtection="1">
      <alignment horizontal="center" vertical="center" wrapText="1"/>
      <protection locked="0"/>
    </xf>
    <xf numFmtId="0" fontId="9" fillId="0" borderId="18" xfId="1" applyFont="1" applyBorder="1" applyAlignment="1" applyProtection="1">
      <alignment horizontal="center" vertical="top"/>
      <protection locked="0"/>
    </xf>
    <xf numFmtId="0" fontId="8" fillId="0" borderId="0" xfId="1" applyFont="1" applyAlignment="1">
      <alignment horizontal="center" vertical="center"/>
    </xf>
    <xf numFmtId="1" fontId="11" fillId="0" borderId="1" xfId="0" applyNumberFormat="1" applyFont="1" applyBorder="1" applyAlignment="1" applyProtection="1">
      <alignment horizontal="center" vertical="top" wrapText="1"/>
      <protection locked="0"/>
    </xf>
    <xf numFmtId="0" fontId="25" fillId="0" borderId="0" xfId="0" applyFont="1" applyAlignment="1">
      <alignment horizontal="center" wrapText="1"/>
    </xf>
    <xf numFmtId="0" fontId="24" fillId="0" borderId="3" xfId="9" applyBorder="1" applyAlignment="1" applyProtection="1">
      <alignment horizontal="left"/>
      <protection locked="0"/>
    </xf>
    <xf numFmtId="0" fontId="8" fillId="0" borderId="10" xfId="1" applyFont="1" applyBorder="1" applyAlignment="1" applyProtection="1">
      <alignment horizontal="left"/>
      <protection locked="0"/>
    </xf>
    <xf numFmtId="0" fontId="8" fillId="0" borderId="4" xfId="1" applyFont="1" applyBorder="1" applyAlignment="1" applyProtection="1">
      <alignment horizontal="left"/>
      <protection locked="0"/>
    </xf>
    <xf numFmtId="14" fontId="13" fillId="0" borderId="1" xfId="1" applyNumberFormat="1" applyFont="1" applyBorder="1" applyAlignment="1" applyProtection="1">
      <alignment horizontal="left" vertical="top"/>
      <protection locked="0"/>
    </xf>
    <xf numFmtId="0" fontId="14" fillId="0" borderId="23"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9" fontId="14" fillId="0" borderId="3" xfId="1" applyNumberFormat="1" applyFont="1" applyBorder="1" applyAlignment="1" applyProtection="1">
      <alignment horizontal="center" vertical="center" wrapText="1"/>
      <protection locked="0"/>
    </xf>
    <xf numFmtId="0" fontId="14" fillId="0" borderId="4" xfId="1" applyFont="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14" fontId="14" fillId="0" borderId="1" xfId="1" applyNumberFormat="1" applyFont="1" applyBorder="1" applyAlignment="1" applyProtection="1">
      <alignment horizontal="left" vertical="top" wrapText="1"/>
      <protection locked="0"/>
    </xf>
    <xf numFmtId="0" fontId="14" fillId="0" borderId="25" xfId="1" applyFont="1" applyBorder="1" applyAlignment="1" applyProtection="1">
      <alignment horizontal="left" vertical="top"/>
      <protection locked="0"/>
    </xf>
    <xf numFmtId="0" fontId="14" fillId="0" borderId="26" xfId="1" applyFont="1" applyBorder="1" applyAlignment="1" applyProtection="1">
      <alignment horizontal="left" vertical="top"/>
      <protection locked="0"/>
    </xf>
    <xf numFmtId="0" fontId="14" fillId="0" borderId="2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3" fillId="0" borderId="29"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30" xfId="1" applyFont="1" applyBorder="1" applyAlignment="1" applyProtection="1">
      <alignment horizontal="center" vertical="top" wrapText="1"/>
      <protection locked="0"/>
    </xf>
    <xf numFmtId="0" fontId="7" fillId="0" borderId="18" xfId="1" applyFont="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14" fillId="0" borderId="28" xfId="1" applyFont="1" applyBorder="1" applyAlignment="1" applyProtection="1">
      <alignment horizontal="center" vertical="center" wrapText="1"/>
      <protection locked="0"/>
    </xf>
    <xf numFmtId="0" fontId="14" fillId="0" borderId="3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9" fontId="14" fillId="0" borderId="3" xfId="1" applyNumberFormat="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8" xfId="1" applyFont="1" applyBorder="1" applyAlignment="1" applyProtection="1">
      <alignment horizontal="center" vertical="top"/>
      <protection locked="0"/>
    </xf>
    <xf numFmtId="0" fontId="8" fillId="0" borderId="3" xfId="1" applyFont="1" applyBorder="1" applyAlignment="1" applyProtection="1">
      <alignment horizontal="left"/>
      <protection locked="0"/>
    </xf>
    <xf numFmtId="0" fontId="14" fillId="0" borderId="20" xfId="1" applyFont="1" applyFill="1" applyBorder="1" applyAlignment="1" applyProtection="1">
      <alignment horizontal="left" vertical="top" wrapText="1"/>
      <protection locked="0"/>
    </xf>
    <xf numFmtId="0" fontId="14" fillId="0" borderId="21" xfId="1" applyFont="1" applyFill="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14" fontId="13"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 Id="rId4" Type="http://schemas.openxmlformats.org/officeDocument/2006/relationships/image" Target="../media/image5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7.emf"/></Relationships>
</file>

<file path=xl/drawings/drawing1.xml><?xml version="1.0" encoding="utf-8"?>
<xdr:wsDr xmlns:xdr="http://schemas.openxmlformats.org/drawingml/2006/spreadsheetDrawing" xmlns:a="http://schemas.openxmlformats.org/drawingml/2006/main">
  <xdr:twoCellAnchor editAs="oneCell">
    <xdr:from>
      <xdr:col>0</xdr:col>
      <xdr:colOff>246532</xdr:colOff>
      <xdr:row>886</xdr:row>
      <xdr:rowOff>0</xdr:rowOff>
    </xdr:from>
    <xdr:to>
      <xdr:col>7</xdr:col>
      <xdr:colOff>464329</xdr:colOff>
      <xdr:row>903</xdr:row>
      <xdr:rowOff>171000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46532" y="141037235"/>
          <a:ext cx="6190532" cy="3600000"/>
        </a:xfrm>
        <a:prstGeom prst="rect">
          <a:avLst/>
        </a:prstGeom>
        <a:ln>
          <a:solidFill>
            <a:schemeClr val="tx1"/>
          </a:solidFill>
        </a:ln>
      </xdr:spPr>
    </xdr:pic>
    <xdr:clientData/>
  </xdr:twoCellAnchor>
  <xdr:twoCellAnchor editAs="oneCell">
    <xdr:from>
      <xdr:col>0</xdr:col>
      <xdr:colOff>246533</xdr:colOff>
      <xdr:row>904</xdr:row>
      <xdr:rowOff>158371</xdr:rowOff>
    </xdr:from>
    <xdr:to>
      <xdr:col>7</xdr:col>
      <xdr:colOff>464330</xdr:colOff>
      <xdr:row>922</xdr:row>
      <xdr:rowOff>127663</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46533" y="144826312"/>
          <a:ext cx="6190532" cy="3600000"/>
        </a:xfrm>
        <a:prstGeom prst="rect">
          <a:avLst/>
        </a:prstGeom>
        <a:ln>
          <a:solidFill>
            <a:schemeClr val="tx1"/>
          </a:solidFill>
        </a:ln>
      </xdr:spPr>
    </xdr:pic>
    <xdr:clientData/>
  </xdr:twoCellAnchor>
  <xdr:twoCellAnchor>
    <xdr:from>
      <xdr:col>8</xdr:col>
      <xdr:colOff>1257300</xdr:colOff>
      <xdr:row>797</xdr:row>
      <xdr:rowOff>190500</xdr:rowOff>
    </xdr:from>
    <xdr:to>
      <xdr:col>10</xdr:col>
      <xdr:colOff>180975</xdr:colOff>
      <xdr:row>799</xdr:row>
      <xdr:rowOff>170754</xdr:rowOff>
    </xdr:to>
    <xdr:sp macro="" textlink="">
      <xdr:nvSpPr>
        <xdr:cNvPr id="66" name="TextBox 7">
          <a:extLst>
            <a:ext uri="{FF2B5EF4-FFF2-40B4-BE49-F238E27FC236}">
              <a16:creationId xmlns:a16="http://schemas.microsoft.com/office/drawing/2014/main" xmlns="" id="{00000000-0008-0000-0000-000042000000}"/>
            </a:ext>
          </a:extLst>
        </xdr:cNvPr>
        <xdr:cNvSpPr txBox="1"/>
      </xdr:nvSpPr>
      <xdr:spPr>
        <a:xfrm>
          <a:off x="7648575" y="170068875"/>
          <a:ext cx="942975" cy="370779"/>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Tower 1</a:t>
          </a:r>
        </a:p>
      </xdr:txBody>
    </xdr:sp>
    <xdr:clientData/>
  </xdr:twoCellAnchor>
  <xdr:oneCellAnchor>
    <xdr:from>
      <xdr:col>8</xdr:col>
      <xdr:colOff>769679</xdr:colOff>
      <xdr:row>793</xdr:row>
      <xdr:rowOff>171450</xdr:rowOff>
    </xdr:from>
    <xdr:ext cx="288669" cy="342786"/>
    <xdr:sp macro="" textlink="">
      <xdr:nvSpPr>
        <xdr:cNvPr id="90" name="TextBox 89">
          <a:extLst>
            <a:ext uri="{FF2B5EF4-FFF2-40B4-BE49-F238E27FC236}">
              <a16:creationId xmlns:a16="http://schemas.microsoft.com/office/drawing/2014/main" xmlns="" id="{00000000-0008-0000-0000-00005A000000}"/>
            </a:ext>
          </a:extLst>
        </xdr:cNvPr>
        <xdr:cNvSpPr txBox="1"/>
      </xdr:nvSpPr>
      <xdr:spPr>
        <a:xfrm>
          <a:off x="7246679" y="175383825"/>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1</a:t>
          </a:r>
        </a:p>
      </xdr:txBody>
    </xdr:sp>
    <xdr:clientData/>
  </xdr:oneCellAnchor>
  <xdr:oneCellAnchor>
    <xdr:from>
      <xdr:col>9</xdr:col>
      <xdr:colOff>44738</xdr:colOff>
      <xdr:row>802</xdr:row>
      <xdr:rowOff>76200</xdr:rowOff>
    </xdr:from>
    <xdr:ext cx="288669" cy="342786"/>
    <xdr:sp macro="" textlink="">
      <xdr:nvSpPr>
        <xdr:cNvPr id="91" name="TextBox 90">
          <a:extLst>
            <a:ext uri="{FF2B5EF4-FFF2-40B4-BE49-F238E27FC236}">
              <a16:creationId xmlns:a16="http://schemas.microsoft.com/office/drawing/2014/main" xmlns="" id="{00000000-0008-0000-0000-00005B000000}"/>
            </a:ext>
          </a:extLst>
        </xdr:cNvPr>
        <xdr:cNvSpPr txBox="1"/>
      </xdr:nvSpPr>
      <xdr:spPr>
        <a:xfrm>
          <a:off x="7912388" y="177517425"/>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2</a:t>
          </a:r>
        </a:p>
      </xdr:txBody>
    </xdr:sp>
    <xdr:clientData/>
  </xdr:oneCellAnchor>
  <xdr:oneCellAnchor>
    <xdr:from>
      <xdr:col>11</xdr:col>
      <xdr:colOff>491372</xdr:colOff>
      <xdr:row>795</xdr:row>
      <xdr:rowOff>0</xdr:rowOff>
    </xdr:from>
    <xdr:ext cx="288669" cy="342786"/>
    <xdr:sp macro="" textlink="">
      <xdr:nvSpPr>
        <xdr:cNvPr id="92" name="TextBox 91">
          <a:extLst>
            <a:ext uri="{FF2B5EF4-FFF2-40B4-BE49-F238E27FC236}">
              <a16:creationId xmlns:a16="http://schemas.microsoft.com/office/drawing/2014/main" xmlns="" id="{00000000-0008-0000-0000-00005C000000}"/>
            </a:ext>
          </a:extLst>
        </xdr:cNvPr>
        <xdr:cNvSpPr txBox="1"/>
      </xdr:nvSpPr>
      <xdr:spPr>
        <a:xfrm>
          <a:off x="9511547" y="169478325"/>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3</a:t>
          </a:r>
        </a:p>
      </xdr:txBody>
    </xdr:sp>
    <xdr:clientData/>
  </xdr:oneCellAnchor>
  <xdr:oneCellAnchor>
    <xdr:from>
      <xdr:col>14</xdr:col>
      <xdr:colOff>208256</xdr:colOff>
      <xdr:row>795</xdr:row>
      <xdr:rowOff>0</xdr:rowOff>
    </xdr:from>
    <xdr:ext cx="288669" cy="342786"/>
    <xdr:sp macro="" textlink="">
      <xdr:nvSpPr>
        <xdr:cNvPr id="93" name="TextBox 92">
          <a:extLst>
            <a:ext uri="{FF2B5EF4-FFF2-40B4-BE49-F238E27FC236}">
              <a16:creationId xmlns:a16="http://schemas.microsoft.com/office/drawing/2014/main" xmlns="" id="{00000000-0008-0000-0000-00005D000000}"/>
            </a:ext>
          </a:extLst>
        </xdr:cNvPr>
        <xdr:cNvSpPr txBox="1"/>
      </xdr:nvSpPr>
      <xdr:spPr>
        <a:xfrm>
          <a:off x="11057231" y="169478325"/>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4</a:t>
          </a:r>
        </a:p>
      </xdr:txBody>
    </xdr:sp>
    <xdr:clientData/>
  </xdr:oneCellAnchor>
  <xdr:oneCellAnchor>
    <xdr:from>
      <xdr:col>10</xdr:col>
      <xdr:colOff>23463</xdr:colOff>
      <xdr:row>813</xdr:row>
      <xdr:rowOff>43391</xdr:rowOff>
    </xdr:from>
    <xdr:ext cx="288669" cy="342786"/>
    <xdr:sp macro="" textlink="">
      <xdr:nvSpPr>
        <xdr:cNvPr id="94" name="TextBox 93">
          <a:extLst>
            <a:ext uri="{FF2B5EF4-FFF2-40B4-BE49-F238E27FC236}">
              <a16:creationId xmlns:a16="http://schemas.microsoft.com/office/drawing/2014/main" xmlns="" id="{00000000-0008-0000-0000-00005E000000}"/>
            </a:ext>
          </a:extLst>
        </xdr:cNvPr>
        <xdr:cNvSpPr txBox="1"/>
      </xdr:nvSpPr>
      <xdr:spPr>
        <a:xfrm>
          <a:off x="8548338" y="179684891"/>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5</a:t>
          </a:r>
        </a:p>
      </xdr:txBody>
    </xdr:sp>
    <xdr:clientData/>
  </xdr:oneCellAnchor>
  <xdr:oneCellAnchor>
    <xdr:from>
      <xdr:col>12</xdr:col>
      <xdr:colOff>53631</xdr:colOff>
      <xdr:row>805</xdr:row>
      <xdr:rowOff>24341</xdr:rowOff>
    </xdr:from>
    <xdr:ext cx="288669" cy="342786"/>
    <xdr:sp macro="" textlink="">
      <xdr:nvSpPr>
        <xdr:cNvPr id="96" name="TextBox 95">
          <a:extLst>
            <a:ext uri="{FF2B5EF4-FFF2-40B4-BE49-F238E27FC236}">
              <a16:creationId xmlns:a16="http://schemas.microsoft.com/office/drawing/2014/main" xmlns="" id="{00000000-0008-0000-0000-000060000000}"/>
            </a:ext>
          </a:extLst>
        </xdr:cNvPr>
        <xdr:cNvSpPr txBox="1"/>
      </xdr:nvSpPr>
      <xdr:spPr>
        <a:xfrm>
          <a:off x="9683406" y="171493391"/>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7</a:t>
          </a:r>
        </a:p>
      </xdr:txBody>
    </xdr:sp>
    <xdr:clientData/>
  </xdr:oneCellAnchor>
  <xdr:oneCellAnchor>
    <xdr:from>
      <xdr:col>8</xdr:col>
      <xdr:colOff>0</xdr:colOff>
      <xdr:row>815</xdr:row>
      <xdr:rowOff>39157</xdr:rowOff>
    </xdr:from>
    <xdr:ext cx="288669" cy="342786"/>
    <xdr:sp macro="" textlink="">
      <xdr:nvSpPr>
        <xdr:cNvPr id="97" name="TextBox 96">
          <a:extLst>
            <a:ext uri="{FF2B5EF4-FFF2-40B4-BE49-F238E27FC236}">
              <a16:creationId xmlns:a16="http://schemas.microsoft.com/office/drawing/2014/main" xmlns="" id="{00000000-0008-0000-0000-000061000000}"/>
            </a:ext>
          </a:extLst>
        </xdr:cNvPr>
        <xdr:cNvSpPr txBox="1"/>
      </xdr:nvSpPr>
      <xdr:spPr>
        <a:xfrm>
          <a:off x="6391275" y="173508457"/>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8</a:t>
          </a:r>
        </a:p>
      </xdr:txBody>
    </xdr:sp>
    <xdr:clientData/>
  </xdr:oneCellAnchor>
  <xdr:oneCellAnchor>
    <xdr:from>
      <xdr:col>10</xdr:col>
      <xdr:colOff>62405</xdr:colOff>
      <xdr:row>815</xdr:row>
      <xdr:rowOff>39157</xdr:rowOff>
    </xdr:from>
    <xdr:ext cx="288669" cy="342786"/>
    <xdr:sp macro="" textlink="">
      <xdr:nvSpPr>
        <xdr:cNvPr id="98" name="TextBox 97">
          <a:extLst>
            <a:ext uri="{FF2B5EF4-FFF2-40B4-BE49-F238E27FC236}">
              <a16:creationId xmlns:a16="http://schemas.microsoft.com/office/drawing/2014/main" xmlns="" id="{00000000-0008-0000-0000-000062000000}"/>
            </a:ext>
          </a:extLst>
        </xdr:cNvPr>
        <xdr:cNvSpPr txBox="1"/>
      </xdr:nvSpPr>
      <xdr:spPr>
        <a:xfrm>
          <a:off x="8472980" y="173508457"/>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9</a:t>
          </a:r>
        </a:p>
      </xdr:txBody>
    </xdr:sp>
    <xdr:clientData/>
  </xdr:oneCellAnchor>
  <xdr:oneCellAnchor>
    <xdr:from>
      <xdr:col>9</xdr:col>
      <xdr:colOff>85725</xdr:colOff>
      <xdr:row>823</xdr:row>
      <xdr:rowOff>50598</xdr:rowOff>
    </xdr:from>
    <xdr:ext cx="392672" cy="342786"/>
    <xdr:sp macro="" textlink="">
      <xdr:nvSpPr>
        <xdr:cNvPr id="100" name="TextBox 99">
          <a:extLst>
            <a:ext uri="{FF2B5EF4-FFF2-40B4-BE49-F238E27FC236}">
              <a16:creationId xmlns:a16="http://schemas.microsoft.com/office/drawing/2014/main" xmlns="" id="{00000000-0008-0000-0000-000064000000}"/>
            </a:ext>
          </a:extLst>
        </xdr:cNvPr>
        <xdr:cNvSpPr txBox="1"/>
      </xdr:nvSpPr>
      <xdr:spPr>
        <a:xfrm>
          <a:off x="7839075" y="175120098"/>
          <a:ext cx="39267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12</a:t>
          </a:r>
        </a:p>
      </xdr:txBody>
    </xdr:sp>
    <xdr:clientData/>
  </xdr:oneCellAnchor>
  <xdr:twoCellAnchor>
    <xdr:from>
      <xdr:col>8</xdr:col>
      <xdr:colOff>1257300</xdr:colOff>
      <xdr:row>842</xdr:row>
      <xdr:rowOff>190500</xdr:rowOff>
    </xdr:from>
    <xdr:to>
      <xdr:col>10</xdr:col>
      <xdr:colOff>180975</xdr:colOff>
      <xdr:row>844</xdr:row>
      <xdr:rowOff>170754</xdr:rowOff>
    </xdr:to>
    <xdr:sp macro="" textlink="">
      <xdr:nvSpPr>
        <xdr:cNvPr id="14" name="TextBox 7">
          <a:extLst>
            <a:ext uri="{FF2B5EF4-FFF2-40B4-BE49-F238E27FC236}">
              <a16:creationId xmlns:a16="http://schemas.microsoft.com/office/drawing/2014/main" xmlns="" id="{00000000-0008-0000-0000-00000E000000}"/>
            </a:ext>
          </a:extLst>
        </xdr:cNvPr>
        <xdr:cNvSpPr txBox="1"/>
      </xdr:nvSpPr>
      <xdr:spPr>
        <a:xfrm>
          <a:off x="7734300" y="182651400"/>
          <a:ext cx="942975" cy="370779"/>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Tower 1</a:t>
          </a:r>
        </a:p>
      </xdr:txBody>
    </xdr:sp>
    <xdr:clientData/>
  </xdr:twoCellAnchor>
  <xdr:oneCellAnchor>
    <xdr:from>
      <xdr:col>9</xdr:col>
      <xdr:colOff>44738</xdr:colOff>
      <xdr:row>847</xdr:row>
      <xdr:rowOff>76200</xdr:rowOff>
    </xdr:from>
    <xdr:ext cx="288669" cy="342786"/>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7883813" y="183527700"/>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2</a:t>
          </a:r>
        </a:p>
      </xdr:txBody>
    </xdr:sp>
    <xdr:clientData/>
  </xdr:oneCellAnchor>
  <xdr:oneCellAnchor>
    <xdr:from>
      <xdr:col>11</xdr:col>
      <xdr:colOff>491372</xdr:colOff>
      <xdr:row>840</xdr:row>
      <xdr:rowOff>0</xdr:rowOff>
    </xdr:from>
    <xdr:ext cx="288669" cy="342786"/>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9597272" y="182060850"/>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3</a:t>
          </a:r>
        </a:p>
      </xdr:txBody>
    </xdr:sp>
    <xdr:clientData/>
  </xdr:oneCellAnchor>
  <xdr:oneCellAnchor>
    <xdr:from>
      <xdr:col>14</xdr:col>
      <xdr:colOff>208256</xdr:colOff>
      <xdr:row>840</xdr:row>
      <xdr:rowOff>0</xdr:rowOff>
    </xdr:from>
    <xdr:ext cx="288669" cy="342786"/>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11142956" y="182060850"/>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4</a:t>
          </a:r>
        </a:p>
      </xdr:txBody>
    </xdr:sp>
    <xdr:clientData/>
  </xdr:oneCellAnchor>
  <xdr:oneCellAnchor>
    <xdr:from>
      <xdr:col>10</xdr:col>
      <xdr:colOff>23463</xdr:colOff>
      <xdr:row>858</xdr:row>
      <xdr:rowOff>43391</xdr:rowOff>
    </xdr:from>
    <xdr:ext cx="288669" cy="342786"/>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8519763" y="185695166"/>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5</a:t>
          </a:r>
        </a:p>
      </xdr:txBody>
    </xdr:sp>
    <xdr:clientData/>
  </xdr:oneCellAnchor>
  <xdr:oneCellAnchor>
    <xdr:from>
      <xdr:col>12</xdr:col>
      <xdr:colOff>53631</xdr:colOff>
      <xdr:row>850</xdr:row>
      <xdr:rowOff>24341</xdr:rowOff>
    </xdr:from>
    <xdr:ext cx="288669" cy="342786"/>
    <xdr:sp macro="" textlink="">
      <xdr:nvSpPr>
        <xdr:cNvPr id="19" name="TextBox 18">
          <a:extLst>
            <a:ext uri="{FF2B5EF4-FFF2-40B4-BE49-F238E27FC236}">
              <a16:creationId xmlns:a16="http://schemas.microsoft.com/office/drawing/2014/main" xmlns="" id="{00000000-0008-0000-0000-000013000000}"/>
            </a:ext>
          </a:extLst>
        </xdr:cNvPr>
        <xdr:cNvSpPr txBox="1"/>
      </xdr:nvSpPr>
      <xdr:spPr>
        <a:xfrm>
          <a:off x="9769131" y="184075916"/>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7</a:t>
          </a:r>
        </a:p>
      </xdr:txBody>
    </xdr:sp>
    <xdr:clientData/>
  </xdr:oneCellAnchor>
  <xdr:oneCellAnchor>
    <xdr:from>
      <xdr:col>8</xdr:col>
      <xdr:colOff>0</xdr:colOff>
      <xdr:row>860</xdr:row>
      <xdr:rowOff>39157</xdr:rowOff>
    </xdr:from>
    <xdr:ext cx="288669" cy="342786"/>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6477000" y="186090982"/>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8</a:t>
          </a:r>
        </a:p>
      </xdr:txBody>
    </xdr:sp>
    <xdr:clientData/>
  </xdr:oneCellAnchor>
  <xdr:oneCellAnchor>
    <xdr:from>
      <xdr:col>10</xdr:col>
      <xdr:colOff>62405</xdr:colOff>
      <xdr:row>860</xdr:row>
      <xdr:rowOff>39157</xdr:rowOff>
    </xdr:from>
    <xdr:ext cx="288669" cy="342786"/>
    <xdr:sp macro="" textlink="">
      <xdr:nvSpPr>
        <xdr:cNvPr id="21" name="TextBox 20">
          <a:extLst>
            <a:ext uri="{FF2B5EF4-FFF2-40B4-BE49-F238E27FC236}">
              <a16:creationId xmlns:a16="http://schemas.microsoft.com/office/drawing/2014/main" xmlns="" id="{00000000-0008-0000-0000-000015000000}"/>
            </a:ext>
          </a:extLst>
        </xdr:cNvPr>
        <xdr:cNvSpPr txBox="1"/>
      </xdr:nvSpPr>
      <xdr:spPr>
        <a:xfrm>
          <a:off x="8558705" y="186090982"/>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9</a:t>
          </a:r>
        </a:p>
      </xdr:txBody>
    </xdr:sp>
    <xdr:clientData/>
  </xdr:oneCellAnchor>
  <xdr:oneCellAnchor>
    <xdr:from>
      <xdr:col>9</xdr:col>
      <xdr:colOff>85725</xdr:colOff>
      <xdr:row>868</xdr:row>
      <xdr:rowOff>50598</xdr:rowOff>
    </xdr:from>
    <xdr:ext cx="392672" cy="342786"/>
    <xdr:sp macro="" textlink="">
      <xdr:nvSpPr>
        <xdr:cNvPr id="22" name="TextBox 21">
          <a:extLst>
            <a:ext uri="{FF2B5EF4-FFF2-40B4-BE49-F238E27FC236}">
              <a16:creationId xmlns:a16="http://schemas.microsoft.com/office/drawing/2014/main" xmlns="" id="{00000000-0008-0000-0000-000016000000}"/>
            </a:ext>
          </a:extLst>
        </xdr:cNvPr>
        <xdr:cNvSpPr txBox="1"/>
      </xdr:nvSpPr>
      <xdr:spPr>
        <a:xfrm>
          <a:off x="7924800" y="187702623"/>
          <a:ext cx="39267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12</a:t>
          </a:r>
        </a:p>
      </xdr:txBody>
    </xdr:sp>
    <xdr:clientData/>
  </xdr:oneCellAnchor>
  <xdr:twoCellAnchor>
    <xdr:from>
      <xdr:col>8</xdr:col>
      <xdr:colOff>419100</xdr:colOff>
      <xdr:row>796</xdr:row>
      <xdr:rowOff>95250</xdr:rowOff>
    </xdr:from>
    <xdr:to>
      <xdr:col>18</xdr:col>
      <xdr:colOff>177448</xdr:colOff>
      <xdr:row>840</xdr:row>
      <xdr:rowOff>0</xdr:rowOff>
    </xdr:to>
    <xdr:grpSp>
      <xdr:nvGrpSpPr>
        <xdr:cNvPr id="5" name="Group 4">
          <a:extLst>
            <a:ext uri="{FF2B5EF4-FFF2-40B4-BE49-F238E27FC236}">
              <a16:creationId xmlns:a16="http://schemas.microsoft.com/office/drawing/2014/main" xmlns="" id="{00000000-0008-0000-0000-000005000000}"/>
            </a:ext>
          </a:extLst>
        </xdr:cNvPr>
        <xdr:cNvGrpSpPr/>
      </xdr:nvGrpSpPr>
      <xdr:grpSpPr>
        <a:xfrm>
          <a:off x="7288306" y="176789603"/>
          <a:ext cx="6627554" cy="8768603"/>
          <a:chOff x="104775" y="172231050"/>
          <a:chExt cx="6654448" cy="8888565"/>
        </a:xfrm>
      </xdr:grpSpPr>
      <xdr:pic>
        <xdr:nvPicPr>
          <xdr:cNvPr id="36" name="Picture 35" descr="insp-207036-844.jpg (959×1280)">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4775" y="1722310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insp-207036-860.jpg (959×1280)">
            <a:extLst>
              <a:ext uri="{FF2B5EF4-FFF2-40B4-BE49-F238E27FC236}">
                <a16:creationId xmlns:a16="http://schemas.microsoft.com/office/drawing/2014/main" xmlns="" id="{00000000-0008-0000-0000-000031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4601473" y="178239615"/>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insp-207036-871.jpg (959×1280)">
            <a:extLst>
              <a:ext uri="{FF2B5EF4-FFF2-40B4-BE49-F238E27FC236}">
                <a16:creationId xmlns:a16="http://schemas.microsoft.com/office/drawing/2014/main" xmlns="" id="{00000000-0008-0000-0000-000032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353124" y="178236248"/>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insp-207036-877.jpg (959×1280)">
            <a:extLst>
              <a:ext uri="{FF2B5EF4-FFF2-40B4-BE49-F238E27FC236}">
                <a16:creationId xmlns:a16="http://schemas.microsoft.com/office/drawing/2014/main" xmlns="" id="{00000000-0008-0000-0000-000033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353124" y="175233649"/>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insp-207036-940.jpg (959×1280)">
            <a:extLst>
              <a:ext uri="{FF2B5EF4-FFF2-40B4-BE49-F238E27FC236}">
                <a16:creationId xmlns:a16="http://schemas.microsoft.com/office/drawing/2014/main" xmlns="" id="{00000000-0008-0000-0000-000034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4775" y="175233649"/>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insp-207036-1022.jpg (959×1280)">
            <a:extLst>
              <a:ext uri="{FF2B5EF4-FFF2-40B4-BE49-F238E27FC236}">
                <a16:creationId xmlns:a16="http://schemas.microsoft.com/office/drawing/2014/main" xmlns="" id="{00000000-0008-0000-0000-00003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601473" y="1722310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insp-207036-880.jpg (959×1280)">
            <a:extLst>
              <a:ext uri="{FF2B5EF4-FFF2-40B4-BE49-F238E27FC236}">
                <a16:creationId xmlns:a16="http://schemas.microsoft.com/office/drawing/2014/main" xmlns="" id="{00000000-0008-0000-0000-000036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4775" y="178236248"/>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insp-207036-883.jpg (959×1280)">
            <a:extLst>
              <a:ext uri="{FF2B5EF4-FFF2-40B4-BE49-F238E27FC236}">
                <a16:creationId xmlns:a16="http://schemas.microsoft.com/office/drawing/2014/main" xmlns="" id="{00000000-0008-0000-0000-000037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4601473" y="175233649"/>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insp-207036-925.jpg (959×1280)">
            <a:extLst>
              <a:ext uri="{FF2B5EF4-FFF2-40B4-BE49-F238E27FC236}">
                <a16:creationId xmlns:a16="http://schemas.microsoft.com/office/drawing/2014/main" xmlns="" id="{00000000-0008-0000-0000-000038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353124" y="1722310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208989</xdr:colOff>
      <xdr:row>842</xdr:row>
      <xdr:rowOff>87967</xdr:rowOff>
    </xdr:from>
    <xdr:to>
      <xdr:col>18</xdr:col>
      <xdr:colOff>38402</xdr:colOff>
      <xdr:row>871</xdr:row>
      <xdr:rowOff>186849</xdr:rowOff>
    </xdr:to>
    <xdr:grpSp>
      <xdr:nvGrpSpPr>
        <xdr:cNvPr id="6" name="Group 5">
          <a:extLst>
            <a:ext uri="{FF2B5EF4-FFF2-40B4-BE49-F238E27FC236}">
              <a16:creationId xmlns:a16="http://schemas.microsoft.com/office/drawing/2014/main" xmlns="" id="{00000000-0008-0000-0000-000006000000}"/>
            </a:ext>
          </a:extLst>
        </xdr:cNvPr>
        <xdr:cNvGrpSpPr/>
      </xdr:nvGrpSpPr>
      <xdr:grpSpPr>
        <a:xfrm>
          <a:off x="7078195" y="186049585"/>
          <a:ext cx="6698619" cy="5937146"/>
          <a:chOff x="85725" y="181622700"/>
          <a:chExt cx="6682370" cy="5890082"/>
        </a:xfrm>
      </xdr:grpSpPr>
      <xdr:pic>
        <xdr:nvPicPr>
          <xdr:cNvPr id="62" name="Picture 61" descr="insp-207036-1525.jpg (959×1280)">
            <a:extLst>
              <a:ext uri="{FF2B5EF4-FFF2-40B4-BE49-F238E27FC236}">
                <a16:creationId xmlns:a16="http://schemas.microsoft.com/office/drawing/2014/main" xmlns="" id="{00000000-0008-0000-0000-00003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568046" y="184632782"/>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insp-207036-843.jpg (959×1280)">
            <a:extLst>
              <a:ext uri="{FF2B5EF4-FFF2-40B4-BE49-F238E27FC236}">
                <a16:creationId xmlns:a16="http://schemas.microsoft.com/office/drawing/2014/main" xmlns="" id="{00000000-0008-0000-0000-00003F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4610345" y="1816227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insp-207036-845.jpg (963×1280)">
            <a:extLst>
              <a:ext uri="{FF2B5EF4-FFF2-40B4-BE49-F238E27FC236}">
                <a16:creationId xmlns:a16="http://schemas.microsoft.com/office/drawing/2014/main" xmlns="" id="{00000000-0008-0000-0000-000040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282948" y="184632782"/>
            <a:ext cx="2166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insp-207036-861.jpg (959×1280)">
            <a:extLst>
              <a:ext uri="{FF2B5EF4-FFF2-40B4-BE49-F238E27FC236}">
                <a16:creationId xmlns:a16="http://schemas.microsoft.com/office/drawing/2014/main" xmlns="" id="{00000000-0008-0000-0000-000041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348035" y="1816227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insp-207036-862.jpg (959×1280)">
            <a:extLst>
              <a:ext uri="{FF2B5EF4-FFF2-40B4-BE49-F238E27FC236}">
                <a16:creationId xmlns:a16="http://schemas.microsoft.com/office/drawing/2014/main" xmlns="" id="{00000000-0008-0000-0000-000043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5725" y="18162270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365125</xdr:colOff>
      <xdr:row>796</xdr:row>
      <xdr:rowOff>47625</xdr:rowOff>
    </xdr:from>
    <xdr:to>
      <xdr:col>17</xdr:col>
      <xdr:colOff>166034</xdr:colOff>
      <xdr:row>838</xdr:row>
      <xdr:rowOff>114875</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7234331" y="176741978"/>
          <a:ext cx="6064997" cy="8527691"/>
          <a:chOff x="355600" y="176720500"/>
          <a:chExt cx="6357284" cy="8328600"/>
        </a:xfrm>
      </xdr:grpSpPr>
      <xdr:pic>
        <xdr:nvPicPr>
          <xdr:cNvPr id="57" name="Picture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55601" y="176720500"/>
            <a:ext cx="2022891" cy="2700000"/>
          </a:xfrm>
          <a:prstGeom prst="rect">
            <a:avLst/>
          </a:prstGeom>
          <a:ln>
            <a:solidFill>
              <a:schemeClr val="tx1"/>
            </a:solidFill>
          </a:ln>
        </xdr:spPr>
      </xdr:pic>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522797" y="176720500"/>
            <a:ext cx="2022891" cy="2700000"/>
          </a:xfrm>
          <a:prstGeom prst="rect">
            <a:avLst/>
          </a:prstGeom>
          <a:ln>
            <a:solidFill>
              <a:schemeClr val="tx1"/>
            </a:solidFill>
          </a:ln>
        </xdr:spPr>
      </xdr:pic>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689993" y="176720500"/>
            <a:ext cx="2022891" cy="2700000"/>
          </a:xfrm>
          <a:prstGeom prst="rect">
            <a:avLst/>
          </a:prstGeom>
          <a:ln>
            <a:solidFill>
              <a:schemeClr val="tx1"/>
            </a:solidFill>
          </a:ln>
        </xdr:spPr>
      </xdr:pic>
      <xdr:pic>
        <xdr:nvPicPr>
          <xdr:cNvPr id="60" name="Picture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5601" y="179534800"/>
            <a:ext cx="2022891" cy="2700000"/>
          </a:xfrm>
          <a:prstGeom prst="rect">
            <a:avLst/>
          </a:prstGeom>
          <a:ln>
            <a:solidFill>
              <a:schemeClr val="tx1"/>
            </a:solidFill>
          </a:ln>
        </xdr:spPr>
      </xdr:pic>
      <xdr:pic>
        <xdr:nvPicPr>
          <xdr:cNvPr id="61" name="Picture 60">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522797" y="179534800"/>
            <a:ext cx="2022891" cy="2700000"/>
          </a:xfrm>
          <a:prstGeom prst="rect">
            <a:avLst/>
          </a:prstGeom>
          <a:ln>
            <a:solidFill>
              <a:schemeClr val="tx1"/>
            </a:solidFill>
          </a:ln>
        </xdr:spPr>
      </xdr:pic>
      <xdr:pic>
        <xdr:nvPicPr>
          <xdr:cNvPr id="68" name="Picture 6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55600" y="182349100"/>
            <a:ext cx="2022891" cy="2700000"/>
          </a:xfrm>
          <a:prstGeom prst="rect">
            <a:avLst/>
          </a:prstGeom>
          <a:ln>
            <a:solidFill>
              <a:schemeClr val="tx1"/>
            </a:solidFill>
          </a:ln>
        </xdr:spPr>
      </xdr:pic>
      <xdr:pic>
        <xdr:nvPicPr>
          <xdr:cNvPr id="69" name="Picture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553637" y="182349100"/>
            <a:ext cx="2022891" cy="2700000"/>
          </a:xfrm>
          <a:prstGeom prst="rect">
            <a:avLst/>
          </a:prstGeom>
          <a:ln>
            <a:solidFill>
              <a:schemeClr val="tx1"/>
            </a:solidFill>
          </a:ln>
        </xdr:spPr>
      </xdr:pic>
      <xdr:pic>
        <xdr:nvPicPr>
          <xdr:cNvPr id="70" name="Picture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4689991" y="182349100"/>
            <a:ext cx="2022891" cy="2700000"/>
          </a:xfrm>
          <a:prstGeom prst="rect">
            <a:avLst/>
          </a:prstGeom>
          <a:ln>
            <a:solidFill>
              <a:schemeClr val="tx1"/>
            </a:solidFill>
          </a:ln>
        </xdr:spPr>
      </xdr:pic>
      <xdr:pic>
        <xdr:nvPicPr>
          <xdr:cNvPr id="71" name="Picture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689992" y="179534800"/>
            <a:ext cx="2022891" cy="2700000"/>
          </a:xfrm>
          <a:prstGeom prst="rect">
            <a:avLst/>
          </a:prstGeom>
          <a:ln>
            <a:solidFill>
              <a:schemeClr val="tx1"/>
            </a:solidFill>
          </a:ln>
        </xdr:spPr>
      </xdr:pic>
    </xdr:grpSp>
    <xdr:clientData/>
  </xdr:twoCellAnchor>
  <xdr:twoCellAnchor>
    <xdr:from>
      <xdr:col>8</xdr:col>
      <xdr:colOff>314325</xdr:colOff>
      <xdr:row>842</xdr:row>
      <xdr:rowOff>184150</xdr:rowOff>
    </xdr:from>
    <xdr:to>
      <xdr:col>17</xdr:col>
      <xdr:colOff>135067</xdr:colOff>
      <xdr:row>868</xdr:row>
      <xdr:rowOff>74025</xdr:rowOff>
    </xdr:to>
    <xdr:grpSp>
      <xdr:nvGrpSpPr>
        <xdr:cNvPr id="8" name="Group 7">
          <a:extLst>
            <a:ext uri="{FF2B5EF4-FFF2-40B4-BE49-F238E27FC236}">
              <a16:creationId xmlns:a16="http://schemas.microsoft.com/office/drawing/2014/main" xmlns="" id="{00000000-0008-0000-0000-000008000000}"/>
            </a:ext>
          </a:extLst>
        </xdr:cNvPr>
        <xdr:cNvGrpSpPr/>
      </xdr:nvGrpSpPr>
      <xdr:grpSpPr>
        <a:xfrm>
          <a:off x="7183531" y="186145768"/>
          <a:ext cx="6084830" cy="5123022"/>
          <a:chOff x="342900" y="185724800"/>
          <a:chExt cx="6377117" cy="5004800"/>
        </a:xfrm>
      </xdr:grpSpPr>
      <xdr:pic>
        <xdr:nvPicPr>
          <xdr:cNvPr id="72" name="Picture 71">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977213" y="188569600"/>
            <a:ext cx="2877333" cy="2160000"/>
          </a:xfrm>
          <a:prstGeom prst="rect">
            <a:avLst/>
          </a:prstGeom>
          <a:ln>
            <a:solidFill>
              <a:schemeClr val="tx1"/>
            </a:solidFill>
          </a:ln>
        </xdr:spPr>
      </xdr:pic>
      <xdr:pic>
        <xdr:nvPicPr>
          <xdr:cNvPr id="73" name="Picture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42900" y="185724800"/>
            <a:ext cx="2022891" cy="2700000"/>
          </a:xfrm>
          <a:prstGeom prst="rect">
            <a:avLst/>
          </a:prstGeom>
          <a:ln>
            <a:solidFill>
              <a:schemeClr val="tx1"/>
            </a:solidFill>
          </a:ln>
        </xdr:spPr>
      </xdr:pic>
      <xdr:pic>
        <xdr:nvPicPr>
          <xdr:cNvPr id="74" name="Picture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520013" y="185724800"/>
            <a:ext cx="2022891" cy="2700000"/>
          </a:xfrm>
          <a:prstGeom prst="rect">
            <a:avLst/>
          </a:prstGeom>
          <a:ln>
            <a:solidFill>
              <a:schemeClr val="tx1"/>
            </a:solidFill>
          </a:ln>
        </xdr:spPr>
      </xdr:pic>
      <xdr:pic>
        <xdr:nvPicPr>
          <xdr:cNvPr id="75" name="Picture 74">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219199" y="188569600"/>
            <a:ext cx="1625063" cy="2160000"/>
          </a:xfrm>
          <a:prstGeom prst="rect">
            <a:avLst/>
          </a:prstGeom>
          <a:ln>
            <a:solidFill>
              <a:schemeClr val="tx1"/>
            </a:solidFill>
          </a:ln>
        </xdr:spPr>
      </xdr:pic>
      <xdr:pic>
        <xdr:nvPicPr>
          <xdr:cNvPr id="76" name="Picture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697126" y="185724800"/>
            <a:ext cx="2022891" cy="2700000"/>
          </a:xfrm>
          <a:prstGeom prst="rect">
            <a:avLst/>
          </a:prstGeom>
          <a:ln>
            <a:solidFill>
              <a:schemeClr val="tx1"/>
            </a:solidFill>
          </a:ln>
        </xdr:spPr>
      </xdr:pic>
    </xdr:grpSp>
    <xdr:clientData/>
  </xdr:twoCellAnchor>
  <xdr:twoCellAnchor>
    <xdr:from>
      <xdr:col>0</xdr:col>
      <xdr:colOff>295275</xdr:colOff>
      <xdr:row>841</xdr:row>
      <xdr:rowOff>104775</xdr:rowOff>
    </xdr:from>
    <xdr:to>
      <xdr:col>7</xdr:col>
      <xdr:colOff>1059658</xdr:colOff>
      <xdr:row>866</xdr:row>
      <xdr:rowOff>47025</xdr:rowOff>
    </xdr:to>
    <xdr:grpSp>
      <xdr:nvGrpSpPr>
        <xdr:cNvPr id="87" name="Group 86">
          <a:extLst>
            <a:ext uri="{FF2B5EF4-FFF2-40B4-BE49-F238E27FC236}">
              <a16:creationId xmlns:a16="http://schemas.microsoft.com/office/drawing/2014/main" xmlns="" id="{00000000-0008-0000-0000-000057000000}"/>
            </a:ext>
          </a:extLst>
        </xdr:cNvPr>
        <xdr:cNvGrpSpPr/>
      </xdr:nvGrpSpPr>
      <xdr:grpSpPr>
        <a:xfrm>
          <a:off x="295275" y="185864687"/>
          <a:ext cx="6333707" cy="4973691"/>
          <a:chOff x="270271" y="495300"/>
          <a:chExt cx="6317458" cy="4933350"/>
        </a:xfrm>
      </xdr:grpSpPr>
      <xdr:pic>
        <xdr:nvPicPr>
          <xdr:cNvPr id="88" name="Picture 87">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270271" y="495300"/>
            <a:ext cx="2022890" cy="2700000"/>
          </a:xfrm>
          <a:prstGeom prst="rect">
            <a:avLst/>
          </a:prstGeom>
          <a:ln>
            <a:solidFill>
              <a:schemeClr val="tx1"/>
            </a:solidFill>
          </a:ln>
        </xdr:spPr>
      </xdr:pic>
      <xdr:pic>
        <xdr:nvPicPr>
          <xdr:cNvPr id="89" name="Picture 88">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417554" y="495300"/>
            <a:ext cx="2022891" cy="2700000"/>
          </a:xfrm>
          <a:prstGeom prst="rect">
            <a:avLst/>
          </a:prstGeom>
          <a:ln>
            <a:solidFill>
              <a:schemeClr val="tx1"/>
            </a:solidFill>
          </a:ln>
        </xdr:spPr>
      </xdr:pic>
      <xdr:pic>
        <xdr:nvPicPr>
          <xdr:cNvPr id="95" name="Picture 94">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564838" y="495300"/>
            <a:ext cx="2022891" cy="2700000"/>
          </a:xfrm>
          <a:prstGeom prst="rect">
            <a:avLst/>
          </a:prstGeom>
          <a:ln>
            <a:solidFill>
              <a:schemeClr val="tx1"/>
            </a:solidFill>
          </a:ln>
        </xdr:spPr>
      </xdr:pic>
      <xdr:pic>
        <xdr:nvPicPr>
          <xdr:cNvPr id="99" name="Picture 98">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787033" y="3448650"/>
            <a:ext cx="1489641" cy="1980000"/>
          </a:xfrm>
          <a:prstGeom prst="rect">
            <a:avLst/>
          </a:prstGeom>
          <a:ln>
            <a:solidFill>
              <a:schemeClr val="tx1"/>
            </a:solidFill>
          </a:ln>
        </xdr:spPr>
      </xdr:pic>
      <xdr:pic>
        <xdr:nvPicPr>
          <xdr:cNvPr id="101" name="Picture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35" cstate="screen">
            <a:extLst>
              <a:ext uri="{28A0092B-C50C-407E-A947-70E740481C1C}">
                <a14:useLocalDpi xmlns:a14="http://schemas.microsoft.com/office/drawing/2010/main"/>
              </a:ext>
            </a:extLst>
          </a:blip>
          <a:srcRect/>
          <a:stretch/>
        </xdr:blipFill>
        <xdr:spPr>
          <a:xfrm>
            <a:off x="3428999" y="3448650"/>
            <a:ext cx="1483453" cy="1980000"/>
          </a:xfrm>
          <a:prstGeom prst="rect">
            <a:avLst/>
          </a:prstGeom>
          <a:ln>
            <a:solidFill>
              <a:schemeClr val="tx1"/>
            </a:solidFill>
          </a:ln>
        </xdr:spPr>
      </xdr:pic>
    </xdr:grpSp>
    <xdr:clientData/>
  </xdr:twoCellAnchor>
  <xdr:twoCellAnchor>
    <xdr:from>
      <xdr:col>0</xdr:col>
      <xdr:colOff>142875</xdr:colOff>
      <xdr:row>796</xdr:row>
      <xdr:rowOff>66675</xdr:rowOff>
    </xdr:from>
    <xdr:to>
      <xdr:col>7</xdr:col>
      <xdr:colOff>1190624</xdr:colOff>
      <xdr:row>839</xdr:row>
      <xdr:rowOff>76201</xdr:rowOff>
    </xdr:to>
    <xdr:grpSp>
      <xdr:nvGrpSpPr>
        <xdr:cNvPr id="102" name="Group 101">
          <a:extLst>
            <a:ext uri="{FF2B5EF4-FFF2-40B4-BE49-F238E27FC236}">
              <a16:creationId xmlns:a16="http://schemas.microsoft.com/office/drawing/2014/main" xmlns="" id="{00000000-0008-0000-0000-000066000000}"/>
            </a:ext>
          </a:extLst>
        </xdr:cNvPr>
        <xdr:cNvGrpSpPr/>
      </xdr:nvGrpSpPr>
      <xdr:grpSpPr>
        <a:xfrm>
          <a:off x="142875" y="176761028"/>
          <a:ext cx="6617073" cy="8671673"/>
          <a:chOff x="128587" y="271463"/>
          <a:chExt cx="6600824" cy="8601076"/>
        </a:xfrm>
      </xdr:grpSpPr>
      <xdr:pic>
        <xdr:nvPicPr>
          <xdr:cNvPr id="103" name="Picture 102">
            <a:extLst>
              <a:ext uri="{FF2B5EF4-FFF2-40B4-BE49-F238E27FC236}">
                <a16:creationId xmlns:a16="http://schemas.microsoft.com/office/drawing/2014/main" xmlns="" id="{00000000-0008-0000-0000-000067000000}"/>
              </a:ext>
            </a:extLst>
          </xdr:cNvPr>
          <xdr:cNvPicPr>
            <a:picLocks noChangeAspect="1"/>
          </xdr:cNvPicPr>
        </xdr:nvPicPr>
        <xdr:blipFill rotWithShape="1">
          <a:blip xmlns:r="http://schemas.openxmlformats.org/officeDocument/2006/relationships" r:embed="rId36" cstate="screen">
            <a:extLst>
              <a:ext uri="{28A0092B-C50C-407E-A947-70E740481C1C}">
                <a14:useLocalDpi xmlns:a14="http://schemas.microsoft.com/office/drawing/2010/main"/>
              </a:ext>
            </a:extLst>
          </a:blip>
          <a:srcRect/>
          <a:stretch/>
        </xdr:blipFill>
        <xdr:spPr>
          <a:xfrm>
            <a:off x="128587" y="271463"/>
            <a:ext cx="2103750" cy="2777992"/>
          </a:xfrm>
          <a:prstGeom prst="rect">
            <a:avLst/>
          </a:prstGeom>
          <a:ln>
            <a:solidFill>
              <a:schemeClr val="tx1"/>
            </a:solidFill>
          </a:ln>
        </xdr:spPr>
      </xdr:pic>
      <xdr:pic>
        <xdr:nvPicPr>
          <xdr:cNvPr id="104" name="Picture 103">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2377124" y="271463"/>
            <a:ext cx="2103750" cy="2777994"/>
          </a:xfrm>
          <a:prstGeom prst="rect">
            <a:avLst/>
          </a:prstGeom>
          <a:ln>
            <a:solidFill>
              <a:schemeClr val="tx1"/>
            </a:solidFill>
          </a:ln>
        </xdr:spPr>
      </xdr:pic>
      <xdr:pic>
        <xdr:nvPicPr>
          <xdr:cNvPr id="105" name="Picture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4625661" y="271463"/>
            <a:ext cx="2103750" cy="2777994"/>
          </a:xfrm>
          <a:prstGeom prst="rect">
            <a:avLst/>
          </a:prstGeom>
          <a:ln>
            <a:solidFill>
              <a:schemeClr val="tx1"/>
            </a:solidFill>
          </a:ln>
        </xdr:spPr>
      </xdr:pic>
      <xdr:pic>
        <xdr:nvPicPr>
          <xdr:cNvPr id="106" name="Picture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28588" y="3183004"/>
            <a:ext cx="2103749" cy="2777994"/>
          </a:xfrm>
          <a:prstGeom prst="rect">
            <a:avLst/>
          </a:prstGeom>
          <a:ln>
            <a:solidFill>
              <a:schemeClr val="tx1"/>
            </a:solidFill>
          </a:ln>
        </xdr:spPr>
      </xdr:pic>
      <xdr:pic>
        <xdr:nvPicPr>
          <xdr:cNvPr id="107" name="Picture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2377124" y="3183004"/>
            <a:ext cx="2103750" cy="2777994"/>
          </a:xfrm>
          <a:prstGeom prst="rect">
            <a:avLst/>
          </a:prstGeom>
          <a:ln>
            <a:solidFill>
              <a:schemeClr val="tx1"/>
            </a:solidFill>
          </a:ln>
        </xdr:spPr>
      </xdr:pic>
      <xdr:pic>
        <xdr:nvPicPr>
          <xdr:cNvPr id="108" name="Picture 107">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4625661" y="3183004"/>
            <a:ext cx="2103750" cy="2777994"/>
          </a:xfrm>
          <a:prstGeom prst="rect">
            <a:avLst/>
          </a:prstGeom>
          <a:ln>
            <a:solidFill>
              <a:schemeClr val="tx1"/>
            </a:solidFill>
          </a:ln>
        </xdr:spPr>
      </xdr:pic>
      <xdr:pic>
        <xdr:nvPicPr>
          <xdr:cNvPr id="109" name="Picture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28587" y="6094545"/>
            <a:ext cx="2103750" cy="2777994"/>
          </a:xfrm>
          <a:prstGeom prst="rect">
            <a:avLst/>
          </a:prstGeom>
          <a:ln>
            <a:solidFill>
              <a:schemeClr val="tx1"/>
            </a:solidFill>
          </a:ln>
        </xdr:spPr>
      </xdr:pic>
      <xdr:pic>
        <xdr:nvPicPr>
          <xdr:cNvPr id="110" name="Picture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2377124" y="6094545"/>
            <a:ext cx="2103750" cy="2777994"/>
          </a:xfrm>
          <a:prstGeom prst="rect">
            <a:avLst/>
          </a:prstGeom>
          <a:ln>
            <a:solidFill>
              <a:schemeClr val="tx1"/>
            </a:solidFill>
          </a:ln>
        </xdr:spPr>
      </xdr:pic>
      <xdr:pic>
        <xdr:nvPicPr>
          <xdr:cNvPr id="111" name="Picture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4625661" y="6094545"/>
            <a:ext cx="2103750" cy="2777994"/>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7</xdr:col>
          <xdr:colOff>304800</xdr:colOff>
          <xdr:row>5</xdr:row>
          <xdr:rowOff>9525</xdr:rowOff>
        </xdr:to>
        <xdr:sp macro="" textlink="">
          <xdr:nvSpPr>
            <xdr:cNvPr id="4097" name="Object 1" hidden="1">
              <a:extLst>
                <a:ext uri="{63B3BB69-23CF-44E3-9099-C40C66FF867C}">
                  <a14:compatExt spid="_x0000_s4097"/>
                </a:ext>
                <a:ext uri="{FF2B5EF4-FFF2-40B4-BE49-F238E27FC236}">
                  <a16:creationId xmlns:a16="http://schemas.microsoft.com/office/drawing/2014/main" xmlns=""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xdr:colOff>
      <xdr:row>16</xdr:row>
      <xdr:rowOff>0</xdr:rowOff>
    </xdr:from>
    <xdr:to>
      <xdr:col>6</xdr:col>
      <xdr:colOff>750055</xdr:colOff>
      <xdr:row>34</xdr:row>
      <xdr:rowOff>171000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4" y="2675283"/>
          <a:ext cx="6754945" cy="3600000"/>
        </a:xfrm>
        <a:prstGeom prst="rect">
          <a:avLst/>
        </a:prstGeom>
        <a:ln>
          <a:solidFill>
            <a:schemeClr val="tx1"/>
          </a:solidFill>
        </a:ln>
      </xdr:spPr>
    </xdr:pic>
    <xdr:clientData/>
  </xdr:twoCellAnchor>
  <xdr:twoCellAnchor editAs="oneCell">
    <xdr:from>
      <xdr:col>1</xdr:col>
      <xdr:colOff>0</xdr:colOff>
      <xdr:row>35</xdr:row>
      <xdr:rowOff>166852</xdr:rowOff>
    </xdr:from>
    <xdr:to>
      <xdr:col>6</xdr:col>
      <xdr:colOff>750054</xdr:colOff>
      <xdr:row>54</xdr:row>
      <xdr:rowOff>147352</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79783" y="6461635"/>
          <a:ext cx="6754945" cy="3600000"/>
        </a:xfrm>
        <a:prstGeom prst="rect">
          <a:avLst/>
        </a:prstGeom>
        <a:ln>
          <a:solidFill>
            <a:schemeClr val="tx1"/>
          </a:solidFill>
        </a:ln>
      </xdr:spPr>
    </xdr:pic>
    <xdr:clientData/>
  </xdr:twoCellAnchor>
  <xdr:twoCellAnchor editAs="oneCell">
    <xdr:from>
      <xdr:col>6</xdr:col>
      <xdr:colOff>1010478</xdr:colOff>
      <xdr:row>16</xdr:row>
      <xdr:rowOff>16566</xdr:rowOff>
    </xdr:from>
    <xdr:to>
      <xdr:col>17</xdr:col>
      <xdr:colOff>120575</xdr:colOff>
      <xdr:row>34</xdr:row>
      <xdr:rowOff>187566</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95152" y="3072849"/>
          <a:ext cx="6754945" cy="3600000"/>
        </a:xfrm>
        <a:prstGeom prst="rect">
          <a:avLst/>
        </a:prstGeom>
        <a:ln>
          <a:solidFill>
            <a:schemeClr val="tx1"/>
          </a:solidFill>
        </a:ln>
      </xdr:spPr>
    </xdr:pic>
    <xdr:clientData/>
  </xdr:twoCellAnchor>
  <xdr:twoCellAnchor editAs="oneCell">
    <xdr:from>
      <xdr:col>6</xdr:col>
      <xdr:colOff>1067284</xdr:colOff>
      <xdr:row>36</xdr:row>
      <xdr:rowOff>34938</xdr:rowOff>
    </xdr:from>
    <xdr:to>
      <xdr:col>17</xdr:col>
      <xdr:colOff>177381</xdr:colOff>
      <xdr:row>55</xdr:row>
      <xdr:rowOff>15438</xdr:rowOff>
    </xdr:to>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651958" y="6901221"/>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a7aW4jnnZEoCJiSU7?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47.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5"/>
  <sheetViews>
    <sheetView tabSelected="1" showWhiteSpace="0" view="pageBreakPreview" topLeftCell="A782" zoomScale="85" zoomScaleNormal="100" zoomScaleSheetLayoutView="85" workbookViewId="0">
      <selection activeCell="L783" sqref="L783"/>
    </sheetView>
  </sheetViews>
  <sheetFormatPr defaultColWidth="9.140625" defaultRowHeight="15.75" x14ac:dyDescent="0.25"/>
  <cols>
    <col min="1" max="1" width="11.42578125" style="14" customWidth="1"/>
    <col min="2" max="2" width="11.140625" style="14" customWidth="1"/>
    <col min="3" max="3" width="12.7109375" style="14" customWidth="1"/>
    <col min="4" max="4" width="12.85546875" style="14" customWidth="1"/>
    <col min="5" max="7" width="11.7109375" style="14" customWidth="1"/>
    <col min="8" max="8" width="19.42578125" style="14"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75" t="s">
        <v>277</v>
      </c>
      <c r="B1" s="175"/>
      <c r="C1" s="175"/>
      <c r="D1" s="175"/>
      <c r="E1" s="175"/>
      <c r="F1" s="175"/>
      <c r="G1" s="175"/>
      <c r="H1" s="175"/>
    </row>
    <row r="2" spans="1:8" ht="16.5" customHeight="1" x14ac:dyDescent="0.25">
      <c r="A2" s="128" t="s">
        <v>0</v>
      </c>
      <c r="B2" s="128"/>
      <c r="C2" s="128"/>
      <c r="D2" s="128"/>
      <c r="E2" s="128"/>
      <c r="F2" s="128"/>
      <c r="G2" s="128"/>
      <c r="H2" s="128"/>
    </row>
    <row r="3" spans="1:8" x14ac:dyDescent="0.25">
      <c r="A3" s="122" t="s">
        <v>1</v>
      </c>
      <c r="B3" s="122"/>
      <c r="C3" s="122"/>
      <c r="D3" s="122"/>
      <c r="E3" s="176" t="str">
        <f ca="1">TEXT(TODAY(),"DD/MM/YYYY")</f>
        <v>14/07/2025</v>
      </c>
      <c r="F3" s="176"/>
      <c r="G3" s="176"/>
      <c r="H3" s="176"/>
    </row>
    <row r="4" spans="1:8" ht="15" customHeight="1" x14ac:dyDescent="0.25">
      <c r="A4" s="122" t="s">
        <v>2</v>
      </c>
      <c r="B4" s="122"/>
      <c r="C4" s="122"/>
      <c r="D4" s="122"/>
      <c r="E4" s="170" t="s">
        <v>157</v>
      </c>
      <c r="F4" s="170"/>
      <c r="G4" s="170"/>
      <c r="H4" s="170"/>
    </row>
    <row r="5" spans="1:8" x14ac:dyDescent="0.25">
      <c r="A5" s="122" t="s">
        <v>3</v>
      </c>
      <c r="B5" s="122"/>
      <c r="C5" s="122"/>
      <c r="D5" s="122"/>
      <c r="E5" s="176">
        <v>45852</v>
      </c>
      <c r="F5" s="176"/>
      <c r="G5" s="176"/>
      <c r="H5" s="176"/>
    </row>
    <row r="6" spans="1:8" ht="16.5" customHeight="1" x14ac:dyDescent="0.25">
      <c r="A6" s="122" t="s">
        <v>4</v>
      </c>
      <c r="B6" s="122"/>
      <c r="C6" s="122"/>
      <c r="D6" s="122"/>
      <c r="E6" s="162" t="s">
        <v>158</v>
      </c>
      <c r="F6" s="162"/>
      <c r="G6" s="162"/>
      <c r="H6" s="162"/>
    </row>
    <row r="7" spans="1:8" ht="15" customHeight="1" x14ac:dyDescent="0.25">
      <c r="A7" s="122" t="s">
        <v>5</v>
      </c>
      <c r="B7" s="122"/>
      <c r="C7" s="122"/>
      <c r="D7" s="122"/>
      <c r="E7" s="162" t="str">
        <f>E6</f>
        <v>M/s.Horizon Projects Pvt Ltd</v>
      </c>
      <c r="F7" s="162"/>
      <c r="G7" s="162"/>
      <c r="H7" s="162"/>
    </row>
    <row r="8" spans="1:8" s="63" customFormat="1" x14ac:dyDescent="0.25">
      <c r="A8" s="142" t="s">
        <v>6</v>
      </c>
      <c r="B8" s="142"/>
      <c r="C8" s="142"/>
      <c r="D8" s="142"/>
      <c r="E8" s="177" t="s">
        <v>276</v>
      </c>
      <c r="F8" s="142"/>
      <c r="G8" s="142"/>
      <c r="H8" s="142"/>
    </row>
    <row r="9" spans="1:8" x14ac:dyDescent="0.25">
      <c r="A9" s="123" t="s">
        <v>266</v>
      </c>
      <c r="B9" s="123"/>
      <c r="C9" s="123"/>
      <c r="D9" s="123"/>
      <c r="E9" s="162" t="s">
        <v>192</v>
      </c>
      <c r="F9" s="122"/>
      <c r="G9" s="122"/>
      <c r="H9" s="122"/>
    </row>
    <row r="10" spans="1:8" x14ac:dyDescent="0.25">
      <c r="A10" s="123" t="s">
        <v>269</v>
      </c>
      <c r="B10" s="123"/>
      <c r="C10" s="123"/>
      <c r="D10" s="123"/>
      <c r="E10" s="162" t="s">
        <v>289</v>
      </c>
      <c r="F10" s="122"/>
      <c r="G10" s="122"/>
      <c r="H10" s="122"/>
    </row>
    <row r="11" spans="1:8" ht="47.25" customHeight="1" x14ac:dyDescent="0.25">
      <c r="A11" s="123" t="s">
        <v>7</v>
      </c>
      <c r="B11" s="123"/>
      <c r="C11" s="123"/>
      <c r="D11" s="123"/>
      <c r="E11" s="132" t="s">
        <v>256</v>
      </c>
      <c r="F11" s="123"/>
      <c r="G11" s="123"/>
      <c r="H11" s="123"/>
    </row>
    <row r="12" spans="1:8" x14ac:dyDescent="0.25">
      <c r="A12" s="122" t="s">
        <v>8</v>
      </c>
      <c r="B12" s="122"/>
      <c r="C12" s="122"/>
      <c r="D12" s="122"/>
      <c r="E12" s="132" t="s">
        <v>189</v>
      </c>
      <c r="F12" s="132"/>
      <c r="G12" s="132"/>
      <c r="H12" s="132"/>
    </row>
    <row r="13" spans="1:8" ht="50.25" customHeight="1" x14ac:dyDescent="0.25">
      <c r="A13" s="122" t="s">
        <v>9</v>
      </c>
      <c r="B13" s="122"/>
      <c r="C13" s="122"/>
      <c r="D13" s="122"/>
      <c r="E13" s="132" t="s">
        <v>248</v>
      </c>
      <c r="F13" s="123"/>
      <c r="G13" s="123"/>
      <c r="H13" s="123"/>
    </row>
    <row r="14" spans="1:8" ht="144.75" customHeight="1" x14ac:dyDescent="0.25">
      <c r="A14" s="162" t="s">
        <v>10</v>
      </c>
      <c r="B14" s="162"/>
      <c r="C14" s="162" t="s">
        <v>257</v>
      </c>
      <c r="D14" s="162"/>
      <c r="E14" s="162"/>
      <c r="F14" s="162"/>
      <c r="G14" s="162"/>
      <c r="H14" s="162"/>
    </row>
    <row r="15" spans="1:8" ht="163.5" customHeight="1" x14ac:dyDescent="0.25">
      <c r="A15" s="132" t="s">
        <v>194</v>
      </c>
      <c r="B15" s="132"/>
      <c r="C15" s="132" t="s">
        <v>193</v>
      </c>
      <c r="D15" s="132"/>
      <c r="E15" s="132"/>
      <c r="F15" s="132"/>
      <c r="G15" s="132"/>
      <c r="H15" s="132"/>
    </row>
    <row r="16" spans="1:8" ht="15.75" customHeight="1" x14ac:dyDescent="0.25">
      <c r="A16" s="162" t="s">
        <v>11</v>
      </c>
      <c r="B16" s="162"/>
      <c r="C16" s="123" t="s">
        <v>168</v>
      </c>
      <c r="D16" s="123"/>
      <c r="E16" s="162" t="s">
        <v>106</v>
      </c>
      <c r="F16" s="162"/>
      <c r="G16" s="132" t="s">
        <v>167</v>
      </c>
      <c r="H16" s="132"/>
    </row>
    <row r="17" spans="1:8" x14ac:dyDescent="0.25">
      <c r="A17" s="122" t="s">
        <v>13</v>
      </c>
      <c r="B17" s="122"/>
      <c r="C17" s="132" t="s">
        <v>278</v>
      </c>
      <c r="D17" s="132"/>
      <c r="E17" s="162" t="s">
        <v>12</v>
      </c>
      <c r="F17" s="162"/>
      <c r="G17" s="168" t="s">
        <v>164</v>
      </c>
      <c r="H17" s="168"/>
    </row>
    <row r="18" spans="1:8" x14ac:dyDescent="0.25">
      <c r="A18" s="122" t="s">
        <v>107</v>
      </c>
      <c r="B18" s="122"/>
      <c r="C18" s="132" t="s">
        <v>165</v>
      </c>
      <c r="D18" s="132"/>
      <c r="E18" s="162" t="s">
        <v>14</v>
      </c>
      <c r="F18" s="162"/>
      <c r="G18" s="132">
        <v>421201</v>
      </c>
      <c r="H18" s="132"/>
    </row>
    <row r="19" spans="1:8" ht="32.25" customHeight="1" x14ac:dyDescent="0.25">
      <c r="A19" s="122" t="s">
        <v>15</v>
      </c>
      <c r="B19" s="122"/>
      <c r="C19" s="162" t="s">
        <v>163</v>
      </c>
      <c r="D19" s="162"/>
      <c r="E19" s="162" t="s">
        <v>16</v>
      </c>
      <c r="F19" s="162"/>
      <c r="G19" s="132" t="s">
        <v>166</v>
      </c>
      <c r="H19" s="132"/>
    </row>
    <row r="20" spans="1:8" ht="15" customHeight="1" x14ac:dyDescent="0.25">
      <c r="A20" s="162" t="s">
        <v>113</v>
      </c>
      <c r="B20" s="162"/>
      <c r="C20" s="162"/>
      <c r="D20" s="162"/>
      <c r="E20" s="123" t="s">
        <v>17</v>
      </c>
      <c r="F20" s="123"/>
      <c r="G20" s="123"/>
      <c r="H20" s="123"/>
    </row>
    <row r="21" spans="1:8" ht="18.75" customHeight="1" x14ac:dyDescent="0.25">
      <c r="A21" s="162"/>
      <c r="B21" s="162"/>
      <c r="C21" s="162"/>
      <c r="D21" s="162"/>
      <c r="E21" s="123"/>
      <c r="F21" s="123"/>
      <c r="G21" s="123"/>
      <c r="H21" s="123"/>
    </row>
    <row r="22" spans="1:8" ht="15" customHeight="1" x14ac:dyDescent="0.25">
      <c r="A22" s="162" t="s">
        <v>18</v>
      </c>
      <c r="B22" s="162"/>
      <c r="C22" s="162"/>
      <c r="D22" s="162"/>
      <c r="E22" s="132" t="s">
        <v>19</v>
      </c>
      <c r="F22" s="132"/>
      <c r="G22" s="132"/>
      <c r="H22" s="132"/>
    </row>
    <row r="23" spans="1:8" ht="15" customHeight="1" x14ac:dyDescent="0.25">
      <c r="A23" s="122" t="s">
        <v>20</v>
      </c>
      <c r="B23" s="122"/>
      <c r="C23" s="122"/>
      <c r="D23" s="122"/>
      <c r="E23" s="132" t="s">
        <v>159</v>
      </c>
      <c r="F23" s="132"/>
      <c r="G23" s="132"/>
      <c r="H23" s="132"/>
    </row>
    <row r="24" spans="1:8" x14ac:dyDescent="0.25">
      <c r="A24" s="122" t="s">
        <v>21</v>
      </c>
      <c r="B24" s="122"/>
      <c r="C24" s="122"/>
      <c r="D24" s="122"/>
      <c r="E24" s="132" t="s">
        <v>22</v>
      </c>
      <c r="F24" s="132"/>
      <c r="G24" s="132"/>
      <c r="H24" s="132"/>
    </row>
    <row r="25" spans="1:8" x14ac:dyDescent="0.25">
      <c r="A25" s="122" t="s">
        <v>23</v>
      </c>
      <c r="B25" s="122"/>
      <c r="C25" s="122"/>
      <c r="D25" s="122"/>
      <c r="E25" s="132" t="s">
        <v>160</v>
      </c>
      <c r="F25" s="132"/>
      <c r="G25" s="132"/>
      <c r="H25" s="132"/>
    </row>
    <row r="26" spans="1:8" x14ac:dyDescent="0.25">
      <c r="A26" s="122" t="s">
        <v>24</v>
      </c>
      <c r="B26" s="122"/>
      <c r="C26" s="122"/>
      <c r="D26" s="122"/>
      <c r="E26" s="132" t="s">
        <v>25</v>
      </c>
      <c r="F26" s="132"/>
      <c r="G26" s="132"/>
      <c r="H26" s="132"/>
    </row>
    <row r="27" spans="1:8" x14ac:dyDescent="0.25">
      <c r="A27" s="122" t="s">
        <v>118</v>
      </c>
      <c r="B27" s="122"/>
      <c r="C27" s="122"/>
      <c r="D27" s="122"/>
      <c r="E27" s="132" t="s">
        <v>119</v>
      </c>
      <c r="F27" s="132"/>
      <c r="G27" s="132"/>
      <c r="H27" s="132"/>
    </row>
    <row r="28" spans="1:8" ht="15" customHeight="1" x14ac:dyDescent="0.25">
      <c r="A28" s="162" t="s">
        <v>34</v>
      </c>
      <c r="B28" s="162"/>
      <c r="C28" s="162"/>
      <c r="D28" s="162"/>
      <c r="E28" s="170" t="s">
        <v>185</v>
      </c>
      <c r="F28" s="170"/>
      <c r="G28" s="170"/>
      <c r="H28" s="170"/>
    </row>
    <row r="29" spans="1:8" x14ac:dyDescent="0.25">
      <c r="A29" s="162" t="s">
        <v>131</v>
      </c>
      <c r="B29" s="162"/>
      <c r="C29" s="162"/>
      <c r="D29" s="162"/>
      <c r="E29" s="162" t="s">
        <v>35</v>
      </c>
      <c r="F29" s="162"/>
      <c r="G29" s="162"/>
      <c r="H29" s="162"/>
    </row>
    <row r="30" spans="1:8" s="12" customFormat="1" x14ac:dyDescent="0.25">
      <c r="A30" s="174" t="s">
        <v>132</v>
      </c>
      <c r="B30" s="174"/>
      <c r="C30" s="173" t="s">
        <v>30</v>
      </c>
      <c r="D30" s="173"/>
      <c r="E30" s="173"/>
      <c r="F30" s="173" t="s">
        <v>32</v>
      </c>
      <c r="G30" s="173"/>
      <c r="H30" s="173"/>
    </row>
    <row r="31" spans="1:8" s="12" customFormat="1" x14ac:dyDescent="0.25">
      <c r="A31" s="171" t="s">
        <v>26</v>
      </c>
      <c r="B31" s="171" t="s">
        <v>31</v>
      </c>
      <c r="C31" s="106" t="s">
        <v>31</v>
      </c>
      <c r="D31" s="106"/>
      <c r="E31" s="106"/>
      <c r="F31" s="106" t="s">
        <v>11</v>
      </c>
      <c r="G31" s="106"/>
      <c r="H31" s="106"/>
    </row>
    <row r="32" spans="1:8" x14ac:dyDescent="0.25">
      <c r="A32" s="171" t="s">
        <v>27</v>
      </c>
      <c r="B32" s="171" t="s">
        <v>31</v>
      </c>
      <c r="C32" s="106" t="s">
        <v>31</v>
      </c>
      <c r="D32" s="106"/>
      <c r="E32" s="106"/>
      <c r="F32" s="106" t="s">
        <v>11</v>
      </c>
      <c r="G32" s="106"/>
      <c r="H32" s="106"/>
    </row>
    <row r="33" spans="1:8" s="12" customFormat="1" x14ac:dyDescent="0.25">
      <c r="A33" s="171" t="s">
        <v>29</v>
      </c>
      <c r="B33" s="171" t="s">
        <v>31</v>
      </c>
      <c r="C33" s="106" t="s">
        <v>31</v>
      </c>
      <c r="D33" s="106"/>
      <c r="E33" s="106"/>
      <c r="F33" s="106" t="s">
        <v>161</v>
      </c>
      <c r="G33" s="106"/>
      <c r="H33" s="106"/>
    </row>
    <row r="34" spans="1:8" x14ac:dyDescent="0.25">
      <c r="A34" s="171" t="s">
        <v>28</v>
      </c>
      <c r="B34" s="171" t="s">
        <v>31</v>
      </c>
      <c r="C34" s="106" t="s">
        <v>31</v>
      </c>
      <c r="D34" s="106"/>
      <c r="E34" s="106"/>
      <c r="F34" s="106" t="s">
        <v>162</v>
      </c>
      <c r="G34" s="106"/>
      <c r="H34" s="106"/>
    </row>
    <row r="35" spans="1:8" x14ac:dyDescent="0.25">
      <c r="A35" s="122" t="s">
        <v>33</v>
      </c>
      <c r="B35" s="122"/>
      <c r="C35" s="122"/>
      <c r="D35" s="122"/>
      <c r="E35" s="122"/>
      <c r="F35" s="122"/>
      <c r="G35" s="122"/>
      <c r="H35" s="122"/>
    </row>
    <row r="36" spans="1:8" ht="15.75" customHeight="1" x14ac:dyDescent="0.25">
      <c r="A36" s="142" t="s">
        <v>274</v>
      </c>
      <c r="B36" s="142"/>
      <c r="C36" s="219" t="s">
        <v>275</v>
      </c>
      <c r="D36" s="195"/>
      <c r="E36" s="195"/>
      <c r="F36" s="195"/>
      <c r="G36" s="195"/>
      <c r="H36" s="196"/>
    </row>
    <row r="37" spans="1:8" ht="15.75" customHeight="1" x14ac:dyDescent="0.25">
      <c r="A37" s="142" t="s">
        <v>264</v>
      </c>
      <c r="B37" s="142"/>
      <c r="C37" s="194" t="s">
        <v>265</v>
      </c>
      <c r="D37" s="195"/>
      <c r="E37" s="195"/>
      <c r="F37" s="195"/>
      <c r="G37" s="195"/>
      <c r="H37" s="196"/>
    </row>
    <row r="38" spans="1:8" x14ac:dyDescent="0.25">
      <c r="A38" s="142" t="s">
        <v>36</v>
      </c>
      <c r="B38" s="142"/>
      <c r="C38" s="142"/>
      <c r="D38" s="142"/>
      <c r="E38" s="142"/>
      <c r="F38" s="142"/>
      <c r="G38" s="142"/>
      <c r="H38" s="142"/>
    </row>
    <row r="39" spans="1:8" x14ac:dyDescent="0.25">
      <c r="A39" s="122" t="s">
        <v>37</v>
      </c>
      <c r="B39" s="122"/>
      <c r="C39" s="122"/>
      <c r="D39" s="122"/>
      <c r="E39" s="172">
        <v>491917.72</v>
      </c>
      <c r="F39" s="172"/>
      <c r="G39" s="172"/>
      <c r="H39" s="172"/>
    </row>
    <row r="40" spans="1:8" x14ac:dyDescent="0.25">
      <c r="A40" s="122" t="s">
        <v>38</v>
      </c>
      <c r="B40" s="122"/>
      <c r="C40" s="122"/>
      <c r="D40" s="122"/>
      <c r="E40" s="169">
        <v>1</v>
      </c>
      <c r="F40" s="169"/>
      <c r="G40" s="169"/>
      <c r="H40" s="169"/>
    </row>
    <row r="41" spans="1:8" x14ac:dyDescent="0.25">
      <c r="A41" s="122" t="s">
        <v>39</v>
      </c>
      <c r="B41" s="122"/>
      <c r="C41" s="122"/>
      <c r="D41" s="122"/>
      <c r="E41" s="169">
        <f>E43/E39-E40</f>
        <v>0.68600000829407004</v>
      </c>
      <c r="F41" s="169"/>
      <c r="G41" s="169"/>
      <c r="H41" s="169"/>
    </row>
    <row r="42" spans="1:8" x14ac:dyDescent="0.25">
      <c r="A42" s="122" t="s">
        <v>40</v>
      </c>
      <c r="B42" s="122"/>
      <c r="C42" s="122"/>
      <c r="D42" s="122"/>
      <c r="E42" s="169">
        <f>E40+E41</f>
        <v>1.68600000829407</v>
      </c>
      <c r="F42" s="169"/>
      <c r="G42" s="169"/>
      <c r="H42" s="169"/>
    </row>
    <row r="43" spans="1:8" x14ac:dyDescent="0.25">
      <c r="A43" s="122" t="s">
        <v>130</v>
      </c>
      <c r="B43" s="122"/>
      <c r="C43" s="122"/>
      <c r="D43" s="122"/>
      <c r="E43" s="222">
        <v>829373.28</v>
      </c>
      <c r="F43" s="222"/>
      <c r="G43" s="222"/>
      <c r="H43" s="222"/>
    </row>
    <row r="44" spans="1:8" x14ac:dyDescent="0.25">
      <c r="A44" s="123" t="s">
        <v>41</v>
      </c>
      <c r="B44" s="123"/>
      <c r="C44" s="123"/>
      <c r="D44" s="123"/>
      <c r="E44" s="123" t="s">
        <v>263</v>
      </c>
      <c r="F44" s="123"/>
      <c r="G44" s="123"/>
      <c r="H44" s="123"/>
    </row>
    <row r="45" spans="1:8" x14ac:dyDescent="0.25">
      <c r="A45" s="139" t="s">
        <v>42</v>
      </c>
      <c r="B45" s="139"/>
      <c r="C45" s="139"/>
      <c r="D45" s="139"/>
      <c r="E45" s="139"/>
      <c r="F45" s="139"/>
      <c r="G45" s="139"/>
      <c r="H45" s="139"/>
    </row>
    <row r="46" spans="1:8" ht="33" customHeight="1" x14ac:dyDescent="0.25">
      <c r="A46" s="132" t="s">
        <v>43</v>
      </c>
      <c r="B46" s="132"/>
      <c r="C46" s="132" t="s">
        <v>238</v>
      </c>
      <c r="D46" s="132"/>
      <c r="E46" s="132"/>
      <c r="F46" s="50" t="s">
        <v>44</v>
      </c>
      <c r="G46" s="223">
        <v>44812</v>
      </c>
      <c r="H46" s="132"/>
    </row>
    <row r="47" spans="1:8" ht="31.5" customHeight="1" x14ac:dyDescent="0.25">
      <c r="A47" s="162" t="s">
        <v>45</v>
      </c>
      <c r="B47" s="162"/>
      <c r="C47" s="132" t="str">
        <f>C46</f>
        <v>SROT/KGC/2401/BP/ITP/Usarghar-Sandep/01/Vol/18/1188/2022</v>
      </c>
      <c r="D47" s="132"/>
      <c r="E47" s="132"/>
      <c r="F47" s="50" t="s">
        <v>44</v>
      </c>
      <c r="G47" s="223">
        <f>G46</f>
        <v>44812</v>
      </c>
      <c r="H47" s="223"/>
    </row>
    <row r="48" spans="1:8" s="11" customFormat="1" ht="33.75" customHeight="1" x14ac:dyDescent="0.25">
      <c r="A48" s="132" t="s">
        <v>46</v>
      </c>
      <c r="B48" s="132"/>
      <c r="C48" s="132" t="s">
        <v>239</v>
      </c>
      <c r="D48" s="123"/>
      <c r="E48" s="123"/>
      <c r="F48" s="51" t="s">
        <v>44</v>
      </c>
      <c r="G48" s="197">
        <f>G47</f>
        <v>44812</v>
      </c>
      <c r="H48" s="197"/>
    </row>
    <row r="49" spans="1:11" s="11" customFormat="1" ht="116.25" customHeight="1" x14ac:dyDescent="0.25">
      <c r="A49" s="132"/>
      <c r="B49" s="132"/>
      <c r="C49" s="132" t="s">
        <v>258</v>
      </c>
      <c r="D49" s="132"/>
      <c r="E49" s="132"/>
      <c r="F49" s="132"/>
      <c r="G49" s="132"/>
      <c r="H49" s="132"/>
    </row>
    <row r="50" spans="1:11" ht="48.75" customHeight="1" x14ac:dyDescent="0.25">
      <c r="A50" s="177" t="s">
        <v>283</v>
      </c>
      <c r="B50" s="177"/>
      <c r="C50" s="103" t="s">
        <v>282</v>
      </c>
      <c r="D50" s="139"/>
      <c r="E50" s="139" t="s">
        <v>47</v>
      </c>
      <c r="F50" s="98" t="s">
        <v>44</v>
      </c>
      <c r="G50" s="203">
        <v>45610</v>
      </c>
      <c r="H50" s="103"/>
    </row>
    <row r="51" spans="1:11" ht="53.25" customHeight="1" x14ac:dyDescent="0.25">
      <c r="A51" s="177" t="s">
        <v>284</v>
      </c>
      <c r="B51" s="177"/>
      <c r="C51" s="103" t="s">
        <v>285</v>
      </c>
      <c r="D51" s="139"/>
      <c r="E51" s="139"/>
      <c r="F51" s="139"/>
      <c r="G51" s="139"/>
      <c r="H51" s="139"/>
    </row>
    <row r="52" spans="1:11" ht="48.75" customHeight="1" x14ac:dyDescent="0.25">
      <c r="A52" s="177" t="s">
        <v>283</v>
      </c>
      <c r="B52" s="177"/>
      <c r="C52" s="103" t="s">
        <v>291</v>
      </c>
      <c r="D52" s="139"/>
      <c r="E52" s="139" t="s">
        <v>47</v>
      </c>
      <c r="F52" s="98" t="s">
        <v>44</v>
      </c>
      <c r="G52" s="203">
        <v>45688</v>
      </c>
      <c r="H52" s="103"/>
    </row>
    <row r="53" spans="1:11" ht="53.25" customHeight="1" x14ac:dyDescent="0.25">
      <c r="A53" s="177" t="s">
        <v>284</v>
      </c>
      <c r="B53" s="177"/>
      <c r="C53" s="103" t="s">
        <v>290</v>
      </c>
      <c r="D53" s="139"/>
      <c r="E53" s="139"/>
      <c r="F53" s="139"/>
      <c r="G53" s="139"/>
      <c r="H53" s="139"/>
    </row>
    <row r="54" spans="1:11" x14ac:dyDescent="0.25">
      <c r="A54" s="224" t="s">
        <v>49</v>
      </c>
      <c r="B54" s="224"/>
      <c r="C54" s="224"/>
      <c r="D54" s="224"/>
      <c r="E54" s="224"/>
      <c r="F54" s="224"/>
      <c r="G54" s="224"/>
      <c r="H54" s="224"/>
    </row>
    <row r="55" spans="1:11" x14ac:dyDescent="0.25">
      <c r="A55" s="162" t="s">
        <v>129</v>
      </c>
      <c r="B55" s="162"/>
      <c r="C55" s="162"/>
      <c r="D55" s="122">
        <v>147380.67000000001</v>
      </c>
      <c r="E55" s="122"/>
      <c r="F55" s="122"/>
      <c r="G55" s="122"/>
      <c r="H55" s="122"/>
    </row>
    <row r="56" spans="1:11" x14ac:dyDescent="0.25">
      <c r="A56" s="132" t="s">
        <v>50</v>
      </c>
      <c r="B56" s="123"/>
      <c r="C56" s="123"/>
      <c r="D56" s="123" t="s">
        <v>261</v>
      </c>
      <c r="E56" s="123"/>
      <c r="F56" s="123"/>
      <c r="G56" s="123"/>
      <c r="H56" s="123"/>
    </row>
    <row r="57" spans="1:11" ht="100.5" customHeight="1" x14ac:dyDescent="0.25">
      <c r="A57" s="132" t="s">
        <v>51</v>
      </c>
      <c r="B57" s="123"/>
      <c r="C57" s="123"/>
      <c r="D57" s="132" t="s">
        <v>262</v>
      </c>
      <c r="E57" s="132"/>
      <c r="F57" s="132"/>
      <c r="G57" s="132"/>
      <c r="H57" s="132"/>
    </row>
    <row r="58" spans="1:11" ht="96.75" customHeight="1" x14ac:dyDescent="0.25">
      <c r="A58" s="132" t="s">
        <v>127</v>
      </c>
      <c r="B58" s="123"/>
      <c r="C58" s="123"/>
      <c r="D58" s="132" t="s">
        <v>262</v>
      </c>
      <c r="E58" s="132"/>
      <c r="F58" s="132"/>
      <c r="G58" s="132"/>
      <c r="H58" s="132"/>
    </row>
    <row r="59" spans="1:11" ht="62.45" customHeight="1" x14ac:dyDescent="0.25">
      <c r="A59" s="122" t="s">
        <v>48</v>
      </c>
      <c r="B59" s="122"/>
      <c r="C59" s="122"/>
      <c r="D59" s="162" t="s">
        <v>295</v>
      </c>
      <c r="E59" s="162"/>
      <c r="F59" s="162"/>
      <c r="G59" s="162"/>
      <c r="H59" s="162"/>
    </row>
    <row r="60" spans="1:11" ht="15.75" customHeight="1" x14ac:dyDescent="0.25">
      <c r="A60" s="122" t="s">
        <v>124</v>
      </c>
      <c r="B60" s="122"/>
      <c r="C60" s="122"/>
      <c r="D60" s="162" t="s">
        <v>125</v>
      </c>
      <c r="E60" s="162"/>
      <c r="F60" s="162"/>
      <c r="G60" s="162"/>
      <c r="H60" s="162"/>
    </row>
    <row r="61" spans="1:11" ht="15.75" customHeight="1" x14ac:dyDescent="0.25">
      <c r="A61" s="122" t="s">
        <v>126</v>
      </c>
      <c r="B61" s="122"/>
      <c r="C61" s="122"/>
      <c r="D61" s="162" t="s">
        <v>25</v>
      </c>
      <c r="E61" s="162"/>
      <c r="F61" s="162"/>
      <c r="G61" s="162"/>
      <c r="H61" s="162"/>
      <c r="J61" s="15"/>
      <c r="K61" s="15"/>
    </row>
    <row r="62" spans="1:11" ht="15.75" customHeight="1" thickBot="1" x14ac:dyDescent="0.3">
      <c r="A62" s="211" t="s">
        <v>123</v>
      </c>
      <c r="B62" s="211"/>
      <c r="C62" s="211"/>
      <c r="D62" s="212" t="s">
        <v>190</v>
      </c>
      <c r="E62" s="212"/>
      <c r="F62" s="212"/>
      <c r="G62" s="212"/>
      <c r="H62" s="212"/>
      <c r="J62" s="15"/>
      <c r="K62" s="15"/>
    </row>
    <row r="63" spans="1:11" ht="32.25" customHeight="1" x14ac:dyDescent="0.25">
      <c r="A63" s="164" t="s">
        <v>198</v>
      </c>
      <c r="B63" s="158"/>
      <c r="C63" s="158" t="s">
        <v>296</v>
      </c>
      <c r="D63" s="158"/>
      <c r="E63" s="158"/>
      <c r="F63" s="158"/>
      <c r="G63" s="158"/>
      <c r="H63" s="159"/>
      <c r="I63" s="33"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completed","0")))))))))))&amp;(IF(C70=(D64+F64+H64),", RCC Slab",IF(C70&gt;0,", RCC upto "&amp;C70&amp;" Slab",""))&amp;(IF(C71=H64,", Brickwork",IF(C71&gt;0,", Brickwork upto "&amp;C71&amp;" Floor",""))&amp;(IF(C72=H64,", Internal Plaster",IF(C72&gt;0,", Internal Plaster upto "&amp;C72&amp;" Floor",""))&amp;(IF(C73=H64,", External Plaster",IF(C73&gt;0,", External Plaster upto "&amp;C73&amp;" Floor",""))&amp;(IF(C74=H64,", Flooring",IF(C74&gt;0,", Flooring upto "&amp;C74&amp;" Floor",""))&amp;(IF(C75=H64,", Painting",IF(C75&gt;0,", Painting upto "&amp;C75&amp;" Floor",""))&amp;(IF(C76&gt;0,", Finishing upto "&amp;C76&amp;" Floor","")&amp;(IF(C70&gt;0.5," Completed",""))))))))))))))</f>
        <v>All work completed. Please provide OC.</v>
      </c>
      <c r="J63" s="16"/>
      <c r="K63" s="16"/>
    </row>
    <row r="64" spans="1:11" x14ac:dyDescent="0.25">
      <c r="A64" s="76" t="s">
        <v>103</v>
      </c>
      <c r="B64" s="77">
        <v>1</v>
      </c>
      <c r="C64" s="77" t="s">
        <v>105</v>
      </c>
      <c r="D64" s="77">
        <v>2</v>
      </c>
      <c r="E64" s="77" t="s">
        <v>104</v>
      </c>
      <c r="F64" s="77">
        <v>1</v>
      </c>
      <c r="G64" s="77" t="s">
        <v>117</v>
      </c>
      <c r="H64" s="70">
        <f ca="1">--TRIM(RIGHT(SUBSTITUTE(LEFT(C63,_xlfn.AGGREGATE(16,6,FIND({0,1,2,3,4,5,6,7,8,9},C63,ROW(INDIRECT("1:"&amp;LEN(C63)))),1))," ",REPT(" ",LEN(C63))),LEN(C63)))</f>
        <v>25</v>
      </c>
      <c r="I64" s="15"/>
      <c r="J64" s="17"/>
      <c r="K64" s="17"/>
    </row>
    <row r="65" spans="1:11" x14ac:dyDescent="0.25">
      <c r="A65" s="138" t="s">
        <v>128</v>
      </c>
      <c r="B65" s="139"/>
      <c r="C65" s="103" t="str">
        <f>I65</f>
        <v>All work Completed. OC Received.</v>
      </c>
      <c r="D65" s="103"/>
      <c r="E65" s="103"/>
      <c r="F65" s="103"/>
      <c r="G65" s="103"/>
      <c r="H65" s="140"/>
      <c r="I65" s="15" t="s">
        <v>145</v>
      </c>
      <c r="J65" s="17"/>
      <c r="K65" s="17"/>
    </row>
    <row r="66" spans="1:11" ht="30.6" customHeight="1" thickBot="1" x14ac:dyDescent="0.3">
      <c r="A66" s="198" t="s">
        <v>122</v>
      </c>
      <c r="B66" s="199"/>
      <c r="C66" s="200">
        <f ca="1">E68</f>
        <v>1</v>
      </c>
      <c r="D66" s="201"/>
      <c r="E66" s="202" t="s">
        <v>121</v>
      </c>
      <c r="F66" s="201"/>
      <c r="G66" s="200">
        <f ca="1">G68</f>
        <v>1</v>
      </c>
      <c r="H66" s="213"/>
      <c r="I66" s="15"/>
      <c r="J66" s="17"/>
      <c r="K66" s="17"/>
    </row>
    <row r="67" spans="1:11" hidden="1" x14ac:dyDescent="0.25">
      <c r="A67" s="120" t="s">
        <v>52</v>
      </c>
      <c r="B67" s="104"/>
      <c r="C67" s="73" t="s">
        <v>199</v>
      </c>
      <c r="D67" s="77" t="s">
        <v>120</v>
      </c>
      <c r="E67" s="104" t="s">
        <v>122</v>
      </c>
      <c r="F67" s="104"/>
      <c r="G67" s="104" t="s">
        <v>121</v>
      </c>
      <c r="H67" s="133"/>
      <c r="I67" s="34" t="s">
        <v>200</v>
      </c>
      <c r="J67" s="18">
        <f ca="1">H64*25%</f>
        <v>6.25</v>
      </c>
      <c r="K67" s="18"/>
    </row>
    <row r="68" spans="1:11" hidden="1" x14ac:dyDescent="0.25">
      <c r="A68" s="120" t="s">
        <v>201</v>
      </c>
      <c r="B68" s="104"/>
      <c r="C68" s="52">
        <f ca="1">J69</f>
        <v>25</v>
      </c>
      <c r="D68" s="74">
        <f ca="1">((100/H64)*C68)/100</f>
        <v>1</v>
      </c>
      <c r="E68" s="105">
        <f ca="1">(((C69/H64*10)+(40/(D64+F64+H64)*C70)+(7.5/(H64)*C71)+(7.5/(H64)*C72)+(10/H64*C73)+(10/H64*C74)+(5/H64*C75)+(5/H64*C76)+(5/H64*C77))/100)</f>
        <v>1</v>
      </c>
      <c r="F68" s="105"/>
      <c r="G68" s="105">
        <f ca="1">((((C68/H64)*20)+((C69/H64)*25)+(30/(H64+F64+D64)*C70)+(5/H64*C71)+(5/H64*C72)+(5/H64*C73)+(5/H64*C74)+(0/H64*C75)+(0/H64*C76)+(5/H64*C77))/100)</f>
        <v>1</v>
      </c>
      <c r="H68" s="117"/>
      <c r="I68" s="34" t="s">
        <v>139</v>
      </c>
      <c r="J68" s="36">
        <f ca="1">H64*50%</f>
        <v>12.5</v>
      </c>
      <c r="K68" s="18"/>
    </row>
    <row r="69" spans="1:11" hidden="1" x14ac:dyDescent="0.25">
      <c r="A69" s="120" t="s">
        <v>53</v>
      </c>
      <c r="B69" s="104"/>
      <c r="C69" s="53">
        <f ca="1">J77</f>
        <v>25</v>
      </c>
      <c r="D69" s="74">
        <f ca="1">((100/H64)*C69)/100</f>
        <v>1</v>
      </c>
      <c r="E69" s="105"/>
      <c r="F69" s="105"/>
      <c r="G69" s="105"/>
      <c r="H69" s="117"/>
      <c r="I69" s="34" t="s">
        <v>140</v>
      </c>
      <c r="J69" s="36">
        <f ca="1">H64</f>
        <v>25</v>
      </c>
      <c r="K69" s="19">
        <v>0.02</v>
      </c>
    </row>
    <row r="70" spans="1:11" hidden="1" x14ac:dyDescent="0.25">
      <c r="A70" s="121" t="s">
        <v>202</v>
      </c>
      <c r="B70" s="106"/>
      <c r="C70" s="53">
        <v>28</v>
      </c>
      <c r="D70" s="74">
        <f ca="1">((100/(D64+F64+H64))*C70)/100</f>
        <v>1</v>
      </c>
      <c r="E70" s="105"/>
      <c r="F70" s="105"/>
      <c r="G70" s="105"/>
      <c r="H70" s="117"/>
      <c r="I70" s="34" t="s">
        <v>141</v>
      </c>
      <c r="J70" s="37">
        <f ca="1">(IF(B64&gt;1,(H64/(B64+2)),H64/4))</f>
        <v>6.25</v>
      </c>
      <c r="K70" s="19">
        <v>0.04</v>
      </c>
    </row>
    <row r="71" spans="1:11" hidden="1" x14ac:dyDescent="0.25">
      <c r="A71" s="120" t="s">
        <v>203</v>
      </c>
      <c r="B71" s="104" t="s">
        <v>204</v>
      </c>
      <c r="C71" s="53">
        <f>C70-D64-F64</f>
        <v>25</v>
      </c>
      <c r="D71" s="74">
        <f ca="1">((100/H64)*C71)/100</f>
        <v>1</v>
      </c>
      <c r="E71" s="105"/>
      <c r="F71" s="105"/>
      <c r="G71" s="105"/>
      <c r="H71" s="117"/>
      <c r="I71" s="34" t="s">
        <v>142</v>
      </c>
      <c r="J71" s="37">
        <f ca="1">(IF(B64&gt;1,(H64/(B64+2)+J70),H64/4+J70))</f>
        <v>12.5</v>
      </c>
      <c r="K71" s="19">
        <v>0.08</v>
      </c>
    </row>
    <row r="72" spans="1:11" hidden="1" x14ac:dyDescent="0.25">
      <c r="A72" s="120" t="s">
        <v>205</v>
      </c>
      <c r="B72" s="104" t="s">
        <v>204</v>
      </c>
      <c r="C72" s="53">
        <v>25</v>
      </c>
      <c r="D72" s="74">
        <f ca="1">((100/H64)*C72)/100</f>
        <v>1</v>
      </c>
      <c r="E72" s="105"/>
      <c r="F72" s="105"/>
      <c r="G72" s="105"/>
      <c r="H72" s="117"/>
      <c r="I72" s="34" t="s">
        <v>206</v>
      </c>
      <c r="J72" s="37">
        <f>(IF(B64&gt;1,(H64/(B64+2)+J71),0))</f>
        <v>0</v>
      </c>
      <c r="K72" s="19">
        <v>0.15</v>
      </c>
    </row>
    <row r="73" spans="1:11" ht="15" hidden="1" customHeight="1" x14ac:dyDescent="0.25">
      <c r="A73" s="121" t="s">
        <v>207</v>
      </c>
      <c r="B73" s="106" t="s">
        <v>208</v>
      </c>
      <c r="C73" s="53">
        <v>25</v>
      </c>
      <c r="D73" s="74">
        <f ca="1">((100/(H64))*C73)/100</f>
        <v>1</v>
      </c>
      <c r="E73" s="105"/>
      <c r="F73" s="105"/>
      <c r="G73" s="105"/>
      <c r="H73" s="117"/>
      <c r="I73" s="34" t="s">
        <v>209</v>
      </c>
      <c r="J73" s="37">
        <f>(IF(B64&gt;2,(H64/(B64+2)+J72),0))</f>
        <v>0</v>
      </c>
      <c r="K73" s="19">
        <v>0.2</v>
      </c>
    </row>
    <row r="74" spans="1:11" ht="16.5" hidden="1" thickBot="1" x14ac:dyDescent="0.3">
      <c r="A74" s="120" t="s">
        <v>210</v>
      </c>
      <c r="B74" s="104" t="s">
        <v>210</v>
      </c>
      <c r="C74" s="52">
        <v>25</v>
      </c>
      <c r="D74" s="74">
        <f ca="1">((100/H64)*C74)/100</f>
        <v>1</v>
      </c>
      <c r="E74" s="105"/>
      <c r="F74" s="105"/>
      <c r="G74" s="105"/>
      <c r="H74" s="117"/>
      <c r="I74" s="34" t="s">
        <v>211</v>
      </c>
      <c r="J74" s="38">
        <f>(IF(B64&gt;3,(H64/(B64+2)+J73),0))</f>
        <v>0</v>
      </c>
      <c r="K74" s="20">
        <v>0.3</v>
      </c>
    </row>
    <row r="75" spans="1:11" hidden="1" x14ac:dyDescent="0.25">
      <c r="A75" s="120" t="s">
        <v>212</v>
      </c>
      <c r="B75" s="104"/>
      <c r="C75" s="52">
        <v>25</v>
      </c>
      <c r="D75" s="74">
        <f ca="1">((100/H64)*C75)/100</f>
        <v>1</v>
      </c>
      <c r="E75" s="105"/>
      <c r="F75" s="105"/>
      <c r="G75" s="105"/>
      <c r="H75" s="117"/>
      <c r="I75" s="34" t="s">
        <v>213</v>
      </c>
      <c r="J75" s="37">
        <f>(IF(B64&gt;4,(H64/(B64+2)+J74),0))</f>
        <v>0</v>
      </c>
      <c r="K75" s="19">
        <v>0.15</v>
      </c>
    </row>
    <row r="76" spans="1:11" ht="15" hidden="1" customHeight="1" x14ac:dyDescent="0.25">
      <c r="A76" s="120" t="s">
        <v>214</v>
      </c>
      <c r="B76" s="104" t="s">
        <v>214</v>
      </c>
      <c r="C76" s="52">
        <v>25</v>
      </c>
      <c r="D76" s="74">
        <f ca="1">((100/(H64))*C76)/100</f>
        <v>1</v>
      </c>
      <c r="E76" s="105"/>
      <c r="F76" s="105"/>
      <c r="G76" s="105"/>
      <c r="H76" s="117"/>
      <c r="I76" s="34" t="s">
        <v>143</v>
      </c>
      <c r="J76" s="37">
        <f ca="1">(IF(B64=1,(H64/(B64+3)+J71),IF(B64=0,(H64/4+J71),IF(B64&gt;1,0))))</f>
        <v>18.75</v>
      </c>
      <c r="K76" s="19">
        <v>0.2</v>
      </c>
    </row>
    <row r="77" spans="1:11" ht="16.5" hidden="1" thickBot="1" x14ac:dyDescent="0.3">
      <c r="A77" s="143" t="s">
        <v>215</v>
      </c>
      <c r="B77" s="144"/>
      <c r="C77" s="71">
        <v>25</v>
      </c>
      <c r="D77" s="75">
        <f ca="1">((100/(H64))*C77)/100</f>
        <v>1</v>
      </c>
      <c r="E77" s="118"/>
      <c r="F77" s="118"/>
      <c r="G77" s="118"/>
      <c r="H77" s="119"/>
      <c r="I77" s="35" t="s">
        <v>144</v>
      </c>
      <c r="J77" s="39">
        <f ca="1">(IF(B64&gt;1.5,(H64/(B64+2)+J71+MAX(0,J72-J71)+MAX(0,J73-J72)+MAX(0,J74-J73)+MAX(0,J75-J74)+MAX(0,J76-J75)),IF(B64=1,(H64/(B64+3)+J76),IF(B64=0,H64/4+J76))))</f>
        <v>25</v>
      </c>
      <c r="K77" s="20">
        <v>0.3</v>
      </c>
    </row>
    <row r="78" spans="1:11" hidden="1" x14ac:dyDescent="0.25">
      <c r="A78" s="164" t="s">
        <v>198</v>
      </c>
      <c r="B78" s="158"/>
      <c r="C78" s="158" t="s">
        <v>281</v>
      </c>
      <c r="D78" s="158"/>
      <c r="E78" s="158"/>
      <c r="F78" s="158"/>
      <c r="G78" s="158"/>
      <c r="H78" s="159"/>
      <c r="I78" s="33"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completed","0")))))))))))&amp;(IF(C85=(D79+F79+H79),", RCC Slab",IF(C85&gt;0,", RCC upto "&amp;C85&amp;" Slab",""))&amp;(IF(C86=H79,", Brickwork",IF(C86&gt;0,", Brickwork upto "&amp;C86&amp;" Floor",""))&amp;(IF(C87=H79,", Internal Plaster",IF(C87&gt;0,", Internal Plaster upto "&amp;C87&amp;" Floor",""))&amp;(IF(C88=H79,", External Plaster",IF(C88&gt;0,", External Plaster upto "&amp;C88&amp;" Floor",""))&amp;(IF(C89=H79,", Flooring",IF(C89&gt;0,", Flooring upto "&amp;C89&amp;" Floor",""))&amp;(IF(C90=H79,", Painting",IF(C90&gt;0,", Painting upto "&amp;C90&amp;" Floor",""))&amp;(IF(C91&gt;0,", Finishing upto "&amp;C91&amp;" Floor","")&amp;(IF(C85&gt;0.5," Completed",""))))))))))))))</f>
        <v>All work completed. Please provide OC.</v>
      </c>
      <c r="J78" s="16"/>
      <c r="K78" s="16"/>
    </row>
    <row r="79" spans="1:11" hidden="1" x14ac:dyDescent="0.25">
      <c r="A79" s="100" t="s">
        <v>103</v>
      </c>
      <c r="B79" s="99">
        <v>1</v>
      </c>
      <c r="C79" s="99" t="s">
        <v>105</v>
      </c>
      <c r="D79" s="99">
        <v>2</v>
      </c>
      <c r="E79" s="99" t="s">
        <v>104</v>
      </c>
      <c r="F79" s="99">
        <v>1</v>
      </c>
      <c r="G79" s="99" t="s">
        <v>117</v>
      </c>
      <c r="H79" s="70">
        <f ca="1">--TRIM(RIGHT(SUBSTITUTE(LEFT(C78,_xlfn.AGGREGATE(16,6,FIND({0,1,2,3,4,5,6,7,8,9},C78,ROW(INDIRECT("1:"&amp;LEN(C78)))),1))," ",REPT(" ",LEN(C78))),LEN(C78)))</f>
        <v>25</v>
      </c>
      <c r="I79" s="15"/>
      <c r="J79" s="17"/>
      <c r="K79" s="17"/>
    </row>
    <row r="80" spans="1:11" hidden="1" x14ac:dyDescent="0.25">
      <c r="A80" s="214" t="s">
        <v>122</v>
      </c>
      <c r="B80" s="215"/>
      <c r="C80" s="216">
        <v>1</v>
      </c>
      <c r="D80" s="215"/>
      <c r="E80" s="217" t="s">
        <v>121</v>
      </c>
      <c r="F80" s="215"/>
      <c r="G80" s="216">
        <v>1</v>
      </c>
      <c r="H80" s="218"/>
      <c r="I80" s="15"/>
      <c r="J80" s="17"/>
      <c r="K80" s="17"/>
    </row>
    <row r="81" spans="1:11" ht="16.5" hidden="1" thickBot="1" x14ac:dyDescent="0.3">
      <c r="A81" s="204" t="s">
        <v>128</v>
      </c>
      <c r="B81" s="205"/>
      <c r="C81" s="206" t="str">
        <f>I81</f>
        <v>All work Completed. OC Received.</v>
      </c>
      <c r="D81" s="206"/>
      <c r="E81" s="206"/>
      <c r="F81" s="206"/>
      <c r="G81" s="206"/>
      <c r="H81" s="207"/>
      <c r="I81" s="15" t="s">
        <v>145</v>
      </c>
      <c r="J81" s="17"/>
      <c r="K81" s="17"/>
    </row>
    <row r="82" spans="1:11" hidden="1" x14ac:dyDescent="0.25">
      <c r="A82" s="208" t="s">
        <v>52</v>
      </c>
      <c r="B82" s="209"/>
      <c r="C82" s="101" t="s">
        <v>199</v>
      </c>
      <c r="D82" s="102" t="s">
        <v>120</v>
      </c>
      <c r="E82" s="209" t="s">
        <v>122</v>
      </c>
      <c r="F82" s="209"/>
      <c r="G82" s="209" t="s">
        <v>121</v>
      </c>
      <c r="H82" s="210"/>
      <c r="I82" s="34" t="s">
        <v>200</v>
      </c>
      <c r="J82" s="18">
        <f ca="1">H79*25%</f>
        <v>6.25</v>
      </c>
      <c r="K82" s="18"/>
    </row>
    <row r="83" spans="1:11" hidden="1" x14ac:dyDescent="0.25">
      <c r="A83" s="104" t="s">
        <v>201</v>
      </c>
      <c r="B83" s="104"/>
      <c r="C83" s="52">
        <f ca="1">J84</f>
        <v>25</v>
      </c>
      <c r="D83" s="90">
        <f ca="1">((100/H79)*C83)/100</f>
        <v>1</v>
      </c>
      <c r="E83" s="105">
        <f ca="1">(((C84/H79*10)+(40/(D79+F79+H79)*C85)+(7.5/(H79)*C86)+(7.5/(H79)*C87)+(10/H79*C88)+(10/H79*C89)+(5/H79*C90)+(5/H79*C91)+(5/H79*C92))/100)</f>
        <v>1</v>
      </c>
      <c r="F83" s="105"/>
      <c r="G83" s="105">
        <f ca="1">((((C83/H79)*20)+((C84/H79)*25)+(30/(H79+F79+D79)*C85)+(5/H79*C86)+(5/H79*C87)+(5/H79*C88)+(5/H79*C89)+(0/H79*C90)+(0/H79*C91)+(5/H79*C92))/100)</f>
        <v>1</v>
      </c>
      <c r="H83" s="105"/>
      <c r="I83" s="34" t="s">
        <v>139</v>
      </c>
      <c r="J83" s="36">
        <f ca="1">H79*50%</f>
        <v>12.5</v>
      </c>
      <c r="K83" s="18"/>
    </row>
    <row r="84" spans="1:11" hidden="1" x14ac:dyDescent="0.25">
      <c r="A84" s="104" t="s">
        <v>53</v>
      </c>
      <c r="B84" s="104"/>
      <c r="C84" s="53">
        <f ca="1">J92</f>
        <v>25</v>
      </c>
      <c r="D84" s="90">
        <f ca="1">((100/H79)*C84)/100</f>
        <v>1</v>
      </c>
      <c r="E84" s="105"/>
      <c r="F84" s="105"/>
      <c r="G84" s="105"/>
      <c r="H84" s="105"/>
      <c r="I84" s="34" t="s">
        <v>140</v>
      </c>
      <c r="J84" s="36">
        <f ca="1">H79</f>
        <v>25</v>
      </c>
      <c r="K84" s="19">
        <v>0.02</v>
      </c>
    </row>
    <row r="85" spans="1:11" hidden="1" x14ac:dyDescent="0.25">
      <c r="A85" s="106" t="s">
        <v>202</v>
      </c>
      <c r="B85" s="106"/>
      <c r="C85" s="53">
        <v>28</v>
      </c>
      <c r="D85" s="90">
        <f ca="1">((100/(D79+F79+H79))*C85)/100</f>
        <v>1</v>
      </c>
      <c r="E85" s="105"/>
      <c r="F85" s="105"/>
      <c r="G85" s="105"/>
      <c r="H85" s="105"/>
      <c r="I85" s="34" t="s">
        <v>141</v>
      </c>
      <c r="J85" s="37">
        <f ca="1">(IF(B79&gt;1,(H79/(B79+2)),H79/4))</f>
        <v>6.25</v>
      </c>
      <c r="K85" s="19">
        <v>0.04</v>
      </c>
    </row>
    <row r="86" spans="1:11" hidden="1" x14ac:dyDescent="0.25">
      <c r="A86" s="104" t="s">
        <v>203</v>
      </c>
      <c r="B86" s="104" t="s">
        <v>204</v>
      </c>
      <c r="C86" s="53">
        <f>C85-D79-F79</f>
        <v>25</v>
      </c>
      <c r="D86" s="90">
        <f ca="1">((100/H79)*C86)/100</f>
        <v>1</v>
      </c>
      <c r="E86" s="105"/>
      <c r="F86" s="105"/>
      <c r="G86" s="105"/>
      <c r="H86" s="105"/>
      <c r="I86" s="34" t="s">
        <v>142</v>
      </c>
      <c r="J86" s="37">
        <f ca="1">(IF(B79&gt;1,(H79/(B79+2)+J85),H79/4+J85))</f>
        <v>12.5</v>
      </c>
      <c r="K86" s="19">
        <v>0.08</v>
      </c>
    </row>
    <row r="87" spans="1:11" hidden="1" x14ac:dyDescent="0.25">
      <c r="A87" s="104" t="s">
        <v>205</v>
      </c>
      <c r="B87" s="104" t="s">
        <v>204</v>
      </c>
      <c r="C87" s="53">
        <v>25</v>
      </c>
      <c r="D87" s="90">
        <f ca="1">((100/H79)*C87)/100</f>
        <v>1</v>
      </c>
      <c r="E87" s="105"/>
      <c r="F87" s="105"/>
      <c r="G87" s="105"/>
      <c r="H87" s="105"/>
      <c r="I87" s="34" t="s">
        <v>206</v>
      </c>
      <c r="J87" s="37">
        <f>(IF(B79&gt;1,(H79/(B79+2)+J86),0))</f>
        <v>0</v>
      </c>
      <c r="K87" s="19">
        <v>0.15</v>
      </c>
    </row>
    <row r="88" spans="1:11" ht="15" hidden="1" customHeight="1" x14ac:dyDescent="0.25">
      <c r="A88" s="106" t="s">
        <v>207</v>
      </c>
      <c r="B88" s="106" t="s">
        <v>208</v>
      </c>
      <c r="C88" s="53">
        <v>25</v>
      </c>
      <c r="D88" s="90">
        <f ca="1">((100/(H79))*C88)/100</f>
        <v>1</v>
      </c>
      <c r="E88" s="105"/>
      <c r="F88" s="105"/>
      <c r="G88" s="105"/>
      <c r="H88" s="105"/>
      <c r="I88" s="34" t="s">
        <v>209</v>
      </c>
      <c r="J88" s="37">
        <f>(IF(B79&gt;2,(H79/(B79+2)+J87),0))</f>
        <v>0</v>
      </c>
      <c r="K88" s="19">
        <v>0.2</v>
      </c>
    </row>
    <row r="89" spans="1:11" ht="16.5" hidden="1" thickBot="1" x14ac:dyDescent="0.3">
      <c r="A89" s="104" t="s">
        <v>210</v>
      </c>
      <c r="B89" s="104" t="s">
        <v>210</v>
      </c>
      <c r="C89" s="52">
        <v>25</v>
      </c>
      <c r="D89" s="90">
        <f ca="1">((100/H79)*C89)/100</f>
        <v>1</v>
      </c>
      <c r="E89" s="105"/>
      <c r="F89" s="105"/>
      <c r="G89" s="105"/>
      <c r="H89" s="105"/>
      <c r="I89" s="34" t="s">
        <v>211</v>
      </c>
      <c r="J89" s="38">
        <f>(IF(B79&gt;3,(H79/(B79+2)+J88),0))</f>
        <v>0</v>
      </c>
      <c r="K89" s="20">
        <v>0.3</v>
      </c>
    </row>
    <row r="90" spans="1:11" hidden="1" x14ac:dyDescent="0.25">
      <c r="A90" s="104" t="s">
        <v>212</v>
      </c>
      <c r="B90" s="104"/>
      <c r="C90" s="52">
        <v>25</v>
      </c>
      <c r="D90" s="90">
        <f ca="1">((100/H79)*C90)/100</f>
        <v>1</v>
      </c>
      <c r="E90" s="105"/>
      <c r="F90" s="105"/>
      <c r="G90" s="105"/>
      <c r="H90" s="105"/>
      <c r="I90" s="34" t="s">
        <v>213</v>
      </c>
      <c r="J90" s="37">
        <f>(IF(B79&gt;4,(H79/(B79+2)+J89),0))</f>
        <v>0</v>
      </c>
      <c r="K90" s="19">
        <v>0.15</v>
      </c>
    </row>
    <row r="91" spans="1:11" ht="15" hidden="1" customHeight="1" x14ac:dyDescent="0.25">
      <c r="A91" s="104" t="s">
        <v>214</v>
      </c>
      <c r="B91" s="104" t="s">
        <v>214</v>
      </c>
      <c r="C91" s="52">
        <v>25</v>
      </c>
      <c r="D91" s="90">
        <f ca="1">((100/(H79))*C91)/100</f>
        <v>1</v>
      </c>
      <c r="E91" s="105"/>
      <c r="F91" s="105"/>
      <c r="G91" s="105"/>
      <c r="H91" s="105"/>
      <c r="I91" s="34" t="s">
        <v>143</v>
      </c>
      <c r="J91" s="37">
        <f ca="1">(IF(B79=1,(H79/(B79+3)+J86),IF(B79=0,(H79/4+J86),IF(B79&gt;1,0))))</f>
        <v>18.75</v>
      </c>
      <c r="K91" s="19">
        <v>0.2</v>
      </c>
    </row>
    <row r="92" spans="1:11" ht="16.5" hidden="1" thickBot="1" x14ac:dyDescent="0.3">
      <c r="A92" s="104" t="s">
        <v>215</v>
      </c>
      <c r="B92" s="104"/>
      <c r="C92" s="52">
        <v>25</v>
      </c>
      <c r="D92" s="90">
        <f ca="1">((100/(H79))*C92)/100</f>
        <v>1</v>
      </c>
      <c r="E92" s="105"/>
      <c r="F92" s="105"/>
      <c r="G92" s="105"/>
      <c r="H92" s="105"/>
      <c r="I92" s="35" t="s">
        <v>144</v>
      </c>
      <c r="J92" s="39">
        <f ca="1">(IF(B79&gt;1.5,(H79/(B79+2)+J86+MAX(0,J87-J86)+MAX(0,J88-J87)+MAX(0,J89-J88)+MAX(0,J90-J89)+MAX(0,J91-J90)),IF(B79=1,(H79/(B79+3)+J91),IF(B79=0,H79/4+J91))))</f>
        <v>25</v>
      </c>
      <c r="K92" s="20">
        <v>0.3</v>
      </c>
    </row>
    <row r="93" spans="1:11" x14ac:dyDescent="0.25">
      <c r="A93" s="103" t="s">
        <v>198</v>
      </c>
      <c r="B93" s="103"/>
      <c r="C93" s="103" t="s">
        <v>279</v>
      </c>
      <c r="D93" s="103"/>
      <c r="E93" s="103"/>
      <c r="F93" s="103"/>
      <c r="G93" s="103"/>
      <c r="H93" s="103"/>
      <c r="I93" s="33"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Slab",IF(C99&gt;0,", RCC upto "&amp;C99&amp;" Slab",""))&amp;(IF(C100=H94,", Brickwork",IF(C100&gt;0,", Brickwork upto "&amp;C100&amp;" Floor",""))&amp;(IF(C101=H94,", Internal Plaster",IF(C101&gt;0,", Internal Plaster upto "&amp;C101&amp;" Floor",""))&amp;(IF(C102=H94,", External Plaster",IF(C102&gt;0,", External Plaster upto "&amp;C102&amp;" Floor",""))&amp;(IF(C103=H94,", Flooring",IF(C103&gt;0,", Flooring upto "&amp;C103&amp;" Floor",""))&amp;(IF(C104=H94,", Painting",IF(C104&gt;0,", Painting upto "&amp;C104&amp;" Floor",""))&amp;(IF(C105&gt;0,", Finishing upto "&amp;C105&amp;" Floor","")&amp;(IF(C99&gt;0.5," Completed",""))))))))))))))</f>
        <v>Plinth, RCC, Brick, Plaster, Flooring, Painting work Completed. Finishing work is in process.</v>
      </c>
      <c r="J93" s="16"/>
      <c r="K93" s="16"/>
    </row>
    <row r="94" spans="1:11" x14ac:dyDescent="0.25">
      <c r="A94" s="91" t="s">
        <v>103</v>
      </c>
      <c r="B94" s="91">
        <v>1</v>
      </c>
      <c r="C94" s="91" t="s">
        <v>105</v>
      </c>
      <c r="D94" s="91">
        <v>2</v>
      </c>
      <c r="E94" s="91" t="s">
        <v>104</v>
      </c>
      <c r="F94" s="91">
        <v>1</v>
      </c>
      <c r="G94" s="91" t="s">
        <v>117</v>
      </c>
      <c r="H94" s="91">
        <f ca="1">--TRIM(RIGHT(SUBSTITUTE(LEFT(C93,_xlfn.AGGREGATE(16,6,FIND({0,1,2,3,4,5,6,7,8,9},C93,ROW(INDIRECT("1:"&amp;LEN(C93)))),1))," ",REPT(" ",LEN(C93))),LEN(C93)))</f>
        <v>25</v>
      </c>
      <c r="I94" s="15"/>
      <c r="J94" s="17"/>
      <c r="K94" s="17"/>
    </row>
    <row r="95" spans="1:11" x14ac:dyDescent="0.25">
      <c r="A95" s="139" t="s">
        <v>128</v>
      </c>
      <c r="B95" s="139"/>
      <c r="C95" s="103" t="str">
        <f ca="1">I93</f>
        <v>Plinth, RCC, Brick, Plaster, Flooring, Painting work Completed. Finishing work is in process.</v>
      </c>
      <c r="D95" s="103"/>
      <c r="E95" s="103"/>
      <c r="F95" s="103"/>
      <c r="G95" s="103"/>
      <c r="H95" s="103"/>
      <c r="I95" s="15" t="s">
        <v>145</v>
      </c>
      <c r="J95" s="17"/>
      <c r="K95" s="17"/>
    </row>
    <row r="96" spans="1:11" x14ac:dyDescent="0.25">
      <c r="A96" s="120" t="s">
        <v>52</v>
      </c>
      <c r="B96" s="104"/>
      <c r="C96" s="85" t="s">
        <v>199</v>
      </c>
      <c r="D96" s="86" t="s">
        <v>120</v>
      </c>
      <c r="E96" s="104" t="s">
        <v>122</v>
      </c>
      <c r="F96" s="104"/>
      <c r="G96" s="104" t="s">
        <v>121</v>
      </c>
      <c r="H96" s="133"/>
      <c r="I96" s="34" t="s">
        <v>200</v>
      </c>
      <c r="J96" s="18">
        <f ca="1">H94*25%</f>
        <v>6.25</v>
      </c>
      <c r="K96" s="18"/>
    </row>
    <row r="97" spans="1:11" x14ac:dyDescent="0.25">
      <c r="A97" s="120" t="s">
        <v>201</v>
      </c>
      <c r="B97" s="104"/>
      <c r="C97" s="52">
        <f ca="1">J98</f>
        <v>25</v>
      </c>
      <c r="D97" s="87">
        <f ca="1">((100/H94)*C97)/100</f>
        <v>1</v>
      </c>
      <c r="E97" s="105">
        <f ca="1">(((C98/H94*10)+(40/(D94+F94+H94)*C99)+(7.5/(H94)*C100)+(7.5/(H94)*C101)+(10/H94*C102)+(10/H94*C103)+(5/H94*C104)+(5/H94*C105)+(5/H94*C106))/100)</f>
        <v>0.94200000000000006</v>
      </c>
      <c r="F97" s="105"/>
      <c r="G97" s="105">
        <f ca="1">((((C97/H94)*20)+((C98/H94)*25)+(30/(H94+F94+D94)*C99)+(5/H94*C100)+(5/H94*C101)+(5/H94*C102)+(5/H94*C103)+(0/H94*C104)+(0/H94*C105)+(5/H94*C106))/100)</f>
        <v>0.95</v>
      </c>
      <c r="H97" s="117"/>
      <c r="I97" s="34" t="s">
        <v>139</v>
      </c>
      <c r="J97" s="36">
        <f ca="1">H94*50%</f>
        <v>12.5</v>
      </c>
      <c r="K97" s="18"/>
    </row>
    <row r="98" spans="1:11" x14ac:dyDescent="0.25">
      <c r="A98" s="120" t="s">
        <v>53</v>
      </c>
      <c r="B98" s="104"/>
      <c r="C98" s="53">
        <f ca="1">J106</f>
        <v>25</v>
      </c>
      <c r="D98" s="87">
        <f ca="1">((100/H94)*C98)/100</f>
        <v>1</v>
      </c>
      <c r="E98" s="105"/>
      <c r="F98" s="105"/>
      <c r="G98" s="105"/>
      <c r="H98" s="117"/>
      <c r="I98" s="34" t="s">
        <v>140</v>
      </c>
      <c r="J98" s="36">
        <f ca="1">H94</f>
        <v>25</v>
      </c>
      <c r="K98" s="19">
        <v>0.02</v>
      </c>
    </row>
    <row r="99" spans="1:11" x14ac:dyDescent="0.25">
      <c r="A99" s="121" t="s">
        <v>202</v>
      </c>
      <c r="B99" s="106"/>
      <c r="C99" s="53">
        <v>28</v>
      </c>
      <c r="D99" s="87">
        <f ca="1">((100/(D94+F94+H94))*C99)/100</f>
        <v>1</v>
      </c>
      <c r="E99" s="105"/>
      <c r="F99" s="105"/>
      <c r="G99" s="105"/>
      <c r="H99" s="117"/>
      <c r="I99" s="34" t="s">
        <v>141</v>
      </c>
      <c r="J99" s="37">
        <f ca="1">(IF(B94&gt;1,(H94/(B94+2)),H94/4))</f>
        <v>6.25</v>
      </c>
      <c r="K99" s="19">
        <v>0.04</v>
      </c>
    </row>
    <row r="100" spans="1:11" x14ac:dyDescent="0.25">
      <c r="A100" s="120" t="s">
        <v>203</v>
      </c>
      <c r="B100" s="104" t="s">
        <v>204</v>
      </c>
      <c r="C100" s="53">
        <f>C99-D94-F94</f>
        <v>25</v>
      </c>
      <c r="D100" s="87">
        <f ca="1">((100/H94)*C100)/100</f>
        <v>1</v>
      </c>
      <c r="E100" s="105"/>
      <c r="F100" s="105"/>
      <c r="G100" s="105"/>
      <c r="H100" s="117"/>
      <c r="I100" s="34" t="s">
        <v>142</v>
      </c>
      <c r="J100" s="37">
        <f ca="1">(IF(B94&gt;1,(H94/(B94+2)+J99),H94/4+J99))</f>
        <v>12.5</v>
      </c>
      <c r="K100" s="19">
        <v>0.08</v>
      </c>
    </row>
    <row r="101" spans="1:11" x14ac:dyDescent="0.25">
      <c r="A101" s="120" t="s">
        <v>205</v>
      </c>
      <c r="B101" s="104" t="s">
        <v>204</v>
      </c>
      <c r="C101" s="53">
        <v>25</v>
      </c>
      <c r="D101" s="87">
        <f ca="1">((100/H94)*C101)/100</f>
        <v>1</v>
      </c>
      <c r="E101" s="105"/>
      <c r="F101" s="105"/>
      <c r="G101" s="105"/>
      <c r="H101" s="117"/>
      <c r="I101" s="34" t="s">
        <v>206</v>
      </c>
      <c r="J101" s="37">
        <f>(IF(B94&gt;1,(H94/(B94+2)+J100),0))</f>
        <v>0</v>
      </c>
      <c r="K101" s="19">
        <v>0.15</v>
      </c>
    </row>
    <row r="102" spans="1:11" ht="15" customHeight="1" x14ac:dyDescent="0.25">
      <c r="A102" s="120" t="s">
        <v>207</v>
      </c>
      <c r="B102" s="104" t="s">
        <v>208</v>
      </c>
      <c r="C102" s="53">
        <v>25</v>
      </c>
      <c r="D102" s="87">
        <f ca="1">((100/(H94))*C102)/100</f>
        <v>1</v>
      </c>
      <c r="E102" s="105"/>
      <c r="F102" s="105"/>
      <c r="G102" s="105"/>
      <c r="H102" s="117"/>
      <c r="I102" s="34" t="s">
        <v>209</v>
      </c>
      <c r="J102" s="37">
        <f>(IF(B94&gt;2,(H94/(B94+2)+J101),0))</f>
        <v>0</v>
      </c>
      <c r="K102" s="19">
        <v>0.2</v>
      </c>
    </row>
    <row r="103" spans="1:11" ht="16.5" thickBot="1" x14ac:dyDescent="0.3">
      <c r="A103" s="120" t="s">
        <v>210</v>
      </c>
      <c r="B103" s="104" t="s">
        <v>210</v>
      </c>
      <c r="C103" s="52">
        <v>25</v>
      </c>
      <c r="D103" s="87">
        <f ca="1">((100/H94)*C103)/100</f>
        <v>1</v>
      </c>
      <c r="E103" s="105"/>
      <c r="F103" s="105"/>
      <c r="G103" s="105"/>
      <c r="H103" s="117"/>
      <c r="I103" s="34" t="s">
        <v>211</v>
      </c>
      <c r="J103" s="38">
        <f>(IF(B94&gt;3,(H94/(B94+2)+J102),0))</f>
        <v>0</v>
      </c>
      <c r="K103" s="20">
        <v>0.3</v>
      </c>
    </row>
    <row r="104" spans="1:11" x14ac:dyDescent="0.25">
      <c r="A104" s="120" t="s">
        <v>212</v>
      </c>
      <c r="B104" s="104"/>
      <c r="C104" s="52">
        <v>24</v>
      </c>
      <c r="D104" s="87">
        <f ca="1">((100/H94)*C104)/100</f>
        <v>0.96</v>
      </c>
      <c r="E104" s="105"/>
      <c r="F104" s="105"/>
      <c r="G104" s="105"/>
      <c r="H104" s="117"/>
      <c r="I104" s="34" t="s">
        <v>213</v>
      </c>
      <c r="J104" s="37">
        <f>(IF(B94&gt;4,(H94/(B94+2)+J103),0))</f>
        <v>0</v>
      </c>
      <c r="K104" s="19">
        <v>0.15</v>
      </c>
    </row>
    <row r="105" spans="1:11" ht="15" customHeight="1" x14ac:dyDescent="0.25">
      <c r="A105" s="120" t="s">
        <v>214</v>
      </c>
      <c r="B105" s="104" t="s">
        <v>214</v>
      </c>
      <c r="C105" s="52">
        <v>22</v>
      </c>
      <c r="D105" s="87">
        <f ca="1">((100/(H94))*C105)/100</f>
        <v>0.88</v>
      </c>
      <c r="E105" s="105"/>
      <c r="F105" s="105"/>
      <c r="G105" s="105"/>
      <c r="H105" s="117"/>
      <c r="I105" s="34" t="s">
        <v>143</v>
      </c>
      <c r="J105" s="37">
        <f ca="1">(IF(B94=1,(H94/(B94+3)+J100),IF(B94=0,(H94/4+J100),IF(B94&gt;1,0))))</f>
        <v>18.75</v>
      </c>
      <c r="K105" s="19">
        <v>0.2</v>
      </c>
    </row>
    <row r="106" spans="1:11" ht="16.5" thickBot="1" x14ac:dyDescent="0.3">
      <c r="A106" s="143" t="s">
        <v>215</v>
      </c>
      <c r="B106" s="144"/>
      <c r="C106" s="71">
        <v>0</v>
      </c>
      <c r="D106" s="88">
        <f ca="1">((100/(H94))*C106)/100</f>
        <v>0</v>
      </c>
      <c r="E106" s="118"/>
      <c r="F106" s="118"/>
      <c r="G106" s="118"/>
      <c r="H106" s="119"/>
      <c r="I106" s="35" t="s">
        <v>144</v>
      </c>
      <c r="J106" s="39">
        <f ca="1">(IF(B94&gt;1.5,(H94/(B94+2)+J100+MAX(0,J101-J100)+MAX(0,J102-J101)+MAX(0,J103-J102)+MAX(0,J104-J103)+MAX(0,J105-J104)),IF(B94=1,(H94/(B94+3)+J105),IF(B94=0,H94/4+J105))))</f>
        <v>25</v>
      </c>
      <c r="K106" s="20">
        <v>0.3</v>
      </c>
    </row>
    <row r="107" spans="1:11" x14ac:dyDescent="0.25">
      <c r="A107" s="164" t="s">
        <v>198</v>
      </c>
      <c r="B107" s="158"/>
      <c r="C107" s="158" t="s">
        <v>280</v>
      </c>
      <c r="D107" s="158"/>
      <c r="E107" s="158"/>
      <c r="F107" s="158"/>
      <c r="G107" s="158"/>
      <c r="H107" s="159"/>
      <c r="I107" s="33" t="str">
        <f ca="1">(IF(E111&gt;99%,"All work completed. Please provide OC.",IF(E111&gt;89.8%,"Plinth, RCC, Brick, Plaster, Flooring, Painting work Completed. Finishing work is in process.",IF(E111&lt;94%,(IF(C111=0,"Work not yet Started.",IF(D111=25%,"Piling work in process",IF(D111=50%,"Excavation work in process",IF(D111=100%,"Excavation work Completed. ","0")))&amp;(IF(C112=0%,"",IF(C112=J113,"Footing work is process",IF(C112=J114,"Footing work Completed",IF(C112=J115,"1st Basement Completed",IF(C112=J116,"1st &amp; 2nd Basement Completed",IF(C112=J117,"1st to 3rd Basement Completed",IF(C112=J118,"1st to 4th Basement Completed",IF(C112=J119,"Plinth work is process",IF(C112=J120,"Plinth work completed","0")))))))))))&amp;(IF(C113=(D108+F108+H108),", RCC Slab",IF(C113&gt;0,", RCC upto "&amp;C113&amp;" Slab",""))&amp;(IF(C114=H108,", Brickwork",IF(C114&gt;0,", Brickwork upto "&amp;C114&amp;" Floor",""))&amp;(IF(C115=H108,", Internal Plaster",IF(C115&gt;0,", Internal Plaster upto "&amp;C115&amp;" Floor",""))&amp;(IF(C116=H108,", External Plaster",IF(C116&gt;0,", External Plaster upto "&amp;C116&amp;" Floor",""))&amp;(IF(C117=H108,", Flooring",IF(C117&gt;0,", Flooring upto "&amp;C117&amp;" Floor",""))&amp;(IF(C118=H108,", Painting",IF(C118&gt;0,", Painting upto "&amp;C118&amp;" Floor",""))&amp;(IF(C119&gt;0,", Finishing upto "&amp;C119&amp;" Floor","")&amp;(IF(C113&gt;0.5," Completed",""))))))))))))))</f>
        <v>Plinth, RCC, Brick, Plaster, Flooring, Painting work Completed. Finishing work is in process.</v>
      </c>
      <c r="J107" s="16"/>
      <c r="K107" s="16"/>
    </row>
    <row r="108" spans="1:11" x14ac:dyDescent="0.25">
      <c r="A108" s="69" t="s">
        <v>103</v>
      </c>
      <c r="B108" s="68">
        <v>1</v>
      </c>
      <c r="C108" s="68" t="s">
        <v>105</v>
      </c>
      <c r="D108" s="68">
        <v>2</v>
      </c>
      <c r="E108" s="68" t="s">
        <v>104</v>
      </c>
      <c r="F108" s="68">
        <v>1</v>
      </c>
      <c r="G108" s="68" t="s">
        <v>117</v>
      </c>
      <c r="H108" s="70">
        <f ca="1">--TRIM(RIGHT(SUBSTITUTE(LEFT(C107,_xlfn.AGGREGATE(16,6,FIND({0,1,2,3,4,5,6,7,8,9},C107,ROW(INDIRECT("1:"&amp;LEN(C107)))),1))," ",REPT(" ",LEN(C107))),LEN(C107)))</f>
        <v>25</v>
      </c>
      <c r="I108" s="15"/>
      <c r="J108" s="17"/>
      <c r="K108" s="17"/>
    </row>
    <row r="109" spans="1:11" x14ac:dyDescent="0.25">
      <c r="A109" s="138" t="s">
        <v>128</v>
      </c>
      <c r="B109" s="139"/>
      <c r="C109" s="103" t="str">
        <f ca="1">I107</f>
        <v>Plinth, RCC, Brick, Plaster, Flooring, Painting work Completed. Finishing work is in process.</v>
      </c>
      <c r="D109" s="103"/>
      <c r="E109" s="103"/>
      <c r="F109" s="103"/>
      <c r="G109" s="103"/>
      <c r="H109" s="140"/>
      <c r="I109" s="15" t="s">
        <v>145</v>
      </c>
      <c r="J109" s="17"/>
      <c r="K109" s="17"/>
    </row>
    <row r="110" spans="1:11" x14ac:dyDescent="0.25">
      <c r="A110" s="120" t="s">
        <v>52</v>
      </c>
      <c r="B110" s="104"/>
      <c r="C110" s="66" t="s">
        <v>199</v>
      </c>
      <c r="D110" s="68" t="s">
        <v>120</v>
      </c>
      <c r="E110" s="104" t="s">
        <v>122</v>
      </c>
      <c r="F110" s="104"/>
      <c r="G110" s="104" t="s">
        <v>121</v>
      </c>
      <c r="H110" s="133"/>
      <c r="I110" s="34" t="s">
        <v>200</v>
      </c>
      <c r="J110" s="18">
        <f ca="1">H108*25%</f>
        <v>6.25</v>
      </c>
      <c r="K110" s="18"/>
    </row>
    <row r="111" spans="1:11" x14ac:dyDescent="0.25">
      <c r="A111" s="104" t="s">
        <v>201</v>
      </c>
      <c r="B111" s="104"/>
      <c r="C111" s="52">
        <f ca="1">J112</f>
        <v>25</v>
      </c>
      <c r="D111" s="95">
        <f ca="1">((100/H108)*C111)/100</f>
        <v>1</v>
      </c>
      <c r="E111" s="105">
        <f ca="1">(((C112/H108*10)+(40/(D108+F108+H108)*C113)+(7.5/(H108)*C114)+(7.5/(H108)*C115)+(10/H108*C116)+(10/H108*C117)+(5/H108*C118)+(5/H108*C119)+(5/H108*C120))/100)</f>
        <v>0.94400000000000006</v>
      </c>
      <c r="F111" s="105"/>
      <c r="G111" s="105">
        <f ca="1">((((C111/H108)*20)+((C112/H108)*25)+(30/(H108+F108+D108)*C113)+(5/H108*C114)+(5/H108*C115)+(5/H108*C116)+(5/H108*C117)+(0/H108*C118)+(0/H108*C119)+(5/H108*C120))/100)</f>
        <v>0.95</v>
      </c>
      <c r="H111" s="105"/>
      <c r="I111" s="34" t="s">
        <v>139</v>
      </c>
      <c r="J111" s="36">
        <f ca="1">H108*50%</f>
        <v>12.5</v>
      </c>
      <c r="K111" s="18"/>
    </row>
    <row r="112" spans="1:11" x14ac:dyDescent="0.25">
      <c r="A112" s="104" t="s">
        <v>53</v>
      </c>
      <c r="B112" s="104"/>
      <c r="C112" s="53">
        <f ca="1">J120</f>
        <v>25</v>
      </c>
      <c r="D112" s="95">
        <f ca="1">((100/H108)*C112)/100</f>
        <v>1</v>
      </c>
      <c r="E112" s="105"/>
      <c r="F112" s="105"/>
      <c r="G112" s="105"/>
      <c r="H112" s="105"/>
      <c r="I112" s="34" t="s">
        <v>140</v>
      </c>
      <c r="J112" s="36">
        <f ca="1">H108</f>
        <v>25</v>
      </c>
      <c r="K112" s="19">
        <v>0.02</v>
      </c>
    </row>
    <row r="113" spans="1:11" x14ac:dyDescent="0.25">
      <c r="A113" s="106" t="s">
        <v>202</v>
      </c>
      <c r="B113" s="106"/>
      <c r="C113" s="53">
        <v>28</v>
      </c>
      <c r="D113" s="95">
        <f ca="1">((100/(D108+F108+H108))*C113)/100</f>
        <v>1</v>
      </c>
      <c r="E113" s="105"/>
      <c r="F113" s="105"/>
      <c r="G113" s="105"/>
      <c r="H113" s="105"/>
      <c r="I113" s="34" t="s">
        <v>141</v>
      </c>
      <c r="J113" s="37">
        <f ca="1">(IF(B108&gt;1,(H108/(B108+2)),H108/4))</f>
        <v>6.25</v>
      </c>
      <c r="K113" s="19">
        <v>0.04</v>
      </c>
    </row>
    <row r="114" spans="1:11" x14ac:dyDescent="0.25">
      <c r="A114" s="104" t="s">
        <v>203</v>
      </c>
      <c r="B114" s="104" t="s">
        <v>204</v>
      </c>
      <c r="C114" s="53">
        <f>C113-D108-F108</f>
        <v>25</v>
      </c>
      <c r="D114" s="95">
        <f ca="1">((100/H108)*C114)/100</f>
        <v>1</v>
      </c>
      <c r="E114" s="105"/>
      <c r="F114" s="105"/>
      <c r="G114" s="105"/>
      <c r="H114" s="105"/>
      <c r="I114" s="34" t="s">
        <v>142</v>
      </c>
      <c r="J114" s="37">
        <f ca="1">(IF(B108&gt;1,(H108/(B108+2)+J113),H108/4+J113))</f>
        <v>12.5</v>
      </c>
      <c r="K114" s="19">
        <v>0.08</v>
      </c>
    </row>
    <row r="115" spans="1:11" x14ac:dyDescent="0.25">
      <c r="A115" s="104" t="s">
        <v>205</v>
      </c>
      <c r="B115" s="104" t="s">
        <v>204</v>
      </c>
      <c r="C115" s="53">
        <v>25</v>
      </c>
      <c r="D115" s="95">
        <f ca="1">((100/H108)*C115)/100</f>
        <v>1</v>
      </c>
      <c r="E115" s="105"/>
      <c r="F115" s="105"/>
      <c r="G115" s="105"/>
      <c r="H115" s="105"/>
      <c r="I115" s="34" t="s">
        <v>206</v>
      </c>
      <c r="J115" s="37">
        <f>(IF(B108&gt;1,(H108/(B108+2)+J114),0))</f>
        <v>0</v>
      </c>
      <c r="K115" s="19">
        <v>0.15</v>
      </c>
    </row>
    <row r="116" spans="1:11" ht="15" customHeight="1" x14ac:dyDescent="0.25">
      <c r="A116" s="104" t="s">
        <v>207</v>
      </c>
      <c r="B116" s="104" t="s">
        <v>208</v>
      </c>
      <c r="C116" s="53">
        <v>25</v>
      </c>
      <c r="D116" s="95">
        <f ca="1">((100/(H108))*C116)/100</f>
        <v>1</v>
      </c>
      <c r="E116" s="105"/>
      <c r="F116" s="105"/>
      <c r="G116" s="105"/>
      <c r="H116" s="105"/>
      <c r="I116" s="34" t="s">
        <v>209</v>
      </c>
      <c r="J116" s="37">
        <f>(IF(B108&gt;2,(H108/(B108+2)+J115),0))</f>
        <v>0</v>
      </c>
      <c r="K116" s="19">
        <v>0.2</v>
      </c>
    </row>
    <row r="117" spans="1:11" ht="16.5" thickBot="1" x14ac:dyDescent="0.3">
      <c r="A117" s="104" t="s">
        <v>210</v>
      </c>
      <c r="B117" s="104" t="s">
        <v>210</v>
      </c>
      <c r="C117" s="52">
        <v>25</v>
      </c>
      <c r="D117" s="95">
        <f ca="1">((100/H108)*C117)/100</f>
        <v>1</v>
      </c>
      <c r="E117" s="105"/>
      <c r="F117" s="105"/>
      <c r="G117" s="105"/>
      <c r="H117" s="105"/>
      <c r="I117" s="34" t="s">
        <v>211</v>
      </c>
      <c r="J117" s="38">
        <f>(IF(B108&gt;3,(H108/(B108+2)+J116),0))</f>
        <v>0</v>
      </c>
      <c r="K117" s="20">
        <v>0.3</v>
      </c>
    </row>
    <row r="118" spans="1:11" x14ac:dyDescent="0.25">
      <c r="A118" s="104" t="s">
        <v>212</v>
      </c>
      <c r="B118" s="104"/>
      <c r="C118" s="52">
        <v>25</v>
      </c>
      <c r="D118" s="95">
        <f ca="1">((100/H108)*C118)/100</f>
        <v>1</v>
      </c>
      <c r="E118" s="105"/>
      <c r="F118" s="105"/>
      <c r="G118" s="105"/>
      <c r="H118" s="105"/>
      <c r="I118" s="34" t="s">
        <v>213</v>
      </c>
      <c r="J118" s="37">
        <f>(IF(B108&gt;4,(H108/(B108+2)+J117),0))</f>
        <v>0</v>
      </c>
      <c r="K118" s="19">
        <v>0.15</v>
      </c>
    </row>
    <row r="119" spans="1:11" ht="15" customHeight="1" x14ac:dyDescent="0.25">
      <c r="A119" s="104" t="s">
        <v>214</v>
      </c>
      <c r="B119" s="104" t="s">
        <v>214</v>
      </c>
      <c r="C119" s="52">
        <v>22</v>
      </c>
      <c r="D119" s="95">
        <f ca="1">((100/(H108))*C119)/100</f>
        <v>0.88</v>
      </c>
      <c r="E119" s="105"/>
      <c r="F119" s="105"/>
      <c r="G119" s="105"/>
      <c r="H119" s="105"/>
      <c r="I119" s="34" t="s">
        <v>143</v>
      </c>
      <c r="J119" s="37">
        <f ca="1">(IF(B108=1,(H108/(B108+3)+J114),IF(B108=0,(H108/4+J114),IF(B108&gt;1,0))))</f>
        <v>18.75</v>
      </c>
      <c r="K119" s="19">
        <v>0.2</v>
      </c>
    </row>
    <row r="120" spans="1:11" ht="16.5" thickBot="1" x14ac:dyDescent="0.3">
      <c r="A120" s="104" t="s">
        <v>215</v>
      </c>
      <c r="B120" s="104"/>
      <c r="C120" s="52">
        <v>0</v>
      </c>
      <c r="D120" s="95">
        <f ca="1">((100/(H108))*C120)/100</f>
        <v>0</v>
      </c>
      <c r="E120" s="105"/>
      <c r="F120" s="105"/>
      <c r="G120" s="105"/>
      <c r="H120" s="105"/>
      <c r="I120" s="35" t="s">
        <v>144</v>
      </c>
      <c r="J120" s="39">
        <f ca="1">(IF(B108&gt;1.5,(H108/(B108+2)+J114+MAX(0,J115-J114)+MAX(0,J116-J115)+MAX(0,J117-J116)+MAX(0,J118-J117)+MAX(0,J119-J118)),IF(B108=1,(H108/(B108+3)+J119),IF(B108=0,H108/4+J119))))</f>
        <v>25</v>
      </c>
      <c r="K120" s="20">
        <v>0.3</v>
      </c>
    </row>
    <row r="121" spans="1:11" ht="15.75" customHeight="1" x14ac:dyDescent="0.25">
      <c r="A121" s="163" t="s">
        <v>198</v>
      </c>
      <c r="B121" s="163"/>
      <c r="C121" s="103" t="s">
        <v>271</v>
      </c>
      <c r="D121" s="103"/>
      <c r="E121" s="103"/>
      <c r="F121" s="103"/>
      <c r="G121" s="103"/>
      <c r="H121" s="103"/>
      <c r="I121" s="33" t="str">
        <f ca="1">(IF(E125&gt;99%,"All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","0")))&amp;(IF(C126=0%,"",IF(C126=J127,"Footing work is process",IF(C126=J128,"Footing work Completed",IF(C126=J129,"1st Basement Completed",IF(C126=J130,"1st &amp; 2nd Basement Completed",IF(C126=J131,"1st to 3rd Basement Completed",IF(C126=J132,"1st to 4th Basement Completed",IF(C126=J133,"Plinth work is process",IF(C126=J134,"Plinth work completed","0")))))))))))&amp;(IF(C127=(D122+F122+H122),", RCC Slab",IF(C127&gt;0,", RCC upto "&amp;C127&amp;" Slab",""))&amp;(IF(C128=H122,", Brickwork",IF(C128&gt;0,", Brickwork upto "&amp;C128&amp;" Floor",""))&amp;(IF(C129=H122,", Internal Plaster",IF(C129&gt;0,", Internal Plaster upto "&amp;C129&amp;" Floor",""))&amp;(IF(C130=H122,", External Plaster",IF(C130&gt;0,", External Plaster upto "&amp;C130&amp;" Floor",""))&amp;(IF(C131=H122,", Flooring",IF(C131&gt;0,", Flooring upto "&amp;C131&amp;" Floor",""))&amp;(IF(C132=H122,", Painting",IF(C132&gt;0,", Painting upto "&amp;C132&amp;" Floor",""))&amp;(IF(C133&gt;0,", Finishing upto "&amp;C133&amp;" Floor","")&amp;(IF(C127&gt;0.5," Completed",""))))))))))))))</f>
        <v>Excavation work Completed. Plinth work completed, RCC Slab, Brickwork, Internal Plaster, External Plaster, Flooring upto 13 Floor, Painting upto 11 Floor Completed</v>
      </c>
      <c r="J121" s="16"/>
      <c r="K121" s="16"/>
    </row>
    <row r="122" spans="1:11" x14ac:dyDescent="0.25">
      <c r="A122" s="97" t="s">
        <v>103</v>
      </c>
      <c r="B122" s="97">
        <v>0</v>
      </c>
      <c r="C122" s="97" t="s">
        <v>105</v>
      </c>
      <c r="D122" s="97">
        <v>2</v>
      </c>
      <c r="E122" s="97" t="s">
        <v>104</v>
      </c>
      <c r="F122" s="97">
        <v>1</v>
      </c>
      <c r="G122" s="97" t="s">
        <v>117</v>
      </c>
      <c r="H122" s="97">
        <f ca="1">--TRIM(RIGHT(SUBSTITUTE(LEFT(C121,_xlfn.AGGREGATE(16,6,FIND({0,1,2,3,4,5,6,7,8,9},C121,ROW(INDIRECT("1:"&amp;LEN(C121)))),1))," ",REPT(" ",LEN(C121))),LEN(C121)))</f>
        <v>25</v>
      </c>
      <c r="I122" s="15"/>
      <c r="J122" s="17"/>
      <c r="K122" s="17"/>
    </row>
    <row r="123" spans="1:11" ht="32.25" customHeight="1" x14ac:dyDescent="0.25">
      <c r="A123" s="139" t="s">
        <v>128</v>
      </c>
      <c r="B123" s="139"/>
      <c r="C123" s="103" t="str">
        <f ca="1">I121</f>
        <v>Excavation work Completed. Plinth work completed, RCC Slab, Brickwork, Internal Plaster, External Plaster, Flooring upto 13 Floor, Painting upto 11 Floor Completed</v>
      </c>
      <c r="D123" s="103"/>
      <c r="E123" s="103"/>
      <c r="F123" s="103"/>
      <c r="G123" s="103"/>
      <c r="H123" s="103"/>
      <c r="I123" s="15" t="s">
        <v>145</v>
      </c>
      <c r="J123" s="17"/>
      <c r="K123" s="17"/>
    </row>
    <row r="124" spans="1:11" ht="17.25" customHeight="1" x14ac:dyDescent="0.25">
      <c r="A124" s="104" t="s">
        <v>52</v>
      </c>
      <c r="B124" s="104"/>
      <c r="C124" s="89" t="s">
        <v>199</v>
      </c>
      <c r="D124" s="89" t="s">
        <v>120</v>
      </c>
      <c r="E124" s="104" t="s">
        <v>122</v>
      </c>
      <c r="F124" s="104"/>
      <c r="G124" s="104" t="s">
        <v>121</v>
      </c>
      <c r="H124" s="104"/>
      <c r="I124" s="34" t="s">
        <v>200</v>
      </c>
      <c r="J124" s="18">
        <f ca="1">H122*25%</f>
        <v>6.25</v>
      </c>
      <c r="K124" s="18"/>
    </row>
    <row r="125" spans="1:11" x14ac:dyDescent="0.25">
      <c r="A125" s="104" t="s">
        <v>201</v>
      </c>
      <c r="B125" s="104"/>
      <c r="C125" s="52">
        <v>25</v>
      </c>
      <c r="D125" s="90">
        <f ca="1">((100/H122)*C125)/100</f>
        <v>1</v>
      </c>
      <c r="E125" s="105">
        <f ca="1">(((C126/H122*10)+(40/(D122+F122+H122)*C127)+(7.5/(H122)*C128)+(7.5/(H122)*C129)+(10/H122*C130)+(10/H122*C131)+(5/H122*C132)+(5/H122*C133)+(5/H122*C134))/100)</f>
        <v>0.82400000000000007</v>
      </c>
      <c r="F125" s="105"/>
      <c r="G125" s="105">
        <f ca="1">((((C125/H122)*20)+((C126/H122)*25)+(30/(H122+F122+D122)*C127)+(5/H122*C128)+(5/H122*C129)+(5/H122*C130)+(5/H122*C131)+(0/H122*C132)+(0/H122*C133)+(5/H122*C134))/100)</f>
        <v>0.92599999999999993</v>
      </c>
      <c r="H125" s="105"/>
      <c r="I125" s="34" t="s">
        <v>139</v>
      </c>
      <c r="J125" s="36">
        <f ca="1">H122*50%</f>
        <v>12.5</v>
      </c>
      <c r="K125" s="18"/>
    </row>
    <row r="126" spans="1:11" x14ac:dyDescent="0.25">
      <c r="A126" s="104" t="s">
        <v>53</v>
      </c>
      <c r="B126" s="104"/>
      <c r="C126" s="53">
        <v>25</v>
      </c>
      <c r="D126" s="90">
        <f ca="1">((100/H122)*C126)/100</f>
        <v>1</v>
      </c>
      <c r="E126" s="105"/>
      <c r="F126" s="105"/>
      <c r="G126" s="105"/>
      <c r="H126" s="105"/>
      <c r="I126" s="34" t="s">
        <v>140</v>
      </c>
      <c r="J126" s="36">
        <f ca="1">H122</f>
        <v>25</v>
      </c>
      <c r="K126" s="19">
        <v>0.02</v>
      </c>
    </row>
    <row r="127" spans="1:11" x14ac:dyDescent="0.25">
      <c r="A127" s="106" t="s">
        <v>202</v>
      </c>
      <c r="B127" s="106"/>
      <c r="C127" s="53">
        <f ca="1">D122+F122+H122</f>
        <v>28</v>
      </c>
      <c r="D127" s="90">
        <f ca="1">((100/(D122+F122+H122))*C127)/100</f>
        <v>1</v>
      </c>
      <c r="E127" s="105"/>
      <c r="F127" s="105"/>
      <c r="G127" s="105"/>
      <c r="H127" s="105"/>
      <c r="I127" s="34" t="s">
        <v>141</v>
      </c>
      <c r="J127" s="37">
        <f ca="1">(IF(B122&gt;1,(H122/(B122+2)),H122/4))</f>
        <v>6.25</v>
      </c>
      <c r="K127" s="19">
        <v>0.04</v>
      </c>
    </row>
    <row r="128" spans="1:11" ht="15.75" customHeight="1" x14ac:dyDescent="0.25">
      <c r="A128" s="104" t="s">
        <v>203</v>
      </c>
      <c r="B128" s="104" t="s">
        <v>204</v>
      </c>
      <c r="C128" s="53">
        <f ca="1">C127-D122-F122</f>
        <v>25</v>
      </c>
      <c r="D128" s="90">
        <f ca="1">((100/H122)*C128)/100</f>
        <v>1</v>
      </c>
      <c r="E128" s="105"/>
      <c r="F128" s="105"/>
      <c r="G128" s="105"/>
      <c r="H128" s="105"/>
      <c r="I128" s="34" t="s">
        <v>142</v>
      </c>
      <c r="J128" s="37">
        <f ca="1">(IF(B122&gt;1,(H122/(B122+2)+J127),H122/4+J127))</f>
        <v>12.5</v>
      </c>
      <c r="K128" s="19">
        <v>0.08</v>
      </c>
    </row>
    <row r="129" spans="1:11" ht="15.75" customHeight="1" x14ac:dyDescent="0.25">
      <c r="A129" s="104" t="s">
        <v>205</v>
      </c>
      <c r="B129" s="104" t="s">
        <v>204</v>
      </c>
      <c r="C129" s="53">
        <v>25</v>
      </c>
      <c r="D129" s="90">
        <f ca="1">((100/H122)*C129)/100</f>
        <v>1</v>
      </c>
      <c r="E129" s="105"/>
      <c r="F129" s="105"/>
      <c r="G129" s="105"/>
      <c r="H129" s="105"/>
      <c r="I129" s="34" t="s">
        <v>206</v>
      </c>
      <c r="J129" s="37">
        <f>(IF(B122&gt;1,(H122/(B122+2)+J128),0))</f>
        <v>0</v>
      </c>
      <c r="K129" s="19">
        <v>0.15</v>
      </c>
    </row>
    <row r="130" spans="1:11" ht="15" customHeight="1" x14ac:dyDescent="0.25">
      <c r="A130" s="104" t="s">
        <v>207</v>
      </c>
      <c r="B130" s="104" t="s">
        <v>208</v>
      </c>
      <c r="C130" s="53">
        <v>25</v>
      </c>
      <c r="D130" s="90">
        <f ca="1">((100/(H122))*C130)/100</f>
        <v>1</v>
      </c>
      <c r="E130" s="105"/>
      <c r="F130" s="105"/>
      <c r="G130" s="105"/>
      <c r="H130" s="105"/>
      <c r="I130" s="34" t="s">
        <v>209</v>
      </c>
      <c r="J130" s="37">
        <f>(IF(B122&gt;2,(H122/(B122+2)+J129),0))</f>
        <v>0</v>
      </c>
      <c r="K130" s="19">
        <v>0.2</v>
      </c>
    </row>
    <row r="131" spans="1:11" ht="16.5" customHeight="1" thickBot="1" x14ac:dyDescent="0.3">
      <c r="A131" s="104" t="s">
        <v>210</v>
      </c>
      <c r="B131" s="104" t="s">
        <v>210</v>
      </c>
      <c r="C131" s="52">
        <v>13</v>
      </c>
      <c r="D131" s="90">
        <f ca="1">((100/H122)*C131)/100</f>
        <v>0.52</v>
      </c>
      <c r="E131" s="105"/>
      <c r="F131" s="105"/>
      <c r="G131" s="105"/>
      <c r="H131" s="105"/>
      <c r="I131" s="34" t="s">
        <v>211</v>
      </c>
      <c r="J131" s="38">
        <f>(IF(B122&gt;3,(H122/(B122+2)+J130),0))</f>
        <v>0</v>
      </c>
      <c r="K131" s="20">
        <v>0.3</v>
      </c>
    </row>
    <row r="132" spans="1:11" ht="15.75" customHeight="1" x14ac:dyDescent="0.25">
      <c r="A132" s="104" t="s">
        <v>212</v>
      </c>
      <c r="B132" s="104"/>
      <c r="C132" s="52">
        <v>11</v>
      </c>
      <c r="D132" s="90">
        <f ca="1">((100/H122)*C132)/100</f>
        <v>0.44</v>
      </c>
      <c r="E132" s="105"/>
      <c r="F132" s="105"/>
      <c r="G132" s="105"/>
      <c r="H132" s="105"/>
      <c r="I132" s="34" t="s">
        <v>213</v>
      </c>
      <c r="J132" s="37">
        <f>(IF(B122&gt;4,(H122/(B122+2)+J131),0))</f>
        <v>0</v>
      </c>
      <c r="K132" s="19">
        <v>0.15</v>
      </c>
    </row>
    <row r="133" spans="1:11" ht="15" customHeight="1" x14ac:dyDescent="0.25">
      <c r="A133" s="104" t="s">
        <v>214</v>
      </c>
      <c r="B133" s="104" t="s">
        <v>214</v>
      </c>
      <c r="C133" s="52">
        <v>0</v>
      </c>
      <c r="D133" s="90">
        <f ca="1">((100/(H122))*C133)/100</f>
        <v>0</v>
      </c>
      <c r="E133" s="105"/>
      <c r="F133" s="105"/>
      <c r="G133" s="105"/>
      <c r="H133" s="105"/>
      <c r="I133" s="34" t="s">
        <v>143</v>
      </c>
      <c r="J133" s="37">
        <f ca="1">(IF(B122=1,(H122/(B122+3)+J128),IF(B122=0,(H122/4+J128),IF(B122&gt;1,0))))</f>
        <v>18.75</v>
      </c>
      <c r="K133" s="19">
        <v>0.2</v>
      </c>
    </row>
    <row r="134" spans="1:11" ht="16.5" thickBot="1" x14ac:dyDescent="0.3">
      <c r="A134" s="104" t="s">
        <v>215</v>
      </c>
      <c r="B134" s="104"/>
      <c r="C134" s="52">
        <v>0</v>
      </c>
      <c r="D134" s="90">
        <f ca="1">((100/(H122))*C134)/100</f>
        <v>0</v>
      </c>
      <c r="E134" s="105"/>
      <c r="F134" s="105"/>
      <c r="G134" s="105"/>
      <c r="H134" s="105"/>
      <c r="I134" s="35" t="s">
        <v>144</v>
      </c>
      <c r="J134" s="39">
        <f ca="1">(IF(B122&gt;1.5,(H122/(B122+2)+J128+MAX(0,J129-J128)+MAX(0,J130-J129)+MAX(0,J131-J130)+MAX(0,J132-J131)+MAX(0,J133-J132)),IF(B122=1,(H122/(B122+3)+J133),IF(B122=0,H122/4+J133))))</f>
        <v>25</v>
      </c>
      <c r="K134" s="20">
        <v>0.3</v>
      </c>
    </row>
    <row r="135" spans="1:11" x14ac:dyDescent="0.25">
      <c r="A135" s="163" t="s">
        <v>198</v>
      </c>
      <c r="B135" s="163"/>
      <c r="C135" s="103" t="s">
        <v>273</v>
      </c>
      <c r="D135" s="103"/>
      <c r="E135" s="103"/>
      <c r="F135" s="103"/>
      <c r="G135" s="103"/>
      <c r="H135" s="103"/>
      <c r="I135" s="33" t="str">
        <f ca="1">(IF(E139&gt;99%,"All work completed. Please provide OC.",IF(E139&gt;89.8%,"Plinth, RCC, Brick, Plaster, Flooring, Painting work Completed. Finishing work is in process.",IF(E139&lt;94%,(IF(C139=0,"Work not yet Started.",IF(D139=25%,"Piling work in process",IF(D139=50%,"Excavation work in process",IF(D139=100%,"Excavation work Completed. ","0")))&amp;(IF(C140=0%,"",IF(C140=J141,"Footing work is process",IF(C140=J142,"Footing work Completed",IF(C140=J143,"1st Basement Completed",IF(C140=J144,"1st &amp; 2nd Basement Completed",IF(C140=J145,"1st to 3rd Basement Completed",IF(C140=J146,"1st to 4th Basement Completed",IF(C140=J147,"Plinth work is process",IF(C140=J148,"Plinth work completed","0")))))))))))&amp;(IF(C141=(D136+F136+H136),", RCC Slab",IF(C141&gt;0,", RCC upto "&amp;C141&amp;" Slab",""))&amp;(IF(C142=H136,", Brickwork",IF(C142&gt;0,", Brickwork upto "&amp;C142&amp;" Floor",""))&amp;(IF(C143=H136,", Internal Plaster",IF(C143&gt;0,", Internal Plaster upto "&amp;C143&amp;" Floor",""))&amp;(IF(C144=H136,", External Plaster",IF(C144&gt;0,", External Plaster upto "&amp;C144&amp;" Floor",""))&amp;(IF(C145=H136,", Flooring",IF(C145&gt;0,", Flooring upto "&amp;C145&amp;" Floor",""))&amp;(IF(C146=H136,", Painting",IF(C146&gt;0,", Painting upto "&amp;C146&amp;" Floor",""))&amp;(IF(C147&gt;0,", Finishing upto "&amp;C147&amp;" Floor","")&amp;(IF(C141&gt;0.5," Completed",""))))))))))))))</f>
        <v>Excavation work Completed. Plinth work completed, RCC upto 27 Slab, Brickwork upto 24 Floor, Internal Plaster upto 22 Floor, External Plaster upto 17 Floor Completed</v>
      </c>
      <c r="J135" s="16"/>
      <c r="K135" s="16"/>
    </row>
    <row r="136" spans="1:11" x14ac:dyDescent="0.25">
      <c r="A136" s="91" t="s">
        <v>103</v>
      </c>
      <c r="B136" s="91">
        <v>0</v>
      </c>
      <c r="C136" s="91" t="s">
        <v>105</v>
      </c>
      <c r="D136" s="91">
        <v>2</v>
      </c>
      <c r="E136" s="91" t="s">
        <v>104</v>
      </c>
      <c r="F136" s="91">
        <v>1</v>
      </c>
      <c r="G136" s="91" t="s">
        <v>117</v>
      </c>
      <c r="H136" s="91">
        <f ca="1">--TRIM(RIGHT(SUBSTITUTE(LEFT(C135,_xlfn.AGGREGATE(16,6,FIND({0,1,2,3,4,5,6,7,8,9},C135,ROW(INDIRECT("1:"&amp;LEN(C135)))),1))," ",REPT(" ",LEN(C135))),LEN(C135)))</f>
        <v>25</v>
      </c>
      <c r="I136" s="15"/>
      <c r="J136" s="17"/>
      <c r="K136" s="17"/>
    </row>
    <row r="137" spans="1:11" ht="32.25" customHeight="1" x14ac:dyDescent="0.25">
      <c r="A137" s="139" t="s">
        <v>128</v>
      </c>
      <c r="B137" s="139"/>
      <c r="C137" s="103" t="str">
        <f ca="1">I135</f>
        <v>Excavation work Completed. Plinth work completed, RCC upto 27 Slab, Brickwork upto 24 Floor, Internal Plaster upto 22 Floor, External Plaster upto 17 Floor Completed</v>
      </c>
      <c r="D137" s="103"/>
      <c r="E137" s="103"/>
      <c r="F137" s="103"/>
      <c r="G137" s="103"/>
      <c r="H137" s="103"/>
      <c r="I137" s="15" t="s">
        <v>145</v>
      </c>
      <c r="J137" s="17"/>
      <c r="K137" s="17"/>
    </row>
    <row r="138" spans="1:11" ht="17.25" customHeight="1" x14ac:dyDescent="0.25">
      <c r="A138" s="104" t="s">
        <v>52</v>
      </c>
      <c r="B138" s="104"/>
      <c r="C138" s="89" t="s">
        <v>199</v>
      </c>
      <c r="D138" s="89" t="s">
        <v>120</v>
      </c>
      <c r="E138" s="104" t="s">
        <v>122</v>
      </c>
      <c r="F138" s="104"/>
      <c r="G138" s="104" t="s">
        <v>121</v>
      </c>
      <c r="H138" s="104"/>
      <c r="I138" s="34" t="s">
        <v>200</v>
      </c>
      <c r="J138" s="18">
        <f ca="1">H136*25%</f>
        <v>6.25</v>
      </c>
      <c r="K138" s="18"/>
    </row>
    <row r="139" spans="1:11" x14ac:dyDescent="0.25">
      <c r="A139" s="120" t="s">
        <v>201</v>
      </c>
      <c r="B139" s="104"/>
      <c r="C139" s="52">
        <v>25</v>
      </c>
      <c r="D139" s="74">
        <f ca="1">((100/H136)*C139)/100</f>
        <v>1</v>
      </c>
      <c r="E139" s="105">
        <f ca="1">(((C140/H136*10)+(40/(D136+F136+H136)*C141)+(7.5/(H136)*C142)+(7.5/(H136)*C143)+(10/H136*C144)+(10/H136*C145)+(5/H136*C146)+(5/H136*C147)+(5/H136*C148))/100)</f>
        <v>0.69171428571428573</v>
      </c>
      <c r="F139" s="105"/>
      <c r="G139" s="105">
        <f ca="1">((((C139/H136)*20)+((C140/H136)*25)+(30/(H136+F136+D136)*C141)+(5/H136*C142)+(5/H136*C143)+(5/H136*C144)+(5/H136*C145)+(0/H136*C146)+(0/H136*C147)+(5/H136*C148))/100)</f>
        <v>0.86528571428571444</v>
      </c>
      <c r="H139" s="117"/>
      <c r="I139" s="34" t="s">
        <v>139</v>
      </c>
      <c r="J139" s="36">
        <f ca="1">H136*50%</f>
        <v>12.5</v>
      </c>
      <c r="K139" s="18"/>
    </row>
    <row r="140" spans="1:11" x14ac:dyDescent="0.25">
      <c r="A140" s="120" t="s">
        <v>53</v>
      </c>
      <c r="B140" s="104"/>
      <c r="C140" s="53">
        <v>25</v>
      </c>
      <c r="D140" s="74">
        <f ca="1">((100/H136)*C140)/100</f>
        <v>1</v>
      </c>
      <c r="E140" s="105"/>
      <c r="F140" s="105"/>
      <c r="G140" s="105"/>
      <c r="H140" s="117"/>
      <c r="I140" s="34" t="s">
        <v>140</v>
      </c>
      <c r="J140" s="36">
        <f ca="1">H136</f>
        <v>25</v>
      </c>
      <c r="K140" s="19">
        <v>0.02</v>
      </c>
    </row>
    <row r="141" spans="1:11" x14ac:dyDescent="0.25">
      <c r="A141" s="121" t="s">
        <v>202</v>
      </c>
      <c r="B141" s="106"/>
      <c r="C141" s="53">
        <v>27</v>
      </c>
      <c r="D141" s="74">
        <f ca="1">((100/(D136+F136+H136))*C141)/100</f>
        <v>0.9642857142857143</v>
      </c>
      <c r="E141" s="105"/>
      <c r="F141" s="105"/>
      <c r="G141" s="105"/>
      <c r="H141" s="117"/>
      <c r="I141" s="34" t="s">
        <v>141</v>
      </c>
      <c r="J141" s="37">
        <f ca="1">(IF(B136&gt;1,(H136/(B136+2)),H136/4))</f>
        <v>6.25</v>
      </c>
      <c r="K141" s="19">
        <v>0.04</v>
      </c>
    </row>
    <row r="142" spans="1:11" x14ac:dyDescent="0.25">
      <c r="A142" s="120" t="s">
        <v>203</v>
      </c>
      <c r="B142" s="104" t="s">
        <v>204</v>
      </c>
      <c r="C142" s="53">
        <f>C141-D136-F136</f>
        <v>24</v>
      </c>
      <c r="D142" s="74">
        <f ca="1">((100/H136)*C142)/100</f>
        <v>0.96</v>
      </c>
      <c r="E142" s="105"/>
      <c r="F142" s="105"/>
      <c r="G142" s="105"/>
      <c r="H142" s="117"/>
      <c r="I142" s="34" t="s">
        <v>142</v>
      </c>
      <c r="J142" s="37">
        <f ca="1">(IF(B136&gt;1,(H136/(B136+2)+J141),H136/4+J141))</f>
        <v>12.5</v>
      </c>
      <c r="K142" s="19">
        <v>0.08</v>
      </c>
    </row>
    <row r="143" spans="1:11" x14ac:dyDescent="0.25">
      <c r="A143" s="120" t="s">
        <v>205</v>
      </c>
      <c r="B143" s="104" t="s">
        <v>204</v>
      </c>
      <c r="C143" s="53">
        <v>22</v>
      </c>
      <c r="D143" s="74">
        <f ca="1">((100/H136)*C143)/100</f>
        <v>0.88</v>
      </c>
      <c r="E143" s="105"/>
      <c r="F143" s="105"/>
      <c r="G143" s="105"/>
      <c r="H143" s="117"/>
      <c r="I143" s="34" t="s">
        <v>206</v>
      </c>
      <c r="J143" s="37">
        <f>(IF(B136&gt;1,(H136/(B136+2)+J142),0))</f>
        <v>0</v>
      </c>
      <c r="K143" s="19">
        <v>0.15</v>
      </c>
    </row>
    <row r="144" spans="1:11" ht="15" customHeight="1" x14ac:dyDescent="0.25">
      <c r="A144" s="120" t="s">
        <v>207</v>
      </c>
      <c r="B144" s="104" t="s">
        <v>208</v>
      </c>
      <c r="C144" s="53">
        <v>17</v>
      </c>
      <c r="D144" s="74">
        <f ca="1">((100/(H136))*C144)/100</f>
        <v>0.68</v>
      </c>
      <c r="E144" s="105"/>
      <c r="F144" s="105"/>
      <c r="G144" s="105"/>
      <c r="H144" s="117"/>
      <c r="I144" s="34" t="s">
        <v>209</v>
      </c>
      <c r="J144" s="37">
        <f>(IF(B136&gt;2,(H136/(B136+2)+J143),0))</f>
        <v>0</v>
      </c>
      <c r="K144" s="19">
        <v>0.2</v>
      </c>
    </row>
    <row r="145" spans="1:11" ht="16.5" thickBot="1" x14ac:dyDescent="0.3">
      <c r="A145" s="120" t="s">
        <v>210</v>
      </c>
      <c r="B145" s="104" t="s">
        <v>210</v>
      </c>
      <c r="C145" s="52">
        <v>0</v>
      </c>
      <c r="D145" s="74">
        <f ca="1">((100/H136)*C145)/100</f>
        <v>0</v>
      </c>
      <c r="E145" s="105"/>
      <c r="F145" s="105"/>
      <c r="G145" s="105"/>
      <c r="H145" s="117"/>
      <c r="I145" s="34" t="s">
        <v>211</v>
      </c>
      <c r="J145" s="38">
        <f>(IF(B136&gt;3,(H136/(B136+2)+J144),0))</f>
        <v>0</v>
      </c>
      <c r="K145" s="20">
        <v>0.3</v>
      </c>
    </row>
    <row r="146" spans="1:11" x14ac:dyDescent="0.25">
      <c r="A146" s="120" t="s">
        <v>212</v>
      </c>
      <c r="B146" s="104"/>
      <c r="C146" s="52">
        <v>0</v>
      </c>
      <c r="D146" s="74">
        <f ca="1">((100/H136)*C146)/100</f>
        <v>0</v>
      </c>
      <c r="E146" s="105"/>
      <c r="F146" s="105"/>
      <c r="G146" s="105"/>
      <c r="H146" s="117"/>
      <c r="I146" s="34" t="s">
        <v>213</v>
      </c>
      <c r="J146" s="37">
        <f>(IF(B136&gt;4,(H136/(B136+2)+J145),0))</f>
        <v>0</v>
      </c>
      <c r="K146" s="19">
        <v>0.15</v>
      </c>
    </row>
    <row r="147" spans="1:11" ht="15" customHeight="1" x14ac:dyDescent="0.25">
      <c r="A147" s="120" t="s">
        <v>214</v>
      </c>
      <c r="B147" s="104" t="s">
        <v>214</v>
      </c>
      <c r="C147" s="52">
        <v>0</v>
      </c>
      <c r="D147" s="74">
        <f ca="1">((100/(H136))*C147)/100</f>
        <v>0</v>
      </c>
      <c r="E147" s="105"/>
      <c r="F147" s="105"/>
      <c r="G147" s="105"/>
      <c r="H147" s="117"/>
      <c r="I147" s="34" t="s">
        <v>143</v>
      </c>
      <c r="J147" s="37">
        <f ca="1">(IF(B136=1,(H136/(B136+3)+J142),IF(B136=0,(H136/4+J142),IF(B136&gt;1,0))))</f>
        <v>18.75</v>
      </c>
      <c r="K147" s="19">
        <v>0.2</v>
      </c>
    </row>
    <row r="148" spans="1:11" ht="16.5" thickBot="1" x14ac:dyDescent="0.3">
      <c r="A148" s="143" t="s">
        <v>215</v>
      </c>
      <c r="B148" s="144"/>
      <c r="C148" s="71">
        <v>0</v>
      </c>
      <c r="D148" s="75">
        <f ca="1">((100/(H136))*C148)/100</f>
        <v>0</v>
      </c>
      <c r="E148" s="118"/>
      <c r="F148" s="118"/>
      <c r="G148" s="118"/>
      <c r="H148" s="119"/>
      <c r="I148" s="35" t="s">
        <v>144</v>
      </c>
      <c r="J148" s="39">
        <f ca="1">(IF(B136&gt;1.5,(H136/(B136+2)+J142+MAX(0,J143-J142)+MAX(0,J144-J143)+MAX(0,J145-J144)+MAX(0,J146-J145)+MAX(0,J147-J146)),IF(B136=1,(H136/(B136+3)+J147),IF(B136=0,H136/4+J147))))</f>
        <v>25</v>
      </c>
      <c r="K148" s="20">
        <v>0.3</v>
      </c>
    </row>
    <row r="149" spans="1:11" x14ac:dyDescent="0.25">
      <c r="A149" s="220" t="s">
        <v>198</v>
      </c>
      <c r="B149" s="221"/>
      <c r="C149" s="158" t="s">
        <v>272</v>
      </c>
      <c r="D149" s="158"/>
      <c r="E149" s="158"/>
      <c r="F149" s="158"/>
      <c r="G149" s="158"/>
      <c r="H149" s="159"/>
      <c r="I149" s="33" t="str">
        <f ca="1">(IF(E153&gt;99%,"All work completed. Please provide OC.",IF(E153&gt;89.8%,"Plinth, RCC, Brick, Plaster, Flooring, Painting work Completed. Finishing work is in process.",IF(E153&lt;94%,(IF(C153=0,"Work not yet Started.",IF(D153=25%,"Piling work in process",IF(D153=50%,"Excavation work in process",IF(D153=100%,"Excavation work Completed. ","0")))&amp;(IF(C154=0%,"",IF(C154=J155,"Footing work is process",IF(C154=J156,"Footing work Completed",IF(C154=J157,"1st Basement Completed",IF(C154=J158,"1st &amp; 2nd Basement Completed",IF(C154=J159,"1st to 3rd Basement Completed",IF(C154=J160,"1st to 4th Basement Completed",IF(C154=J161,"Plinth work is process",IF(C154=J162,"Plinth work completed","0")))))))))))&amp;(IF(C155=(D150+F150+H150),", RCC Slab",IF(C155&gt;0,", RCC upto "&amp;C155&amp;" Slab",""))&amp;(IF(C156=H150,", Brickwork",IF(C156&gt;0,", Brickwork upto "&amp;C156&amp;" Floor",""))&amp;(IF(C157=H150,", Internal Plaster",IF(C157&gt;0,", Internal Plaster upto "&amp;C157&amp;" Floor",""))&amp;(IF(C158=H150,", External Plaster",IF(C158&gt;0,", External Plaster upto "&amp;C158&amp;" Floor",""))&amp;(IF(C159=H150,", Flooring",IF(C159&gt;0,", Flooring upto "&amp;C159&amp;" Floor",""))&amp;(IF(C160=H150,", Painting",IF(C160&gt;0,", Painting upto "&amp;C160&amp;" Floor",""))&amp;(IF(C161&gt;0,", Finishing upto "&amp;C161&amp;" Floor","")&amp;(IF(C155&gt;0.5," Completed",""))))))))))))))</f>
        <v>Excavation work Completed. Plinth work completed, RCC Slab, Brickwork, Internal Plaster, External Plaster upto 23 Floor, Flooring upto 11 Floor Completed</v>
      </c>
      <c r="J149" s="16"/>
      <c r="K149" s="16"/>
    </row>
    <row r="150" spans="1:11" x14ac:dyDescent="0.25">
      <c r="A150" s="83" t="s">
        <v>103</v>
      </c>
      <c r="B150" s="84">
        <v>0</v>
      </c>
      <c r="C150" s="84" t="s">
        <v>105</v>
      </c>
      <c r="D150" s="84">
        <v>2</v>
      </c>
      <c r="E150" s="84" t="s">
        <v>104</v>
      </c>
      <c r="F150" s="84">
        <v>1</v>
      </c>
      <c r="G150" s="84" t="s">
        <v>117</v>
      </c>
      <c r="H150" s="70">
        <f ca="1">--TRIM(RIGHT(SUBSTITUTE(LEFT(C149,_xlfn.AGGREGATE(16,6,FIND({0,1,2,3,4,5,6,7,8,9},C149,ROW(INDIRECT("1:"&amp;LEN(C149)))),1))," ",REPT(" ",LEN(C149))),LEN(C149)))</f>
        <v>25</v>
      </c>
      <c r="I150" s="15"/>
      <c r="J150" s="17"/>
      <c r="K150" s="17"/>
    </row>
    <row r="151" spans="1:11" ht="33" customHeight="1" x14ac:dyDescent="0.25">
      <c r="A151" s="139" t="s">
        <v>128</v>
      </c>
      <c r="B151" s="139"/>
      <c r="C151" s="103" t="str">
        <f ca="1">I149</f>
        <v>Excavation work Completed. Plinth work completed, RCC Slab, Brickwork, Internal Plaster, External Plaster upto 23 Floor, Flooring upto 11 Floor Completed</v>
      </c>
      <c r="D151" s="103"/>
      <c r="E151" s="103"/>
      <c r="F151" s="103"/>
      <c r="G151" s="103"/>
      <c r="H151" s="103"/>
      <c r="I151" s="15" t="s">
        <v>145</v>
      </c>
      <c r="J151" s="17"/>
      <c r="K151" s="17"/>
    </row>
    <row r="152" spans="1:11" ht="17.25" customHeight="1" x14ac:dyDescent="0.25">
      <c r="A152" s="104" t="s">
        <v>52</v>
      </c>
      <c r="B152" s="104"/>
      <c r="C152" s="96" t="s">
        <v>199</v>
      </c>
      <c r="D152" s="96" t="s">
        <v>120</v>
      </c>
      <c r="E152" s="104" t="s">
        <v>122</v>
      </c>
      <c r="F152" s="104"/>
      <c r="G152" s="104" t="s">
        <v>121</v>
      </c>
      <c r="H152" s="104"/>
      <c r="I152" s="34" t="s">
        <v>200</v>
      </c>
      <c r="J152" s="18">
        <f ca="1">H150*25%</f>
        <v>6.25</v>
      </c>
      <c r="K152" s="18"/>
    </row>
    <row r="153" spans="1:11" x14ac:dyDescent="0.25">
      <c r="A153" s="104" t="s">
        <v>201</v>
      </c>
      <c r="B153" s="104"/>
      <c r="C153" s="52">
        <v>25</v>
      </c>
      <c r="D153" s="95">
        <f ca="1">((100/H150)*C153)/100</f>
        <v>1</v>
      </c>
      <c r="E153" s="105">
        <f ca="1">(((C154/H150*10)+(40/(D150+F150+H150)*C155)+(7.5/(H150)*C156)+(7.5/(H150)*C157)+(10/H150*C158)+(10/H150*C159)+(5/H150*C160)+(5/H150*C161)+(5/H150*C162))/100)</f>
        <v>0.78600000000000003</v>
      </c>
      <c r="F153" s="105"/>
      <c r="G153" s="105">
        <f ca="1">((((C153/H150)*20)+((C154/H150)*25)+(30/(H150+F150+D150)*C155)+(5/H150*C156)+(5/H150*C157)+(5/H150*C158)+(5/H150*C159)+(0/H150*C160)+(0/H150*C161)+(5/H150*C162))/100)</f>
        <v>0.91799999999999993</v>
      </c>
      <c r="H153" s="105"/>
      <c r="I153" s="34" t="s">
        <v>139</v>
      </c>
      <c r="J153" s="36">
        <f ca="1">H150*50%</f>
        <v>12.5</v>
      </c>
      <c r="K153" s="18"/>
    </row>
    <row r="154" spans="1:11" x14ac:dyDescent="0.25">
      <c r="A154" s="104" t="s">
        <v>53</v>
      </c>
      <c r="B154" s="104"/>
      <c r="C154" s="53">
        <v>25</v>
      </c>
      <c r="D154" s="95">
        <f ca="1">((100/H150)*C154)/100</f>
        <v>1</v>
      </c>
      <c r="E154" s="105"/>
      <c r="F154" s="105"/>
      <c r="G154" s="105"/>
      <c r="H154" s="105"/>
      <c r="I154" s="34" t="s">
        <v>140</v>
      </c>
      <c r="J154" s="36">
        <f ca="1">H150</f>
        <v>25</v>
      </c>
      <c r="K154" s="19">
        <v>0.02</v>
      </c>
    </row>
    <row r="155" spans="1:11" x14ac:dyDescent="0.25">
      <c r="A155" s="106" t="s">
        <v>202</v>
      </c>
      <c r="B155" s="106"/>
      <c r="C155" s="53">
        <f ca="1">D150+F150+H150</f>
        <v>28</v>
      </c>
      <c r="D155" s="95">
        <f ca="1">((100/(D150+F150+H150))*C155)/100</f>
        <v>1</v>
      </c>
      <c r="E155" s="105"/>
      <c r="F155" s="105"/>
      <c r="G155" s="105"/>
      <c r="H155" s="105"/>
      <c r="I155" s="34" t="s">
        <v>141</v>
      </c>
      <c r="J155" s="37">
        <f ca="1">(IF(B150&gt;1,(H150/(B150+2)),H150/4))</f>
        <v>6.25</v>
      </c>
      <c r="K155" s="19">
        <v>0.04</v>
      </c>
    </row>
    <row r="156" spans="1:11" x14ac:dyDescent="0.25">
      <c r="A156" s="104" t="s">
        <v>203</v>
      </c>
      <c r="B156" s="104" t="s">
        <v>204</v>
      </c>
      <c r="C156" s="53">
        <f ca="1">C155-D150-F150</f>
        <v>25</v>
      </c>
      <c r="D156" s="95">
        <f ca="1">((100/H150)*C156)/100</f>
        <v>1</v>
      </c>
      <c r="E156" s="105"/>
      <c r="F156" s="105"/>
      <c r="G156" s="105"/>
      <c r="H156" s="105"/>
      <c r="I156" s="34" t="s">
        <v>142</v>
      </c>
      <c r="J156" s="37">
        <f ca="1">(IF(B150&gt;1,(H150/(B150+2)+J155),H150/4+J155))</f>
        <v>12.5</v>
      </c>
      <c r="K156" s="19">
        <v>0.08</v>
      </c>
    </row>
    <row r="157" spans="1:11" x14ac:dyDescent="0.25">
      <c r="A157" s="104" t="s">
        <v>205</v>
      </c>
      <c r="B157" s="104" t="s">
        <v>204</v>
      </c>
      <c r="C157" s="53">
        <v>25</v>
      </c>
      <c r="D157" s="95">
        <f ca="1">((100/H150)*C157)/100</f>
        <v>1</v>
      </c>
      <c r="E157" s="105"/>
      <c r="F157" s="105"/>
      <c r="G157" s="105"/>
      <c r="H157" s="105"/>
      <c r="I157" s="34" t="s">
        <v>206</v>
      </c>
      <c r="J157" s="37">
        <f>(IF(B150&gt;1,(H150/(B150+2)+J156),0))</f>
        <v>0</v>
      </c>
      <c r="K157" s="19">
        <v>0.15</v>
      </c>
    </row>
    <row r="158" spans="1:11" ht="15" customHeight="1" x14ac:dyDescent="0.25">
      <c r="A158" s="104" t="s">
        <v>207</v>
      </c>
      <c r="B158" s="104" t="s">
        <v>208</v>
      </c>
      <c r="C158" s="53">
        <v>23</v>
      </c>
      <c r="D158" s="95">
        <f ca="1">((100/(H150))*C158)/100</f>
        <v>0.92</v>
      </c>
      <c r="E158" s="105"/>
      <c r="F158" s="105"/>
      <c r="G158" s="105"/>
      <c r="H158" s="105"/>
      <c r="I158" s="34" t="s">
        <v>209</v>
      </c>
      <c r="J158" s="37">
        <f>(IF(B150&gt;2,(H150/(B150+2)+J157),0))</f>
        <v>0</v>
      </c>
      <c r="K158" s="19">
        <v>0.2</v>
      </c>
    </row>
    <row r="159" spans="1:11" ht="16.5" thickBot="1" x14ac:dyDescent="0.3">
      <c r="A159" s="104" t="s">
        <v>210</v>
      </c>
      <c r="B159" s="104" t="s">
        <v>210</v>
      </c>
      <c r="C159" s="52">
        <v>11</v>
      </c>
      <c r="D159" s="95">
        <f ca="1">((100/H150)*C159)/100</f>
        <v>0.44</v>
      </c>
      <c r="E159" s="105"/>
      <c r="F159" s="105"/>
      <c r="G159" s="105"/>
      <c r="H159" s="105"/>
      <c r="I159" s="34" t="s">
        <v>211</v>
      </c>
      <c r="J159" s="38">
        <f>(IF(B150&gt;3,(H150/(B150+2)+J158),0))</f>
        <v>0</v>
      </c>
      <c r="K159" s="20">
        <v>0.3</v>
      </c>
    </row>
    <row r="160" spans="1:11" x14ac:dyDescent="0.25">
      <c r="A160" s="104" t="s">
        <v>212</v>
      </c>
      <c r="B160" s="104"/>
      <c r="C160" s="52">
        <v>0</v>
      </c>
      <c r="D160" s="95">
        <f ca="1">((100/H150)*C160)/100</f>
        <v>0</v>
      </c>
      <c r="E160" s="105"/>
      <c r="F160" s="105"/>
      <c r="G160" s="105"/>
      <c r="H160" s="105"/>
      <c r="I160" s="34" t="s">
        <v>213</v>
      </c>
      <c r="J160" s="37">
        <f>(IF(B150&gt;4,(H150/(B150+2)+J159),0))</f>
        <v>0</v>
      </c>
      <c r="K160" s="19">
        <v>0.15</v>
      </c>
    </row>
    <row r="161" spans="1:11" ht="15" customHeight="1" x14ac:dyDescent="0.25">
      <c r="A161" s="104" t="s">
        <v>214</v>
      </c>
      <c r="B161" s="104" t="s">
        <v>214</v>
      </c>
      <c r="C161" s="52">
        <v>0</v>
      </c>
      <c r="D161" s="95">
        <f ca="1">((100/(H150))*C161)/100</f>
        <v>0</v>
      </c>
      <c r="E161" s="105"/>
      <c r="F161" s="105"/>
      <c r="G161" s="105"/>
      <c r="H161" s="105"/>
      <c r="I161" s="34" t="s">
        <v>143</v>
      </c>
      <c r="J161" s="37">
        <f ca="1">(IF(B150=1,(H150/(B150+3)+J156),IF(B150=0,(H150/4+J156),IF(B150&gt;1,0))))</f>
        <v>18.75</v>
      </c>
      <c r="K161" s="19">
        <v>0.2</v>
      </c>
    </row>
    <row r="162" spans="1:11" ht="16.5" thickBot="1" x14ac:dyDescent="0.3">
      <c r="A162" s="104" t="s">
        <v>215</v>
      </c>
      <c r="B162" s="104"/>
      <c r="C162" s="52">
        <v>0</v>
      </c>
      <c r="D162" s="95">
        <f ca="1">((100/(H150))*C162)/100</f>
        <v>0</v>
      </c>
      <c r="E162" s="105"/>
      <c r="F162" s="105"/>
      <c r="G162" s="105"/>
      <c r="H162" s="105"/>
      <c r="I162" s="35" t="s">
        <v>144</v>
      </c>
      <c r="J162" s="39">
        <f ca="1">(IF(B150&gt;1.5,(H150/(B150+2)+J156+MAX(0,J157-J156)+MAX(0,J158-J157)+MAX(0,J159-J158)+MAX(0,J160-J159)+MAX(0,J161-J160)),IF(B150=1,(H150/(B150+3)+J161),IF(B150=0,H150/4+J161))))</f>
        <v>25</v>
      </c>
      <c r="K162" s="20">
        <v>0.3</v>
      </c>
    </row>
    <row r="163" spans="1:11" ht="17.25" customHeight="1" x14ac:dyDescent="0.25">
      <c r="A163" s="134" t="s">
        <v>198</v>
      </c>
      <c r="B163" s="135"/>
      <c r="C163" s="136" t="s">
        <v>270</v>
      </c>
      <c r="D163" s="136"/>
      <c r="E163" s="136"/>
      <c r="F163" s="136"/>
      <c r="G163" s="136"/>
      <c r="H163" s="137"/>
      <c r="I163" s="33" t="str">
        <f ca="1">(IF(E167&gt;99%,"All work completed. Please provide OC.",IF(E167&gt;89.8%,"Plinth, RCC, Brick, Plaster, Flooring, Painting work Completed. Finishing work is in process.",IF(E167&lt;94%,(IF(C167=0,"Work not yet Started.",IF(D167=25%,"Piling work in process",IF(D167=50%,"Excavation work in process",IF(D167=100%,"Excavation work Completed. ","0")))&amp;(IF(C168=0%,"",IF(C168=J169,"Footing work is process",IF(C168=J170,"Footing work Completed",IF(C168=J171,"1st Basement Completed",IF(C168=J172,"1st &amp; 2nd Basement Completed",IF(C168=J173,"1st to 3rd Basement Completed",IF(C168=J174,"1st to 4th Basement Completed",IF(C168=J175,"Plinth work is process",IF(C168=J176,"Plinth work completed","0")))))))))))&amp;(IF(C169=(D164+F164+H164),", RCC Slab",IF(C169&gt;0,", RCC upto "&amp;C169&amp;" Slab",""))&amp;(IF(C170=H164,", Brickwork",IF(C170&gt;0,", Brickwork upto "&amp;C170&amp;" Floor",""))&amp;(IF(C171=H164,", Internal Plaster",IF(C171&gt;0,", Internal Plaster upto "&amp;C171&amp;" Floor",""))&amp;(IF(C172=H164,", External Plaster",IF(C172&gt;0,", External Plaster upto "&amp;C172&amp;" Floor",""))&amp;(IF(C173=H164,", Flooring",IF(C173&gt;0,", Flooring upto "&amp;C173&amp;" Floor",""))&amp;(IF(C174=H164,", Painting",IF(C174&gt;0,", Painting upto "&amp;C174&amp;" Floor",""))&amp;(IF(C175&gt;0,", Finishing upto "&amp;C175&amp;" Floor","")&amp;(IF(C169&gt;0.5," Completed",""))))))))))))))</f>
        <v>Excavation work Completed. Plinth work completed, RCC Slab, Brickwork, Internal Plaster, External Plaster upto 23 Floor, Flooring upto 10 Floor Completed</v>
      </c>
      <c r="J163" s="16"/>
      <c r="K163" s="16"/>
    </row>
    <row r="164" spans="1:11" x14ac:dyDescent="0.25">
      <c r="A164" s="80" t="s">
        <v>103</v>
      </c>
      <c r="B164" s="81">
        <v>0</v>
      </c>
      <c r="C164" s="81" t="s">
        <v>105</v>
      </c>
      <c r="D164" s="81">
        <v>2</v>
      </c>
      <c r="E164" s="81" t="s">
        <v>104</v>
      </c>
      <c r="F164" s="81">
        <v>1</v>
      </c>
      <c r="G164" s="81" t="s">
        <v>117</v>
      </c>
      <c r="H164" s="70">
        <f ca="1">--TRIM(RIGHT(SUBSTITUTE(LEFT(C163,_xlfn.AGGREGATE(16,6,FIND({0,1,2,3,4,5,6,7,8,9},C163,ROW(INDIRECT("1:"&amp;LEN(C163)))),1))," ",REPT(" ",LEN(C163))),LEN(C163)))</f>
        <v>25</v>
      </c>
      <c r="I164" s="15"/>
      <c r="J164" s="17"/>
      <c r="K164" s="17"/>
    </row>
    <row r="165" spans="1:11" ht="33" customHeight="1" x14ac:dyDescent="0.25">
      <c r="A165" s="138" t="s">
        <v>128</v>
      </c>
      <c r="B165" s="139"/>
      <c r="C165" s="103" t="str">
        <f ca="1">I163</f>
        <v>Excavation work Completed. Plinth work completed, RCC Slab, Brickwork, Internal Plaster, External Plaster upto 23 Floor, Flooring upto 10 Floor Completed</v>
      </c>
      <c r="D165" s="103"/>
      <c r="E165" s="103"/>
      <c r="F165" s="103"/>
      <c r="G165" s="103"/>
      <c r="H165" s="140"/>
      <c r="I165" s="15" t="s">
        <v>145</v>
      </c>
      <c r="J165" s="17"/>
      <c r="K165" s="17"/>
    </row>
    <row r="166" spans="1:11" ht="17.25" customHeight="1" x14ac:dyDescent="0.25">
      <c r="A166" s="120" t="s">
        <v>52</v>
      </c>
      <c r="B166" s="104"/>
      <c r="C166" s="79" t="s">
        <v>199</v>
      </c>
      <c r="D166" s="79" t="s">
        <v>120</v>
      </c>
      <c r="E166" s="104" t="s">
        <v>122</v>
      </c>
      <c r="F166" s="104"/>
      <c r="G166" s="104" t="s">
        <v>121</v>
      </c>
      <c r="H166" s="133"/>
      <c r="I166" s="34" t="s">
        <v>200</v>
      </c>
      <c r="J166" s="18">
        <f ca="1">H164*25%</f>
        <v>6.25</v>
      </c>
      <c r="K166" s="18"/>
    </row>
    <row r="167" spans="1:11" x14ac:dyDescent="0.25">
      <c r="A167" s="104" t="s">
        <v>201</v>
      </c>
      <c r="B167" s="104"/>
      <c r="C167" s="52">
        <v>25</v>
      </c>
      <c r="D167" s="90">
        <f ca="1">((100/H164)*C167)/100</f>
        <v>1</v>
      </c>
      <c r="E167" s="105">
        <f ca="1">(((C168/H164*10)+(40/(D164+F164+H164)*C169)+(7.5/(H164)*C170)+(7.5/(H164)*C171)+(10/H164*C172)+(10/H164*C173)+(5/H164*C174)+(5/H164*C175)+(5/H164*C176))/100)</f>
        <v>0.78200000000000003</v>
      </c>
      <c r="F167" s="105"/>
      <c r="G167" s="105">
        <f ca="1">((((C167/H164)*20)+((C168/H164)*25)+(30/(H164+F164+D164)*C169)+(5/H164*C170)+(5/H164*C171)+(5/H164*C172)+(5/H164*C173)+(0/H164*C174)+(0/H164*C175)+(5/H164*C176))/100)</f>
        <v>0.91599999999999993</v>
      </c>
      <c r="H167" s="105"/>
      <c r="I167" s="34" t="s">
        <v>139</v>
      </c>
      <c r="J167" s="36">
        <f ca="1">H164*50%</f>
        <v>12.5</v>
      </c>
      <c r="K167" s="18"/>
    </row>
    <row r="168" spans="1:11" x14ac:dyDescent="0.25">
      <c r="A168" s="104" t="s">
        <v>53</v>
      </c>
      <c r="B168" s="104"/>
      <c r="C168" s="53">
        <v>25</v>
      </c>
      <c r="D168" s="90">
        <f ca="1">((100/H164)*C168)/100</f>
        <v>1</v>
      </c>
      <c r="E168" s="105"/>
      <c r="F168" s="105"/>
      <c r="G168" s="105"/>
      <c r="H168" s="105"/>
      <c r="I168" s="34" t="s">
        <v>140</v>
      </c>
      <c r="J168" s="36">
        <f ca="1">H164</f>
        <v>25</v>
      </c>
      <c r="K168" s="19">
        <v>0.02</v>
      </c>
    </row>
    <row r="169" spans="1:11" x14ac:dyDescent="0.25">
      <c r="A169" s="106" t="s">
        <v>202</v>
      </c>
      <c r="B169" s="106"/>
      <c r="C169" s="53">
        <f>D164+F164+25</f>
        <v>28</v>
      </c>
      <c r="D169" s="90">
        <f ca="1">((100/(D164+F164+H164))*C169)/100</f>
        <v>1</v>
      </c>
      <c r="E169" s="105"/>
      <c r="F169" s="105"/>
      <c r="G169" s="105"/>
      <c r="H169" s="105"/>
      <c r="I169" s="34" t="s">
        <v>141</v>
      </c>
      <c r="J169" s="37">
        <f ca="1">(IF(B164&gt;1,(H164/(B164+2)),H164/4))</f>
        <v>6.25</v>
      </c>
      <c r="K169" s="19">
        <v>0.04</v>
      </c>
    </row>
    <row r="170" spans="1:11" x14ac:dyDescent="0.25">
      <c r="A170" s="104" t="s">
        <v>203</v>
      </c>
      <c r="B170" s="104" t="s">
        <v>204</v>
      </c>
      <c r="C170" s="53">
        <f>C169-D164-F164</f>
        <v>25</v>
      </c>
      <c r="D170" s="90">
        <f ca="1">((100/H164)*C170)/100</f>
        <v>1</v>
      </c>
      <c r="E170" s="105"/>
      <c r="F170" s="105"/>
      <c r="G170" s="105"/>
      <c r="H170" s="105"/>
      <c r="I170" s="34" t="s">
        <v>142</v>
      </c>
      <c r="J170" s="37">
        <f ca="1">(IF(B164&gt;1,(H164/(B164+2)+J169),H164/4+J169))</f>
        <v>12.5</v>
      </c>
      <c r="K170" s="19">
        <v>0.08</v>
      </c>
    </row>
    <row r="171" spans="1:11" x14ac:dyDescent="0.25">
      <c r="A171" s="104" t="s">
        <v>205</v>
      </c>
      <c r="B171" s="104" t="s">
        <v>204</v>
      </c>
      <c r="C171" s="53">
        <v>25</v>
      </c>
      <c r="D171" s="90">
        <f ca="1">((100/H164)*C171)/100</f>
        <v>1</v>
      </c>
      <c r="E171" s="105"/>
      <c r="F171" s="105"/>
      <c r="G171" s="105"/>
      <c r="H171" s="105"/>
      <c r="I171" s="34" t="s">
        <v>206</v>
      </c>
      <c r="J171" s="37">
        <f>(IF(B164&gt;1,(H164/(B164+2)+J170),0))</f>
        <v>0</v>
      </c>
      <c r="K171" s="19">
        <v>0.15</v>
      </c>
    </row>
    <row r="172" spans="1:11" ht="15" customHeight="1" x14ac:dyDescent="0.25">
      <c r="A172" s="104" t="s">
        <v>207</v>
      </c>
      <c r="B172" s="104" t="s">
        <v>208</v>
      </c>
      <c r="C172" s="53">
        <v>23</v>
      </c>
      <c r="D172" s="90">
        <f ca="1">((100/(H164))*C172)/100</f>
        <v>0.92</v>
      </c>
      <c r="E172" s="105"/>
      <c r="F172" s="105"/>
      <c r="G172" s="105"/>
      <c r="H172" s="105"/>
      <c r="I172" s="34" t="s">
        <v>209</v>
      </c>
      <c r="J172" s="37">
        <f>(IF(B164&gt;2,(H164/(B164+2)+J171),0))</f>
        <v>0</v>
      </c>
      <c r="K172" s="19">
        <v>0.2</v>
      </c>
    </row>
    <row r="173" spans="1:11" ht="16.5" thickBot="1" x14ac:dyDescent="0.3">
      <c r="A173" s="104" t="s">
        <v>210</v>
      </c>
      <c r="B173" s="104" t="s">
        <v>210</v>
      </c>
      <c r="C173" s="52">
        <v>10</v>
      </c>
      <c r="D173" s="90">
        <f ca="1">((100/H164)*C173)/100</f>
        <v>0.4</v>
      </c>
      <c r="E173" s="105"/>
      <c r="F173" s="105"/>
      <c r="G173" s="105"/>
      <c r="H173" s="105"/>
      <c r="I173" s="34" t="s">
        <v>211</v>
      </c>
      <c r="J173" s="38">
        <f>(IF(B164&gt;3,(H164/(B164+2)+J172),0))</f>
        <v>0</v>
      </c>
      <c r="K173" s="20">
        <v>0.3</v>
      </c>
    </row>
    <row r="174" spans="1:11" x14ac:dyDescent="0.25">
      <c r="A174" s="104" t="s">
        <v>212</v>
      </c>
      <c r="B174" s="104"/>
      <c r="C174" s="52">
        <v>0</v>
      </c>
      <c r="D174" s="90">
        <f ca="1">((100/H164)*C174)/100</f>
        <v>0</v>
      </c>
      <c r="E174" s="105"/>
      <c r="F174" s="105"/>
      <c r="G174" s="105"/>
      <c r="H174" s="105"/>
      <c r="I174" s="34" t="s">
        <v>213</v>
      </c>
      <c r="J174" s="37">
        <f>(IF(B164&gt;4,(H164/(B164+2)+J173),0))</f>
        <v>0</v>
      </c>
      <c r="K174" s="19">
        <v>0.15</v>
      </c>
    </row>
    <row r="175" spans="1:11" ht="15" customHeight="1" x14ac:dyDescent="0.25">
      <c r="A175" s="104" t="s">
        <v>214</v>
      </c>
      <c r="B175" s="104" t="s">
        <v>214</v>
      </c>
      <c r="C175" s="52">
        <v>0</v>
      </c>
      <c r="D175" s="90">
        <f ca="1">((100/(H164))*C175)/100</f>
        <v>0</v>
      </c>
      <c r="E175" s="105"/>
      <c r="F175" s="105"/>
      <c r="G175" s="105"/>
      <c r="H175" s="105"/>
      <c r="I175" s="34" t="s">
        <v>143</v>
      </c>
      <c r="J175" s="37">
        <f ca="1">(IF(B164=1,(H164/(B164+3)+J170),IF(B164=0,(H164/4+J170),IF(B164&gt;1,0))))</f>
        <v>18.75</v>
      </c>
      <c r="K175" s="19">
        <v>0.2</v>
      </c>
    </row>
    <row r="176" spans="1:11" ht="16.5" thickBot="1" x14ac:dyDescent="0.3">
      <c r="A176" s="104" t="s">
        <v>215</v>
      </c>
      <c r="B176" s="104"/>
      <c r="C176" s="52">
        <v>0</v>
      </c>
      <c r="D176" s="90">
        <f ca="1">((100/(H164))*C176)/100</f>
        <v>0</v>
      </c>
      <c r="E176" s="105"/>
      <c r="F176" s="105"/>
      <c r="G176" s="105"/>
      <c r="H176" s="105"/>
      <c r="I176" s="35" t="s">
        <v>144</v>
      </c>
      <c r="J176" s="39">
        <f ca="1">(IF(B164&gt;1.5,(H164/(B164+2)+J170+MAX(0,J171-J170)+MAX(0,J172-J171)+MAX(0,J173-J172)+MAX(0,J174-J173)+MAX(0,J175-J174)),IF(B164=1,(H164/(B164+3)+J175),IF(B164=0,H164/4+J175))))</f>
        <v>25</v>
      </c>
      <c r="K176" s="20">
        <v>0.3</v>
      </c>
    </row>
    <row r="177" spans="1:11" x14ac:dyDescent="0.25">
      <c r="A177" s="103" t="s">
        <v>198</v>
      </c>
      <c r="B177" s="103"/>
      <c r="C177" s="103" t="s">
        <v>293</v>
      </c>
      <c r="D177" s="103"/>
      <c r="E177" s="103"/>
      <c r="F177" s="103"/>
      <c r="G177" s="103"/>
      <c r="H177" s="103"/>
      <c r="I177" s="33" t="str">
        <f ca="1">(IF(E181&gt;99%,"All work completed. Please provide OC.",IF(E181&gt;89.8%,"Plinth, RCC, Brick, Plaster, Flooring, Painting work Completed. Finishing work is in process.",IF(E181&lt;94%,(IF(C181=0,"Work not yet Started.",IF(D181=25%,"Piling work in process",IF(D181=50%,"Excavation work in process",IF(D181=100%,"Excavation work Completed. ","0")))&amp;(IF(C182=0%,"",IF(C182=J183,"Footing work is process",IF(C182=J184,"Footing work Completed",IF(C182=J185,"1st Basement Completed",IF(C182=J186,"1st &amp; 2nd Basement Completed",IF(C182=J187,"1st to 3rd Basement Completed",IF(C182=J188,"1st to 4th Basement Completed",IF(C182=J189,"Plinth work is process",IF(C182=J190,"Plinth work completed","0")))))))))))&amp;(IF(C183=(D178+F178+H178),", RCC Slab",IF(C183&gt;0,", RCC upto "&amp;C183&amp;" Slab",""))&amp;(IF(C184=H178,", Brickwork",IF(C184&gt;0,", Brickwork upto "&amp;C184&amp;" Floor",""))&amp;(IF(C185=H178,", Internal Plaster",IF(C185&gt;0,", Internal Plaster upto "&amp;C185&amp;" Floor",""))&amp;(IF(C186=H178,", External Plaster",IF(C186&gt;0,", External Plaster upto "&amp;C186&amp;" Floor",""))&amp;(IF(C187=H178,", Flooring",IF(C187&gt;0,", Flooring upto "&amp;C187&amp;" Floor",""))&amp;(IF(C188=H178,", Painting",IF(C188&gt;0,", Painting upto "&amp;C188&amp;" Floor",""))&amp;(IF(C189&gt;0,", Finishing upto "&amp;C189&amp;" Floor","")&amp;(IF(C183&gt;0.5," Completed",""))))))))))))))</f>
        <v>Excavation work Completed. Plinth work completed, RCC Slab, Brickwork, Internal Plaster, External Plaster, Flooring upto 14 Floor, Painting upto 11 Floor Completed</v>
      </c>
      <c r="J177" s="16"/>
      <c r="K177" s="16"/>
    </row>
    <row r="178" spans="1:11" x14ac:dyDescent="0.25">
      <c r="A178" s="91" t="s">
        <v>103</v>
      </c>
      <c r="B178" s="91">
        <v>0</v>
      </c>
      <c r="C178" s="91" t="s">
        <v>105</v>
      </c>
      <c r="D178" s="91">
        <v>2</v>
      </c>
      <c r="E178" s="91" t="s">
        <v>104</v>
      </c>
      <c r="F178" s="91">
        <v>1</v>
      </c>
      <c r="G178" s="91" t="s">
        <v>117</v>
      </c>
      <c r="H178" s="91">
        <f ca="1">--TRIM(RIGHT(SUBSTITUTE(LEFT(C177,_xlfn.AGGREGATE(16,6,FIND({0,1,2,3,4,5,6,7,8,9},C177,ROW(INDIRECT("1:"&amp;LEN(C177)))),1))," ",REPT(" ",LEN(C177))),LEN(C177)))</f>
        <v>25</v>
      </c>
      <c r="I178" s="15"/>
      <c r="J178" s="17"/>
      <c r="K178" s="17"/>
    </row>
    <row r="179" spans="1:11" ht="47.1" customHeight="1" x14ac:dyDescent="0.25">
      <c r="A179" s="139" t="s">
        <v>128</v>
      </c>
      <c r="B179" s="139"/>
      <c r="C179" s="103" t="str">
        <f ca="1">I177</f>
        <v>Excavation work Completed. Plinth work completed, RCC Slab, Brickwork, Internal Plaster, External Plaster, Flooring upto 14 Floor, Painting upto 11 Floor Completed</v>
      </c>
      <c r="D179" s="103"/>
      <c r="E179" s="103"/>
      <c r="F179" s="103"/>
      <c r="G179" s="103"/>
      <c r="H179" s="103"/>
      <c r="I179" s="15" t="s">
        <v>145</v>
      </c>
      <c r="J179" s="17"/>
      <c r="K179" s="17"/>
    </row>
    <row r="180" spans="1:11" ht="15.75" customHeight="1" x14ac:dyDescent="0.25">
      <c r="A180" s="120" t="s">
        <v>52</v>
      </c>
      <c r="B180" s="104"/>
      <c r="C180" s="66" t="s">
        <v>199</v>
      </c>
      <c r="D180" s="66" t="s">
        <v>120</v>
      </c>
      <c r="E180" s="104" t="s">
        <v>122</v>
      </c>
      <c r="F180" s="104"/>
      <c r="G180" s="104" t="s">
        <v>121</v>
      </c>
      <c r="H180" s="133"/>
      <c r="I180" s="34" t="s">
        <v>200</v>
      </c>
      <c r="J180" s="18">
        <f ca="1">H178*25%</f>
        <v>6.25</v>
      </c>
      <c r="K180" s="18"/>
    </row>
    <row r="181" spans="1:11" x14ac:dyDescent="0.25">
      <c r="A181" s="120" t="s">
        <v>201</v>
      </c>
      <c r="B181" s="104"/>
      <c r="C181" s="52">
        <v>25</v>
      </c>
      <c r="D181" s="67">
        <f ca="1">((100/H178)*C181)/100</f>
        <v>1</v>
      </c>
      <c r="E181" s="105">
        <f ca="1">(((C182/H178*10)+(40/(D178+F178+H178)*C183)+(7.5/(H178)*C184)+(7.5/(H178)*C185)+(10/H178*C186)+(10/H178*C187)+(5/H178*C188)+(5/H178*C189)+(5/H178*C190))/100)</f>
        <v>0.82799999999999996</v>
      </c>
      <c r="F181" s="105"/>
      <c r="G181" s="105">
        <f ca="1">((((C181/H178)*20)+((C182/H178)*25)+(30/(H178+F178+D178)*C183)+(5/H178*C184)+(5/H178*C185)+(5/H178*C186)+(5/H178*C187)+(0/H178*C188)+(0/H178*C189)+(5/H178*C190))/100)</f>
        <v>0.92799999999999994</v>
      </c>
      <c r="H181" s="117"/>
      <c r="I181" s="34" t="s">
        <v>139</v>
      </c>
      <c r="J181" s="36">
        <f ca="1">H178*50%</f>
        <v>12.5</v>
      </c>
      <c r="K181" s="18"/>
    </row>
    <row r="182" spans="1:11" x14ac:dyDescent="0.25">
      <c r="A182" s="120" t="s">
        <v>53</v>
      </c>
      <c r="B182" s="104"/>
      <c r="C182" s="53">
        <v>25</v>
      </c>
      <c r="D182" s="67">
        <f ca="1">((100/H178)*C182)/100</f>
        <v>1</v>
      </c>
      <c r="E182" s="105"/>
      <c r="F182" s="105"/>
      <c r="G182" s="105"/>
      <c r="H182" s="117"/>
      <c r="I182" s="34" t="s">
        <v>140</v>
      </c>
      <c r="J182" s="36">
        <f ca="1">H178</f>
        <v>25</v>
      </c>
      <c r="K182" s="19">
        <v>0.02</v>
      </c>
    </row>
    <row r="183" spans="1:11" x14ac:dyDescent="0.25">
      <c r="A183" s="121" t="s">
        <v>202</v>
      </c>
      <c r="B183" s="106"/>
      <c r="C183" s="53">
        <f ca="1">D178+F178+H178</f>
        <v>28</v>
      </c>
      <c r="D183" s="67">
        <f ca="1">((100/(D178+F178+H178))*C183)/100</f>
        <v>1</v>
      </c>
      <c r="E183" s="105"/>
      <c r="F183" s="105"/>
      <c r="G183" s="105"/>
      <c r="H183" s="117"/>
      <c r="I183" s="34" t="s">
        <v>141</v>
      </c>
      <c r="J183" s="37">
        <f ca="1">(IF(B178&gt;1,(H178/(B178+2)),H178/4))</f>
        <v>6.25</v>
      </c>
      <c r="K183" s="19">
        <v>0.04</v>
      </c>
    </row>
    <row r="184" spans="1:11" x14ac:dyDescent="0.25">
      <c r="A184" s="120" t="s">
        <v>203</v>
      </c>
      <c r="B184" s="104" t="s">
        <v>204</v>
      </c>
      <c r="C184" s="53">
        <v>25</v>
      </c>
      <c r="D184" s="67">
        <f ca="1">((100/H178)*C184)/100</f>
        <v>1</v>
      </c>
      <c r="E184" s="105"/>
      <c r="F184" s="105"/>
      <c r="G184" s="105"/>
      <c r="H184" s="117"/>
      <c r="I184" s="34" t="s">
        <v>142</v>
      </c>
      <c r="J184" s="37">
        <f ca="1">(IF(B178&gt;1,(H178/(B178+2)+J183),H178/4+J183))</f>
        <v>12.5</v>
      </c>
      <c r="K184" s="19">
        <v>0.08</v>
      </c>
    </row>
    <row r="185" spans="1:11" x14ac:dyDescent="0.25">
      <c r="A185" s="120" t="s">
        <v>205</v>
      </c>
      <c r="B185" s="104" t="s">
        <v>204</v>
      </c>
      <c r="C185" s="53">
        <v>25</v>
      </c>
      <c r="D185" s="67">
        <f ca="1">((100/H178)*C185)/100</f>
        <v>1</v>
      </c>
      <c r="E185" s="105"/>
      <c r="F185" s="105"/>
      <c r="G185" s="105"/>
      <c r="H185" s="117"/>
      <c r="I185" s="34" t="s">
        <v>206</v>
      </c>
      <c r="J185" s="37">
        <f>(IF(B178&gt;1,(H178/(B178+2)+J184),0))</f>
        <v>0</v>
      </c>
      <c r="K185" s="19">
        <v>0.15</v>
      </c>
    </row>
    <row r="186" spans="1:11" ht="15" customHeight="1" x14ac:dyDescent="0.25">
      <c r="A186" s="120" t="s">
        <v>207</v>
      </c>
      <c r="B186" s="104" t="s">
        <v>208</v>
      </c>
      <c r="C186" s="53">
        <v>25</v>
      </c>
      <c r="D186" s="67">
        <f ca="1">((100/(H178))*C186)/100</f>
        <v>1</v>
      </c>
      <c r="E186" s="105"/>
      <c r="F186" s="105"/>
      <c r="G186" s="105"/>
      <c r="H186" s="117"/>
      <c r="I186" s="34" t="s">
        <v>209</v>
      </c>
      <c r="J186" s="37">
        <f>(IF(B178&gt;2,(H178/(B178+2)+J185),0))</f>
        <v>0</v>
      </c>
      <c r="K186" s="19">
        <v>0.2</v>
      </c>
    </row>
    <row r="187" spans="1:11" ht="16.5" thickBot="1" x14ac:dyDescent="0.3">
      <c r="A187" s="120" t="s">
        <v>210</v>
      </c>
      <c r="B187" s="104" t="s">
        <v>210</v>
      </c>
      <c r="C187" s="52">
        <v>14</v>
      </c>
      <c r="D187" s="67">
        <f ca="1">((100/H178)*C187)/100</f>
        <v>0.56000000000000005</v>
      </c>
      <c r="E187" s="105"/>
      <c r="F187" s="105"/>
      <c r="G187" s="105"/>
      <c r="H187" s="117"/>
      <c r="I187" s="34" t="s">
        <v>211</v>
      </c>
      <c r="J187" s="38">
        <f>(IF(B178&gt;3,(H178/(B178+2)+J186),0))</f>
        <v>0</v>
      </c>
      <c r="K187" s="20">
        <v>0.3</v>
      </c>
    </row>
    <row r="188" spans="1:11" x14ac:dyDescent="0.25">
      <c r="A188" s="120" t="s">
        <v>212</v>
      </c>
      <c r="B188" s="104"/>
      <c r="C188" s="52">
        <v>11</v>
      </c>
      <c r="D188" s="67">
        <f ca="1">((100/H178)*C188)/100</f>
        <v>0.44</v>
      </c>
      <c r="E188" s="105"/>
      <c r="F188" s="105"/>
      <c r="G188" s="105"/>
      <c r="H188" s="117"/>
      <c r="I188" s="34" t="s">
        <v>213</v>
      </c>
      <c r="J188" s="37">
        <f>(IF(B178&gt;4,(H178/(B178+2)+J187),0))</f>
        <v>0</v>
      </c>
      <c r="K188" s="19">
        <v>0.15</v>
      </c>
    </row>
    <row r="189" spans="1:11" ht="15" customHeight="1" x14ac:dyDescent="0.25">
      <c r="A189" s="120" t="s">
        <v>214</v>
      </c>
      <c r="B189" s="104" t="s">
        <v>214</v>
      </c>
      <c r="C189" s="52">
        <v>0</v>
      </c>
      <c r="D189" s="67">
        <f ca="1">((100/(H178))*C189)/100</f>
        <v>0</v>
      </c>
      <c r="E189" s="105"/>
      <c r="F189" s="105"/>
      <c r="G189" s="105"/>
      <c r="H189" s="117"/>
      <c r="I189" s="34" t="s">
        <v>143</v>
      </c>
      <c r="J189" s="37">
        <f ca="1">(IF(B178=1,(H178/(B178+3)+J184),IF(B178=0,(H178/4+J184),IF(B178&gt;1,0))))</f>
        <v>18.75</v>
      </c>
      <c r="K189" s="19">
        <v>0.2</v>
      </c>
    </row>
    <row r="190" spans="1:11" ht="16.5" thickBot="1" x14ac:dyDescent="0.3">
      <c r="A190" s="143" t="s">
        <v>215</v>
      </c>
      <c r="B190" s="144"/>
      <c r="C190" s="71">
        <v>0</v>
      </c>
      <c r="D190" s="72">
        <f ca="1">((100/(H178))*C190)/100</f>
        <v>0</v>
      </c>
      <c r="E190" s="118"/>
      <c r="F190" s="118"/>
      <c r="G190" s="118"/>
      <c r="H190" s="119"/>
      <c r="I190" s="35" t="s">
        <v>144</v>
      </c>
      <c r="J190" s="39">
        <f ca="1">(IF(B178&gt;1.5,(H178/(B178+2)+J184+MAX(0,J185-J184)+MAX(0,J186-J185)+MAX(0,J187-J186)+MAX(0,J188-J187)+MAX(0,J189-J188)),IF(B178=1,(H178/(B178+3)+J189),IF(B178=0,H178/4+J189))))</f>
        <v>25</v>
      </c>
      <c r="K190" s="20">
        <v>0.3</v>
      </c>
    </row>
    <row r="191" spans="1:11" x14ac:dyDescent="0.25">
      <c r="A191" s="103" t="s">
        <v>198</v>
      </c>
      <c r="B191" s="103"/>
      <c r="C191" s="103" t="s">
        <v>292</v>
      </c>
      <c r="D191" s="103"/>
      <c r="E191" s="103"/>
      <c r="F191" s="103"/>
      <c r="G191" s="103"/>
      <c r="H191" s="103"/>
      <c r="I191" s="33" t="str">
        <f ca="1">(IF(E195&gt;99%,"All work completed. Please provide OC.",IF(E195&gt;89.8%,"Plinth, RCC, Brick, Plaster, Flooring, Painting work Completed. Finishing work is in process.",IF(E195&lt;94%,(IF(C195=0,"Work not yet Started.",IF(D195=25%,"Piling work in process",IF(D195=50%,"Excavation work in process",IF(D195=100%,"Excavation work Completed. ","0")))&amp;(IF(C196=0%,"",IF(C196=J197,"Footing work is process",IF(C196=J198,"Footing work Completed",IF(C196=J199,"1st Basement Completed",IF(C196=J200,"1st &amp; 2nd Basement Completed",IF(C196=J201,"1st to 3rd Basement Completed",IF(C196=J202,"1st to 4th Basement Completed",IF(C196=J203,"Plinth work is process",IF(C196=J204,"Plinth work completed","0")))))))))))&amp;(IF(C197=(D192+F192+H192),", RCC Slab",IF(C197&gt;0,", RCC upto "&amp;C197&amp;" Slab",""))&amp;(IF(C198=H192,", Brickwork",IF(C198&gt;0,", Brickwork upto "&amp;C198&amp;" Floor",""))&amp;(IF(C199=H192,", Internal Plaster",IF(C199&gt;0,", Internal Plaster upto "&amp;C199&amp;" Floor",""))&amp;(IF(C200=H192,", External Plaster",IF(C200&gt;0,", External Plaster upto "&amp;C200&amp;" Floor",""))&amp;(IF(C201=H192,", Flooring",IF(C201&gt;0,", Flooring upto "&amp;C201&amp;" Floor",""))&amp;(IF(C202=H192,", Painting",IF(C202&gt;0,", Painting upto "&amp;C202&amp;" Floor",""))&amp;(IF(C203&gt;0,", Finishing upto "&amp;C203&amp;" Floor","")&amp;(IF(C197&gt;0.5," Completed",""))))))))))))))</f>
        <v>Excavation work Completed. Plinth work completed, RCC Slab, Brickwork, Internal Plaster, External Plaster, Flooring upto 18 Floor, Painting upto 12 Floor Completed</v>
      </c>
      <c r="J191" s="16"/>
      <c r="K191" s="16"/>
    </row>
    <row r="192" spans="1:11" x14ac:dyDescent="0.25">
      <c r="A192" s="97" t="s">
        <v>103</v>
      </c>
      <c r="B192" s="97">
        <v>0</v>
      </c>
      <c r="C192" s="97" t="s">
        <v>105</v>
      </c>
      <c r="D192" s="97">
        <v>2</v>
      </c>
      <c r="E192" s="97" t="s">
        <v>104</v>
      </c>
      <c r="F192" s="97">
        <v>1</v>
      </c>
      <c r="G192" s="97" t="s">
        <v>117</v>
      </c>
      <c r="H192" s="97">
        <f ca="1">--TRIM(RIGHT(SUBSTITUTE(LEFT(C191,_xlfn.AGGREGATE(16,6,FIND({0,1,2,3,4,5,6,7,8,9},C191,ROW(INDIRECT("1:"&amp;LEN(C191)))),1))," ",REPT(" ",LEN(C191))),LEN(C191)))</f>
        <v>25</v>
      </c>
      <c r="I192" s="15"/>
      <c r="J192" s="17"/>
      <c r="K192" s="17"/>
    </row>
    <row r="193" spans="1:27" ht="32.25" customHeight="1" x14ac:dyDescent="0.25">
      <c r="A193" s="139" t="s">
        <v>128</v>
      </c>
      <c r="B193" s="139"/>
      <c r="C193" s="103" t="str">
        <f ca="1">I191</f>
        <v>Excavation work Completed. Plinth work completed, RCC Slab, Brickwork, Internal Plaster, External Plaster, Flooring upto 18 Floor, Painting upto 12 Floor Completed</v>
      </c>
      <c r="D193" s="103"/>
      <c r="E193" s="103"/>
      <c r="F193" s="103"/>
      <c r="G193" s="103"/>
      <c r="H193" s="103"/>
      <c r="I193" s="15" t="s">
        <v>145</v>
      </c>
      <c r="J193" s="17"/>
      <c r="K193" s="17"/>
    </row>
    <row r="194" spans="1:27" ht="15.75" customHeight="1" x14ac:dyDescent="0.25">
      <c r="A194" s="104" t="s">
        <v>52</v>
      </c>
      <c r="B194" s="104"/>
      <c r="C194" s="96" t="s">
        <v>199</v>
      </c>
      <c r="D194" s="96" t="s">
        <v>120</v>
      </c>
      <c r="E194" s="104" t="s">
        <v>122</v>
      </c>
      <c r="F194" s="104"/>
      <c r="G194" s="104" t="s">
        <v>121</v>
      </c>
      <c r="H194" s="104"/>
      <c r="I194" s="34" t="s">
        <v>200</v>
      </c>
      <c r="J194" s="18">
        <f ca="1">H192*25%</f>
        <v>6.25</v>
      </c>
      <c r="K194" s="18"/>
    </row>
    <row r="195" spans="1:27" x14ac:dyDescent="0.25">
      <c r="A195" s="104" t="s">
        <v>201</v>
      </c>
      <c r="B195" s="104"/>
      <c r="C195" s="52">
        <v>25</v>
      </c>
      <c r="D195" s="95">
        <f ca="1">((100/H192)*C195)/100</f>
        <v>1</v>
      </c>
      <c r="E195" s="105">
        <f ca="1">(((C196/H192*10)+(40/(D192+F192+H192)*C197)+(7.5/(H192)*C198)+(7.5/(H192)*C199)+(10/H192*C200)+(10/H192*C201)+(5/H192*C202)+(5/H192*C203)+(5/H192*C204))/100)</f>
        <v>0.84600000000000009</v>
      </c>
      <c r="F195" s="105"/>
      <c r="G195" s="105">
        <f ca="1">((((C195/H192)*20)+((C196/H192)*25)+(30/(H192+F192+D192)*C197)+(5/H192*C198)+(5/H192*C199)+(5/H192*C200)+(5/H192*C201)+(0/H192*C202)+(0/H192*C203)+(5/H192*C204))/100)</f>
        <v>0.93599999999999994</v>
      </c>
      <c r="H195" s="105"/>
      <c r="I195" s="34" t="s">
        <v>139</v>
      </c>
      <c r="J195" s="36">
        <f ca="1">H192*50%</f>
        <v>12.5</v>
      </c>
      <c r="K195" s="18"/>
    </row>
    <row r="196" spans="1:27" x14ac:dyDescent="0.25">
      <c r="A196" s="104" t="s">
        <v>53</v>
      </c>
      <c r="B196" s="104"/>
      <c r="C196" s="53">
        <v>25</v>
      </c>
      <c r="D196" s="95">
        <f ca="1">((100/H192)*C196)/100</f>
        <v>1</v>
      </c>
      <c r="E196" s="105"/>
      <c r="F196" s="105"/>
      <c r="G196" s="105"/>
      <c r="H196" s="105"/>
      <c r="I196" s="34" t="s">
        <v>140</v>
      </c>
      <c r="J196" s="36">
        <f ca="1">H192</f>
        <v>25</v>
      </c>
      <c r="K196" s="19">
        <v>0.02</v>
      </c>
    </row>
    <row r="197" spans="1:27" x14ac:dyDescent="0.25">
      <c r="A197" s="106" t="s">
        <v>202</v>
      </c>
      <c r="B197" s="106"/>
      <c r="C197" s="53">
        <f ca="1">D192+F192+H192</f>
        <v>28</v>
      </c>
      <c r="D197" s="95">
        <f ca="1">((100/(D192+F192+H192))*C197)/100</f>
        <v>1</v>
      </c>
      <c r="E197" s="105"/>
      <c r="F197" s="105"/>
      <c r="G197" s="105"/>
      <c r="H197" s="105"/>
      <c r="I197" s="34" t="s">
        <v>141</v>
      </c>
      <c r="J197" s="37">
        <f ca="1">(IF(B192&gt;1,(H192/(B192+2)),H192/4))</f>
        <v>6.25</v>
      </c>
      <c r="K197" s="19">
        <v>0.04</v>
      </c>
    </row>
    <row r="198" spans="1:27" x14ac:dyDescent="0.25">
      <c r="A198" s="104" t="s">
        <v>203</v>
      </c>
      <c r="B198" s="104" t="s">
        <v>204</v>
      </c>
      <c r="C198" s="53">
        <v>25</v>
      </c>
      <c r="D198" s="95">
        <f ca="1">((100/H192)*C198)/100</f>
        <v>1</v>
      </c>
      <c r="E198" s="105"/>
      <c r="F198" s="105"/>
      <c r="G198" s="105"/>
      <c r="H198" s="105"/>
      <c r="I198" s="34" t="s">
        <v>142</v>
      </c>
      <c r="J198" s="37">
        <f ca="1">(IF(B192&gt;1,(H192/(B192+2)+J197),H192/4+J197))</f>
        <v>12.5</v>
      </c>
      <c r="K198" s="19">
        <v>0.08</v>
      </c>
    </row>
    <row r="199" spans="1:27" x14ac:dyDescent="0.25">
      <c r="A199" s="104" t="s">
        <v>205</v>
      </c>
      <c r="B199" s="104" t="s">
        <v>204</v>
      </c>
      <c r="C199" s="53">
        <v>25</v>
      </c>
      <c r="D199" s="95">
        <f ca="1">((100/H192)*C199)/100</f>
        <v>1</v>
      </c>
      <c r="E199" s="105"/>
      <c r="F199" s="105"/>
      <c r="G199" s="105"/>
      <c r="H199" s="105"/>
      <c r="I199" s="34" t="s">
        <v>206</v>
      </c>
      <c r="J199" s="37">
        <f>(IF(B192&gt;1,(H192/(B192+2)+J198),0))</f>
        <v>0</v>
      </c>
      <c r="K199" s="19">
        <v>0.15</v>
      </c>
    </row>
    <row r="200" spans="1:27" ht="15" customHeight="1" x14ac:dyDescent="0.25">
      <c r="A200" s="104" t="s">
        <v>207</v>
      </c>
      <c r="B200" s="104" t="s">
        <v>208</v>
      </c>
      <c r="C200" s="53">
        <v>25</v>
      </c>
      <c r="D200" s="95">
        <f ca="1">((100/(H192))*C200)/100</f>
        <v>1</v>
      </c>
      <c r="E200" s="105"/>
      <c r="F200" s="105"/>
      <c r="G200" s="105"/>
      <c r="H200" s="105"/>
      <c r="I200" s="34" t="s">
        <v>209</v>
      </c>
      <c r="J200" s="37">
        <f>(IF(B192&gt;2,(H192/(B192+2)+J199),0))</f>
        <v>0</v>
      </c>
      <c r="K200" s="19">
        <v>0.2</v>
      </c>
    </row>
    <row r="201" spans="1:27" ht="16.5" thickBot="1" x14ac:dyDescent="0.3">
      <c r="A201" s="104" t="s">
        <v>210</v>
      </c>
      <c r="B201" s="104" t="s">
        <v>210</v>
      </c>
      <c r="C201" s="52">
        <v>18</v>
      </c>
      <c r="D201" s="95">
        <f ca="1">((100/H192)*C201)/100</f>
        <v>0.72</v>
      </c>
      <c r="E201" s="105"/>
      <c r="F201" s="105"/>
      <c r="G201" s="105"/>
      <c r="H201" s="105"/>
      <c r="I201" s="34" t="s">
        <v>211</v>
      </c>
      <c r="J201" s="38">
        <f>(IF(B192&gt;3,(H192/(B192+2)+J200),0))</f>
        <v>0</v>
      </c>
      <c r="K201" s="20">
        <v>0.3</v>
      </c>
    </row>
    <row r="202" spans="1:27" x14ac:dyDescent="0.25">
      <c r="A202" s="104" t="s">
        <v>212</v>
      </c>
      <c r="B202" s="104"/>
      <c r="C202" s="52">
        <v>12</v>
      </c>
      <c r="D202" s="95">
        <f ca="1">((100/H192)*C202)/100</f>
        <v>0.48</v>
      </c>
      <c r="E202" s="105"/>
      <c r="F202" s="105"/>
      <c r="G202" s="105"/>
      <c r="H202" s="105"/>
      <c r="I202" s="34" t="s">
        <v>213</v>
      </c>
      <c r="J202" s="37">
        <f>(IF(B192&gt;4,(H192/(B192+2)+J201),0))</f>
        <v>0</v>
      </c>
      <c r="K202" s="19">
        <v>0.15</v>
      </c>
    </row>
    <row r="203" spans="1:27" ht="15" customHeight="1" x14ac:dyDescent="0.25">
      <c r="A203" s="104" t="s">
        <v>214</v>
      </c>
      <c r="B203" s="104" t="s">
        <v>214</v>
      </c>
      <c r="C203" s="52">
        <v>0</v>
      </c>
      <c r="D203" s="95">
        <f ca="1">((100/(H192))*C203)/100</f>
        <v>0</v>
      </c>
      <c r="E203" s="105"/>
      <c r="F203" s="105"/>
      <c r="G203" s="105"/>
      <c r="H203" s="105"/>
      <c r="I203" s="34" t="s">
        <v>143</v>
      </c>
      <c r="J203" s="37">
        <f ca="1">(IF(B192=1,(H192/(B192+3)+J198),IF(B192=0,(H192/4+J198),IF(B192&gt;1,0))))</f>
        <v>18.75</v>
      </c>
      <c r="K203" s="19">
        <v>0.2</v>
      </c>
    </row>
    <row r="204" spans="1:27" ht="16.5" thickBot="1" x14ac:dyDescent="0.3">
      <c r="A204" s="104" t="s">
        <v>215</v>
      </c>
      <c r="B204" s="104"/>
      <c r="C204" s="52">
        <v>0</v>
      </c>
      <c r="D204" s="95">
        <f ca="1">((100/(H192))*C204)/100</f>
        <v>0</v>
      </c>
      <c r="E204" s="105"/>
      <c r="F204" s="105"/>
      <c r="G204" s="105"/>
      <c r="H204" s="105"/>
      <c r="I204" s="35" t="s">
        <v>144</v>
      </c>
      <c r="J204" s="39">
        <f ca="1">(IF(B192&gt;1.5,(H192/(B192+2)+J198+MAX(0,J199-J198)+MAX(0,J200-J199)+MAX(0,J201-J200)+MAX(0,J202-J201)+MAX(0,J203-J202)),IF(B192=1,(H192/(B192+3)+J203),IF(B192=0,H192/4+J203))))</f>
        <v>25</v>
      </c>
      <c r="K204" s="20">
        <v>0.3</v>
      </c>
    </row>
    <row r="205" spans="1:27" x14ac:dyDescent="0.25">
      <c r="A205" s="141" t="s">
        <v>191</v>
      </c>
      <c r="B205" s="141"/>
      <c r="C205" s="141"/>
      <c r="D205" s="141"/>
      <c r="E205" s="141"/>
      <c r="F205" s="141"/>
      <c r="G205" s="141"/>
      <c r="H205" s="141"/>
      <c r="V205" s="82" t="s">
        <v>267</v>
      </c>
    </row>
    <row r="206" spans="1:27" ht="15.75" customHeight="1" x14ac:dyDescent="0.25">
      <c r="A206" s="122" t="s">
        <v>54</v>
      </c>
      <c r="B206" s="122"/>
      <c r="C206" s="122"/>
      <c r="D206" s="122"/>
      <c r="E206" s="122"/>
      <c r="F206" s="122"/>
      <c r="G206" s="122"/>
      <c r="H206" s="122"/>
      <c r="V206" s="193" t="s">
        <v>268</v>
      </c>
      <c r="W206" s="193"/>
      <c r="X206" s="193"/>
      <c r="Y206" s="193"/>
      <c r="Z206" s="193"/>
      <c r="AA206" s="193"/>
    </row>
    <row r="207" spans="1:27" ht="15" customHeight="1" x14ac:dyDescent="0.25">
      <c r="A207" s="139" t="s">
        <v>108</v>
      </c>
      <c r="B207" s="139"/>
      <c r="C207" s="103" t="s">
        <v>109</v>
      </c>
      <c r="D207" s="103"/>
      <c r="E207" s="103"/>
      <c r="F207" s="103"/>
      <c r="G207" s="103"/>
      <c r="H207" s="103"/>
      <c r="V207" s="193"/>
      <c r="W207" s="193"/>
      <c r="X207" s="193"/>
      <c r="Y207" s="193"/>
      <c r="Z207" s="193"/>
      <c r="AA207" s="193"/>
    </row>
    <row r="208" spans="1:27" x14ac:dyDescent="0.25">
      <c r="A208" s="142" t="s">
        <v>55</v>
      </c>
      <c r="B208" s="142"/>
      <c r="C208" s="142"/>
      <c r="D208" s="142"/>
      <c r="E208" s="142"/>
      <c r="F208" s="142"/>
      <c r="G208" s="142"/>
      <c r="H208" s="142"/>
      <c r="V208" s="193"/>
      <c r="W208" s="193"/>
      <c r="X208" s="193"/>
      <c r="Y208" s="193"/>
      <c r="Z208" s="193"/>
      <c r="AA208" s="193"/>
    </row>
    <row r="209" spans="1:27" x14ac:dyDescent="0.25">
      <c r="A209" s="122" t="s">
        <v>110</v>
      </c>
      <c r="B209" s="122"/>
      <c r="C209" s="122"/>
      <c r="D209" s="122"/>
      <c r="E209" s="122"/>
      <c r="F209" s="123">
        <v>6800</v>
      </c>
      <c r="G209" s="123"/>
      <c r="H209" s="123"/>
      <c r="I209" s="8" t="s">
        <v>247</v>
      </c>
      <c r="V209" s="193"/>
      <c r="W209" s="193"/>
      <c r="X209" s="193"/>
      <c r="Y209" s="193"/>
      <c r="Z209" s="193"/>
      <c r="AA209" s="193"/>
    </row>
    <row r="210" spans="1:27" x14ac:dyDescent="0.25">
      <c r="A210" s="122" t="s">
        <v>241</v>
      </c>
      <c r="B210" s="122"/>
      <c r="C210" s="122"/>
      <c r="D210" s="122"/>
      <c r="E210" s="122"/>
      <c r="F210" s="123">
        <v>13300</v>
      </c>
      <c r="G210" s="123"/>
      <c r="H210" s="123"/>
      <c r="I210" s="8" t="s">
        <v>286</v>
      </c>
      <c r="V210" s="193"/>
      <c r="W210" s="193"/>
      <c r="X210" s="193"/>
      <c r="Y210" s="193"/>
      <c r="Z210" s="193"/>
      <c r="AA210" s="193"/>
    </row>
    <row r="211" spans="1:27" s="13" customFormat="1" x14ac:dyDescent="0.25">
      <c r="A211" s="122" t="s">
        <v>133</v>
      </c>
      <c r="B211" s="122"/>
      <c r="C211" s="122"/>
      <c r="D211" s="122"/>
      <c r="E211" s="122"/>
      <c r="F211" s="123" t="s">
        <v>197</v>
      </c>
      <c r="G211" s="123"/>
      <c r="H211" s="123"/>
      <c r="V211" s="193"/>
      <c r="W211" s="193"/>
      <c r="X211" s="193"/>
      <c r="Y211" s="193"/>
      <c r="Z211" s="193"/>
      <c r="AA211" s="193"/>
    </row>
    <row r="212" spans="1:27" s="13" customFormat="1" ht="15.75" hidden="1" customHeight="1" x14ac:dyDescent="0.25">
      <c r="A212" s="122" t="s">
        <v>134</v>
      </c>
      <c r="B212" s="122"/>
      <c r="C212" s="122"/>
      <c r="D212" s="122"/>
      <c r="E212" s="122"/>
      <c r="F212" s="123" t="s">
        <v>31</v>
      </c>
      <c r="G212" s="123"/>
      <c r="H212" s="123"/>
      <c r="V212" s="193"/>
      <c r="W212" s="193"/>
      <c r="X212" s="193"/>
      <c r="Y212" s="193"/>
      <c r="Z212" s="193"/>
      <c r="AA212" s="193"/>
    </row>
    <row r="213" spans="1:27" s="13" customFormat="1" x14ac:dyDescent="0.25">
      <c r="A213" s="122" t="s">
        <v>135</v>
      </c>
      <c r="B213" s="122"/>
      <c r="C213" s="122"/>
      <c r="D213" s="122"/>
      <c r="E213" s="122"/>
      <c r="F213" s="123" t="s">
        <v>243</v>
      </c>
      <c r="G213" s="123"/>
      <c r="H213" s="123"/>
      <c r="V213" s="193"/>
      <c r="W213" s="193"/>
      <c r="X213" s="193"/>
      <c r="Y213" s="193"/>
      <c r="Z213" s="193"/>
      <c r="AA213" s="193"/>
    </row>
    <row r="214" spans="1:27" s="13" customFormat="1" ht="15.75" hidden="1" customHeight="1" x14ac:dyDescent="0.25">
      <c r="A214" s="122" t="s">
        <v>136</v>
      </c>
      <c r="B214" s="122"/>
      <c r="C214" s="122"/>
      <c r="D214" s="122"/>
      <c r="E214" s="122"/>
      <c r="F214" s="123" t="s">
        <v>31</v>
      </c>
      <c r="G214" s="123"/>
      <c r="H214" s="123"/>
      <c r="V214" s="193"/>
      <c r="W214" s="193"/>
      <c r="X214" s="193"/>
      <c r="Y214" s="193"/>
      <c r="Z214" s="193"/>
      <c r="AA214" s="193"/>
    </row>
    <row r="215" spans="1:27" s="13" customFormat="1" ht="15.75" hidden="1" customHeight="1" x14ac:dyDescent="0.25">
      <c r="A215" s="122" t="s">
        <v>137</v>
      </c>
      <c r="B215" s="122"/>
      <c r="C215" s="122"/>
      <c r="D215" s="122"/>
      <c r="E215" s="122"/>
      <c r="F215" s="123" t="s">
        <v>31</v>
      </c>
      <c r="G215" s="123"/>
      <c r="H215" s="123"/>
      <c r="V215" s="193"/>
      <c r="W215" s="193"/>
      <c r="X215" s="193"/>
      <c r="Y215" s="193"/>
      <c r="Z215" s="193"/>
      <c r="AA215" s="193"/>
    </row>
    <row r="216" spans="1:27" s="13" customFormat="1" ht="15.75" hidden="1" customHeight="1" x14ac:dyDescent="0.25">
      <c r="A216" s="122" t="s">
        <v>138</v>
      </c>
      <c r="B216" s="122"/>
      <c r="C216" s="122"/>
      <c r="D216" s="122"/>
      <c r="E216" s="122"/>
      <c r="F216" s="123" t="s">
        <v>31</v>
      </c>
      <c r="G216" s="123"/>
      <c r="H216" s="123"/>
      <c r="V216" s="193"/>
      <c r="W216" s="193"/>
      <c r="X216" s="193"/>
      <c r="Y216" s="193"/>
      <c r="Z216" s="193"/>
      <c r="AA216" s="193"/>
    </row>
    <row r="217" spans="1:27" s="13" customFormat="1" x14ac:dyDescent="0.25">
      <c r="A217" s="122" t="s">
        <v>245</v>
      </c>
      <c r="B217" s="122"/>
      <c r="C217" s="122"/>
      <c r="D217" s="122"/>
      <c r="E217" s="122"/>
      <c r="F217" s="123" t="s">
        <v>246</v>
      </c>
      <c r="G217" s="123"/>
      <c r="H217" s="123"/>
      <c r="V217" s="193"/>
      <c r="W217" s="193"/>
      <c r="X217" s="193"/>
      <c r="Y217" s="193"/>
      <c r="Z217" s="193"/>
      <c r="AA217" s="193"/>
    </row>
    <row r="218" spans="1:27" s="13" customFormat="1" ht="15.75" customHeight="1" x14ac:dyDescent="0.25">
      <c r="A218" s="122" t="s">
        <v>244</v>
      </c>
      <c r="B218" s="122"/>
      <c r="C218" s="122"/>
      <c r="D218" s="122"/>
      <c r="E218" s="122"/>
      <c r="F218" s="123" t="s">
        <v>242</v>
      </c>
      <c r="G218" s="123"/>
      <c r="H218" s="123"/>
      <c r="V218" s="193"/>
      <c r="W218" s="193"/>
      <c r="X218" s="193"/>
      <c r="Y218" s="193"/>
      <c r="Z218" s="193"/>
      <c r="AA218" s="193"/>
    </row>
    <row r="219" spans="1:27" x14ac:dyDescent="0.25">
      <c r="A219" s="122" t="s">
        <v>56</v>
      </c>
      <c r="B219" s="122"/>
      <c r="C219" s="122"/>
      <c r="D219" s="122"/>
      <c r="E219" s="122"/>
      <c r="F219" s="132" t="s">
        <v>196</v>
      </c>
      <c r="G219" s="132"/>
      <c r="H219" s="132"/>
      <c r="V219" s="193"/>
      <c r="W219" s="193"/>
      <c r="X219" s="193"/>
      <c r="Y219" s="193"/>
      <c r="Z219" s="193"/>
      <c r="AA219" s="193"/>
    </row>
    <row r="220" spans="1:27" s="9" customFormat="1" x14ac:dyDescent="0.25">
      <c r="A220" s="142" t="s">
        <v>57</v>
      </c>
      <c r="B220" s="142"/>
      <c r="C220" s="142"/>
      <c r="D220" s="142"/>
      <c r="E220" s="142"/>
      <c r="F220" s="123">
        <f>F209*0.8</f>
        <v>5440</v>
      </c>
      <c r="G220" s="123"/>
      <c r="H220" s="123"/>
      <c r="V220" s="193"/>
      <c r="W220" s="193"/>
      <c r="X220" s="193"/>
      <c r="Y220" s="193"/>
      <c r="Z220" s="193"/>
      <c r="AA220" s="193"/>
    </row>
    <row r="221" spans="1:27" s="1" customFormat="1" ht="15.75" customHeight="1" x14ac:dyDescent="0.25">
      <c r="A221" s="129" t="s">
        <v>111</v>
      </c>
      <c r="B221" s="129"/>
      <c r="C221" s="129"/>
      <c r="D221" s="129"/>
      <c r="E221" s="129"/>
      <c r="F221" s="129"/>
      <c r="G221" s="129"/>
      <c r="H221" s="129"/>
      <c r="V221" s="193"/>
      <c r="W221" s="193"/>
      <c r="X221" s="193"/>
      <c r="Y221" s="193"/>
      <c r="Z221" s="193"/>
      <c r="AA221" s="193"/>
    </row>
    <row r="222" spans="1:27" s="1" customFormat="1" ht="15.75" customHeight="1" x14ac:dyDescent="0.25">
      <c r="A222" s="156" t="s">
        <v>58</v>
      </c>
      <c r="B222" s="156"/>
      <c r="C222" s="54" t="s">
        <v>115</v>
      </c>
      <c r="D222" s="157" t="s">
        <v>59</v>
      </c>
      <c r="E222" s="157"/>
      <c r="F222" s="156" t="s">
        <v>60</v>
      </c>
      <c r="G222" s="156"/>
      <c r="H222" s="156"/>
      <c r="V222" s="193"/>
      <c r="W222" s="193"/>
      <c r="X222" s="193"/>
      <c r="Y222" s="193"/>
      <c r="Z222" s="193"/>
      <c r="AA222" s="193"/>
    </row>
    <row r="223" spans="1:27" s="1" customFormat="1" ht="31.5" customHeight="1" x14ac:dyDescent="0.25">
      <c r="A223" s="153" t="s">
        <v>170</v>
      </c>
      <c r="B223" s="49" t="s">
        <v>179</v>
      </c>
      <c r="C223" s="55">
        <f>COUNT(D254:D259)</f>
        <v>6</v>
      </c>
      <c r="D223" s="124">
        <f>SUM(D254:D259)</f>
        <v>1197.1720800000001</v>
      </c>
      <c r="E223" s="124"/>
      <c r="F223" s="125">
        <f>SUM(F254:F259)</f>
        <v>1855.616724</v>
      </c>
      <c r="G223" s="125"/>
      <c r="H223" s="125"/>
      <c r="V223" s="193"/>
      <c r="W223" s="193"/>
      <c r="X223" s="193"/>
      <c r="Y223" s="193"/>
      <c r="Z223" s="193"/>
      <c r="AA223" s="193"/>
    </row>
    <row r="224" spans="1:27" s="1" customFormat="1" ht="31.5" customHeight="1" x14ac:dyDescent="0.25">
      <c r="A224" s="154"/>
      <c r="B224" s="49" t="s">
        <v>180</v>
      </c>
      <c r="C224" s="55">
        <f>COUNT(D262:D267)</f>
        <v>6</v>
      </c>
      <c r="D224" s="130">
        <f>SUM(D262:D267)</f>
        <v>963.05507999999998</v>
      </c>
      <c r="E224" s="131"/>
      <c r="F224" s="125">
        <f>SUM(F262:F267)</f>
        <v>1492.7353740000003</v>
      </c>
      <c r="G224" s="125"/>
      <c r="H224" s="125"/>
    </row>
    <row r="225" spans="1:10" s="1" customFormat="1" ht="31.5" x14ac:dyDescent="0.25">
      <c r="A225" s="125" t="s">
        <v>250</v>
      </c>
      <c r="B225" s="93" t="s">
        <v>253</v>
      </c>
      <c r="C225" s="55">
        <f>COUNT(D271:D278)</f>
        <v>8</v>
      </c>
      <c r="D225" s="124">
        <f>SUM(D271:D278)</f>
        <v>1480.37292</v>
      </c>
      <c r="E225" s="124"/>
      <c r="F225" s="125">
        <f>SUM(F271:F278)</f>
        <v>2294.5780259999997</v>
      </c>
      <c r="G225" s="125"/>
      <c r="H225" s="125"/>
    </row>
    <row r="226" spans="1:10" s="1" customFormat="1" ht="31.5" x14ac:dyDescent="0.25">
      <c r="A226" s="125"/>
      <c r="B226" s="93" t="s">
        <v>260</v>
      </c>
      <c r="C226" s="55">
        <f>COUNT(D281:D292)</f>
        <v>12</v>
      </c>
      <c r="D226" s="124">
        <f>SUM(D281:D292)</f>
        <v>2182.7239199999999</v>
      </c>
      <c r="E226" s="124"/>
      <c r="F226" s="124">
        <f>SUM(F281:F292)</f>
        <v>3383.222076</v>
      </c>
      <c r="G226" s="124"/>
      <c r="H226" s="124"/>
    </row>
    <row r="227" spans="1:10" s="1" customFormat="1" ht="31.5" x14ac:dyDescent="0.25">
      <c r="A227" s="125"/>
      <c r="B227" s="93" t="s">
        <v>249</v>
      </c>
      <c r="C227" s="55">
        <f>COUNT(D295:D300)</f>
        <v>6</v>
      </c>
      <c r="D227" s="124">
        <f>SUM(D295:D300)</f>
        <v>1019.7813599999999</v>
      </c>
      <c r="E227" s="124"/>
      <c r="F227" s="124">
        <f>SUM(F295:F300)</f>
        <v>1580.661108</v>
      </c>
      <c r="G227" s="124"/>
      <c r="H227" s="124"/>
    </row>
    <row r="228" spans="1:10" s="1" customFormat="1" ht="31.5" x14ac:dyDescent="0.25">
      <c r="A228" s="125" t="s">
        <v>182</v>
      </c>
      <c r="B228" s="93" t="s">
        <v>181</v>
      </c>
      <c r="C228" s="55">
        <f>COUNT(D304:D312)</f>
        <v>9</v>
      </c>
      <c r="D228" s="124">
        <f>SUM(D304:D312)</f>
        <v>2064.8581199999999</v>
      </c>
      <c r="E228" s="124"/>
      <c r="F228" s="125">
        <f>SUM(F304:F312)</f>
        <v>3200.5300859999998</v>
      </c>
      <c r="G228" s="125"/>
      <c r="H228" s="125"/>
    </row>
    <row r="229" spans="1:10" s="1" customFormat="1" ht="31.5" x14ac:dyDescent="0.25">
      <c r="A229" s="125"/>
      <c r="B229" s="93" t="s">
        <v>183</v>
      </c>
      <c r="C229" s="55">
        <f>COUNT(D315:D320)</f>
        <v>6</v>
      </c>
      <c r="D229" s="124">
        <f>SUM(D315:D320)</f>
        <v>914.07888000000003</v>
      </c>
      <c r="E229" s="124"/>
      <c r="F229" s="125">
        <f>SUM(F315:F320)</f>
        <v>1416.8222639999999</v>
      </c>
      <c r="G229" s="125"/>
      <c r="H229" s="125"/>
    </row>
    <row r="230" spans="1:10" s="1" customFormat="1" x14ac:dyDescent="0.25">
      <c r="A230" s="129" t="s">
        <v>62</v>
      </c>
      <c r="B230" s="129"/>
      <c r="C230" s="56">
        <f>SUM(C223:C229)</f>
        <v>53</v>
      </c>
      <c r="D230" s="155">
        <f>SUM(D223:D229)</f>
        <v>9822.0423599999995</v>
      </c>
      <c r="E230" s="155"/>
      <c r="F230" s="129">
        <f>SUM(F223:F229)</f>
        <v>15224.165658</v>
      </c>
      <c r="G230" s="129"/>
      <c r="H230" s="129"/>
      <c r="J230" s="78">
        <f>SUM(D230,D245)</f>
        <v>1245066.315012</v>
      </c>
    </row>
    <row r="231" spans="1:10" s="1" customFormat="1" x14ac:dyDescent="0.25">
      <c r="A231" s="129" t="s">
        <v>102</v>
      </c>
      <c r="B231" s="129"/>
      <c r="C231" s="129"/>
      <c r="D231" s="129"/>
      <c r="E231" s="129"/>
      <c r="F231" s="129"/>
      <c r="G231" s="129"/>
      <c r="H231" s="129"/>
    </row>
    <row r="232" spans="1:10" s="1" customFormat="1" x14ac:dyDescent="0.25">
      <c r="A232" s="156" t="s">
        <v>58</v>
      </c>
      <c r="B232" s="156"/>
      <c r="C232" s="54" t="s">
        <v>115</v>
      </c>
      <c r="D232" s="157" t="s">
        <v>59</v>
      </c>
      <c r="E232" s="157"/>
      <c r="F232" s="156" t="s">
        <v>60</v>
      </c>
      <c r="G232" s="156"/>
      <c r="H232" s="156"/>
    </row>
    <row r="233" spans="1:10" s="1" customFormat="1" x14ac:dyDescent="0.25">
      <c r="A233" s="125" t="s">
        <v>171</v>
      </c>
      <c r="B233" s="125"/>
      <c r="C233" s="55">
        <f>COUNT(D335,D339:D340)+COUNT(D342:D343,D345:D347)+COUNT(D349:D354)*21+COUNT(D357:D361)*4</f>
        <v>154</v>
      </c>
      <c r="D233" s="149">
        <f>SUM(D335,D339:D340)+SUM(D342:D343,D345:D347)+SUM(D349:D354)*21+SUM(D357:D361)*4</f>
        <v>99847.294559999995</v>
      </c>
      <c r="E233" s="149"/>
      <c r="F233" s="149">
        <f>SUM(F335,F339:F340)+SUM(F342:F343,F345:F347)+SUM(F349:F354)*21+SUM(F357:F361)*4</f>
        <v>149908.5143712</v>
      </c>
      <c r="G233" s="149"/>
      <c r="H233" s="149"/>
    </row>
    <row r="234" spans="1:10" s="1" customFormat="1" x14ac:dyDescent="0.25">
      <c r="A234" s="125" t="s">
        <v>195</v>
      </c>
      <c r="B234" s="125"/>
      <c r="C234" s="55">
        <f>COUNT(D366,D369:D373)+COUNT(D375:D376,D379:D382)+COUNT(D384:D391)*21+COUNT(D393:D395,D397:D400)*4</f>
        <v>208</v>
      </c>
      <c r="D234" s="149">
        <f>SUM(D366,D369:D373)+SUM(D375:D376,D379:D382)+SUM(D384:D391)*21+SUM(D393:D395,D397:D400)*4</f>
        <v>111976.8156</v>
      </c>
      <c r="E234" s="149"/>
      <c r="F234" s="149">
        <f>SUM(F366,F369:F373)+SUM(F375:F376,F379:F382)+SUM(F384:F391)*21+SUM(F393:F395,F397:F400)*4</f>
        <v>168046.81451999999</v>
      </c>
      <c r="G234" s="149"/>
      <c r="H234" s="149"/>
    </row>
    <row r="235" spans="1:10" s="1" customFormat="1" x14ac:dyDescent="0.25">
      <c r="A235" s="125" t="s">
        <v>177</v>
      </c>
      <c r="B235" s="125"/>
      <c r="C235" s="55">
        <f>COUNT(D405,D410:D412)+COUNT(D414:D415,D418:D421)+COUNT(D423:D430)*21+COUNT(D432:D436,D438:D439)*4</f>
        <v>206</v>
      </c>
      <c r="D235" s="149">
        <f t="shared" ref="D235" si="0">SUM(D405,D410:D412)+SUM(D414:D415,D418:D421)+SUM(D423:D430)*21+SUM(D432:D436,D438:D439)*4</f>
        <v>100103.37011999998</v>
      </c>
      <c r="E235" s="149"/>
      <c r="F235" s="150">
        <f>SUM(F405,F410:F412)+SUM(F414:F415,F418:F421)+SUM(F423:F430)*21+SUM(F432:F436,F438:F439)*4</f>
        <v>150285.92873579997</v>
      </c>
      <c r="G235" s="151"/>
      <c r="H235" s="152"/>
    </row>
    <row r="236" spans="1:10" s="1" customFormat="1" x14ac:dyDescent="0.25">
      <c r="A236" s="125" t="s">
        <v>178</v>
      </c>
      <c r="B236" s="125"/>
      <c r="C236" s="55">
        <f>COUNT(D444,D448:D449)+COUNT(D451:D452,D454:D456)+COUNT(D458:D463)*19+COUNT(D466:D470)*4</f>
        <v>142</v>
      </c>
      <c r="D236" s="149">
        <f>SUM(D444,D448:D449)+SUM(D451:D452,D454:D456)+SUM(D458:D463)*19+SUM(D466:D470)*4</f>
        <v>92343.494880000013</v>
      </c>
      <c r="E236" s="149"/>
      <c r="F236" s="150">
        <f>SUM(F444,F448:F449)+SUM(F451:F452,F454:F456)+SUM(F458:F463)*19+SUM(F466:F470)*4</f>
        <v>138645.979173</v>
      </c>
      <c r="G236" s="151"/>
      <c r="H236" s="152"/>
    </row>
    <row r="237" spans="1:10" s="1" customFormat="1" x14ac:dyDescent="0.25">
      <c r="A237" s="125" t="s">
        <v>179</v>
      </c>
      <c r="B237" s="125"/>
      <c r="C237" s="55">
        <f>COUNT(D475:D477,D480:D482)+COUNT(D484:D485,D488:D491)+COUNT(D493:D500)*21+COUNT(D502:D503,D505:D509)*4</f>
        <v>208</v>
      </c>
      <c r="D237" s="149">
        <f t="shared" ref="D237" si="1">SUM(D475:D477,D480:D482)+SUM(D484:D485,D488:D491)+SUM(D493:D500)*21+SUM(D502:D503,D505:D509)*4</f>
        <v>112115.133</v>
      </c>
      <c r="E237" s="149"/>
      <c r="F237" s="150">
        <f>SUM(F475:F477,F480:F482)+SUM(F484:F485,F488:F491)+SUM(F493:F500)*21+SUM(F502:F503,F505:F509)*4</f>
        <v>168423.06475799999</v>
      </c>
      <c r="G237" s="151"/>
      <c r="H237" s="152"/>
    </row>
    <row r="238" spans="1:10" s="1" customFormat="1" x14ac:dyDescent="0.25">
      <c r="A238" s="125" t="s">
        <v>180</v>
      </c>
      <c r="B238" s="125"/>
      <c r="C238" s="55">
        <f>COUNT(D514,D519:D521)+COUNT(D523:D524,D527:D530)+COUNT(D532:D539)*21+COUNT(D541:D545,D547:D548)*4</f>
        <v>206</v>
      </c>
      <c r="D238" s="149">
        <f>SUM(D514,D519:D521)+SUM(D523:D524,D527:D530)+SUM(D532:D539)*21+SUM(D541:D545,D547:D548)*4</f>
        <v>100028.56031999999</v>
      </c>
      <c r="E238" s="149"/>
      <c r="F238" s="150">
        <f>SUM(F514,F519:F521)+SUM(F523:F524,F527:F530)+SUM(F532:F539)*21+SUM(F541:F545,F547:F548)*4</f>
        <v>150423.30455489998</v>
      </c>
      <c r="G238" s="151"/>
      <c r="H238" s="152"/>
    </row>
    <row r="239" spans="1:10" s="1" customFormat="1" x14ac:dyDescent="0.25">
      <c r="A239" s="125" t="s">
        <v>253</v>
      </c>
      <c r="B239" s="125"/>
      <c r="C239" s="55">
        <f>COUNT(D554,D559:D561)+COUNT(D563:D564,D567:D570)+COUNT(D572:D579)*21+COUNT(D582:D588)*4</f>
        <v>206</v>
      </c>
      <c r="D239" s="149">
        <f>SUM(D554,D559:D561)+SUM(D563:D564,D567:D570)+SUM(D572:D579)*21+SUM(D582:D588)*4</f>
        <v>96020.800199999969</v>
      </c>
      <c r="E239" s="149"/>
      <c r="F239" s="150">
        <f>SUM(F554,F559:F561)+SUM(F563:F564,F567:F570)+SUM(F572:F579)*21+SUM(F582:F588)*4</f>
        <v>144300.83849999998</v>
      </c>
      <c r="G239" s="151"/>
      <c r="H239" s="152"/>
    </row>
    <row r="240" spans="1:10" s="1" customFormat="1" x14ac:dyDescent="0.25">
      <c r="A240" s="125" t="s">
        <v>260</v>
      </c>
      <c r="B240" s="125"/>
      <c r="C240" s="55">
        <f>COUNT(D593,D596:D600)+COUNT(D602:D603,D606:D609)+COUNT(D611:D618)*21+COUNT(D620:D622,D624:D627)*4</f>
        <v>208</v>
      </c>
      <c r="D240" s="149">
        <f>SUM(D593,D596:D600)+SUM(D602:D603,D606:D609)+SUM(D611:D618)*21+SUM(D620:D622,D624:D627)*4</f>
        <v>120857.04025200001</v>
      </c>
      <c r="E240" s="149"/>
      <c r="F240" s="150">
        <f>SUM(F593,F596:F600)+SUM(F602:F603,F606:F609)+SUM(F611:F618)*21+SUM(F620:F622,F624:F627)*4</f>
        <v>181777.25989799999</v>
      </c>
      <c r="G240" s="151"/>
      <c r="H240" s="152"/>
    </row>
    <row r="241" spans="1:14" s="1" customFormat="1" x14ac:dyDescent="0.25">
      <c r="A241" s="125" t="s">
        <v>249</v>
      </c>
      <c r="B241" s="125"/>
      <c r="C241" s="55">
        <f>COUNT(D554,D559:D561)+COUNT(D563:D564,D567:D570)+COUNT(D572:D579)*21+COUNT(D581:D585,D587:D588)*4</f>
        <v>202</v>
      </c>
      <c r="D241" s="149">
        <f>SUM(D554,D559:D561)+SUM(D563:D564,D567:D570)+SUM(D572:D579)*21+SUM(D581:D585,D587:D588)*4</f>
        <v>93897.27827999997</v>
      </c>
      <c r="E241" s="149"/>
      <c r="F241" s="149">
        <f>SUM(F554,F559:F561)+SUM(F563:F564,F567:F570)+SUM(F572:F579)*21+SUM(F581:F585,F587:F588)*4</f>
        <v>141115.55562</v>
      </c>
      <c r="G241" s="149"/>
      <c r="H241" s="149"/>
    </row>
    <row r="242" spans="1:14" s="1" customFormat="1" x14ac:dyDescent="0.25">
      <c r="A242" s="125" t="s">
        <v>181</v>
      </c>
      <c r="B242" s="125"/>
      <c r="C242" s="55">
        <f>COUNT(D671,D676:D678)+COUNT(D680:D681,D684:D687)+COUNT(D689:D696)*21+COUNT(D699:D705)*4</f>
        <v>206</v>
      </c>
      <c r="D242" s="149">
        <f t="shared" ref="D242" si="2">SUM(D671,D676:D678)+SUM(D680:D681,D684:D687)+SUM(D689:D696)*21+SUM(D699:D705)*4</f>
        <v>96065.040240000002</v>
      </c>
      <c r="E242" s="149"/>
      <c r="F242" s="149">
        <f>SUM(F671,F676:F678)+SUM(F680:F681,F684:F687)+SUM(F689:F696)*21+SUM(F699:F705)*4</f>
        <v>144390.38642262001</v>
      </c>
      <c r="G242" s="149"/>
      <c r="H242" s="149"/>
    </row>
    <row r="243" spans="1:14" s="1" customFormat="1" x14ac:dyDescent="0.25">
      <c r="A243" s="125" t="s">
        <v>183</v>
      </c>
      <c r="B243" s="125"/>
      <c r="C243" s="55">
        <f>COUNT(D709:D711,D714:D716)+COUNT(D718:D719,D722:D725)+COUNT(D727:D734)*21+COUNT(D736:D737,D739:D743)*4</f>
        <v>208</v>
      </c>
      <c r="D243" s="149">
        <f t="shared" ref="D243" si="3">SUM(D709:D711,D714:D716)+SUM(D718:D719,D722:D725)+SUM(D727:D734)*21+SUM(D736:D737,D739:D743)*4</f>
        <v>112046.88923999999</v>
      </c>
      <c r="E243" s="149"/>
      <c r="F243" s="149">
        <f>SUM(F709:F711,F714:F716)+SUM(F718:F719,F722:F725)+SUM(F727:F734)*21+SUM(F736:F737,F739:F743)*4</f>
        <v>168279.50959560004</v>
      </c>
      <c r="G243" s="149"/>
      <c r="H243" s="149"/>
    </row>
    <row r="244" spans="1:14" s="1" customFormat="1" x14ac:dyDescent="0.25">
      <c r="A244" s="125" t="s">
        <v>184</v>
      </c>
      <c r="B244" s="125"/>
      <c r="C244" s="55">
        <f>COUNT(D747,D752:D754)+COUNT(D756:D757,D760:D763)+COUNT(D765:D772)*21+COUNT(D774:D778,D780:D781)*4</f>
        <v>206</v>
      </c>
      <c r="D244" s="149">
        <f>SUM(D747,D752:D754)+SUM(D756:D757,D760:D763)+SUM(D765:D772)*21+SUM(D774:D778,D780:D781)*4</f>
        <v>99942.555959999983</v>
      </c>
      <c r="E244" s="149"/>
      <c r="F244" s="149">
        <f>SUM(F747,F752:F754)+SUM(F756:F757,F760:F763)+SUM(F765:F772)*21+SUM(F774:F778,F780:F781)*4</f>
        <v>150042.94542900001</v>
      </c>
      <c r="G244" s="149"/>
      <c r="H244" s="149"/>
    </row>
    <row r="245" spans="1:14" s="1" customFormat="1" x14ac:dyDescent="0.25">
      <c r="A245" s="129" t="s">
        <v>62</v>
      </c>
      <c r="B245" s="129"/>
      <c r="C245" s="56">
        <f>SUM(C233:C244)</f>
        <v>2360</v>
      </c>
      <c r="D245" s="192">
        <f>SUM(D233:D244)</f>
        <v>1235244.272652</v>
      </c>
      <c r="E245" s="192"/>
      <c r="F245" s="156">
        <f>SUM(F233:F244)</f>
        <v>1855640.1015781199</v>
      </c>
      <c r="G245" s="156"/>
      <c r="H245" s="156"/>
    </row>
    <row r="246" spans="1:14" s="9" customFormat="1" x14ac:dyDescent="0.25">
      <c r="A246" s="128" t="s">
        <v>63</v>
      </c>
      <c r="B246" s="128"/>
      <c r="C246" s="128"/>
      <c r="D246" s="128"/>
      <c r="E246" s="128"/>
      <c r="F246" s="128"/>
      <c r="G246" s="128"/>
      <c r="H246" s="128"/>
    </row>
    <row r="247" spans="1:14" x14ac:dyDescent="0.25">
      <c r="A247" s="128" t="s">
        <v>64</v>
      </c>
      <c r="B247" s="128"/>
      <c r="C247" s="128"/>
      <c r="D247" s="128"/>
      <c r="E247" s="128"/>
      <c r="F247" s="128"/>
      <c r="G247" s="128"/>
      <c r="H247" s="128"/>
    </row>
    <row r="248" spans="1:14" ht="47.25" customHeight="1" x14ac:dyDescent="0.25">
      <c r="A248" s="187" t="s">
        <v>228</v>
      </c>
      <c r="B248" s="187" t="s">
        <v>229</v>
      </c>
      <c r="C248" s="187" t="s">
        <v>65</v>
      </c>
      <c r="D248" s="187" t="s">
        <v>66</v>
      </c>
      <c r="E248" s="180" t="s">
        <v>230</v>
      </c>
      <c r="F248" s="45" t="s">
        <v>231</v>
      </c>
      <c r="G248" s="182" t="s">
        <v>69</v>
      </c>
      <c r="H248" s="146"/>
    </row>
    <row r="249" spans="1:14" s="2" customFormat="1" x14ac:dyDescent="0.25">
      <c r="A249" s="188"/>
      <c r="B249" s="188"/>
      <c r="C249" s="188"/>
      <c r="D249" s="188"/>
      <c r="E249" s="181"/>
      <c r="F249" s="46">
        <v>0.55000000000000004</v>
      </c>
      <c r="G249" s="183"/>
      <c r="H249" s="148"/>
    </row>
    <row r="250" spans="1:14" s="2" customFormat="1" ht="15.75" customHeight="1" x14ac:dyDescent="0.25">
      <c r="A250" s="107" t="s">
        <v>169</v>
      </c>
      <c r="B250" s="107"/>
      <c r="C250" s="107"/>
      <c r="D250" s="107"/>
      <c r="E250" s="107"/>
      <c r="F250" s="107"/>
      <c r="G250" s="107"/>
      <c r="H250" s="107"/>
      <c r="J250" s="42"/>
    </row>
    <row r="251" spans="1:14" s="2" customFormat="1" ht="15.75" customHeight="1" x14ac:dyDescent="0.25">
      <c r="A251" s="107" t="s">
        <v>170</v>
      </c>
      <c r="B251" s="107"/>
      <c r="C251" s="107"/>
      <c r="D251" s="107"/>
      <c r="E251" s="107"/>
      <c r="F251" s="107"/>
      <c r="G251" s="107"/>
      <c r="H251" s="107"/>
      <c r="J251" s="42"/>
    </row>
    <row r="252" spans="1:14" s="2" customFormat="1" ht="15.75" customHeight="1" x14ac:dyDescent="0.25">
      <c r="A252" s="107" t="s">
        <v>235</v>
      </c>
      <c r="B252" s="107"/>
      <c r="C252" s="107"/>
      <c r="D252" s="107"/>
      <c r="E252" s="107"/>
      <c r="F252" s="107"/>
      <c r="G252" s="107"/>
      <c r="H252" s="107"/>
      <c r="J252" s="42"/>
    </row>
    <row r="253" spans="1:14" s="2" customFormat="1" x14ac:dyDescent="0.25">
      <c r="A253" s="184" t="s">
        <v>232</v>
      </c>
      <c r="B253" s="185"/>
      <c r="C253" s="185"/>
      <c r="D253" s="185"/>
      <c r="E253" s="185"/>
      <c r="F253" s="185"/>
      <c r="G253" s="185"/>
      <c r="H253" s="186"/>
      <c r="J253" s="42"/>
    </row>
    <row r="254" spans="1:14" s="2" customFormat="1" ht="15.75" customHeight="1" x14ac:dyDescent="0.25">
      <c r="A254" s="126">
        <v>48</v>
      </c>
      <c r="B254" s="127"/>
      <c r="C254" s="48" t="s">
        <v>233</v>
      </c>
      <c r="D254" s="40">
        <f>(17.57)*(10.764)</f>
        <v>189.12348</v>
      </c>
      <c r="E254" s="48">
        <v>0</v>
      </c>
      <c r="F254" s="48">
        <f t="shared" ref="F254:F259" si="4">(D254+E254)*(($F$249)+1)</f>
        <v>293.14139399999999</v>
      </c>
      <c r="G254" s="109" t="str">
        <f>A253</f>
        <v>Ground Floor For Part Commercial</v>
      </c>
      <c r="H254" s="110"/>
      <c r="I254" s="42"/>
      <c r="J254" s="40">
        <f>10.764</f>
        <v>10.763999999999999</v>
      </c>
      <c r="L254" s="191"/>
      <c r="M254" s="191"/>
      <c r="N254" s="42"/>
    </row>
    <row r="255" spans="1:14" s="2" customFormat="1" ht="15.75" customHeight="1" x14ac:dyDescent="0.25">
      <c r="A255" s="126">
        <f t="shared" ref="A255:A259" si="5">A254+1</f>
        <v>49</v>
      </c>
      <c r="B255" s="127"/>
      <c r="C255" s="48" t="s">
        <v>233</v>
      </c>
      <c r="D255" s="40">
        <f>(11.02)*(10.764)</f>
        <v>118.61927999999999</v>
      </c>
      <c r="E255" s="48">
        <v>0</v>
      </c>
      <c r="F255" s="48">
        <f t="shared" si="4"/>
        <v>183.85988399999999</v>
      </c>
      <c r="G255" s="111"/>
      <c r="H255" s="112"/>
      <c r="I255" s="42"/>
      <c r="L255" s="191"/>
      <c r="M255" s="191"/>
      <c r="N255" s="42"/>
    </row>
    <row r="256" spans="1:14" s="2" customFormat="1" ht="15.75" customHeight="1" x14ac:dyDescent="0.25">
      <c r="A256" s="126">
        <f t="shared" si="5"/>
        <v>50</v>
      </c>
      <c r="B256" s="127"/>
      <c r="C256" s="48" t="s">
        <v>233</v>
      </c>
      <c r="D256" s="40">
        <f>(15.2)*(10.764)</f>
        <v>163.61279999999999</v>
      </c>
      <c r="E256" s="48">
        <v>0</v>
      </c>
      <c r="F256" s="48">
        <f t="shared" si="4"/>
        <v>253.59984</v>
      </c>
      <c r="G256" s="111"/>
      <c r="H256" s="112"/>
      <c r="I256" s="42"/>
      <c r="L256" s="191"/>
      <c r="M256" s="191"/>
      <c r="N256" s="42"/>
    </row>
    <row r="257" spans="1:14" s="2" customFormat="1" ht="15.75" customHeight="1" x14ac:dyDescent="0.25">
      <c r="A257" s="126">
        <f t="shared" si="5"/>
        <v>51</v>
      </c>
      <c r="B257" s="127"/>
      <c r="C257" s="48" t="s">
        <v>233</v>
      </c>
      <c r="D257" s="40">
        <f>(30.95)*(10.764)</f>
        <v>333.14579999999995</v>
      </c>
      <c r="E257" s="48">
        <v>0</v>
      </c>
      <c r="F257" s="48">
        <f t="shared" si="4"/>
        <v>516.37598999999989</v>
      </c>
      <c r="G257" s="111"/>
      <c r="H257" s="112"/>
      <c r="I257" s="42"/>
      <c r="L257" s="191"/>
      <c r="M257" s="191"/>
      <c r="N257" s="42"/>
    </row>
    <row r="258" spans="1:14" s="2" customFormat="1" ht="15.75" customHeight="1" x14ac:dyDescent="0.25">
      <c r="A258" s="126">
        <f t="shared" si="5"/>
        <v>52</v>
      </c>
      <c r="B258" s="127"/>
      <c r="C258" s="48" t="s">
        <v>233</v>
      </c>
      <c r="D258" s="40">
        <f>(19.39)*(10.764)</f>
        <v>208.71395999999999</v>
      </c>
      <c r="E258" s="48">
        <v>0</v>
      </c>
      <c r="F258" s="48">
        <f t="shared" si="4"/>
        <v>323.50663800000001</v>
      </c>
      <c r="G258" s="111"/>
      <c r="H258" s="112"/>
      <c r="I258" s="42"/>
      <c r="L258" s="191"/>
      <c r="M258" s="191"/>
      <c r="N258" s="42"/>
    </row>
    <row r="259" spans="1:14" s="2" customFormat="1" ht="15.75" customHeight="1" x14ac:dyDescent="0.25">
      <c r="A259" s="126">
        <f t="shared" si="5"/>
        <v>53</v>
      </c>
      <c r="B259" s="127"/>
      <c r="C259" s="48" t="s">
        <v>233</v>
      </c>
      <c r="D259" s="40">
        <f>(17.09)*(10.764)</f>
        <v>183.95675999999997</v>
      </c>
      <c r="E259" s="48">
        <v>0</v>
      </c>
      <c r="F259" s="48">
        <f t="shared" si="4"/>
        <v>285.13297799999998</v>
      </c>
      <c r="G259" s="113"/>
      <c r="H259" s="114"/>
      <c r="I259" s="43"/>
      <c r="L259" s="191"/>
      <c r="M259" s="191"/>
      <c r="N259" s="42"/>
    </row>
    <row r="260" spans="1:14" s="2" customFormat="1" ht="15.75" customHeight="1" x14ac:dyDescent="0.25">
      <c r="A260" s="107" t="s">
        <v>234</v>
      </c>
      <c r="B260" s="107"/>
      <c r="C260" s="107"/>
      <c r="D260" s="107"/>
      <c r="E260" s="107"/>
      <c r="F260" s="107"/>
      <c r="G260" s="107"/>
      <c r="H260" s="107"/>
      <c r="J260" s="42"/>
    </row>
    <row r="261" spans="1:14" s="2" customFormat="1" ht="15.75" customHeight="1" x14ac:dyDescent="0.25">
      <c r="A261" s="184" t="s">
        <v>232</v>
      </c>
      <c r="B261" s="185"/>
      <c r="C261" s="185"/>
      <c r="D261" s="185"/>
      <c r="E261" s="185"/>
      <c r="F261" s="185"/>
      <c r="G261" s="185"/>
      <c r="H261" s="186"/>
      <c r="J261" s="42"/>
    </row>
    <row r="262" spans="1:14" s="2" customFormat="1" ht="15.75" customHeight="1" x14ac:dyDescent="0.25">
      <c r="A262" s="126">
        <v>42</v>
      </c>
      <c r="B262" s="127"/>
      <c r="C262" s="48" t="s">
        <v>233</v>
      </c>
      <c r="D262" s="40">
        <f>(18.26)*(10.764)</f>
        <v>196.55064000000002</v>
      </c>
      <c r="E262" s="48">
        <v>0</v>
      </c>
      <c r="F262" s="48">
        <f>(D262+E262)*(($F$249)+1)</f>
        <v>304.65349200000003</v>
      </c>
      <c r="G262" s="109" t="str">
        <f>A261</f>
        <v>Ground Floor For Part Commercial</v>
      </c>
      <c r="H262" s="110"/>
      <c r="I262" s="42"/>
      <c r="L262" s="191"/>
      <c r="M262" s="191"/>
      <c r="N262" s="42"/>
    </row>
    <row r="263" spans="1:14" s="2" customFormat="1" ht="15.75" customHeight="1" x14ac:dyDescent="0.25">
      <c r="A263" s="126">
        <f t="shared" ref="A263:A267" si="6">A262+1</f>
        <v>43</v>
      </c>
      <c r="B263" s="127"/>
      <c r="C263" s="48" t="s">
        <v>233</v>
      </c>
      <c r="D263" s="40">
        <f>(11.66)*(10.764)</f>
        <v>125.50824</v>
      </c>
      <c r="E263" s="48">
        <v>0</v>
      </c>
      <c r="F263" s="48">
        <f t="shared" ref="F263:F267" si="7">(D263+E263)*(($F$249)+1)</f>
        <v>194.53777200000002</v>
      </c>
      <c r="G263" s="111"/>
      <c r="H263" s="112"/>
      <c r="I263" s="42"/>
      <c r="L263" s="191"/>
      <c r="M263" s="191"/>
      <c r="N263" s="42"/>
    </row>
    <row r="264" spans="1:14" s="2" customFormat="1" ht="15.75" customHeight="1" x14ac:dyDescent="0.25">
      <c r="A264" s="126">
        <f t="shared" si="6"/>
        <v>44</v>
      </c>
      <c r="B264" s="127"/>
      <c r="C264" s="48" t="s">
        <v>233</v>
      </c>
      <c r="D264" s="40">
        <f>(13.25)*(10.764)</f>
        <v>142.62299999999999</v>
      </c>
      <c r="E264" s="48">
        <v>0</v>
      </c>
      <c r="F264" s="48">
        <f t="shared" si="7"/>
        <v>221.06565000000001</v>
      </c>
      <c r="G264" s="111"/>
      <c r="H264" s="112"/>
      <c r="I264" s="42"/>
      <c r="L264" s="191"/>
      <c r="M264" s="191"/>
      <c r="N264" s="42"/>
    </row>
    <row r="265" spans="1:14" s="2" customFormat="1" ht="15.75" customHeight="1" x14ac:dyDescent="0.25">
      <c r="A265" s="126">
        <f t="shared" si="6"/>
        <v>45</v>
      </c>
      <c r="B265" s="127"/>
      <c r="C265" s="48" t="s">
        <v>233</v>
      </c>
      <c r="D265" s="40">
        <f>(12.76)*(10.764)</f>
        <v>137.34863999999999</v>
      </c>
      <c r="E265" s="48">
        <v>0</v>
      </c>
      <c r="F265" s="48">
        <f t="shared" si="7"/>
        <v>212.89039199999999</v>
      </c>
      <c r="G265" s="111"/>
      <c r="H265" s="112"/>
      <c r="I265" s="42"/>
      <c r="L265" s="191"/>
      <c r="M265" s="191"/>
      <c r="N265" s="42"/>
    </row>
    <row r="266" spans="1:14" s="2" customFormat="1" ht="15.75" customHeight="1" x14ac:dyDescent="0.25">
      <c r="A266" s="126">
        <f t="shared" si="6"/>
        <v>46</v>
      </c>
      <c r="B266" s="127"/>
      <c r="C266" s="48" t="s">
        <v>233</v>
      </c>
      <c r="D266" s="40">
        <f>(14.48)*(10.764)</f>
        <v>155.86272</v>
      </c>
      <c r="E266" s="48">
        <v>0</v>
      </c>
      <c r="F266" s="48">
        <f t="shared" si="7"/>
        <v>241.58721600000001</v>
      </c>
      <c r="G266" s="111"/>
      <c r="H266" s="112"/>
      <c r="I266" s="42"/>
      <c r="L266" s="191"/>
      <c r="M266" s="191"/>
      <c r="N266" s="42"/>
    </row>
    <row r="267" spans="1:14" s="2" customFormat="1" ht="15.75" customHeight="1" x14ac:dyDescent="0.25">
      <c r="A267" s="126">
        <f t="shared" si="6"/>
        <v>47</v>
      </c>
      <c r="B267" s="127"/>
      <c r="C267" s="48" t="s">
        <v>233</v>
      </c>
      <c r="D267" s="40">
        <f>(19.06)*(10.764)</f>
        <v>205.16183999999998</v>
      </c>
      <c r="E267" s="48">
        <v>0</v>
      </c>
      <c r="F267" s="48">
        <f t="shared" si="7"/>
        <v>318.00085200000001</v>
      </c>
      <c r="G267" s="113"/>
      <c r="H267" s="114"/>
      <c r="I267" s="42"/>
      <c r="L267" s="191"/>
      <c r="M267" s="191"/>
      <c r="N267" s="42"/>
    </row>
    <row r="268" spans="1:14" s="2" customFormat="1" ht="15.75" customHeight="1" x14ac:dyDescent="0.25">
      <c r="A268" s="107" t="s">
        <v>250</v>
      </c>
      <c r="B268" s="107"/>
      <c r="C268" s="107"/>
      <c r="D268" s="107"/>
      <c r="E268" s="107"/>
      <c r="F268" s="107"/>
      <c r="G268" s="107"/>
      <c r="H268" s="107"/>
      <c r="J268" s="42"/>
    </row>
    <row r="269" spans="1:14" s="61" customFormat="1" ht="15.75" customHeight="1" x14ac:dyDescent="0.25">
      <c r="A269" s="107" t="s">
        <v>254</v>
      </c>
      <c r="B269" s="107"/>
      <c r="C269" s="107"/>
      <c r="D269" s="107"/>
      <c r="E269" s="107"/>
      <c r="F269" s="107"/>
      <c r="G269" s="107"/>
      <c r="H269" s="107"/>
      <c r="J269" s="42"/>
    </row>
    <row r="270" spans="1:14" s="61" customFormat="1" x14ac:dyDescent="0.25">
      <c r="A270" s="107" t="s">
        <v>232</v>
      </c>
      <c r="B270" s="107"/>
      <c r="C270" s="107"/>
      <c r="D270" s="107"/>
      <c r="E270" s="107"/>
      <c r="F270" s="107"/>
      <c r="G270" s="107"/>
      <c r="H270" s="107"/>
      <c r="J270" s="42"/>
    </row>
    <row r="271" spans="1:14" s="61" customFormat="1" ht="15.75" customHeight="1" x14ac:dyDescent="0.25">
      <c r="A271" s="108">
        <v>34</v>
      </c>
      <c r="B271" s="108"/>
      <c r="C271" s="92" t="s">
        <v>233</v>
      </c>
      <c r="D271" s="40">
        <f>(17.02)*(10.764)</f>
        <v>183.20327999999998</v>
      </c>
      <c r="E271" s="92">
        <v>0</v>
      </c>
      <c r="F271" s="92">
        <f t="shared" ref="F271:F276" si="8">(D271+E271)*(($F$249)+1)</f>
        <v>283.96508399999999</v>
      </c>
      <c r="G271" s="108" t="str">
        <f>A270</f>
        <v>Ground Floor For Part Commercial</v>
      </c>
      <c r="H271" s="108"/>
      <c r="I271" s="42"/>
      <c r="J271" s="40">
        <f>10.764</f>
        <v>10.763999999999999</v>
      </c>
      <c r="L271" s="191"/>
      <c r="M271" s="191"/>
      <c r="N271" s="42"/>
    </row>
    <row r="272" spans="1:14" s="61" customFormat="1" ht="15.75" customHeight="1" x14ac:dyDescent="0.25">
      <c r="A272" s="108">
        <f t="shared" ref="A272:A278" si="9">A271+1</f>
        <v>35</v>
      </c>
      <c r="B272" s="108"/>
      <c r="C272" s="92" t="s">
        <v>233</v>
      </c>
      <c r="D272" s="40">
        <f>(16.55)*(10.764)</f>
        <v>178.14419999999998</v>
      </c>
      <c r="E272" s="92">
        <v>0</v>
      </c>
      <c r="F272" s="92">
        <f t="shared" si="8"/>
        <v>276.12351000000001</v>
      </c>
      <c r="G272" s="108"/>
      <c r="H272" s="108"/>
      <c r="I272" s="42"/>
      <c r="L272" s="191"/>
      <c r="M272" s="191"/>
      <c r="N272" s="42"/>
    </row>
    <row r="273" spans="1:14" s="61" customFormat="1" ht="15.75" customHeight="1" x14ac:dyDescent="0.25">
      <c r="A273" s="108">
        <f t="shared" si="9"/>
        <v>36</v>
      </c>
      <c r="B273" s="108"/>
      <c r="C273" s="92" t="s">
        <v>233</v>
      </c>
      <c r="D273" s="40">
        <f>(13.24)*(10.764)</f>
        <v>142.51535999999999</v>
      </c>
      <c r="E273" s="92">
        <v>0</v>
      </c>
      <c r="F273" s="92">
        <f t="shared" si="8"/>
        <v>220.89880799999997</v>
      </c>
      <c r="G273" s="108"/>
      <c r="H273" s="108"/>
      <c r="I273" s="42"/>
      <c r="L273" s="191"/>
      <c r="M273" s="191"/>
      <c r="N273" s="42"/>
    </row>
    <row r="274" spans="1:14" s="61" customFormat="1" ht="15.75" customHeight="1" x14ac:dyDescent="0.25">
      <c r="A274" s="108">
        <f t="shared" si="9"/>
        <v>37</v>
      </c>
      <c r="B274" s="108"/>
      <c r="C274" s="92" t="s">
        <v>233</v>
      </c>
      <c r="D274" s="40">
        <f>(13.65)*(10.764)</f>
        <v>146.92859999999999</v>
      </c>
      <c r="E274" s="92">
        <v>0</v>
      </c>
      <c r="F274" s="92">
        <f t="shared" si="8"/>
        <v>227.73933</v>
      </c>
      <c r="G274" s="108"/>
      <c r="H274" s="108"/>
      <c r="I274" s="42"/>
      <c r="L274" s="191"/>
      <c r="M274" s="191"/>
      <c r="N274" s="42"/>
    </row>
    <row r="275" spans="1:14" s="61" customFormat="1" ht="15.75" customHeight="1" x14ac:dyDescent="0.25">
      <c r="A275" s="108">
        <f t="shared" si="9"/>
        <v>38</v>
      </c>
      <c r="B275" s="108"/>
      <c r="C275" s="92" t="s">
        <v>233</v>
      </c>
      <c r="D275" s="40">
        <f>(12.34)*(10.764)</f>
        <v>132.82775999999998</v>
      </c>
      <c r="E275" s="92">
        <v>0</v>
      </c>
      <c r="F275" s="92">
        <f t="shared" si="8"/>
        <v>205.88302799999997</v>
      </c>
      <c r="G275" s="108"/>
      <c r="H275" s="108"/>
      <c r="I275" s="42"/>
      <c r="L275" s="191"/>
      <c r="M275" s="191"/>
      <c r="N275" s="42"/>
    </row>
    <row r="276" spans="1:14" s="61" customFormat="1" ht="15.75" customHeight="1" x14ac:dyDescent="0.25">
      <c r="A276" s="108">
        <f t="shared" si="9"/>
        <v>39</v>
      </c>
      <c r="B276" s="108"/>
      <c r="C276" s="92" t="s">
        <v>233</v>
      </c>
      <c r="D276" s="40">
        <f>(17.83)*(10.764)</f>
        <v>191.92211999999998</v>
      </c>
      <c r="E276" s="92">
        <v>0</v>
      </c>
      <c r="F276" s="92">
        <f t="shared" si="8"/>
        <v>297.479286</v>
      </c>
      <c r="G276" s="108"/>
      <c r="H276" s="108"/>
      <c r="I276" s="43"/>
      <c r="L276" s="191"/>
      <c r="M276" s="191"/>
      <c r="N276" s="42"/>
    </row>
    <row r="277" spans="1:14" s="61" customFormat="1" ht="15.75" customHeight="1" x14ac:dyDescent="0.25">
      <c r="A277" s="108">
        <f t="shared" si="9"/>
        <v>40</v>
      </c>
      <c r="B277" s="108"/>
      <c r="C277" s="92" t="s">
        <v>233</v>
      </c>
      <c r="D277" s="40">
        <f>(23.45)*(10.764)</f>
        <v>252.41579999999999</v>
      </c>
      <c r="E277" s="92">
        <v>0</v>
      </c>
      <c r="F277" s="92">
        <f t="shared" ref="F277:F278" si="10">(D277+E277)*(($F$249)+1)</f>
        <v>391.24448999999998</v>
      </c>
      <c r="G277" s="108"/>
      <c r="H277" s="108"/>
      <c r="I277" s="42"/>
      <c r="L277" s="191"/>
      <c r="M277" s="191"/>
      <c r="N277" s="42"/>
    </row>
    <row r="278" spans="1:14" s="61" customFormat="1" ht="15.75" customHeight="1" x14ac:dyDescent="0.25">
      <c r="A278" s="108">
        <f t="shared" si="9"/>
        <v>41</v>
      </c>
      <c r="B278" s="108"/>
      <c r="C278" s="92" t="s">
        <v>233</v>
      </c>
      <c r="D278" s="40">
        <f>(23.45)*(10.764)</f>
        <v>252.41579999999999</v>
      </c>
      <c r="E278" s="92">
        <v>0</v>
      </c>
      <c r="F278" s="92">
        <f t="shared" si="10"/>
        <v>391.24448999999998</v>
      </c>
      <c r="G278" s="108"/>
      <c r="H278" s="108"/>
      <c r="I278" s="43"/>
      <c r="L278" s="191"/>
      <c r="M278" s="191"/>
      <c r="N278" s="42"/>
    </row>
    <row r="279" spans="1:14" s="64" customFormat="1" ht="15.75" customHeight="1" x14ac:dyDescent="0.25">
      <c r="A279" s="107" t="s">
        <v>259</v>
      </c>
      <c r="B279" s="107"/>
      <c r="C279" s="107"/>
      <c r="D279" s="107"/>
      <c r="E279" s="107"/>
      <c r="F279" s="107"/>
      <c r="G279" s="107"/>
      <c r="H279" s="107"/>
      <c r="J279" s="42"/>
    </row>
    <row r="280" spans="1:14" s="64" customFormat="1" x14ac:dyDescent="0.25">
      <c r="A280" s="107" t="s">
        <v>232</v>
      </c>
      <c r="B280" s="107"/>
      <c r="C280" s="107"/>
      <c r="D280" s="107"/>
      <c r="E280" s="107"/>
      <c r="F280" s="107"/>
      <c r="G280" s="107"/>
      <c r="H280" s="107"/>
      <c r="J280" s="42"/>
    </row>
    <row r="281" spans="1:14" s="64" customFormat="1" ht="15.75" customHeight="1" x14ac:dyDescent="0.25">
      <c r="A281" s="108">
        <v>22</v>
      </c>
      <c r="B281" s="108"/>
      <c r="C281" s="94" t="s">
        <v>233</v>
      </c>
      <c r="D281" s="40">
        <f>(17.48)*(10.764)</f>
        <v>188.15472</v>
      </c>
      <c r="E281" s="94">
        <v>0</v>
      </c>
      <c r="F281" s="94">
        <f t="shared" ref="F281:F288" si="11">(D281+E281)*(($F$249)+1)</f>
        <v>291.639816</v>
      </c>
      <c r="G281" s="108" t="str">
        <f>A280</f>
        <v>Ground Floor For Part Commercial</v>
      </c>
      <c r="H281" s="108"/>
      <c r="I281" s="42"/>
      <c r="J281" s="40">
        <f>10.764</f>
        <v>10.763999999999999</v>
      </c>
      <c r="L281" s="191"/>
      <c r="M281" s="191"/>
      <c r="N281" s="42"/>
    </row>
    <row r="282" spans="1:14" s="64" customFormat="1" ht="15.75" customHeight="1" x14ac:dyDescent="0.25">
      <c r="A282" s="108">
        <f t="shared" ref="A282:A292" si="12">A281+1</f>
        <v>23</v>
      </c>
      <c r="B282" s="108"/>
      <c r="C282" s="94" t="s">
        <v>233</v>
      </c>
      <c r="D282" s="40">
        <f>(16.55)*(10.764)</f>
        <v>178.14419999999998</v>
      </c>
      <c r="E282" s="94">
        <v>0</v>
      </c>
      <c r="F282" s="94">
        <f t="shared" si="11"/>
        <v>276.12351000000001</v>
      </c>
      <c r="G282" s="108"/>
      <c r="H282" s="108"/>
      <c r="I282" s="42"/>
      <c r="L282" s="191"/>
      <c r="M282" s="191"/>
      <c r="N282" s="42"/>
    </row>
    <row r="283" spans="1:14" s="64" customFormat="1" ht="15.75" customHeight="1" x14ac:dyDescent="0.25">
      <c r="A283" s="108">
        <f t="shared" si="12"/>
        <v>24</v>
      </c>
      <c r="B283" s="108"/>
      <c r="C283" s="94" t="s">
        <v>233</v>
      </c>
      <c r="D283" s="40">
        <f>(13.24)*(10.764)</f>
        <v>142.51535999999999</v>
      </c>
      <c r="E283" s="94">
        <v>0</v>
      </c>
      <c r="F283" s="94">
        <f t="shared" si="11"/>
        <v>220.89880799999997</v>
      </c>
      <c r="G283" s="108"/>
      <c r="H283" s="108"/>
      <c r="I283" s="42"/>
      <c r="L283" s="191"/>
      <c r="M283" s="191"/>
      <c r="N283" s="42"/>
    </row>
    <row r="284" spans="1:14" s="64" customFormat="1" ht="15.75" customHeight="1" x14ac:dyDescent="0.25">
      <c r="A284" s="108">
        <f t="shared" si="12"/>
        <v>25</v>
      </c>
      <c r="B284" s="108"/>
      <c r="C284" s="94" t="s">
        <v>233</v>
      </c>
      <c r="D284" s="40">
        <f>(13.65)*(10.764)</f>
        <v>146.92859999999999</v>
      </c>
      <c r="E284" s="94">
        <v>0</v>
      </c>
      <c r="F284" s="94">
        <f t="shared" si="11"/>
        <v>227.73933</v>
      </c>
      <c r="G284" s="108"/>
      <c r="H284" s="108"/>
      <c r="I284" s="42"/>
      <c r="L284" s="191"/>
      <c r="M284" s="191"/>
      <c r="N284" s="42"/>
    </row>
    <row r="285" spans="1:14" s="64" customFormat="1" ht="15.75" customHeight="1" x14ac:dyDescent="0.25">
      <c r="A285" s="108">
        <f t="shared" si="12"/>
        <v>26</v>
      </c>
      <c r="B285" s="108"/>
      <c r="C285" s="94" t="s">
        <v>233</v>
      </c>
      <c r="D285" s="40">
        <f>(12.89)*(10.764)</f>
        <v>138.74796000000001</v>
      </c>
      <c r="E285" s="94">
        <v>0</v>
      </c>
      <c r="F285" s="94">
        <f t="shared" si="11"/>
        <v>215.05933800000003</v>
      </c>
      <c r="G285" s="108"/>
      <c r="H285" s="108"/>
      <c r="I285" s="42"/>
      <c r="L285" s="191"/>
      <c r="M285" s="191"/>
      <c r="N285" s="42"/>
    </row>
    <row r="286" spans="1:14" s="64" customFormat="1" ht="15.75" customHeight="1" x14ac:dyDescent="0.25">
      <c r="A286" s="108">
        <f t="shared" si="12"/>
        <v>27</v>
      </c>
      <c r="B286" s="108"/>
      <c r="C286" s="94" t="s">
        <v>233</v>
      </c>
      <c r="D286" s="40">
        <f>(14.35)*(10.764)</f>
        <v>154.46339999999998</v>
      </c>
      <c r="E286" s="94">
        <v>0</v>
      </c>
      <c r="F286" s="94">
        <f t="shared" si="11"/>
        <v>239.41826999999998</v>
      </c>
      <c r="G286" s="108"/>
      <c r="H286" s="108"/>
      <c r="I286" s="43"/>
      <c r="L286" s="191"/>
      <c r="M286" s="191"/>
      <c r="N286" s="42"/>
    </row>
    <row r="287" spans="1:14" s="64" customFormat="1" ht="15.75" customHeight="1" x14ac:dyDescent="0.25">
      <c r="A287" s="108">
        <f t="shared" si="12"/>
        <v>28</v>
      </c>
      <c r="B287" s="108"/>
      <c r="C287" s="94" t="s">
        <v>233</v>
      </c>
      <c r="D287" s="40">
        <f>(12.85)*(10.764)</f>
        <v>138.31739999999999</v>
      </c>
      <c r="E287" s="94">
        <v>0</v>
      </c>
      <c r="F287" s="94">
        <f t="shared" si="11"/>
        <v>214.39196999999999</v>
      </c>
      <c r="G287" s="108"/>
      <c r="H287" s="108"/>
      <c r="I287" s="42"/>
      <c r="L287" s="191"/>
      <c r="M287" s="191"/>
      <c r="N287" s="42"/>
    </row>
    <row r="288" spans="1:14" s="64" customFormat="1" ht="15.75" customHeight="1" x14ac:dyDescent="0.25">
      <c r="A288" s="108">
        <f t="shared" si="12"/>
        <v>29</v>
      </c>
      <c r="B288" s="108"/>
      <c r="C288" s="94" t="s">
        <v>233</v>
      </c>
      <c r="D288" s="40">
        <f>(17.78)*(10.764)</f>
        <v>191.38391999999999</v>
      </c>
      <c r="E288" s="94">
        <v>0</v>
      </c>
      <c r="F288" s="94">
        <f t="shared" si="11"/>
        <v>296.64507600000002</v>
      </c>
      <c r="G288" s="108"/>
      <c r="H288" s="108"/>
      <c r="I288" s="43"/>
      <c r="L288" s="191"/>
      <c r="M288" s="191"/>
      <c r="N288" s="42"/>
    </row>
    <row r="289" spans="1:14" s="64" customFormat="1" ht="15.75" customHeight="1" x14ac:dyDescent="0.25">
      <c r="A289" s="108">
        <f t="shared" si="12"/>
        <v>30</v>
      </c>
      <c r="B289" s="108"/>
      <c r="C289" s="94" t="s">
        <v>233</v>
      </c>
      <c r="D289" s="40">
        <f>(36.27)*(10.764)</f>
        <v>390.41028</v>
      </c>
      <c r="E289" s="94">
        <v>0</v>
      </c>
      <c r="F289" s="94">
        <f t="shared" ref="F289:F292" si="13">(D289+E289)*(($F$249)+1)</f>
        <v>605.13593400000002</v>
      </c>
      <c r="G289" s="108"/>
      <c r="H289" s="108"/>
      <c r="I289" s="42"/>
      <c r="L289" s="191"/>
      <c r="M289" s="191"/>
      <c r="N289" s="42"/>
    </row>
    <row r="290" spans="1:14" s="64" customFormat="1" ht="15.75" customHeight="1" x14ac:dyDescent="0.25">
      <c r="A290" s="108">
        <f t="shared" si="12"/>
        <v>31</v>
      </c>
      <c r="B290" s="108"/>
      <c r="C290" s="94" t="s">
        <v>233</v>
      </c>
      <c r="D290" s="40">
        <f>(13.5)*(10.764)</f>
        <v>145.31399999999999</v>
      </c>
      <c r="E290" s="94">
        <v>0</v>
      </c>
      <c r="F290" s="94">
        <f t="shared" si="13"/>
        <v>225.23669999999998</v>
      </c>
      <c r="G290" s="108"/>
      <c r="H290" s="108"/>
      <c r="I290" s="43"/>
      <c r="L290" s="191"/>
      <c r="M290" s="191"/>
      <c r="N290" s="42"/>
    </row>
    <row r="291" spans="1:14" s="64" customFormat="1" ht="15.75" customHeight="1" x14ac:dyDescent="0.25">
      <c r="A291" s="108">
        <f t="shared" si="12"/>
        <v>32</v>
      </c>
      <c r="B291" s="108"/>
      <c r="C291" s="94" t="s">
        <v>233</v>
      </c>
      <c r="D291" s="40">
        <f>(16.71)*(10.764)</f>
        <v>179.86644000000001</v>
      </c>
      <c r="E291" s="94">
        <v>0</v>
      </c>
      <c r="F291" s="94">
        <f t="shared" si="13"/>
        <v>278.79298200000005</v>
      </c>
      <c r="G291" s="108"/>
      <c r="H291" s="108"/>
      <c r="I291" s="42"/>
      <c r="L291" s="191"/>
      <c r="M291" s="191"/>
      <c r="N291" s="42"/>
    </row>
    <row r="292" spans="1:14" s="64" customFormat="1" ht="15.75" customHeight="1" x14ac:dyDescent="0.25">
      <c r="A292" s="108">
        <f t="shared" si="12"/>
        <v>33</v>
      </c>
      <c r="B292" s="108"/>
      <c r="C292" s="94" t="s">
        <v>233</v>
      </c>
      <c r="D292" s="40">
        <f>(17.51)*(10.764)</f>
        <v>188.47764000000001</v>
      </c>
      <c r="E292" s="94">
        <v>0</v>
      </c>
      <c r="F292" s="94">
        <f t="shared" si="13"/>
        <v>292.14034200000003</v>
      </c>
      <c r="G292" s="108"/>
      <c r="H292" s="108"/>
      <c r="I292" s="43"/>
      <c r="L292" s="191"/>
      <c r="M292" s="191"/>
      <c r="N292" s="42"/>
    </row>
    <row r="293" spans="1:14" s="2" customFormat="1" ht="15.75" customHeight="1" x14ac:dyDescent="0.25">
      <c r="A293" s="107" t="s">
        <v>251</v>
      </c>
      <c r="B293" s="107"/>
      <c r="C293" s="107"/>
      <c r="D293" s="107"/>
      <c r="E293" s="107"/>
      <c r="F293" s="107"/>
      <c r="G293" s="107"/>
      <c r="H293" s="107"/>
      <c r="J293" s="42"/>
    </row>
    <row r="294" spans="1:14" s="2" customFormat="1" x14ac:dyDescent="0.25">
      <c r="A294" s="184" t="s">
        <v>232</v>
      </c>
      <c r="B294" s="185"/>
      <c r="C294" s="185"/>
      <c r="D294" s="185"/>
      <c r="E294" s="185"/>
      <c r="F294" s="185"/>
      <c r="G294" s="185"/>
      <c r="H294" s="186"/>
      <c r="J294" s="42"/>
    </row>
    <row r="295" spans="1:14" s="2" customFormat="1" ht="15.75" customHeight="1" x14ac:dyDescent="0.25">
      <c r="A295" s="126">
        <v>16</v>
      </c>
      <c r="B295" s="127"/>
      <c r="C295" s="48" t="s">
        <v>233</v>
      </c>
      <c r="D295" s="40">
        <f>(18.73)*(10.764)</f>
        <v>201.60971999999998</v>
      </c>
      <c r="E295" s="48">
        <v>0</v>
      </c>
      <c r="F295" s="48">
        <f t="shared" ref="F295:F300" si="14">(D295+E295)*(($F$249)+1)</f>
        <v>312.49506600000001</v>
      </c>
      <c r="G295" s="109" t="str">
        <f>A294</f>
        <v>Ground Floor For Part Commercial</v>
      </c>
      <c r="H295" s="110"/>
      <c r="I295" s="42"/>
      <c r="J295" s="40">
        <f>10.764</f>
        <v>10.763999999999999</v>
      </c>
      <c r="L295" s="191"/>
      <c r="M295" s="191"/>
      <c r="N295" s="42"/>
    </row>
    <row r="296" spans="1:14" s="2" customFormat="1" ht="15.75" customHeight="1" x14ac:dyDescent="0.25">
      <c r="A296" s="126">
        <f t="shared" ref="A296:A300" si="15">A295+1</f>
        <v>17</v>
      </c>
      <c r="B296" s="127"/>
      <c r="C296" s="48" t="s">
        <v>233</v>
      </c>
      <c r="D296" s="40">
        <f>(11.45)*(10.764)</f>
        <v>123.24779999999998</v>
      </c>
      <c r="E296" s="48">
        <v>0</v>
      </c>
      <c r="F296" s="48">
        <f t="shared" si="14"/>
        <v>191.03408999999999</v>
      </c>
      <c r="G296" s="111"/>
      <c r="H296" s="112"/>
      <c r="I296" s="42"/>
      <c r="L296" s="191"/>
      <c r="M296" s="191"/>
      <c r="N296" s="42"/>
    </row>
    <row r="297" spans="1:14" s="2" customFormat="1" ht="15.75" customHeight="1" x14ac:dyDescent="0.25">
      <c r="A297" s="126">
        <f t="shared" si="15"/>
        <v>18</v>
      </c>
      <c r="B297" s="127"/>
      <c r="C297" s="48" t="s">
        <v>233</v>
      </c>
      <c r="D297" s="40">
        <f>(18.19)*(10.764)</f>
        <v>195.79715999999999</v>
      </c>
      <c r="E297" s="48">
        <v>0</v>
      </c>
      <c r="F297" s="48">
        <f t="shared" si="14"/>
        <v>303.48559799999998</v>
      </c>
      <c r="G297" s="111"/>
      <c r="H297" s="112"/>
      <c r="I297" s="42"/>
      <c r="L297" s="191"/>
      <c r="M297" s="191"/>
      <c r="N297" s="42"/>
    </row>
    <row r="298" spans="1:14" s="2" customFormat="1" ht="15.75" customHeight="1" x14ac:dyDescent="0.25">
      <c r="A298" s="126">
        <f t="shared" si="15"/>
        <v>19</v>
      </c>
      <c r="B298" s="127"/>
      <c r="C298" s="48" t="s">
        <v>233</v>
      </c>
      <c r="D298" s="40">
        <f>(12.88)*(10.764)</f>
        <v>138.64032</v>
      </c>
      <c r="E298" s="48">
        <v>0</v>
      </c>
      <c r="F298" s="48">
        <f t="shared" si="14"/>
        <v>214.89249600000002</v>
      </c>
      <c r="G298" s="111"/>
      <c r="H298" s="112"/>
      <c r="I298" s="42"/>
      <c r="L298" s="191"/>
      <c r="M298" s="191"/>
      <c r="N298" s="42"/>
    </row>
    <row r="299" spans="1:14" s="2" customFormat="1" ht="15.75" customHeight="1" x14ac:dyDescent="0.25">
      <c r="A299" s="126">
        <f t="shared" si="15"/>
        <v>20</v>
      </c>
      <c r="B299" s="127"/>
      <c r="C299" s="48" t="s">
        <v>233</v>
      </c>
      <c r="D299" s="40">
        <f>(14.09)*(10.764)</f>
        <v>151.66476</v>
      </c>
      <c r="E299" s="48">
        <v>0</v>
      </c>
      <c r="F299" s="48">
        <f t="shared" si="14"/>
        <v>235.080378</v>
      </c>
      <c r="G299" s="111"/>
      <c r="H299" s="112"/>
      <c r="I299" s="42"/>
      <c r="L299" s="191"/>
      <c r="M299" s="191"/>
      <c r="N299" s="42"/>
    </row>
    <row r="300" spans="1:14" s="2" customFormat="1" ht="15.75" customHeight="1" x14ac:dyDescent="0.25">
      <c r="A300" s="126">
        <f t="shared" si="15"/>
        <v>21</v>
      </c>
      <c r="B300" s="127"/>
      <c r="C300" s="48" t="s">
        <v>233</v>
      </c>
      <c r="D300" s="40">
        <f>(19.4)*(10.764)</f>
        <v>208.82159999999996</v>
      </c>
      <c r="E300" s="48">
        <v>0</v>
      </c>
      <c r="F300" s="48">
        <f t="shared" si="14"/>
        <v>323.67347999999993</v>
      </c>
      <c r="G300" s="113"/>
      <c r="H300" s="114"/>
      <c r="I300" s="43"/>
      <c r="L300" s="191"/>
      <c r="M300" s="191"/>
      <c r="N300" s="42"/>
    </row>
    <row r="301" spans="1:14" s="2" customFormat="1" ht="15.75" customHeight="1" x14ac:dyDescent="0.25">
      <c r="A301" s="107" t="s">
        <v>182</v>
      </c>
      <c r="B301" s="107"/>
      <c r="C301" s="107"/>
      <c r="D301" s="107"/>
      <c r="E301" s="107"/>
      <c r="F301" s="107"/>
      <c r="G301" s="107"/>
      <c r="H301" s="107"/>
      <c r="J301" s="42"/>
    </row>
    <row r="302" spans="1:14" s="2" customFormat="1" ht="15.75" customHeight="1" x14ac:dyDescent="0.25">
      <c r="A302" s="107" t="s">
        <v>236</v>
      </c>
      <c r="B302" s="107"/>
      <c r="C302" s="107"/>
      <c r="D302" s="107"/>
      <c r="E302" s="107"/>
      <c r="F302" s="107"/>
      <c r="G302" s="107"/>
      <c r="H302" s="107"/>
      <c r="J302" s="42"/>
    </row>
    <row r="303" spans="1:14" s="2" customFormat="1" ht="15.75" customHeight="1" x14ac:dyDescent="0.25">
      <c r="A303" s="184" t="s">
        <v>232</v>
      </c>
      <c r="B303" s="185"/>
      <c r="C303" s="185"/>
      <c r="D303" s="185"/>
      <c r="E303" s="185"/>
      <c r="F303" s="185"/>
      <c r="G303" s="185"/>
      <c r="H303" s="186"/>
      <c r="J303" s="42"/>
    </row>
    <row r="304" spans="1:14" s="2" customFormat="1" ht="15.75" customHeight="1" x14ac:dyDescent="0.25">
      <c r="A304" s="126">
        <v>7</v>
      </c>
      <c r="B304" s="127"/>
      <c r="C304" s="48" t="s">
        <v>233</v>
      </c>
      <c r="D304" s="40">
        <f>(17.04)*(10.764)</f>
        <v>183.41855999999999</v>
      </c>
      <c r="E304" s="48">
        <v>0</v>
      </c>
      <c r="F304" s="48">
        <f t="shared" ref="F304:F312" si="16">(D304+E304)*(($F$249)+1)</f>
        <v>284.298768</v>
      </c>
      <c r="G304" s="109" t="str">
        <f>A303</f>
        <v>Ground Floor For Part Commercial</v>
      </c>
      <c r="H304" s="110"/>
      <c r="I304" s="42"/>
      <c r="L304" s="191"/>
      <c r="M304" s="191"/>
      <c r="N304" s="42"/>
    </row>
    <row r="305" spans="1:14" s="2" customFormat="1" ht="15.75" customHeight="1" x14ac:dyDescent="0.25">
      <c r="A305" s="126">
        <f t="shared" ref="A305:A312" si="17">A304+1</f>
        <v>8</v>
      </c>
      <c r="B305" s="127"/>
      <c r="C305" s="48" t="s">
        <v>233</v>
      </c>
      <c r="D305" s="40">
        <f>(16.64)*(10.764)</f>
        <v>179.11295999999999</v>
      </c>
      <c r="E305" s="48">
        <v>0</v>
      </c>
      <c r="F305" s="48">
        <f t="shared" si="16"/>
        <v>277.62508800000001</v>
      </c>
      <c r="G305" s="111"/>
      <c r="H305" s="112"/>
      <c r="I305" s="42"/>
      <c r="L305" s="191"/>
      <c r="M305" s="191"/>
      <c r="N305" s="42"/>
    </row>
    <row r="306" spans="1:14" s="2" customFormat="1" ht="15.75" customHeight="1" x14ac:dyDescent="0.25">
      <c r="A306" s="126">
        <f t="shared" si="17"/>
        <v>9</v>
      </c>
      <c r="B306" s="127"/>
      <c r="C306" s="48" t="s">
        <v>233</v>
      </c>
      <c r="D306" s="40">
        <f>(12.77)*(10.764)</f>
        <v>137.45627999999999</v>
      </c>
      <c r="E306" s="48">
        <v>0</v>
      </c>
      <c r="F306" s="48">
        <f t="shared" si="16"/>
        <v>213.05723399999999</v>
      </c>
      <c r="G306" s="111"/>
      <c r="H306" s="112"/>
      <c r="I306" s="42"/>
      <c r="L306" s="191"/>
      <c r="M306" s="191"/>
      <c r="N306" s="42"/>
    </row>
    <row r="307" spans="1:14" s="2" customFormat="1" ht="15.75" customHeight="1" x14ac:dyDescent="0.25">
      <c r="A307" s="126">
        <f t="shared" si="17"/>
        <v>10</v>
      </c>
      <c r="B307" s="127"/>
      <c r="C307" s="48" t="s">
        <v>233</v>
      </c>
      <c r="D307" s="40">
        <f>(13.55)*(10.764)</f>
        <v>145.85220000000001</v>
      </c>
      <c r="E307" s="48">
        <v>0</v>
      </c>
      <c r="F307" s="48">
        <f t="shared" si="16"/>
        <v>226.07091000000003</v>
      </c>
      <c r="G307" s="111"/>
      <c r="H307" s="112"/>
      <c r="I307" s="42"/>
      <c r="L307" s="191"/>
      <c r="M307" s="191"/>
      <c r="N307" s="42"/>
    </row>
    <row r="308" spans="1:14" s="2" customFormat="1" ht="15.75" customHeight="1" x14ac:dyDescent="0.25">
      <c r="A308" s="126">
        <f t="shared" si="17"/>
        <v>11</v>
      </c>
      <c r="B308" s="127"/>
      <c r="C308" s="48" t="s">
        <v>233</v>
      </c>
      <c r="D308" s="40">
        <f>(12.55)*(10.764)</f>
        <v>135.0882</v>
      </c>
      <c r="E308" s="48">
        <v>0</v>
      </c>
      <c r="F308" s="48">
        <f t="shared" si="16"/>
        <v>209.38670999999999</v>
      </c>
      <c r="G308" s="111"/>
      <c r="H308" s="112"/>
      <c r="I308" s="42"/>
      <c r="L308" s="191"/>
      <c r="M308" s="191"/>
      <c r="N308" s="42"/>
    </row>
    <row r="309" spans="1:14" s="2" customFormat="1" ht="15.75" customHeight="1" x14ac:dyDescent="0.25">
      <c r="A309" s="126">
        <f t="shared" si="17"/>
        <v>12</v>
      </c>
      <c r="B309" s="127"/>
      <c r="C309" s="48" t="s">
        <v>233</v>
      </c>
      <c r="D309" s="40">
        <f>(17.56)*(10.764)</f>
        <v>189.01583999999997</v>
      </c>
      <c r="E309" s="48">
        <v>0</v>
      </c>
      <c r="F309" s="48">
        <f t="shared" si="16"/>
        <v>292.97455199999996</v>
      </c>
      <c r="G309" s="111"/>
      <c r="H309" s="112"/>
      <c r="I309" s="42"/>
      <c r="L309" s="191"/>
      <c r="M309" s="191"/>
      <c r="N309" s="42"/>
    </row>
    <row r="310" spans="1:14" s="2" customFormat="1" ht="15.75" customHeight="1" x14ac:dyDescent="0.25">
      <c r="A310" s="126">
        <f t="shared" si="17"/>
        <v>13</v>
      </c>
      <c r="B310" s="127"/>
      <c r="C310" s="48" t="s">
        <v>233</v>
      </c>
      <c r="D310" s="40">
        <f>(34.91)*(10.764)</f>
        <v>375.77123999999992</v>
      </c>
      <c r="E310" s="48">
        <v>0</v>
      </c>
      <c r="F310" s="48">
        <f t="shared" si="16"/>
        <v>582.44542199999989</v>
      </c>
      <c r="G310" s="111"/>
      <c r="H310" s="112"/>
      <c r="I310" s="42"/>
      <c r="L310" s="191"/>
      <c r="M310" s="191"/>
      <c r="N310" s="42"/>
    </row>
    <row r="311" spans="1:14" s="2" customFormat="1" ht="15.75" customHeight="1" x14ac:dyDescent="0.25">
      <c r="A311" s="126">
        <f t="shared" si="17"/>
        <v>14</v>
      </c>
      <c r="B311" s="127"/>
      <c r="C311" s="48" t="s">
        <v>233</v>
      </c>
      <c r="D311" s="40">
        <f>(33.59)*(10.764)</f>
        <v>361.56276000000003</v>
      </c>
      <c r="E311" s="48">
        <v>0</v>
      </c>
      <c r="F311" s="48">
        <f t="shared" si="16"/>
        <v>560.42227800000001</v>
      </c>
      <c r="G311" s="111"/>
      <c r="H311" s="112"/>
      <c r="I311" s="42"/>
      <c r="L311" s="191"/>
      <c r="M311" s="191"/>
      <c r="N311" s="42"/>
    </row>
    <row r="312" spans="1:14" s="2" customFormat="1" ht="15.75" customHeight="1" x14ac:dyDescent="0.25">
      <c r="A312" s="126">
        <f t="shared" si="17"/>
        <v>15</v>
      </c>
      <c r="B312" s="127"/>
      <c r="C312" s="48" t="s">
        <v>233</v>
      </c>
      <c r="D312" s="40">
        <f>(33.22)*(10.764)</f>
        <v>357.58007999999995</v>
      </c>
      <c r="E312" s="48">
        <v>0</v>
      </c>
      <c r="F312" s="48">
        <f t="shared" si="16"/>
        <v>554.24912399999994</v>
      </c>
      <c r="G312" s="113"/>
      <c r="H312" s="114"/>
      <c r="I312" s="42"/>
      <c r="L312" s="191"/>
      <c r="M312" s="191"/>
      <c r="N312" s="42"/>
    </row>
    <row r="313" spans="1:14" s="2" customFormat="1" ht="15.75" customHeight="1" x14ac:dyDescent="0.25">
      <c r="A313" s="107" t="s">
        <v>237</v>
      </c>
      <c r="B313" s="107"/>
      <c r="C313" s="107"/>
      <c r="D313" s="107"/>
      <c r="E313" s="107"/>
      <c r="F313" s="107"/>
      <c r="G313" s="107"/>
      <c r="H313" s="107"/>
      <c r="J313" s="42"/>
    </row>
    <row r="314" spans="1:14" s="2" customFormat="1" ht="15.75" customHeight="1" x14ac:dyDescent="0.25">
      <c r="A314" s="107" t="s">
        <v>232</v>
      </c>
      <c r="B314" s="107"/>
      <c r="C314" s="107"/>
      <c r="D314" s="107"/>
      <c r="E314" s="107"/>
      <c r="F314" s="107"/>
      <c r="G314" s="107"/>
      <c r="H314" s="107"/>
      <c r="J314" s="42"/>
    </row>
    <row r="315" spans="1:14" s="2" customFormat="1" ht="15.75" customHeight="1" x14ac:dyDescent="0.25">
      <c r="A315" s="108">
        <v>1</v>
      </c>
      <c r="B315" s="108"/>
      <c r="C315" s="92" t="s">
        <v>233</v>
      </c>
      <c r="D315" s="40">
        <f>(16.06)*(10.764)</f>
        <v>172.86983999999998</v>
      </c>
      <c r="E315" s="92">
        <v>0</v>
      </c>
      <c r="F315" s="92">
        <f t="shared" ref="F315:F320" si="18">(D315+E315)*(($F$249)+1)</f>
        <v>267.94825199999997</v>
      </c>
      <c r="G315" s="108" t="str">
        <f>A314</f>
        <v>Ground Floor For Part Commercial</v>
      </c>
      <c r="H315" s="108"/>
      <c r="I315" s="42"/>
      <c r="L315" s="191"/>
      <c r="M315" s="191"/>
      <c r="N315" s="42"/>
    </row>
    <row r="316" spans="1:14" s="2" customFormat="1" ht="15.75" customHeight="1" x14ac:dyDescent="0.25">
      <c r="A316" s="108">
        <f t="shared" ref="A316:A320" si="19">A315+1</f>
        <v>2</v>
      </c>
      <c r="B316" s="108"/>
      <c r="C316" s="92" t="s">
        <v>233</v>
      </c>
      <c r="D316" s="40">
        <f>(16.38)*(10.764)</f>
        <v>176.31431999999998</v>
      </c>
      <c r="E316" s="92">
        <v>0</v>
      </c>
      <c r="F316" s="92">
        <f t="shared" si="18"/>
        <v>273.28719599999999</v>
      </c>
      <c r="G316" s="108"/>
      <c r="H316" s="108"/>
      <c r="I316" s="42"/>
      <c r="L316" s="191"/>
      <c r="M316" s="191"/>
      <c r="N316" s="42"/>
    </row>
    <row r="317" spans="1:14" s="2" customFormat="1" ht="15.75" customHeight="1" x14ac:dyDescent="0.25">
      <c r="A317" s="108">
        <f t="shared" si="19"/>
        <v>3</v>
      </c>
      <c r="B317" s="108"/>
      <c r="C317" s="92" t="s">
        <v>233</v>
      </c>
      <c r="D317" s="40">
        <f>(12.72)*(10.764)</f>
        <v>136.91808</v>
      </c>
      <c r="E317" s="92">
        <v>0</v>
      </c>
      <c r="F317" s="92">
        <f t="shared" si="18"/>
        <v>212.22302400000001</v>
      </c>
      <c r="G317" s="108"/>
      <c r="H317" s="108"/>
      <c r="I317" s="42"/>
      <c r="L317" s="191"/>
      <c r="M317" s="191"/>
      <c r="N317" s="42"/>
    </row>
    <row r="318" spans="1:14" s="2" customFormat="1" ht="15.75" customHeight="1" x14ac:dyDescent="0.25">
      <c r="A318" s="108">
        <f t="shared" si="19"/>
        <v>4</v>
      </c>
      <c r="B318" s="108"/>
      <c r="C318" s="92" t="s">
        <v>233</v>
      </c>
      <c r="D318" s="40">
        <f>(12.72)*(10.764)</f>
        <v>136.91808</v>
      </c>
      <c r="E318" s="92">
        <v>0</v>
      </c>
      <c r="F318" s="92">
        <f t="shared" si="18"/>
        <v>212.22302400000001</v>
      </c>
      <c r="G318" s="108"/>
      <c r="H318" s="108"/>
      <c r="I318" s="42"/>
      <c r="L318" s="191"/>
      <c r="M318" s="191"/>
      <c r="N318" s="42"/>
    </row>
    <row r="319" spans="1:14" s="2" customFormat="1" ht="15.75" customHeight="1" x14ac:dyDescent="0.25">
      <c r="A319" s="108">
        <f t="shared" si="19"/>
        <v>5</v>
      </c>
      <c r="B319" s="108"/>
      <c r="C319" s="92" t="s">
        <v>233</v>
      </c>
      <c r="D319" s="40">
        <f>(13.81)*(10.764)</f>
        <v>148.65083999999999</v>
      </c>
      <c r="E319" s="92">
        <v>0</v>
      </c>
      <c r="F319" s="92">
        <f t="shared" si="18"/>
        <v>230.40880199999998</v>
      </c>
      <c r="G319" s="108"/>
      <c r="H319" s="108"/>
      <c r="I319" s="42"/>
      <c r="L319" s="191"/>
      <c r="M319" s="191"/>
      <c r="N319" s="42"/>
    </row>
    <row r="320" spans="1:14" s="2" customFormat="1" ht="15.75" customHeight="1" x14ac:dyDescent="0.25">
      <c r="A320" s="108">
        <f t="shared" si="19"/>
        <v>6</v>
      </c>
      <c r="B320" s="108"/>
      <c r="C320" s="92" t="s">
        <v>233</v>
      </c>
      <c r="D320" s="40">
        <f>(13.23)*(10.764)</f>
        <v>142.40771999999998</v>
      </c>
      <c r="E320" s="92">
        <v>0</v>
      </c>
      <c r="F320" s="92">
        <f t="shared" si="18"/>
        <v>220.73196599999997</v>
      </c>
      <c r="G320" s="108"/>
      <c r="H320" s="108"/>
      <c r="I320" s="42"/>
      <c r="L320" s="191"/>
      <c r="M320" s="191"/>
      <c r="N320" s="42"/>
    </row>
    <row r="321" spans="1:14" s="2" customFormat="1" ht="15.75" hidden="1" customHeight="1" x14ac:dyDescent="0.25">
      <c r="A321" s="184" t="s">
        <v>232</v>
      </c>
      <c r="B321" s="185"/>
      <c r="C321" s="185"/>
      <c r="D321" s="185"/>
      <c r="E321" s="185"/>
      <c r="F321" s="185"/>
      <c r="G321" s="185"/>
      <c r="H321" s="186"/>
      <c r="J321" s="42"/>
    </row>
    <row r="322" spans="1:14" s="2" customFormat="1" hidden="1" x14ac:dyDescent="0.25">
      <c r="A322" s="126">
        <v>1</v>
      </c>
      <c r="B322" s="127"/>
      <c r="C322" s="48"/>
      <c r="D322" s="48"/>
      <c r="E322" s="48">
        <v>0</v>
      </c>
      <c r="F322" s="48" t="e">
        <f>(D322+E322)*((#REF!)+1)</f>
        <v>#REF!</v>
      </c>
      <c r="G322" s="126" t="str">
        <f>A321</f>
        <v>Ground Floor For Part Commercial</v>
      </c>
      <c r="H322" s="127"/>
      <c r="I322" s="42"/>
      <c r="L322" s="191"/>
      <c r="M322" s="191"/>
      <c r="N322" s="42"/>
    </row>
    <row r="323" spans="1:14" s="2" customFormat="1" hidden="1" x14ac:dyDescent="0.25">
      <c r="A323" s="126">
        <f t="shared" ref="A323:A325" si="20">A322+1</f>
        <v>2</v>
      </c>
      <c r="B323" s="127"/>
      <c r="C323" s="48"/>
      <c r="D323" s="48"/>
      <c r="E323" s="48">
        <v>0</v>
      </c>
      <c r="F323" s="48" t="e">
        <f>(D323+E323)*((#REF!)+1)</f>
        <v>#REF!</v>
      </c>
      <c r="G323" s="126" t="str">
        <f t="shared" ref="G323:G325" si="21">G322</f>
        <v>Ground Floor For Part Commercial</v>
      </c>
      <c r="H323" s="127"/>
      <c r="I323" s="42"/>
      <c r="L323" s="191"/>
      <c r="M323" s="191"/>
      <c r="N323" s="42"/>
    </row>
    <row r="324" spans="1:14" s="2" customFormat="1" hidden="1" x14ac:dyDescent="0.25">
      <c r="A324" s="126">
        <f t="shared" si="20"/>
        <v>3</v>
      </c>
      <c r="B324" s="127"/>
      <c r="C324" s="48"/>
      <c r="D324" s="48"/>
      <c r="E324" s="48">
        <v>0</v>
      </c>
      <c r="F324" s="48" t="e">
        <f>(D324+E324)*((#REF!)+1)</f>
        <v>#REF!</v>
      </c>
      <c r="G324" s="126" t="str">
        <f t="shared" si="21"/>
        <v>Ground Floor For Part Commercial</v>
      </c>
      <c r="H324" s="127"/>
      <c r="I324" s="42"/>
      <c r="L324" s="191"/>
      <c r="M324" s="191"/>
      <c r="N324" s="42"/>
    </row>
    <row r="325" spans="1:14" s="2" customFormat="1" hidden="1" x14ac:dyDescent="0.25">
      <c r="A325" s="126">
        <f t="shared" si="20"/>
        <v>4</v>
      </c>
      <c r="B325" s="127"/>
      <c r="C325" s="48"/>
      <c r="D325" s="48"/>
      <c r="E325" s="48">
        <v>0</v>
      </c>
      <c r="F325" s="48" t="e">
        <f>(D325+E325)*((#REF!)+1)</f>
        <v>#REF!</v>
      </c>
      <c r="G325" s="126" t="str">
        <f t="shared" si="21"/>
        <v>Ground Floor For Part Commercial</v>
      </c>
      <c r="H325" s="127"/>
      <c r="I325" s="42"/>
      <c r="L325" s="191"/>
      <c r="M325" s="191"/>
      <c r="N325" s="42"/>
    </row>
    <row r="326" spans="1:14" x14ac:dyDescent="0.25">
      <c r="A326" s="128"/>
      <c r="B326" s="128"/>
      <c r="C326" s="128"/>
      <c r="D326" s="128"/>
      <c r="E326" s="128"/>
      <c r="F326" s="190"/>
      <c r="G326" s="128"/>
      <c r="H326" s="128"/>
    </row>
    <row r="327" spans="1:14" ht="31.5" x14ac:dyDescent="0.25">
      <c r="A327" s="182" t="s">
        <v>112</v>
      </c>
      <c r="B327" s="146"/>
      <c r="C327" s="187" t="s">
        <v>65</v>
      </c>
      <c r="D327" s="187" t="s">
        <v>66</v>
      </c>
      <c r="E327" s="182" t="s">
        <v>67</v>
      </c>
      <c r="F327" s="47" t="s">
        <v>68</v>
      </c>
      <c r="G327" s="145" t="s">
        <v>69</v>
      </c>
      <c r="H327" s="146"/>
    </row>
    <row r="328" spans="1:14" x14ac:dyDescent="0.25">
      <c r="A328" s="183"/>
      <c r="B328" s="148"/>
      <c r="C328" s="188"/>
      <c r="D328" s="188"/>
      <c r="E328" s="183"/>
      <c r="F328" s="44">
        <v>0.5</v>
      </c>
      <c r="G328" s="147"/>
      <c r="H328" s="148"/>
    </row>
    <row r="329" spans="1:14" s="2" customFormat="1" ht="16.5" customHeight="1" x14ac:dyDescent="0.25">
      <c r="A329" s="107" t="s">
        <v>240</v>
      </c>
      <c r="B329" s="107"/>
      <c r="C329" s="107"/>
      <c r="D329" s="107"/>
      <c r="E329" s="107"/>
      <c r="F329" s="107"/>
      <c r="G329" s="107"/>
      <c r="H329" s="107"/>
    </row>
    <row r="330" spans="1:14" s="2" customFormat="1" ht="16.5" customHeight="1" x14ac:dyDescent="0.25">
      <c r="A330" s="107" t="s">
        <v>170</v>
      </c>
      <c r="B330" s="107"/>
      <c r="C330" s="107"/>
      <c r="D330" s="107"/>
      <c r="E330" s="107"/>
      <c r="F330" s="107"/>
      <c r="G330" s="107"/>
      <c r="H330" s="107"/>
    </row>
    <row r="331" spans="1:14" s="2" customFormat="1" ht="16.5" customHeight="1" x14ac:dyDescent="0.25">
      <c r="A331" s="107" t="s">
        <v>171</v>
      </c>
      <c r="B331" s="107"/>
      <c r="C331" s="107"/>
      <c r="D331" s="107"/>
      <c r="E331" s="107"/>
      <c r="F331" s="107"/>
      <c r="G331" s="107"/>
      <c r="H331" s="107"/>
    </row>
    <row r="332" spans="1:14" s="2" customFormat="1" ht="16.5" customHeight="1" x14ac:dyDescent="0.25">
      <c r="A332" s="107" t="s">
        <v>172</v>
      </c>
      <c r="B332" s="107"/>
      <c r="C332" s="107"/>
      <c r="D332" s="107"/>
      <c r="E332" s="107"/>
      <c r="F332" s="107"/>
      <c r="G332" s="107"/>
      <c r="H332" s="107"/>
    </row>
    <row r="333" spans="1:14" s="2" customFormat="1" ht="16.5" customHeight="1" x14ac:dyDescent="0.25">
      <c r="A333" s="107" t="s">
        <v>216</v>
      </c>
      <c r="B333" s="107"/>
      <c r="C333" s="107"/>
      <c r="D333" s="107"/>
      <c r="E333" s="107"/>
      <c r="F333" s="107"/>
      <c r="G333" s="107"/>
      <c r="H333" s="107"/>
    </row>
    <row r="334" spans="1:14" s="2" customFormat="1" ht="16.5" customHeight="1" x14ac:dyDescent="0.25">
      <c r="A334" s="107" t="s">
        <v>219</v>
      </c>
      <c r="B334" s="107"/>
      <c r="C334" s="107"/>
      <c r="D334" s="107"/>
      <c r="E334" s="107"/>
      <c r="F334" s="107"/>
      <c r="G334" s="107"/>
      <c r="H334" s="107"/>
      <c r="J334" s="40">
        <f>10.764</f>
        <v>10.763999999999999</v>
      </c>
    </row>
    <row r="335" spans="1:14" s="2" customFormat="1" ht="16.5" customHeight="1" x14ac:dyDescent="0.25">
      <c r="A335" s="108">
        <v>1</v>
      </c>
      <c r="B335" s="108"/>
      <c r="C335" s="94" t="s">
        <v>173</v>
      </c>
      <c r="D335" s="40">
        <f>(55.76)*(10.764)</f>
        <v>600.20063999999991</v>
      </c>
      <c r="E335" s="94">
        <v>0</v>
      </c>
      <c r="F335" s="94">
        <f>D335*(($F$328)+1)+(IF(E335&lt;101,E335,IF(E335&lt;201,E335/2,IF(E335&lt;=301,E335/3,E335/4))))</f>
        <v>900.3009599999998</v>
      </c>
      <c r="G335" s="108" t="str">
        <f>A334</f>
        <v>Upper Ground Floor Residential (Part Podium)</v>
      </c>
      <c r="H335" s="108"/>
      <c r="J335" s="2">
        <f>2.18*1.05+2.18*2.74+3.05*4.72+1.3*2.16+2.21*1.3+3.2*3.05+2.15*0.6+2.755*3.32+2.755*0.9</f>
        <v>51.015300000000003</v>
      </c>
    </row>
    <row r="336" spans="1:14" s="2" customFormat="1" ht="16.5" customHeight="1" x14ac:dyDescent="0.25">
      <c r="A336" s="108">
        <v>2</v>
      </c>
      <c r="B336" s="108"/>
      <c r="C336" s="108" t="s">
        <v>217</v>
      </c>
      <c r="D336" s="108"/>
      <c r="E336" s="108"/>
      <c r="F336" s="108"/>
      <c r="G336" s="108"/>
      <c r="H336" s="108"/>
      <c r="J336" s="2">
        <f>0.63*(1.73+3.05+2.6)</f>
        <v>4.6493999999999991</v>
      </c>
    </row>
    <row r="337" spans="1:10" s="2" customFormat="1" ht="16.5" customHeight="1" x14ac:dyDescent="0.25">
      <c r="A337" s="108">
        <v>3</v>
      </c>
      <c r="B337" s="108"/>
      <c r="C337" s="108"/>
      <c r="D337" s="108"/>
      <c r="E337" s="108"/>
      <c r="F337" s="108"/>
      <c r="G337" s="108"/>
      <c r="H337" s="108"/>
      <c r="J337" s="2">
        <f>J335+J336</f>
        <v>55.664700000000003</v>
      </c>
    </row>
    <row r="338" spans="1:10" s="2" customFormat="1" ht="16.5" customHeight="1" x14ac:dyDescent="0.25">
      <c r="A338" s="108">
        <v>4</v>
      </c>
      <c r="B338" s="108"/>
      <c r="C338" s="108"/>
      <c r="D338" s="108"/>
      <c r="E338" s="108"/>
      <c r="F338" s="108"/>
      <c r="G338" s="108"/>
      <c r="H338" s="108"/>
    </row>
    <row r="339" spans="1:10" s="2" customFormat="1" ht="16.5" customHeight="1" x14ac:dyDescent="0.25">
      <c r="A339" s="108">
        <v>5</v>
      </c>
      <c r="B339" s="108"/>
      <c r="C339" s="94" t="s">
        <v>173</v>
      </c>
      <c r="D339" s="40">
        <f>(49.27)*(10.764)</f>
        <v>530.34227999999996</v>
      </c>
      <c r="E339" s="94">
        <v>0</v>
      </c>
      <c r="F339" s="94">
        <f t="shared" ref="F339:F340" si="22">D339*(($F$328)+1)+(IF(E339&lt;101,E339,IF(E339&lt;201,E339/2,IF(E339&lt;=301,E339/3,E339/4))))</f>
        <v>795.51342</v>
      </c>
      <c r="G339" s="108"/>
      <c r="H339" s="108"/>
    </row>
    <row r="340" spans="1:10" s="2" customFormat="1" ht="16.5" customHeight="1" x14ac:dyDescent="0.25">
      <c r="A340" s="108">
        <v>6</v>
      </c>
      <c r="B340" s="108"/>
      <c r="C340" s="94" t="s">
        <v>152</v>
      </c>
      <c r="D340" s="40">
        <f>(75.62)*(10.764)</f>
        <v>813.97367999999994</v>
      </c>
      <c r="E340" s="94">
        <v>0</v>
      </c>
      <c r="F340" s="94">
        <f t="shared" si="22"/>
        <v>1220.9605199999999</v>
      </c>
      <c r="G340" s="108"/>
      <c r="H340" s="108"/>
    </row>
    <row r="341" spans="1:10" s="2" customFormat="1" ht="16.5" customHeight="1" x14ac:dyDescent="0.25">
      <c r="A341" s="107" t="s">
        <v>218</v>
      </c>
      <c r="B341" s="107"/>
      <c r="C341" s="107"/>
      <c r="D341" s="107"/>
      <c r="E341" s="107"/>
      <c r="F341" s="107"/>
      <c r="G341" s="107"/>
      <c r="H341" s="107"/>
    </row>
    <row r="342" spans="1:10" s="2" customFormat="1" ht="16.5" customHeight="1" x14ac:dyDescent="0.25">
      <c r="A342" s="108">
        <v>1</v>
      </c>
      <c r="B342" s="108"/>
      <c r="C342" s="48" t="s">
        <v>173</v>
      </c>
      <c r="D342" s="40">
        <f>(55.76)*(10.764)</f>
        <v>600.20063999999991</v>
      </c>
      <c r="E342" s="48">
        <v>0</v>
      </c>
      <c r="F342" s="48">
        <f t="shared" ref="F342:F343" si="23">D342*(($F$328)+1)+(IF(E342&lt;101,E342,IF(E342&lt;201,E342/2,IF(E342&lt;=301,E342/3,E342/4))))</f>
        <v>900.3009599999998</v>
      </c>
      <c r="G342" s="109" t="str">
        <f>A341</f>
        <v>Stilt/ Lobby Floor for Residential</v>
      </c>
      <c r="H342" s="110"/>
    </row>
    <row r="343" spans="1:10" s="2" customFormat="1" ht="16.5" customHeight="1" x14ac:dyDescent="0.25">
      <c r="A343" s="108">
        <v>2</v>
      </c>
      <c r="B343" s="108"/>
      <c r="C343" s="48" t="s">
        <v>173</v>
      </c>
      <c r="D343" s="40">
        <f>(55.76)*(10.764)</f>
        <v>600.20063999999991</v>
      </c>
      <c r="E343" s="40">
        <f>(3.05*1.22+2.73*0.58)*(10.764)</f>
        <v>57.096561599999987</v>
      </c>
      <c r="F343" s="48">
        <f t="shared" si="23"/>
        <v>957.39752159999978</v>
      </c>
      <c r="G343" s="111"/>
      <c r="H343" s="112"/>
    </row>
    <row r="344" spans="1:10" s="2" customFormat="1" ht="16.5" customHeight="1" x14ac:dyDescent="0.25">
      <c r="A344" s="108">
        <v>3</v>
      </c>
      <c r="B344" s="108"/>
      <c r="C344" s="109" t="s">
        <v>225</v>
      </c>
      <c r="D344" s="115"/>
      <c r="E344" s="115"/>
      <c r="F344" s="110"/>
      <c r="G344" s="111"/>
      <c r="H344" s="112"/>
    </row>
    <row r="345" spans="1:10" s="2" customFormat="1" ht="16.5" customHeight="1" x14ac:dyDescent="0.25">
      <c r="A345" s="108">
        <v>4</v>
      </c>
      <c r="B345" s="108"/>
      <c r="C345" s="48" t="s">
        <v>173</v>
      </c>
      <c r="D345" s="40">
        <f t="shared" ref="D345:D346" si="24">(49.27)*(10.764)</f>
        <v>530.34227999999996</v>
      </c>
      <c r="E345" s="40">
        <f>(3.4*1.37+2.71*1.04)*(10.764)</f>
        <v>80.475969599999999</v>
      </c>
      <c r="F345" s="48">
        <f t="shared" ref="F345:F347" si="25">D345*(($F$328)+1)+(IF(E345&lt;101,E345,IF(E345&lt;201,E345/2,IF(E345&lt;=301,E345/3,E345/4))))</f>
        <v>875.98938959999998</v>
      </c>
      <c r="G345" s="111"/>
      <c r="H345" s="112"/>
    </row>
    <row r="346" spans="1:10" s="2" customFormat="1" ht="16.5" customHeight="1" x14ac:dyDescent="0.25">
      <c r="A346" s="108">
        <v>5</v>
      </c>
      <c r="B346" s="108"/>
      <c r="C346" s="48" t="s">
        <v>173</v>
      </c>
      <c r="D346" s="40">
        <f t="shared" si="24"/>
        <v>530.34227999999996</v>
      </c>
      <c r="E346" s="48">
        <v>0</v>
      </c>
      <c r="F346" s="48">
        <f t="shared" si="25"/>
        <v>795.51342</v>
      </c>
      <c r="G346" s="111"/>
      <c r="H346" s="112"/>
    </row>
    <row r="347" spans="1:10" s="2" customFormat="1" ht="16.5" customHeight="1" x14ac:dyDescent="0.25">
      <c r="A347" s="108">
        <v>6</v>
      </c>
      <c r="B347" s="108"/>
      <c r="C347" s="48" t="s">
        <v>152</v>
      </c>
      <c r="D347" s="40">
        <f>(75.62)*(10.764)</f>
        <v>813.97367999999994</v>
      </c>
      <c r="E347" s="48">
        <v>0</v>
      </c>
      <c r="F347" s="48">
        <f t="shared" si="25"/>
        <v>1220.9605199999999</v>
      </c>
      <c r="G347" s="113"/>
      <c r="H347" s="114"/>
    </row>
    <row r="348" spans="1:10" s="2" customFormat="1" ht="16.5" customHeight="1" x14ac:dyDescent="0.25">
      <c r="A348" s="107" t="s">
        <v>220</v>
      </c>
      <c r="B348" s="107"/>
      <c r="C348" s="107"/>
      <c r="D348" s="107"/>
      <c r="E348" s="107"/>
      <c r="F348" s="107"/>
      <c r="G348" s="107"/>
      <c r="H348" s="107"/>
    </row>
    <row r="349" spans="1:10" s="2" customFormat="1" ht="16.5" customHeight="1" x14ac:dyDescent="0.25">
      <c r="A349" s="108">
        <v>1</v>
      </c>
      <c r="B349" s="108"/>
      <c r="C349" s="48" t="s">
        <v>173</v>
      </c>
      <c r="D349" s="40">
        <f>(55.76)*(10.764)</f>
        <v>600.20063999999991</v>
      </c>
      <c r="E349" s="48">
        <v>0</v>
      </c>
      <c r="F349" s="48">
        <f t="shared" ref="F349:F354" si="26">D349*(($F$328)+1)+(IF(E349&lt;101,E349,IF(E349&lt;201,E349/2,IF(E349&lt;=301,E349/3,E349/4))))</f>
        <v>900.3009599999998</v>
      </c>
      <c r="G349" s="109" t="str">
        <f>A348</f>
        <v>1st to 5th, 7th to 10th, 12th to 16th, 18th to 22nd, 24th &amp; 25th Floor</v>
      </c>
      <c r="H349" s="110"/>
    </row>
    <row r="350" spans="1:10" s="2" customFormat="1" ht="16.5" customHeight="1" x14ac:dyDescent="0.25">
      <c r="A350" s="108">
        <v>2</v>
      </c>
      <c r="B350" s="108"/>
      <c r="C350" s="48" t="s">
        <v>173</v>
      </c>
      <c r="D350" s="40">
        <f>(55.76)*(10.764)</f>
        <v>600.20063999999991</v>
      </c>
      <c r="E350" s="48">
        <v>0</v>
      </c>
      <c r="F350" s="48">
        <f t="shared" si="26"/>
        <v>900.3009599999998</v>
      </c>
      <c r="G350" s="111"/>
      <c r="H350" s="112"/>
    </row>
    <row r="351" spans="1:10" s="2" customFormat="1" ht="16.5" customHeight="1" x14ac:dyDescent="0.25">
      <c r="A351" s="108">
        <v>3</v>
      </c>
      <c r="B351" s="108"/>
      <c r="C351" s="48" t="s">
        <v>152</v>
      </c>
      <c r="D351" s="40">
        <f>(75.63)*(10.764)</f>
        <v>814.08131999999989</v>
      </c>
      <c r="E351" s="48">
        <v>0</v>
      </c>
      <c r="F351" s="48">
        <f t="shared" si="26"/>
        <v>1221.1219799999999</v>
      </c>
      <c r="G351" s="111"/>
      <c r="H351" s="112"/>
    </row>
    <row r="352" spans="1:10" s="2" customFormat="1" ht="16.5" customHeight="1" x14ac:dyDescent="0.25">
      <c r="A352" s="108">
        <v>4</v>
      </c>
      <c r="B352" s="108"/>
      <c r="C352" s="48" t="s">
        <v>173</v>
      </c>
      <c r="D352" s="40">
        <f t="shared" ref="D352:D353" si="27">(49.27)*(10.764)</f>
        <v>530.34227999999996</v>
      </c>
      <c r="E352" s="48">
        <v>0</v>
      </c>
      <c r="F352" s="48">
        <f t="shared" si="26"/>
        <v>795.51342</v>
      </c>
      <c r="G352" s="111"/>
      <c r="H352" s="112"/>
    </row>
    <row r="353" spans="1:9" s="2" customFormat="1" ht="16.5" customHeight="1" x14ac:dyDescent="0.25">
      <c r="A353" s="108">
        <v>5</v>
      </c>
      <c r="B353" s="108"/>
      <c r="C353" s="48" t="s">
        <v>173</v>
      </c>
      <c r="D353" s="40">
        <f t="shared" si="27"/>
        <v>530.34227999999996</v>
      </c>
      <c r="E353" s="48">
        <v>0</v>
      </c>
      <c r="F353" s="48">
        <f t="shared" si="26"/>
        <v>795.51342</v>
      </c>
      <c r="G353" s="111"/>
      <c r="H353" s="112"/>
    </row>
    <row r="354" spans="1:9" s="2" customFormat="1" ht="16.5" customHeight="1" x14ac:dyDescent="0.25">
      <c r="A354" s="108">
        <v>6</v>
      </c>
      <c r="B354" s="108"/>
      <c r="C354" s="48" t="s">
        <v>152</v>
      </c>
      <c r="D354" s="40">
        <f>(75.62)*(10.764)</f>
        <v>813.97367999999994</v>
      </c>
      <c r="E354" s="48">
        <v>0</v>
      </c>
      <c r="F354" s="48">
        <f t="shared" si="26"/>
        <v>1220.9605199999999</v>
      </c>
      <c r="G354" s="113"/>
      <c r="H354" s="114"/>
    </row>
    <row r="355" spans="1:9" s="2" customFormat="1" ht="16.5" customHeight="1" x14ac:dyDescent="0.25">
      <c r="A355" s="107" t="s">
        <v>221</v>
      </c>
      <c r="B355" s="107"/>
      <c r="C355" s="107"/>
      <c r="D355" s="107"/>
      <c r="E355" s="107"/>
      <c r="F355" s="107"/>
      <c r="G355" s="107"/>
      <c r="H355" s="107"/>
      <c r="I355" s="2">
        <f>3</f>
        <v>3</v>
      </c>
    </row>
    <row r="356" spans="1:9" s="2" customFormat="1" ht="16.5" customHeight="1" x14ac:dyDescent="0.25">
      <c r="A356" s="108">
        <v>1</v>
      </c>
      <c r="B356" s="108"/>
      <c r="C356" s="126" t="s">
        <v>175</v>
      </c>
      <c r="D356" s="179"/>
      <c r="E356" s="179"/>
      <c r="F356" s="127"/>
      <c r="G356" s="109" t="str">
        <f>A355</f>
        <v>6th, 11th, 17th &amp; 23rd Floor (Part Refuge Area)</v>
      </c>
      <c r="H356" s="110"/>
    </row>
    <row r="357" spans="1:9" s="2" customFormat="1" ht="16.5" customHeight="1" x14ac:dyDescent="0.25">
      <c r="A357" s="108">
        <v>2</v>
      </c>
      <c r="B357" s="108"/>
      <c r="C357" s="48" t="s">
        <v>173</v>
      </c>
      <c r="D357" s="40">
        <f>(55.76)*(10.764)</f>
        <v>600.20063999999991</v>
      </c>
      <c r="E357" s="48">
        <v>0</v>
      </c>
      <c r="F357" s="48">
        <f t="shared" ref="F357:F361" si="28">D357*(($F$328)+1)+(IF(E357&lt;101,E357,IF(E357&lt;201,E357/2,IF(E357&lt;=301,E357/3,E357/4))))</f>
        <v>900.3009599999998</v>
      </c>
      <c r="G357" s="111"/>
      <c r="H357" s="112"/>
    </row>
    <row r="358" spans="1:9" s="2" customFormat="1" ht="16.5" customHeight="1" x14ac:dyDescent="0.25">
      <c r="A358" s="108">
        <v>3</v>
      </c>
      <c r="B358" s="108"/>
      <c r="C358" s="48" t="s">
        <v>152</v>
      </c>
      <c r="D358" s="40">
        <f>(75.63)*(10.764)</f>
        <v>814.08131999999989</v>
      </c>
      <c r="E358" s="48">
        <v>0</v>
      </c>
      <c r="F358" s="48">
        <f t="shared" si="28"/>
        <v>1221.1219799999999</v>
      </c>
      <c r="G358" s="111"/>
      <c r="H358" s="112"/>
    </row>
    <row r="359" spans="1:9" s="2" customFormat="1" ht="16.5" customHeight="1" x14ac:dyDescent="0.25">
      <c r="A359" s="108">
        <v>4</v>
      </c>
      <c r="B359" s="108"/>
      <c r="C359" s="48" t="s">
        <v>173</v>
      </c>
      <c r="D359" s="40">
        <f t="shared" ref="D359:D360" si="29">(49.27)*(10.764)</f>
        <v>530.34227999999996</v>
      </c>
      <c r="E359" s="48">
        <v>0</v>
      </c>
      <c r="F359" s="48">
        <f t="shared" si="28"/>
        <v>795.51342</v>
      </c>
      <c r="G359" s="111"/>
      <c r="H359" s="112"/>
    </row>
    <row r="360" spans="1:9" s="2" customFormat="1" ht="16.5" customHeight="1" x14ac:dyDescent="0.25">
      <c r="A360" s="108">
        <v>5</v>
      </c>
      <c r="B360" s="108"/>
      <c r="C360" s="48" t="s">
        <v>173</v>
      </c>
      <c r="D360" s="40">
        <f t="shared" si="29"/>
        <v>530.34227999999996</v>
      </c>
      <c r="E360" s="48">
        <v>0</v>
      </c>
      <c r="F360" s="48">
        <f t="shared" si="28"/>
        <v>795.51342</v>
      </c>
      <c r="G360" s="111"/>
      <c r="H360" s="112"/>
    </row>
    <row r="361" spans="1:9" s="2" customFormat="1" ht="16.5" customHeight="1" x14ac:dyDescent="0.25">
      <c r="A361" s="108">
        <v>6</v>
      </c>
      <c r="B361" s="108"/>
      <c r="C361" s="48" t="s">
        <v>152</v>
      </c>
      <c r="D361" s="40">
        <f>(75.62)*(10.764)</f>
        <v>813.97367999999994</v>
      </c>
      <c r="E361" s="48">
        <v>0</v>
      </c>
      <c r="F361" s="48">
        <f t="shared" si="28"/>
        <v>1220.9605199999999</v>
      </c>
      <c r="G361" s="113"/>
      <c r="H361" s="114"/>
    </row>
    <row r="362" spans="1:9" s="2" customFormat="1" ht="16.5" customHeight="1" x14ac:dyDescent="0.25">
      <c r="A362" s="107" t="s">
        <v>195</v>
      </c>
      <c r="B362" s="107"/>
      <c r="C362" s="107"/>
      <c r="D362" s="107"/>
      <c r="E362" s="107"/>
      <c r="F362" s="107"/>
      <c r="G362" s="107"/>
      <c r="H362" s="107"/>
    </row>
    <row r="363" spans="1:9" s="2" customFormat="1" ht="16.5" customHeight="1" x14ac:dyDescent="0.25">
      <c r="A363" s="107" t="s">
        <v>172</v>
      </c>
      <c r="B363" s="107"/>
      <c r="C363" s="107"/>
      <c r="D363" s="107"/>
      <c r="E363" s="107"/>
      <c r="F363" s="107"/>
      <c r="G363" s="107"/>
      <c r="H363" s="107"/>
    </row>
    <row r="364" spans="1:9" s="2" customFormat="1" ht="16.5" customHeight="1" x14ac:dyDescent="0.25">
      <c r="A364" s="107" t="s">
        <v>216</v>
      </c>
      <c r="B364" s="107"/>
      <c r="C364" s="107"/>
      <c r="D364" s="107"/>
      <c r="E364" s="107"/>
      <c r="F364" s="107"/>
      <c r="G364" s="107"/>
      <c r="H364" s="107"/>
    </row>
    <row r="365" spans="1:9" s="2" customFormat="1" ht="16.5" customHeight="1" x14ac:dyDescent="0.25">
      <c r="A365" s="107" t="s">
        <v>222</v>
      </c>
      <c r="B365" s="107"/>
      <c r="C365" s="107"/>
      <c r="D365" s="107"/>
      <c r="E365" s="107"/>
      <c r="F365" s="107"/>
      <c r="G365" s="107"/>
      <c r="H365" s="107"/>
    </row>
    <row r="366" spans="1:9" s="2" customFormat="1" ht="16.5" customHeight="1" x14ac:dyDescent="0.25">
      <c r="A366" s="108">
        <v>1</v>
      </c>
      <c r="B366" s="108"/>
      <c r="C366" s="92" t="s">
        <v>173</v>
      </c>
      <c r="D366" s="92">
        <f>55.78*10.764</f>
        <v>600.41592000000003</v>
      </c>
      <c r="E366" s="92">
        <v>0</v>
      </c>
      <c r="F366" s="92">
        <f>D366*(($F$328)+1)+(IF(E366&lt;101,E366,IF(E366&lt;201,E366/2,IF(E366&lt;=301,E366/3,E366/4))))</f>
        <v>900.6238800000001</v>
      </c>
      <c r="G366" s="108" t="str">
        <f>A365</f>
        <v>Upper Stilt Floor For Residential &amp; Part Podium</v>
      </c>
      <c r="H366" s="108"/>
    </row>
    <row r="367" spans="1:9" s="2" customFormat="1" ht="16.5" customHeight="1" x14ac:dyDescent="0.25">
      <c r="A367" s="108">
        <v>2</v>
      </c>
      <c r="B367" s="108"/>
      <c r="C367" s="108" t="s">
        <v>104</v>
      </c>
      <c r="D367" s="108"/>
      <c r="E367" s="108"/>
      <c r="F367" s="108"/>
      <c r="G367" s="108"/>
      <c r="H367" s="108"/>
    </row>
    <row r="368" spans="1:9" s="2" customFormat="1" ht="16.5" customHeight="1" x14ac:dyDescent="0.25">
      <c r="A368" s="108">
        <v>3</v>
      </c>
      <c r="B368" s="108"/>
      <c r="C368" s="108"/>
      <c r="D368" s="108"/>
      <c r="E368" s="108"/>
      <c r="F368" s="108"/>
      <c r="G368" s="108"/>
      <c r="H368" s="108"/>
    </row>
    <row r="369" spans="1:10" s="2" customFormat="1" ht="16.5" customHeight="1" x14ac:dyDescent="0.25">
      <c r="A369" s="108">
        <v>4</v>
      </c>
      <c r="B369" s="108"/>
      <c r="C369" s="92" t="s">
        <v>173</v>
      </c>
      <c r="D369" s="92">
        <f>55.78*10.764</f>
        <v>600.41592000000003</v>
      </c>
      <c r="E369" s="92">
        <v>0</v>
      </c>
      <c r="F369" s="92">
        <f t="shared" ref="F369:F373" si="30">D369*(($F$328)+1)+(IF(E369&lt;101,E369,IF(E369&lt;201,E369/2,IF(E369&lt;=301,E369/3,E369/4))))</f>
        <v>900.6238800000001</v>
      </c>
      <c r="G369" s="108"/>
      <c r="H369" s="108"/>
    </row>
    <row r="370" spans="1:10" s="2" customFormat="1" ht="16.5" customHeight="1" x14ac:dyDescent="0.25">
      <c r="A370" s="108">
        <v>5</v>
      </c>
      <c r="B370" s="108"/>
      <c r="C370" s="92" t="s">
        <v>173</v>
      </c>
      <c r="D370" s="92">
        <f>49.3*10.764</f>
        <v>530.66519999999991</v>
      </c>
      <c r="E370" s="92">
        <v>0</v>
      </c>
      <c r="F370" s="92">
        <f t="shared" si="30"/>
        <v>795.99779999999987</v>
      </c>
      <c r="G370" s="108"/>
      <c r="H370" s="108"/>
    </row>
    <row r="371" spans="1:10" s="2" customFormat="1" ht="16.5" customHeight="1" x14ac:dyDescent="0.25">
      <c r="A371" s="108">
        <v>6</v>
      </c>
      <c r="B371" s="108"/>
      <c r="C371" s="92" t="s">
        <v>173</v>
      </c>
      <c r="D371" s="92">
        <f>49.3*10.764</f>
        <v>530.66519999999991</v>
      </c>
      <c r="E371" s="92">
        <v>0</v>
      </c>
      <c r="F371" s="92">
        <f t="shared" si="30"/>
        <v>795.99779999999987</v>
      </c>
      <c r="G371" s="108"/>
      <c r="H371" s="108"/>
      <c r="I371" s="2">
        <f>6295406/F371</f>
        <v>7908.8233660947317</v>
      </c>
    </row>
    <row r="372" spans="1:10" s="2" customFormat="1" ht="16.5" customHeight="1" x14ac:dyDescent="0.25">
      <c r="A372" s="108">
        <v>7</v>
      </c>
      <c r="B372" s="108"/>
      <c r="C372" s="92" t="s">
        <v>176</v>
      </c>
      <c r="D372" s="92">
        <f>40.05*10.764</f>
        <v>431.09819999999996</v>
      </c>
      <c r="E372" s="92">
        <v>0</v>
      </c>
      <c r="F372" s="92">
        <f t="shared" si="30"/>
        <v>646.64729999999997</v>
      </c>
      <c r="G372" s="108"/>
      <c r="H372" s="108"/>
      <c r="I372" s="2">
        <f>5516715/F372</f>
        <v>8531.2580753062757</v>
      </c>
    </row>
    <row r="373" spans="1:10" s="2" customFormat="1" ht="16.5" customHeight="1" x14ac:dyDescent="0.25">
      <c r="A373" s="108">
        <v>8</v>
      </c>
      <c r="B373" s="108"/>
      <c r="C373" s="92" t="s">
        <v>176</v>
      </c>
      <c r="D373" s="92">
        <f>40.05*10.764</f>
        <v>431.09819999999996</v>
      </c>
      <c r="E373" s="92">
        <v>0</v>
      </c>
      <c r="F373" s="92">
        <f t="shared" si="30"/>
        <v>646.64729999999997</v>
      </c>
      <c r="G373" s="108"/>
      <c r="H373" s="108"/>
    </row>
    <row r="374" spans="1:10" s="2" customFormat="1" ht="16.5" customHeight="1" x14ac:dyDescent="0.25">
      <c r="A374" s="107" t="s">
        <v>218</v>
      </c>
      <c r="B374" s="107"/>
      <c r="C374" s="107"/>
      <c r="D374" s="107"/>
      <c r="E374" s="107"/>
      <c r="F374" s="107"/>
      <c r="G374" s="107"/>
      <c r="H374" s="107"/>
      <c r="J374" s="2">
        <f>1.73*0.6+3.05*0.63+2.6*0.63</f>
        <v>4.5975000000000001</v>
      </c>
    </row>
    <row r="375" spans="1:10" s="2" customFormat="1" ht="16.5" customHeight="1" x14ac:dyDescent="0.25">
      <c r="A375" s="108">
        <v>1</v>
      </c>
      <c r="B375" s="108"/>
      <c r="C375" s="94" t="s">
        <v>173</v>
      </c>
      <c r="D375" s="94">
        <f t="shared" ref="D375:D376" si="31">55.78*10.764</f>
        <v>600.41592000000003</v>
      </c>
      <c r="E375" s="94">
        <v>0</v>
      </c>
      <c r="F375" s="94">
        <f t="shared" ref="F375:F376" si="32">D375*(($F$328)+1)+(IF(E375&lt;101,E375,IF(E375&lt;201,E375/2,IF(E375&lt;=301,E375/3,E375/4))))</f>
        <v>900.6238800000001</v>
      </c>
      <c r="G375" s="108" t="str">
        <f>A374</f>
        <v>Stilt/ Lobby Floor for Residential</v>
      </c>
      <c r="H375" s="108"/>
      <c r="J375" s="2">
        <f>2.18*2.74+2.18*1.05+3.05*4.72+2.755*3.32+3.2*3.05+2.21*1.3+1.3*2.16+2.755*0.91+2.13*0.6</f>
        <v>51.030849999999994</v>
      </c>
    </row>
    <row r="376" spans="1:10" s="2" customFormat="1" ht="16.5" customHeight="1" x14ac:dyDescent="0.25">
      <c r="A376" s="108">
        <v>2</v>
      </c>
      <c r="B376" s="108"/>
      <c r="C376" s="94" t="s">
        <v>173</v>
      </c>
      <c r="D376" s="94">
        <f t="shared" si="31"/>
        <v>600.41592000000003</v>
      </c>
      <c r="E376" s="40">
        <f>(1.33+(3.05+3.2))*(10.764)</f>
        <v>81.591119999999989</v>
      </c>
      <c r="F376" s="94">
        <f t="shared" si="32"/>
        <v>982.21500000000015</v>
      </c>
      <c r="G376" s="108"/>
      <c r="H376" s="108"/>
      <c r="J376" s="2">
        <f>J375+J374</f>
        <v>55.628349999999998</v>
      </c>
    </row>
    <row r="377" spans="1:10" s="2" customFormat="1" ht="16.5" customHeight="1" x14ac:dyDescent="0.25">
      <c r="A377" s="108">
        <v>3</v>
      </c>
      <c r="B377" s="108"/>
      <c r="C377" s="108" t="s">
        <v>225</v>
      </c>
      <c r="D377" s="108"/>
      <c r="E377" s="108"/>
      <c r="F377" s="108"/>
      <c r="G377" s="108"/>
      <c r="H377" s="108"/>
    </row>
    <row r="378" spans="1:10" s="2" customFormat="1" ht="16.5" customHeight="1" x14ac:dyDescent="0.25">
      <c r="A378" s="108">
        <v>4</v>
      </c>
      <c r="B378" s="108"/>
      <c r="C378" s="108"/>
      <c r="D378" s="108"/>
      <c r="E378" s="108"/>
      <c r="F378" s="108"/>
      <c r="G378" s="108"/>
      <c r="H378" s="108"/>
    </row>
    <row r="379" spans="1:10" s="2" customFormat="1" ht="16.5" customHeight="1" x14ac:dyDescent="0.25">
      <c r="A379" s="108">
        <v>5</v>
      </c>
      <c r="B379" s="108"/>
      <c r="C379" s="94" t="s">
        <v>173</v>
      </c>
      <c r="D379" s="94">
        <f>49.3*10.764</f>
        <v>530.66519999999991</v>
      </c>
      <c r="E379" s="94">
        <v>0</v>
      </c>
      <c r="F379" s="94">
        <f t="shared" ref="F379:F382" si="33">D379*(($F$328)+1)+(IF(E379&lt;101,E379,IF(E379&lt;201,E379/2,IF(E379&lt;=301,E379/3,E379/4))))</f>
        <v>795.99779999999987</v>
      </c>
      <c r="G379" s="108"/>
      <c r="H379" s="108"/>
    </row>
    <row r="380" spans="1:10" s="2" customFormat="1" ht="16.5" customHeight="1" x14ac:dyDescent="0.25">
      <c r="A380" s="108">
        <v>6</v>
      </c>
      <c r="B380" s="108"/>
      <c r="C380" s="94" t="s">
        <v>173</v>
      </c>
      <c r="D380" s="94">
        <f>49.3*10.764</f>
        <v>530.66519999999991</v>
      </c>
      <c r="E380" s="94">
        <v>0</v>
      </c>
      <c r="F380" s="94">
        <f t="shared" si="33"/>
        <v>795.99779999999987</v>
      </c>
      <c r="G380" s="108"/>
      <c r="H380" s="108"/>
    </row>
    <row r="381" spans="1:10" s="2" customFormat="1" ht="16.5" customHeight="1" x14ac:dyDescent="0.25">
      <c r="A381" s="108">
        <v>7</v>
      </c>
      <c r="B381" s="108"/>
      <c r="C381" s="94" t="s">
        <v>176</v>
      </c>
      <c r="D381" s="94">
        <f>40.05*10.764</f>
        <v>431.09819999999996</v>
      </c>
      <c r="E381" s="94">
        <v>0</v>
      </c>
      <c r="F381" s="94">
        <f t="shared" si="33"/>
        <v>646.64729999999997</v>
      </c>
      <c r="G381" s="108"/>
      <c r="H381" s="108"/>
    </row>
    <row r="382" spans="1:10" s="2" customFormat="1" ht="16.5" customHeight="1" x14ac:dyDescent="0.25">
      <c r="A382" s="108">
        <v>8</v>
      </c>
      <c r="B382" s="108"/>
      <c r="C382" s="94" t="s">
        <v>176</v>
      </c>
      <c r="D382" s="94">
        <f>40.05*10.764</f>
        <v>431.09819999999996</v>
      </c>
      <c r="E382" s="94">
        <v>0</v>
      </c>
      <c r="F382" s="94">
        <f t="shared" si="33"/>
        <v>646.64729999999997</v>
      </c>
      <c r="G382" s="108"/>
      <c r="H382" s="108"/>
    </row>
    <row r="383" spans="1:10" s="2" customFormat="1" ht="16.5" customHeight="1" x14ac:dyDescent="0.25">
      <c r="A383" s="107" t="s">
        <v>220</v>
      </c>
      <c r="B383" s="107"/>
      <c r="C383" s="107"/>
      <c r="D383" s="107"/>
      <c r="E383" s="107"/>
      <c r="F383" s="107"/>
      <c r="G383" s="107"/>
      <c r="H383" s="107"/>
    </row>
    <row r="384" spans="1:10" s="2" customFormat="1" ht="16.5" customHeight="1" x14ac:dyDescent="0.25">
      <c r="A384" s="108">
        <v>1</v>
      </c>
      <c r="B384" s="108"/>
      <c r="C384" s="48" t="s">
        <v>173</v>
      </c>
      <c r="D384" s="48">
        <f t="shared" ref="D384:D387" si="34">55.78*10.764</f>
        <v>600.41592000000003</v>
      </c>
      <c r="E384" s="48">
        <v>0</v>
      </c>
      <c r="F384" s="48">
        <f t="shared" ref="F384:F391" si="35">D384*(($F$328)+1)+(IF(E384&lt;101,E384,IF(E384&lt;201,E384/2,IF(E384&lt;=301,E384/3,E384/4))))</f>
        <v>900.6238800000001</v>
      </c>
      <c r="G384" s="109" t="str">
        <f>A383</f>
        <v>1st to 5th, 7th to 10th, 12th to 16th, 18th to 22nd, 24th &amp; 25th Floor</v>
      </c>
      <c r="H384" s="110"/>
    </row>
    <row r="385" spans="1:8" s="2" customFormat="1" ht="16.5" customHeight="1" x14ac:dyDescent="0.25">
      <c r="A385" s="108">
        <v>2</v>
      </c>
      <c r="B385" s="108"/>
      <c r="C385" s="48" t="s">
        <v>173</v>
      </c>
      <c r="D385" s="48">
        <f t="shared" si="34"/>
        <v>600.41592000000003</v>
      </c>
      <c r="E385" s="48">
        <v>0</v>
      </c>
      <c r="F385" s="48">
        <f t="shared" si="35"/>
        <v>900.6238800000001</v>
      </c>
      <c r="G385" s="111"/>
      <c r="H385" s="112"/>
    </row>
    <row r="386" spans="1:8" s="2" customFormat="1" ht="16.5" customHeight="1" x14ac:dyDescent="0.25">
      <c r="A386" s="108">
        <v>3</v>
      </c>
      <c r="B386" s="108"/>
      <c r="C386" s="48" t="s">
        <v>173</v>
      </c>
      <c r="D386" s="48">
        <f t="shared" si="34"/>
        <v>600.41592000000003</v>
      </c>
      <c r="E386" s="48">
        <v>0</v>
      </c>
      <c r="F386" s="48">
        <f t="shared" si="35"/>
        <v>900.6238800000001</v>
      </c>
      <c r="G386" s="111"/>
      <c r="H386" s="112"/>
    </row>
    <row r="387" spans="1:8" s="2" customFormat="1" ht="16.5" customHeight="1" x14ac:dyDescent="0.25">
      <c r="A387" s="108">
        <v>4</v>
      </c>
      <c r="B387" s="108"/>
      <c r="C387" s="48" t="s">
        <v>173</v>
      </c>
      <c r="D387" s="48">
        <f t="shared" si="34"/>
        <v>600.41592000000003</v>
      </c>
      <c r="E387" s="48">
        <v>0</v>
      </c>
      <c r="F387" s="48">
        <f t="shared" si="35"/>
        <v>900.6238800000001</v>
      </c>
      <c r="G387" s="111"/>
      <c r="H387" s="112"/>
    </row>
    <row r="388" spans="1:8" s="2" customFormat="1" ht="16.5" customHeight="1" x14ac:dyDescent="0.25">
      <c r="A388" s="108">
        <v>5</v>
      </c>
      <c r="B388" s="108"/>
      <c r="C388" s="48" t="s">
        <v>173</v>
      </c>
      <c r="D388" s="48">
        <f>49.3*10.764</f>
        <v>530.66519999999991</v>
      </c>
      <c r="E388" s="48">
        <v>0</v>
      </c>
      <c r="F388" s="48">
        <f t="shared" si="35"/>
        <v>795.99779999999987</v>
      </c>
      <c r="G388" s="111"/>
      <c r="H388" s="112"/>
    </row>
    <row r="389" spans="1:8" s="2" customFormat="1" ht="16.5" customHeight="1" x14ac:dyDescent="0.25">
      <c r="A389" s="108">
        <v>6</v>
      </c>
      <c r="B389" s="108"/>
      <c r="C389" s="48" t="s">
        <v>173</v>
      </c>
      <c r="D389" s="48">
        <f>49.3*10.764</f>
        <v>530.66519999999991</v>
      </c>
      <c r="E389" s="48">
        <v>0</v>
      </c>
      <c r="F389" s="48">
        <f t="shared" si="35"/>
        <v>795.99779999999987</v>
      </c>
      <c r="G389" s="111"/>
      <c r="H389" s="112"/>
    </row>
    <row r="390" spans="1:8" s="2" customFormat="1" ht="16.5" customHeight="1" x14ac:dyDescent="0.25">
      <c r="A390" s="108">
        <v>7</v>
      </c>
      <c r="B390" s="108"/>
      <c r="C390" s="48" t="s">
        <v>176</v>
      </c>
      <c r="D390" s="48">
        <f>40.05*10.764</f>
        <v>431.09819999999996</v>
      </c>
      <c r="E390" s="48">
        <v>0</v>
      </c>
      <c r="F390" s="48">
        <f t="shared" si="35"/>
        <v>646.64729999999997</v>
      </c>
      <c r="G390" s="111"/>
      <c r="H390" s="112"/>
    </row>
    <row r="391" spans="1:8" s="2" customFormat="1" ht="16.5" customHeight="1" x14ac:dyDescent="0.25">
      <c r="A391" s="108">
        <v>8</v>
      </c>
      <c r="B391" s="108"/>
      <c r="C391" s="48" t="s">
        <v>176</v>
      </c>
      <c r="D391" s="48">
        <f>40.05*10.764</f>
        <v>431.09819999999996</v>
      </c>
      <c r="E391" s="48">
        <v>0</v>
      </c>
      <c r="F391" s="48">
        <f t="shared" si="35"/>
        <v>646.64729999999997</v>
      </c>
      <c r="G391" s="113"/>
      <c r="H391" s="114"/>
    </row>
    <row r="392" spans="1:8" s="2" customFormat="1" ht="16.5" customHeight="1" x14ac:dyDescent="0.25">
      <c r="A392" s="107" t="s">
        <v>221</v>
      </c>
      <c r="B392" s="107"/>
      <c r="C392" s="107"/>
      <c r="D392" s="107"/>
      <c r="E392" s="107"/>
      <c r="F392" s="107"/>
      <c r="G392" s="107"/>
      <c r="H392" s="107"/>
    </row>
    <row r="393" spans="1:8" s="2" customFormat="1" ht="16.5" customHeight="1" x14ac:dyDescent="0.25">
      <c r="A393" s="108">
        <v>1</v>
      </c>
      <c r="B393" s="108"/>
      <c r="C393" s="48" t="s">
        <v>173</v>
      </c>
      <c r="D393" s="48">
        <f t="shared" ref="D393:D395" si="36">55.78*10.764</f>
        <v>600.41592000000003</v>
      </c>
      <c r="E393" s="48">
        <v>0</v>
      </c>
      <c r="F393" s="48">
        <f t="shared" ref="F393:F395" si="37">D393*(($F$328)+1)+(IF(E393&lt;101,E393,IF(E393&lt;201,E393/2,IF(E393&lt;=301,E393/3,E393/4))))</f>
        <v>900.6238800000001</v>
      </c>
      <c r="G393" s="109" t="str">
        <f>A392</f>
        <v>6th, 11th, 17th &amp; 23rd Floor (Part Refuge Area)</v>
      </c>
      <c r="H393" s="110"/>
    </row>
    <row r="394" spans="1:8" s="2" customFormat="1" ht="16.5" customHeight="1" x14ac:dyDescent="0.25">
      <c r="A394" s="108">
        <v>2</v>
      </c>
      <c r="B394" s="108"/>
      <c r="C394" s="48" t="s">
        <v>173</v>
      </c>
      <c r="D394" s="48">
        <f t="shared" si="36"/>
        <v>600.41592000000003</v>
      </c>
      <c r="E394" s="48">
        <v>0</v>
      </c>
      <c r="F394" s="48">
        <f t="shared" si="37"/>
        <v>900.6238800000001</v>
      </c>
      <c r="G394" s="111"/>
      <c r="H394" s="112"/>
    </row>
    <row r="395" spans="1:8" s="2" customFormat="1" ht="16.5" customHeight="1" x14ac:dyDescent="0.25">
      <c r="A395" s="108">
        <v>3</v>
      </c>
      <c r="B395" s="108"/>
      <c r="C395" s="48" t="s">
        <v>173</v>
      </c>
      <c r="D395" s="48">
        <f t="shared" si="36"/>
        <v>600.41592000000003</v>
      </c>
      <c r="E395" s="48">
        <v>0</v>
      </c>
      <c r="F395" s="48">
        <f t="shared" si="37"/>
        <v>900.6238800000001</v>
      </c>
      <c r="G395" s="111"/>
      <c r="H395" s="112"/>
    </row>
    <row r="396" spans="1:8" s="2" customFormat="1" ht="16.5" customHeight="1" x14ac:dyDescent="0.25">
      <c r="A396" s="108">
        <v>4</v>
      </c>
      <c r="B396" s="108"/>
      <c r="C396" s="126" t="s">
        <v>175</v>
      </c>
      <c r="D396" s="179"/>
      <c r="E396" s="179"/>
      <c r="F396" s="127"/>
      <c r="G396" s="111"/>
      <c r="H396" s="112"/>
    </row>
    <row r="397" spans="1:8" s="2" customFormat="1" ht="16.5" customHeight="1" x14ac:dyDescent="0.25">
      <c r="A397" s="108">
        <v>5</v>
      </c>
      <c r="B397" s="108"/>
      <c r="C397" s="48" t="s">
        <v>173</v>
      </c>
      <c r="D397" s="48">
        <f>49.3*10.764</f>
        <v>530.66519999999991</v>
      </c>
      <c r="E397" s="48">
        <v>0</v>
      </c>
      <c r="F397" s="48">
        <f t="shared" ref="F397:F400" si="38">D397*(($F$328)+1)+(IF(E397&lt;101,E397,IF(E397&lt;201,E397/2,IF(E397&lt;=301,E397/3,E397/4))))</f>
        <v>795.99779999999987</v>
      </c>
      <c r="G397" s="111"/>
      <c r="H397" s="112"/>
    </row>
    <row r="398" spans="1:8" s="2" customFormat="1" ht="16.5" customHeight="1" x14ac:dyDescent="0.25">
      <c r="A398" s="108">
        <v>6</v>
      </c>
      <c r="B398" s="108"/>
      <c r="C398" s="48" t="s">
        <v>173</v>
      </c>
      <c r="D398" s="48">
        <f>49.3*10.764</f>
        <v>530.66519999999991</v>
      </c>
      <c r="E398" s="48">
        <v>0</v>
      </c>
      <c r="F398" s="48">
        <f t="shared" si="38"/>
        <v>795.99779999999987</v>
      </c>
      <c r="G398" s="111"/>
      <c r="H398" s="112"/>
    </row>
    <row r="399" spans="1:8" s="2" customFormat="1" ht="16.5" customHeight="1" x14ac:dyDescent="0.25">
      <c r="A399" s="108">
        <v>7</v>
      </c>
      <c r="B399" s="108"/>
      <c r="C399" s="48" t="s">
        <v>176</v>
      </c>
      <c r="D399" s="48">
        <f>40.05*10.764</f>
        <v>431.09819999999996</v>
      </c>
      <c r="E399" s="48">
        <v>0</v>
      </c>
      <c r="F399" s="48">
        <f t="shared" si="38"/>
        <v>646.64729999999997</v>
      </c>
      <c r="G399" s="111"/>
      <c r="H399" s="112"/>
    </row>
    <row r="400" spans="1:8" s="2" customFormat="1" ht="16.5" customHeight="1" x14ac:dyDescent="0.25">
      <c r="A400" s="108">
        <v>8</v>
      </c>
      <c r="B400" s="108"/>
      <c r="C400" s="48" t="s">
        <v>176</v>
      </c>
      <c r="D400" s="48">
        <f>40.05*10.764</f>
        <v>431.09819999999996</v>
      </c>
      <c r="E400" s="48">
        <v>0</v>
      </c>
      <c r="F400" s="48">
        <f t="shared" si="38"/>
        <v>646.64729999999997</v>
      </c>
      <c r="G400" s="113"/>
      <c r="H400" s="114"/>
    </row>
    <row r="401" spans="1:10" s="2" customFormat="1" ht="16.5" customHeight="1" x14ac:dyDescent="0.25">
      <c r="A401" s="107" t="s">
        <v>177</v>
      </c>
      <c r="B401" s="107"/>
      <c r="C401" s="107"/>
      <c r="D401" s="107"/>
      <c r="E401" s="107"/>
      <c r="F401" s="107"/>
      <c r="G401" s="107"/>
      <c r="H401" s="107"/>
    </row>
    <row r="402" spans="1:10" s="2" customFormat="1" ht="16.5" customHeight="1" x14ac:dyDescent="0.25">
      <c r="A402" s="107" t="s">
        <v>172</v>
      </c>
      <c r="B402" s="107"/>
      <c r="C402" s="107"/>
      <c r="D402" s="107"/>
      <c r="E402" s="107"/>
      <c r="F402" s="107"/>
      <c r="G402" s="107"/>
      <c r="H402" s="107"/>
    </row>
    <row r="403" spans="1:10" s="2" customFormat="1" ht="16.5" customHeight="1" x14ac:dyDescent="0.25">
      <c r="A403" s="107" t="s">
        <v>216</v>
      </c>
      <c r="B403" s="107"/>
      <c r="C403" s="107"/>
      <c r="D403" s="107"/>
      <c r="E403" s="107"/>
      <c r="F403" s="107"/>
      <c r="G403" s="107"/>
      <c r="H403" s="107"/>
    </row>
    <row r="404" spans="1:10" s="2" customFormat="1" ht="16.5" customHeight="1" x14ac:dyDescent="0.25">
      <c r="A404" s="107" t="s">
        <v>223</v>
      </c>
      <c r="B404" s="107"/>
      <c r="C404" s="107"/>
      <c r="D404" s="107"/>
      <c r="E404" s="107"/>
      <c r="F404" s="107"/>
      <c r="G404" s="107"/>
      <c r="H404" s="107"/>
    </row>
    <row r="405" spans="1:10" s="2" customFormat="1" ht="16.5" customHeight="1" x14ac:dyDescent="0.25">
      <c r="A405" s="108">
        <v>1</v>
      </c>
      <c r="B405" s="108"/>
      <c r="C405" s="92" t="s">
        <v>173</v>
      </c>
      <c r="D405" s="92">
        <f>49.35*10.764</f>
        <v>531.20339999999999</v>
      </c>
      <c r="E405" s="92">
        <v>0</v>
      </c>
      <c r="F405" s="92">
        <f>D405*(($F$328)+1)+(IF(E405&lt;101,E405,IF(E405&lt;201,E405/2,IF(E405&lt;=301,E405/3,E405/4))))</f>
        <v>796.80510000000004</v>
      </c>
      <c r="G405" s="108" t="str">
        <f>A404</f>
        <v>Upper Ground Floor For Residential &amp; Part Podium</v>
      </c>
      <c r="H405" s="108"/>
    </row>
    <row r="406" spans="1:10" s="2" customFormat="1" ht="16.5" customHeight="1" x14ac:dyDescent="0.25">
      <c r="A406" s="108">
        <v>2</v>
      </c>
      <c r="B406" s="108"/>
      <c r="C406" s="108" t="s">
        <v>224</v>
      </c>
      <c r="D406" s="108"/>
      <c r="E406" s="108"/>
      <c r="F406" s="108"/>
      <c r="G406" s="108"/>
      <c r="H406" s="108"/>
    </row>
    <row r="407" spans="1:10" s="2" customFormat="1" ht="16.5" customHeight="1" x14ac:dyDescent="0.25">
      <c r="A407" s="108">
        <v>3</v>
      </c>
      <c r="B407" s="108"/>
      <c r="C407" s="108"/>
      <c r="D407" s="108"/>
      <c r="E407" s="108"/>
      <c r="F407" s="108"/>
      <c r="G407" s="108"/>
      <c r="H407" s="108"/>
    </row>
    <row r="408" spans="1:10" s="2" customFormat="1" ht="16.5" customHeight="1" x14ac:dyDescent="0.25">
      <c r="A408" s="108">
        <v>4</v>
      </c>
      <c r="B408" s="108"/>
      <c r="C408" s="108"/>
      <c r="D408" s="108"/>
      <c r="E408" s="108"/>
      <c r="F408" s="108"/>
      <c r="G408" s="108"/>
      <c r="H408" s="108"/>
    </row>
    <row r="409" spans="1:10" s="2" customFormat="1" ht="16.5" customHeight="1" x14ac:dyDescent="0.25">
      <c r="A409" s="108">
        <v>5</v>
      </c>
      <c r="B409" s="108"/>
      <c r="C409" s="108"/>
      <c r="D409" s="108"/>
      <c r="E409" s="108"/>
      <c r="F409" s="108"/>
      <c r="G409" s="108"/>
      <c r="H409" s="108"/>
    </row>
    <row r="410" spans="1:10" s="2" customFormat="1" ht="16.5" customHeight="1" x14ac:dyDescent="0.25">
      <c r="A410" s="108">
        <v>6</v>
      </c>
      <c r="B410" s="108"/>
      <c r="C410" s="92" t="s">
        <v>173</v>
      </c>
      <c r="D410" s="92">
        <f>56.08*10.764</f>
        <v>603.64511999999991</v>
      </c>
      <c r="E410" s="92">
        <v>0</v>
      </c>
      <c r="F410" s="92">
        <f t="shared" ref="F410:F412" si="39">D410*(($F$328)+1)+(IF(E410&lt;101,E410,IF(E410&lt;201,E410/2,IF(E410&lt;=301,E410/3,E410/4))))</f>
        <v>905.46767999999986</v>
      </c>
      <c r="G410" s="108"/>
      <c r="H410" s="108"/>
    </row>
    <row r="411" spans="1:10" s="2" customFormat="1" ht="16.5" customHeight="1" x14ac:dyDescent="0.25">
      <c r="A411" s="108">
        <v>7</v>
      </c>
      <c r="B411" s="108"/>
      <c r="C411" s="92" t="s">
        <v>176</v>
      </c>
      <c r="D411" s="92">
        <f>36.08*10.764</f>
        <v>388.36511999999993</v>
      </c>
      <c r="E411" s="92">
        <v>0</v>
      </c>
      <c r="F411" s="92">
        <f t="shared" si="39"/>
        <v>582.5476799999999</v>
      </c>
      <c r="G411" s="108"/>
      <c r="H411" s="108"/>
    </row>
    <row r="412" spans="1:10" s="2" customFormat="1" ht="16.5" customHeight="1" x14ac:dyDescent="0.25">
      <c r="A412" s="108">
        <v>8</v>
      </c>
      <c r="B412" s="108"/>
      <c r="C412" s="92" t="s">
        <v>176</v>
      </c>
      <c r="D412" s="92">
        <f>36.08*10.764</f>
        <v>388.36511999999993</v>
      </c>
      <c r="E412" s="92">
        <v>0</v>
      </c>
      <c r="F412" s="92">
        <f t="shared" si="39"/>
        <v>582.5476799999999</v>
      </c>
      <c r="G412" s="108"/>
      <c r="H412" s="108"/>
    </row>
    <row r="413" spans="1:10" s="2" customFormat="1" ht="16.5" customHeight="1" x14ac:dyDescent="0.25">
      <c r="A413" s="107" t="s">
        <v>174</v>
      </c>
      <c r="B413" s="107"/>
      <c r="C413" s="107"/>
      <c r="D413" s="107"/>
      <c r="E413" s="107"/>
      <c r="F413" s="107"/>
      <c r="G413" s="107"/>
      <c r="H413" s="107"/>
    </row>
    <row r="414" spans="1:10" s="2" customFormat="1" ht="16.5" customHeight="1" x14ac:dyDescent="0.25">
      <c r="A414" s="108">
        <v>1</v>
      </c>
      <c r="B414" s="108"/>
      <c r="C414" s="48" t="s">
        <v>173</v>
      </c>
      <c r="D414" s="48">
        <f>49.35*10.764</f>
        <v>531.20339999999999</v>
      </c>
      <c r="E414" s="48">
        <v>0</v>
      </c>
      <c r="F414" s="48">
        <f t="shared" ref="F414:F415" si="40">D414*(($F$328)+1)+(IF(E414&lt;101,E414,IF(E414&lt;201,E414/2,IF(E414&lt;=301,E414/3,E414/4))))</f>
        <v>796.80510000000004</v>
      </c>
      <c r="G414" s="109" t="str">
        <f>A413</f>
        <v>Stilt/ Lobby Floor for Residential &amp; Parking</v>
      </c>
      <c r="H414" s="110"/>
    </row>
    <row r="415" spans="1:10" s="2" customFormat="1" ht="16.5" customHeight="1" x14ac:dyDescent="0.25">
      <c r="A415" s="108">
        <v>2</v>
      </c>
      <c r="B415" s="108"/>
      <c r="C415" s="48" t="s">
        <v>173</v>
      </c>
      <c r="D415" s="48">
        <f>49.35*10.764</f>
        <v>531.20339999999999</v>
      </c>
      <c r="E415" s="40">
        <f>(3.05*1.451+2.415*1.11)*(10.764)</f>
        <v>76.491136800000007</v>
      </c>
      <c r="F415" s="48">
        <f t="shared" si="40"/>
        <v>873.29623680000009</v>
      </c>
      <c r="G415" s="111"/>
      <c r="H415" s="112"/>
      <c r="J415" s="40">
        <f>10.764</f>
        <v>10.763999999999999</v>
      </c>
    </row>
    <row r="416" spans="1:10" s="2" customFormat="1" ht="16.5" customHeight="1" x14ac:dyDescent="0.25">
      <c r="A416" s="108">
        <v>3</v>
      </c>
      <c r="B416" s="108"/>
      <c r="C416" s="109" t="s">
        <v>225</v>
      </c>
      <c r="D416" s="115"/>
      <c r="E416" s="115"/>
      <c r="F416" s="110"/>
      <c r="G416" s="111"/>
      <c r="H416" s="112"/>
    </row>
    <row r="417" spans="1:10" s="2" customFormat="1" ht="16.5" customHeight="1" x14ac:dyDescent="0.25">
      <c r="A417" s="108">
        <v>4</v>
      </c>
      <c r="B417" s="108"/>
      <c r="C417" s="113"/>
      <c r="D417" s="116"/>
      <c r="E417" s="116"/>
      <c r="F417" s="114"/>
      <c r="G417" s="111"/>
      <c r="H417" s="112"/>
    </row>
    <row r="418" spans="1:10" s="2" customFormat="1" ht="16.5" customHeight="1" x14ac:dyDescent="0.25">
      <c r="A418" s="108">
        <v>5</v>
      </c>
      <c r="B418" s="108"/>
      <c r="C418" s="48" t="s">
        <v>173</v>
      </c>
      <c r="D418" s="48">
        <f>55.87*10.764</f>
        <v>601.38467999999989</v>
      </c>
      <c r="E418" s="40">
        <f>(2.6*0.6+3.05*1.145)*(10.764)</f>
        <v>54.382418999999999</v>
      </c>
      <c r="F418" s="48">
        <f t="shared" ref="F418:F421" si="41">D418*(($F$328)+1)+(IF(E418&lt;101,E418,IF(E418&lt;201,E418/2,IF(E418&lt;=301,E418/3,E418/4))))</f>
        <v>956.45943899999986</v>
      </c>
      <c r="G418" s="111"/>
      <c r="H418" s="112"/>
    </row>
    <row r="419" spans="1:10" s="2" customFormat="1" ht="16.5" customHeight="1" x14ac:dyDescent="0.25">
      <c r="A419" s="108">
        <v>6</v>
      </c>
      <c r="B419" s="108"/>
      <c r="C419" s="48" t="s">
        <v>173</v>
      </c>
      <c r="D419" s="48">
        <f>56.08*10.764</f>
        <v>603.64511999999991</v>
      </c>
      <c r="E419" s="48">
        <v>0</v>
      </c>
      <c r="F419" s="48">
        <f t="shared" si="41"/>
        <v>905.46767999999986</v>
      </c>
      <c r="G419" s="111"/>
      <c r="H419" s="112"/>
    </row>
    <row r="420" spans="1:10" s="2" customFormat="1" ht="16.5" customHeight="1" x14ac:dyDescent="0.25">
      <c r="A420" s="108">
        <v>7</v>
      </c>
      <c r="B420" s="108"/>
      <c r="C420" s="48" t="s">
        <v>176</v>
      </c>
      <c r="D420" s="48">
        <f>36.08*10.764</f>
        <v>388.36511999999993</v>
      </c>
      <c r="E420" s="48">
        <v>0</v>
      </c>
      <c r="F420" s="48">
        <f t="shared" si="41"/>
        <v>582.5476799999999</v>
      </c>
      <c r="G420" s="111"/>
      <c r="H420" s="112"/>
    </row>
    <row r="421" spans="1:10" s="2" customFormat="1" ht="16.5" customHeight="1" x14ac:dyDescent="0.25">
      <c r="A421" s="108">
        <v>8</v>
      </c>
      <c r="B421" s="108"/>
      <c r="C421" s="48" t="s">
        <v>176</v>
      </c>
      <c r="D421" s="48">
        <f>36.08*10.764</f>
        <v>388.36511999999993</v>
      </c>
      <c r="E421" s="48">
        <v>0</v>
      </c>
      <c r="F421" s="48">
        <f t="shared" si="41"/>
        <v>582.5476799999999</v>
      </c>
      <c r="G421" s="113"/>
      <c r="H421" s="114"/>
      <c r="J421" s="2">
        <f>3970000/F421</f>
        <v>6814.8928170137087</v>
      </c>
    </row>
    <row r="422" spans="1:10" s="2" customFormat="1" ht="16.5" customHeight="1" x14ac:dyDescent="0.25">
      <c r="A422" s="107" t="s">
        <v>220</v>
      </c>
      <c r="B422" s="107"/>
      <c r="C422" s="107"/>
      <c r="D422" s="107"/>
      <c r="E422" s="107"/>
      <c r="F422" s="107"/>
      <c r="G422" s="107"/>
      <c r="H422" s="107"/>
    </row>
    <row r="423" spans="1:10" s="2" customFormat="1" ht="16.5" customHeight="1" x14ac:dyDescent="0.25">
      <c r="A423" s="108">
        <v>1</v>
      </c>
      <c r="B423" s="108"/>
      <c r="C423" s="94" t="s">
        <v>173</v>
      </c>
      <c r="D423" s="94">
        <f t="shared" ref="D423:D424" si="42">49.35*10.764</f>
        <v>531.20339999999999</v>
      </c>
      <c r="E423" s="94">
        <v>0</v>
      </c>
      <c r="F423" s="94">
        <f t="shared" ref="F423:F430" si="43">D423*(($F$328)+1)+(IF(E423&lt;101,E423,IF(E423&lt;201,E423/2,IF(E423&lt;=301,E423/3,E423/4))))</f>
        <v>796.80510000000004</v>
      </c>
      <c r="G423" s="108" t="str">
        <f>A422</f>
        <v>1st to 5th, 7th to 10th, 12th to 16th, 18th to 22nd, 24th &amp; 25th Floor</v>
      </c>
      <c r="H423" s="108"/>
    </row>
    <row r="424" spans="1:10" s="2" customFormat="1" ht="16.5" customHeight="1" x14ac:dyDescent="0.25">
      <c r="A424" s="108">
        <v>2</v>
      </c>
      <c r="B424" s="108"/>
      <c r="C424" s="94" t="s">
        <v>173</v>
      </c>
      <c r="D424" s="94">
        <f t="shared" si="42"/>
        <v>531.20339999999999</v>
      </c>
      <c r="E424" s="94">
        <v>0</v>
      </c>
      <c r="F424" s="94">
        <f t="shared" si="43"/>
        <v>796.80510000000004</v>
      </c>
      <c r="G424" s="108"/>
      <c r="H424" s="108"/>
    </row>
    <row r="425" spans="1:10" s="2" customFormat="1" ht="16.5" customHeight="1" x14ac:dyDescent="0.25">
      <c r="A425" s="108">
        <v>3</v>
      </c>
      <c r="B425" s="108"/>
      <c r="C425" s="94" t="s">
        <v>176</v>
      </c>
      <c r="D425" s="94">
        <f>39.87*10.764</f>
        <v>429.16067999999996</v>
      </c>
      <c r="E425" s="94">
        <v>0</v>
      </c>
      <c r="F425" s="94">
        <f t="shared" si="43"/>
        <v>643.74101999999993</v>
      </c>
      <c r="G425" s="108"/>
      <c r="H425" s="108"/>
      <c r="I425" s="2">
        <f>3380000/F425</f>
        <v>5250.5586796379703</v>
      </c>
    </row>
    <row r="426" spans="1:10" s="2" customFormat="1" ht="16.5" customHeight="1" x14ac:dyDescent="0.25">
      <c r="A426" s="108">
        <v>4</v>
      </c>
      <c r="B426" s="108"/>
      <c r="C426" s="94" t="s">
        <v>176</v>
      </c>
      <c r="D426" s="94">
        <f>39.87*10.764</f>
        <v>429.16067999999996</v>
      </c>
      <c r="E426" s="94">
        <v>0</v>
      </c>
      <c r="F426" s="94">
        <f t="shared" si="43"/>
        <v>643.74101999999993</v>
      </c>
      <c r="G426" s="108"/>
      <c r="H426" s="108"/>
    </row>
    <row r="427" spans="1:10" s="2" customFormat="1" ht="16.5" customHeight="1" x14ac:dyDescent="0.25">
      <c r="A427" s="108">
        <v>5</v>
      </c>
      <c r="B427" s="108"/>
      <c r="C427" s="94" t="s">
        <v>173</v>
      </c>
      <c r="D427" s="94">
        <f>55.87*10.764</f>
        <v>601.38467999999989</v>
      </c>
      <c r="E427" s="94">
        <v>0</v>
      </c>
      <c r="F427" s="94">
        <f t="shared" si="43"/>
        <v>902.07701999999983</v>
      </c>
      <c r="G427" s="108"/>
      <c r="H427" s="108"/>
    </row>
    <row r="428" spans="1:10" s="2" customFormat="1" ht="16.5" customHeight="1" x14ac:dyDescent="0.25">
      <c r="A428" s="108">
        <v>6</v>
      </c>
      <c r="B428" s="108"/>
      <c r="C428" s="94" t="s">
        <v>173</v>
      </c>
      <c r="D428" s="94">
        <f>56.08*10.764</f>
        <v>603.64511999999991</v>
      </c>
      <c r="E428" s="94">
        <v>0</v>
      </c>
      <c r="F428" s="94">
        <f t="shared" si="43"/>
        <v>905.46767999999986</v>
      </c>
      <c r="G428" s="108"/>
      <c r="H428" s="108"/>
    </row>
    <row r="429" spans="1:10" s="2" customFormat="1" ht="16.5" customHeight="1" x14ac:dyDescent="0.25">
      <c r="A429" s="108">
        <v>7</v>
      </c>
      <c r="B429" s="108"/>
      <c r="C429" s="94" t="s">
        <v>176</v>
      </c>
      <c r="D429" s="94">
        <f>36.08*10.764</f>
        <v>388.36511999999993</v>
      </c>
      <c r="E429" s="94">
        <v>0</v>
      </c>
      <c r="F429" s="94">
        <f t="shared" si="43"/>
        <v>582.5476799999999</v>
      </c>
      <c r="G429" s="108"/>
      <c r="H429" s="108"/>
      <c r="I429" s="2">
        <f>2990000/F429</f>
        <v>5132.6270838465971</v>
      </c>
    </row>
    <row r="430" spans="1:10" s="2" customFormat="1" ht="16.5" customHeight="1" x14ac:dyDescent="0.25">
      <c r="A430" s="108">
        <v>8</v>
      </c>
      <c r="B430" s="108"/>
      <c r="C430" s="94" t="s">
        <v>176</v>
      </c>
      <c r="D430" s="94">
        <f>36.08*10.764</f>
        <v>388.36511999999993</v>
      </c>
      <c r="E430" s="94">
        <v>0</v>
      </c>
      <c r="F430" s="94">
        <f t="shared" si="43"/>
        <v>582.5476799999999</v>
      </c>
      <c r="G430" s="108"/>
      <c r="H430" s="108"/>
    </row>
    <row r="431" spans="1:10" s="2" customFormat="1" ht="16.5" customHeight="1" x14ac:dyDescent="0.25">
      <c r="A431" s="107" t="s">
        <v>221</v>
      </c>
      <c r="B431" s="107"/>
      <c r="C431" s="107"/>
      <c r="D431" s="107"/>
      <c r="E431" s="107"/>
      <c r="F431" s="107"/>
      <c r="G431" s="107"/>
      <c r="H431" s="107"/>
    </row>
    <row r="432" spans="1:10" s="2" customFormat="1" ht="16.5" customHeight="1" x14ac:dyDescent="0.25">
      <c r="A432" s="108">
        <v>1</v>
      </c>
      <c r="B432" s="108"/>
      <c r="C432" s="48" t="s">
        <v>173</v>
      </c>
      <c r="D432" s="48">
        <f t="shared" ref="D432:D433" si="44">49.35*10.764</f>
        <v>531.20339999999999</v>
      </c>
      <c r="E432" s="48">
        <v>0</v>
      </c>
      <c r="F432" s="48">
        <f t="shared" ref="F432:F436" si="45">D432*(($F$328)+1)+(IF(E432&lt;101,E432,IF(E432&lt;201,E432/2,IF(E432&lt;=301,E432/3,E432/4))))</f>
        <v>796.80510000000004</v>
      </c>
      <c r="G432" s="109" t="str">
        <f>A431</f>
        <v>6th, 11th, 17th &amp; 23rd Floor (Part Refuge Area)</v>
      </c>
      <c r="H432" s="110"/>
    </row>
    <row r="433" spans="1:9" s="2" customFormat="1" ht="16.5" customHeight="1" x14ac:dyDescent="0.25">
      <c r="A433" s="108">
        <v>2</v>
      </c>
      <c r="B433" s="108"/>
      <c r="C433" s="48" t="s">
        <v>173</v>
      </c>
      <c r="D433" s="48">
        <f t="shared" si="44"/>
        <v>531.20339999999999</v>
      </c>
      <c r="E433" s="48">
        <v>0</v>
      </c>
      <c r="F433" s="48">
        <f t="shared" si="45"/>
        <v>796.80510000000004</v>
      </c>
      <c r="G433" s="111"/>
      <c r="H433" s="112"/>
    </row>
    <row r="434" spans="1:9" s="2" customFormat="1" ht="16.5" customHeight="1" x14ac:dyDescent="0.25">
      <c r="A434" s="108">
        <v>3</v>
      </c>
      <c r="B434" s="108"/>
      <c r="C434" s="48" t="s">
        <v>176</v>
      </c>
      <c r="D434" s="48">
        <f>39.87*10.764</f>
        <v>429.16067999999996</v>
      </c>
      <c r="E434" s="48">
        <v>0</v>
      </c>
      <c r="F434" s="48">
        <f t="shared" si="45"/>
        <v>643.74101999999993</v>
      </c>
      <c r="G434" s="111"/>
      <c r="H434" s="112"/>
      <c r="I434" s="2">
        <f>3970000/F434</f>
        <v>6167.0763189830595</v>
      </c>
    </row>
    <row r="435" spans="1:9" s="2" customFormat="1" ht="16.5" customHeight="1" x14ac:dyDescent="0.25">
      <c r="A435" s="108">
        <v>4</v>
      </c>
      <c r="B435" s="108"/>
      <c r="C435" s="48" t="s">
        <v>176</v>
      </c>
      <c r="D435" s="48">
        <f>39.87*10.764</f>
        <v>429.16067999999996</v>
      </c>
      <c r="E435" s="48">
        <v>0</v>
      </c>
      <c r="F435" s="48">
        <f t="shared" si="45"/>
        <v>643.74101999999993</v>
      </c>
      <c r="G435" s="111"/>
      <c r="H435" s="112"/>
    </row>
    <row r="436" spans="1:9" s="2" customFormat="1" ht="16.5" customHeight="1" x14ac:dyDescent="0.25">
      <c r="A436" s="108">
        <v>5</v>
      </c>
      <c r="B436" s="108"/>
      <c r="C436" s="48" t="s">
        <v>173</v>
      </c>
      <c r="D436" s="48">
        <f>55.87*10.764</f>
        <v>601.38467999999989</v>
      </c>
      <c r="E436" s="48">
        <v>0</v>
      </c>
      <c r="F436" s="48">
        <f t="shared" si="45"/>
        <v>902.07701999999983</v>
      </c>
      <c r="G436" s="111"/>
      <c r="H436" s="112"/>
    </row>
    <row r="437" spans="1:9" s="2" customFormat="1" ht="16.5" customHeight="1" x14ac:dyDescent="0.25">
      <c r="A437" s="108">
        <v>6</v>
      </c>
      <c r="B437" s="108"/>
      <c r="C437" s="126" t="s">
        <v>175</v>
      </c>
      <c r="D437" s="179"/>
      <c r="E437" s="179"/>
      <c r="F437" s="127"/>
      <c r="G437" s="111"/>
      <c r="H437" s="112"/>
    </row>
    <row r="438" spans="1:9" s="2" customFormat="1" ht="16.5" customHeight="1" x14ac:dyDescent="0.25">
      <c r="A438" s="108">
        <v>7</v>
      </c>
      <c r="B438" s="108"/>
      <c r="C438" s="48" t="s">
        <v>176</v>
      </c>
      <c r="D438" s="48">
        <f>36.08*10.764</f>
        <v>388.36511999999993</v>
      </c>
      <c r="E438" s="48">
        <v>0</v>
      </c>
      <c r="F438" s="48">
        <f t="shared" ref="F438:F439" si="46">D438*(($F$328)+1)+(IF(E438&lt;101,E438,IF(E438&lt;201,E438/2,IF(E438&lt;=301,E438/3,E438/4))))</f>
        <v>582.5476799999999</v>
      </c>
      <c r="G438" s="111"/>
      <c r="H438" s="112"/>
      <c r="I438" s="2">
        <f>3645000/F438</f>
        <v>6256.9985687695134</v>
      </c>
    </row>
    <row r="439" spans="1:9" s="2" customFormat="1" ht="16.5" customHeight="1" x14ac:dyDescent="0.25">
      <c r="A439" s="108">
        <v>8</v>
      </c>
      <c r="B439" s="108"/>
      <c r="C439" s="48" t="s">
        <v>176</v>
      </c>
      <c r="D439" s="48">
        <f>36.08*10.764</f>
        <v>388.36511999999993</v>
      </c>
      <c r="E439" s="48">
        <v>0</v>
      </c>
      <c r="F439" s="48">
        <f t="shared" si="46"/>
        <v>582.5476799999999</v>
      </c>
      <c r="G439" s="113"/>
      <c r="H439" s="114"/>
    </row>
    <row r="440" spans="1:9" s="2" customFormat="1" ht="16.5" customHeight="1" x14ac:dyDescent="0.25">
      <c r="A440" s="107" t="s">
        <v>178</v>
      </c>
      <c r="B440" s="107"/>
      <c r="C440" s="107"/>
      <c r="D440" s="107"/>
      <c r="E440" s="107"/>
      <c r="F440" s="107"/>
      <c r="G440" s="107"/>
      <c r="H440" s="107"/>
    </row>
    <row r="441" spans="1:9" s="2" customFormat="1" ht="16.5" customHeight="1" x14ac:dyDescent="0.25">
      <c r="A441" s="107" t="s">
        <v>172</v>
      </c>
      <c r="B441" s="107"/>
      <c r="C441" s="107"/>
      <c r="D441" s="107"/>
      <c r="E441" s="107"/>
      <c r="F441" s="107"/>
      <c r="G441" s="107"/>
      <c r="H441" s="107"/>
    </row>
    <row r="442" spans="1:9" s="2" customFormat="1" ht="16.5" customHeight="1" x14ac:dyDescent="0.25">
      <c r="A442" s="107" t="s">
        <v>216</v>
      </c>
      <c r="B442" s="107"/>
      <c r="C442" s="107"/>
      <c r="D442" s="107"/>
      <c r="E442" s="107"/>
      <c r="F442" s="107"/>
      <c r="G442" s="107"/>
      <c r="H442" s="107"/>
    </row>
    <row r="443" spans="1:9" s="2" customFormat="1" ht="16.5" customHeight="1" x14ac:dyDescent="0.25">
      <c r="A443" s="107" t="s">
        <v>223</v>
      </c>
      <c r="B443" s="107"/>
      <c r="C443" s="107"/>
      <c r="D443" s="107"/>
      <c r="E443" s="107"/>
      <c r="F443" s="107"/>
      <c r="G443" s="107"/>
      <c r="H443" s="107"/>
    </row>
    <row r="444" spans="1:9" s="2" customFormat="1" ht="16.5" customHeight="1" x14ac:dyDescent="0.25">
      <c r="A444" s="108">
        <v>1</v>
      </c>
      <c r="B444" s="108"/>
      <c r="C444" s="92" t="s">
        <v>173</v>
      </c>
      <c r="D444" s="92">
        <f>55.8*10.764</f>
        <v>600.63119999999992</v>
      </c>
      <c r="E444" s="92">
        <v>0</v>
      </c>
      <c r="F444" s="92">
        <f>D444*(($F$328)+1)+(IF(E444&lt;101,E444,IF(E444&lt;201,E444/2,IF(E444&lt;=301,E444/3,E444/4))))</f>
        <v>900.94679999999994</v>
      </c>
      <c r="G444" s="108" t="str">
        <f>A443</f>
        <v>Upper Ground Floor For Residential &amp; Part Podium</v>
      </c>
      <c r="H444" s="108"/>
    </row>
    <row r="445" spans="1:9" s="2" customFormat="1" ht="16.5" customHeight="1" x14ac:dyDescent="0.25">
      <c r="A445" s="108">
        <v>2</v>
      </c>
      <c r="B445" s="108"/>
      <c r="C445" s="108" t="s">
        <v>224</v>
      </c>
      <c r="D445" s="108"/>
      <c r="E445" s="108"/>
      <c r="F445" s="108"/>
      <c r="G445" s="108"/>
      <c r="H445" s="108"/>
    </row>
    <row r="446" spans="1:9" s="2" customFormat="1" ht="16.5" customHeight="1" x14ac:dyDescent="0.25">
      <c r="A446" s="108">
        <v>3</v>
      </c>
      <c r="B446" s="108"/>
      <c r="C446" s="108"/>
      <c r="D446" s="108"/>
      <c r="E446" s="108"/>
      <c r="F446" s="108"/>
      <c r="G446" s="108"/>
      <c r="H446" s="108"/>
    </row>
    <row r="447" spans="1:9" s="2" customFormat="1" ht="16.5" customHeight="1" x14ac:dyDescent="0.25">
      <c r="A447" s="108">
        <v>4</v>
      </c>
      <c r="B447" s="108"/>
      <c r="C447" s="108"/>
      <c r="D447" s="108"/>
      <c r="E447" s="108"/>
      <c r="F447" s="108"/>
      <c r="G447" s="108"/>
      <c r="H447" s="108"/>
    </row>
    <row r="448" spans="1:9" s="2" customFormat="1" ht="16.5" customHeight="1" x14ac:dyDescent="0.25">
      <c r="A448" s="108">
        <v>5</v>
      </c>
      <c r="B448" s="108"/>
      <c r="C448" s="92" t="s">
        <v>173</v>
      </c>
      <c r="D448" s="92">
        <f>49.45*10.764</f>
        <v>532.27980000000002</v>
      </c>
      <c r="E448" s="92">
        <v>0</v>
      </c>
      <c r="F448" s="92">
        <f t="shared" ref="F448:F449" si="47">D448*(($F$328)+1)+(IF(E448&lt;101,E448,IF(E448&lt;201,E448/2,IF(E448&lt;=301,E448/3,E448/4))))</f>
        <v>798.41970000000003</v>
      </c>
      <c r="G448" s="108"/>
      <c r="H448" s="108"/>
    </row>
    <row r="449" spans="1:9" s="2" customFormat="1" ht="16.5" customHeight="1" x14ac:dyDescent="0.25">
      <c r="A449" s="108">
        <v>6</v>
      </c>
      <c r="B449" s="108"/>
      <c r="C449" s="92" t="s">
        <v>152</v>
      </c>
      <c r="D449" s="92">
        <f>75.93*10.764</f>
        <v>817.31052</v>
      </c>
      <c r="E449" s="92">
        <v>0</v>
      </c>
      <c r="F449" s="92">
        <f t="shared" si="47"/>
        <v>1225.96578</v>
      </c>
      <c r="G449" s="108"/>
      <c r="H449" s="108"/>
    </row>
    <row r="450" spans="1:9" s="2" customFormat="1" ht="16.5" customHeight="1" x14ac:dyDescent="0.25">
      <c r="A450" s="107" t="s">
        <v>218</v>
      </c>
      <c r="B450" s="107"/>
      <c r="C450" s="107"/>
      <c r="D450" s="107"/>
      <c r="E450" s="107"/>
      <c r="F450" s="107"/>
      <c r="G450" s="107"/>
      <c r="H450" s="107"/>
    </row>
    <row r="451" spans="1:9" s="2" customFormat="1" ht="16.5" customHeight="1" x14ac:dyDescent="0.25">
      <c r="A451" s="108">
        <v>1</v>
      </c>
      <c r="B451" s="108"/>
      <c r="C451" s="92" t="s">
        <v>173</v>
      </c>
      <c r="D451" s="92">
        <f>55.8*10.764</f>
        <v>600.63119999999992</v>
      </c>
      <c r="E451" s="92">
        <v>0</v>
      </c>
      <c r="F451" s="92">
        <f t="shared" ref="F451:F452" si="48">D451*(($F$328)+1)+(IF(E451&lt;101,E451,IF(E451&lt;201,E451/2,IF(E451&lt;=301,E451/3,E451/4))))</f>
        <v>900.94679999999994</v>
      </c>
      <c r="G451" s="108" t="str">
        <f>A450</f>
        <v>Stilt/ Lobby Floor for Residential</v>
      </c>
      <c r="H451" s="108"/>
    </row>
    <row r="452" spans="1:9" s="2" customFormat="1" ht="16.5" customHeight="1" x14ac:dyDescent="0.25">
      <c r="A452" s="108">
        <v>2</v>
      </c>
      <c r="B452" s="108"/>
      <c r="C452" s="92" t="s">
        <v>173</v>
      </c>
      <c r="D452" s="92">
        <f>55.8*10.764</f>
        <v>600.63119999999992</v>
      </c>
      <c r="E452" s="40">
        <f>(3.05*1.2+2.8*0.6)*(10.764)</f>
        <v>57.479759999999992</v>
      </c>
      <c r="F452" s="92">
        <f t="shared" si="48"/>
        <v>958.42655999999988</v>
      </c>
      <c r="G452" s="108"/>
      <c r="H452" s="108"/>
    </row>
    <row r="453" spans="1:9" s="2" customFormat="1" ht="16.5" customHeight="1" x14ac:dyDescent="0.25">
      <c r="A453" s="108">
        <v>3</v>
      </c>
      <c r="B453" s="108"/>
      <c r="C453" s="108" t="s">
        <v>225</v>
      </c>
      <c r="D453" s="108"/>
      <c r="E453" s="108"/>
      <c r="F453" s="108"/>
      <c r="G453" s="108"/>
      <c r="H453" s="108"/>
    </row>
    <row r="454" spans="1:9" s="2" customFormat="1" ht="16.5" customHeight="1" x14ac:dyDescent="0.25">
      <c r="A454" s="108">
        <v>4</v>
      </c>
      <c r="B454" s="108"/>
      <c r="C454" s="92" t="s">
        <v>173</v>
      </c>
      <c r="D454" s="92">
        <f t="shared" ref="D454:D455" si="49">49.45*10.764</f>
        <v>532.27980000000002</v>
      </c>
      <c r="E454" s="40">
        <f>(3.05*1.4+2.45*1.035)*(10.764)</f>
        <v>73.257092999999998</v>
      </c>
      <c r="F454" s="92">
        <f t="shared" ref="F454:F456" si="50">D454*(($F$328)+1)+(IF(E454&lt;101,E454,IF(E454&lt;201,E454/2,IF(E454&lt;=301,E454/3,E454/4))))</f>
        <v>871.67679300000009</v>
      </c>
      <c r="G454" s="108"/>
      <c r="H454" s="108"/>
    </row>
    <row r="455" spans="1:9" s="2" customFormat="1" ht="16.5" customHeight="1" x14ac:dyDescent="0.25">
      <c r="A455" s="108">
        <v>5</v>
      </c>
      <c r="B455" s="108"/>
      <c r="C455" s="92" t="s">
        <v>173</v>
      </c>
      <c r="D455" s="92">
        <f t="shared" si="49"/>
        <v>532.27980000000002</v>
      </c>
      <c r="E455" s="92">
        <v>0</v>
      </c>
      <c r="F455" s="92">
        <f t="shared" si="50"/>
        <v>798.41970000000003</v>
      </c>
      <c r="G455" s="108"/>
      <c r="H455" s="108"/>
    </row>
    <row r="456" spans="1:9" s="2" customFormat="1" ht="16.5" customHeight="1" x14ac:dyDescent="0.25">
      <c r="A456" s="108">
        <v>6</v>
      </c>
      <c r="B456" s="108"/>
      <c r="C456" s="92" t="s">
        <v>152</v>
      </c>
      <c r="D456" s="92">
        <f>75.93*10.764</f>
        <v>817.31052</v>
      </c>
      <c r="E456" s="92">
        <v>0</v>
      </c>
      <c r="F456" s="92">
        <f t="shared" si="50"/>
        <v>1225.96578</v>
      </c>
      <c r="G456" s="108"/>
      <c r="H456" s="108"/>
    </row>
    <row r="457" spans="1:9" s="2" customFormat="1" ht="16.5" customHeight="1" x14ac:dyDescent="0.25">
      <c r="A457" s="178" t="s">
        <v>226</v>
      </c>
      <c r="B457" s="178"/>
      <c r="C457" s="178"/>
      <c r="D457" s="178"/>
      <c r="E457" s="178"/>
      <c r="F457" s="178"/>
      <c r="G457" s="178"/>
      <c r="H457" s="178"/>
    </row>
    <row r="458" spans="1:9" s="2" customFormat="1" ht="16.5" customHeight="1" x14ac:dyDescent="0.25">
      <c r="A458" s="108">
        <v>1</v>
      </c>
      <c r="B458" s="108"/>
      <c r="C458" s="48" t="s">
        <v>173</v>
      </c>
      <c r="D458" s="48">
        <f>55.8*10.764</f>
        <v>600.63119999999992</v>
      </c>
      <c r="E458" s="48">
        <v>0</v>
      </c>
      <c r="F458" s="48">
        <f t="shared" ref="F458:F463" si="51">D458*(($F$328)+1)+(IF(E458&lt;101,E458,IF(E458&lt;201,E458/2,IF(E458&lt;=301,E458/3,E458/4))))</f>
        <v>900.94679999999994</v>
      </c>
      <c r="G458" s="109" t="str">
        <f>A457</f>
        <v>1st to 5th, 7th to 10th, 12th to 16th, 18th to 22nd Floor</v>
      </c>
      <c r="H458" s="110"/>
      <c r="I458" s="2">
        <f>4750000/F458</f>
        <v>5272.2313903551249</v>
      </c>
    </row>
    <row r="459" spans="1:9" s="2" customFormat="1" ht="16.5" customHeight="1" x14ac:dyDescent="0.25">
      <c r="A459" s="108">
        <v>2</v>
      </c>
      <c r="B459" s="108"/>
      <c r="C459" s="48" t="s">
        <v>173</v>
      </c>
      <c r="D459" s="48">
        <f>55.8*10.764</f>
        <v>600.63119999999992</v>
      </c>
      <c r="E459" s="48">
        <v>0</v>
      </c>
      <c r="F459" s="48">
        <f t="shared" si="51"/>
        <v>900.94679999999994</v>
      </c>
      <c r="G459" s="111"/>
      <c r="H459" s="112"/>
    </row>
    <row r="460" spans="1:9" s="2" customFormat="1" ht="16.5" customHeight="1" x14ac:dyDescent="0.25">
      <c r="A460" s="108">
        <v>3</v>
      </c>
      <c r="B460" s="108"/>
      <c r="C460" s="48" t="s">
        <v>152</v>
      </c>
      <c r="D460" s="48">
        <f>75.94*10.764</f>
        <v>817.41815999999994</v>
      </c>
      <c r="E460" s="48">
        <v>0</v>
      </c>
      <c r="F460" s="48">
        <f t="shared" si="51"/>
        <v>1226.1272399999998</v>
      </c>
      <c r="G460" s="111"/>
      <c r="H460" s="112"/>
    </row>
    <row r="461" spans="1:9" s="2" customFormat="1" ht="16.5" customHeight="1" x14ac:dyDescent="0.25">
      <c r="A461" s="108">
        <v>4</v>
      </c>
      <c r="B461" s="108"/>
      <c r="C461" s="48" t="s">
        <v>173</v>
      </c>
      <c r="D461" s="48">
        <f t="shared" ref="D461:D462" si="52">49.45*10.764</f>
        <v>532.27980000000002</v>
      </c>
      <c r="E461" s="48">
        <v>0</v>
      </c>
      <c r="F461" s="48">
        <f t="shared" si="51"/>
        <v>798.41970000000003</v>
      </c>
      <c r="G461" s="111"/>
      <c r="H461" s="112"/>
      <c r="I461" s="2">
        <f>4160000/F461</f>
        <v>5210.2922811148073</v>
      </c>
    </row>
    <row r="462" spans="1:9" s="2" customFormat="1" ht="16.5" customHeight="1" x14ac:dyDescent="0.25">
      <c r="A462" s="108">
        <v>5</v>
      </c>
      <c r="B462" s="108"/>
      <c r="C462" s="48" t="s">
        <v>173</v>
      </c>
      <c r="D462" s="48">
        <f t="shared" si="52"/>
        <v>532.27980000000002</v>
      </c>
      <c r="E462" s="48">
        <v>0</v>
      </c>
      <c r="F462" s="48">
        <f t="shared" si="51"/>
        <v>798.41970000000003</v>
      </c>
      <c r="G462" s="111"/>
      <c r="H462" s="112"/>
    </row>
    <row r="463" spans="1:9" s="2" customFormat="1" ht="16.5" customHeight="1" x14ac:dyDescent="0.25">
      <c r="A463" s="108">
        <v>6</v>
      </c>
      <c r="B463" s="108"/>
      <c r="C463" s="48" t="s">
        <v>152</v>
      </c>
      <c r="D463" s="48">
        <f>75.93*10.764</f>
        <v>817.31052</v>
      </c>
      <c r="E463" s="48">
        <v>0</v>
      </c>
      <c r="F463" s="48">
        <f t="shared" si="51"/>
        <v>1225.96578</v>
      </c>
      <c r="G463" s="113"/>
      <c r="H463" s="114"/>
    </row>
    <row r="464" spans="1:9" s="2" customFormat="1" ht="16.5" customHeight="1" x14ac:dyDescent="0.25">
      <c r="A464" s="107" t="s">
        <v>221</v>
      </c>
      <c r="B464" s="107"/>
      <c r="C464" s="107"/>
      <c r="D464" s="107"/>
      <c r="E464" s="107"/>
      <c r="F464" s="107"/>
      <c r="G464" s="107"/>
      <c r="H464" s="107"/>
    </row>
    <row r="465" spans="1:8" s="2" customFormat="1" ht="16.5" customHeight="1" x14ac:dyDescent="0.25">
      <c r="A465" s="108">
        <v>1</v>
      </c>
      <c r="B465" s="108"/>
      <c r="C465" s="108" t="s">
        <v>175</v>
      </c>
      <c r="D465" s="108"/>
      <c r="E465" s="108"/>
      <c r="F465" s="108"/>
      <c r="G465" s="108" t="str">
        <f>A464</f>
        <v>6th, 11th, 17th &amp; 23rd Floor (Part Refuge Area)</v>
      </c>
      <c r="H465" s="108"/>
    </row>
    <row r="466" spans="1:8" s="2" customFormat="1" ht="16.5" customHeight="1" x14ac:dyDescent="0.25">
      <c r="A466" s="108">
        <v>2</v>
      </c>
      <c r="B466" s="108"/>
      <c r="C466" s="94" t="s">
        <v>173</v>
      </c>
      <c r="D466" s="94">
        <f>55.8*10.764</f>
        <v>600.63119999999992</v>
      </c>
      <c r="E466" s="94">
        <v>0</v>
      </c>
      <c r="F466" s="94">
        <f t="shared" ref="F466:F470" si="53">D466*(($F$328)+1)+(IF(E466&lt;101,E466,IF(E466&lt;201,E466/2,IF(E466&lt;=301,E466/3,E466/4))))</f>
        <v>900.94679999999994</v>
      </c>
      <c r="G466" s="108"/>
      <c r="H466" s="108"/>
    </row>
    <row r="467" spans="1:8" s="2" customFormat="1" ht="16.5" customHeight="1" x14ac:dyDescent="0.25">
      <c r="A467" s="108">
        <v>3</v>
      </c>
      <c r="B467" s="108"/>
      <c r="C467" s="94" t="s">
        <v>152</v>
      </c>
      <c r="D467" s="94">
        <f>75.94*10.764</f>
        <v>817.41815999999994</v>
      </c>
      <c r="E467" s="94">
        <v>0</v>
      </c>
      <c r="F467" s="94">
        <f t="shared" si="53"/>
        <v>1226.1272399999998</v>
      </c>
      <c r="G467" s="108"/>
      <c r="H467" s="108"/>
    </row>
    <row r="468" spans="1:8" s="2" customFormat="1" ht="16.5" customHeight="1" x14ac:dyDescent="0.25">
      <c r="A468" s="108">
        <v>4</v>
      </c>
      <c r="B468" s="108"/>
      <c r="C468" s="94" t="s">
        <v>173</v>
      </c>
      <c r="D468" s="94">
        <f t="shared" ref="D468:D469" si="54">49.45*10.764</f>
        <v>532.27980000000002</v>
      </c>
      <c r="E468" s="94">
        <v>0</v>
      </c>
      <c r="F468" s="94">
        <f t="shared" si="53"/>
        <v>798.41970000000003</v>
      </c>
      <c r="G468" s="108"/>
      <c r="H468" s="108"/>
    </row>
    <row r="469" spans="1:8" s="2" customFormat="1" ht="16.5" customHeight="1" x14ac:dyDescent="0.25">
      <c r="A469" s="108">
        <v>5</v>
      </c>
      <c r="B469" s="108"/>
      <c r="C469" s="94" t="s">
        <v>173</v>
      </c>
      <c r="D469" s="94">
        <f t="shared" si="54"/>
        <v>532.27980000000002</v>
      </c>
      <c r="E469" s="94">
        <v>0</v>
      </c>
      <c r="F469" s="94">
        <f t="shared" si="53"/>
        <v>798.41970000000003</v>
      </c>
      <c r="G469" s="108"/>
      <c r="H469" s="108"/>
    </row>
    <row r="470" spans="1:8" s="2" customFormat="1" ht="16.5" customHeight="1" x14ac:dyDescent="0.25">
      <c r="A470" s="108">
        <v>6</v>
      </c>
      <c r="B470" s="108"/>
      <c r="C470" s="94" t="s">
        <v>152</v>
      </c>
      <c r="D470" s="94">
        <f>75.93*10.764</f>
        <v>817.31052</v>
      </c>
      <c r="E470" s="94">
        <v>0</v>
      </c>
      <c r="F470" s="94">
        <f t="shared" si="53"/>
        <v>1225.96578</v>
      </c>
      <c r="G470" s="108"/>
      <c r="H470" s="108"/>
    </row>
    <row r="471" spans="1:8" s="2" customFormat="1" ht="16.5" customHeight="1" x14ac:dyDescent="0.25">
      <c r="A471" s="184" t="s">
        <v>179</v>
      </c>
      <c r="B471" s="185"/>
      <c r="C471" s="185"/>
      <c r="D471" s="185"/>
      <c r="E471" s="185"/>
      <c r="F471" s="185"/>
      <c r="G471" s="185"/>
      <c r="H471" s="186"/>
    </row>
    <row r="472" spans="1:8" s="2" customFormat="1" ht="16.5" customHeight="1" x14ac:dyDescent="0.25">
      <c r="A472" s="107" t="s">
        <v>172</v>
      </c>
      <c r="B472" s="107"/>
      <c r="C472" s="107"/>
      <c r="D472" s="107"/>
      <c r="E472" s="107"/>
      <c r="F472" s="107"/>
      <c r="G472" s="107"/>
      <c r="H472" s="107"/>
    </row>
    <row r="473" spans="1:8" s="2" customFormat="1" ht="16.5" customHeight="1" x14ac:dyDescent="0.25">
      <c r="A473" s="178" t="s">
        <v>227</v>
      </c>
      <c r="B473" s="178"/>
      <c r="C473" s="178"/>
      <c r="D473" s="178"/>
      <c r="E473" s="178"/>
      <c r="F473" s="178"/>
      <c r="G473" s="178"/>
      <c r="H473" s="178"/>
    </row>
    <row r="474" spans="1:8" s="2" customFormat="1" ht="16.5" customHeight="1" x14ac:dyDescent="0.25">
      <c r="A474" s="107" t="s">
        <v>223</v>
      </c>
      <c r="B474" s="107"/>
      <c r="C474" s="107"/>
      <c r="D474" s="107"/>
      <c r="E474" s="107"/>
      <c r="F474" s="107"/>
      <c r="G474" s="107"/>
      <c r="H474" s="107"/>
    </row>
    <row r="475" spans="1:8" s="2" customFormat="1" ht="16.5" customHeight="1" x14ac:dyDescent="0.25">
      <c r="A475" s="108">
        <v>1</v>
      </c>
      <c r="B475" s="108"/>
      <c r="C475" s="48" t="s">
        <v>173</v>
      </c>
      <c r="D475" s="48">
        <f>55.81*10.764</f>
        <v>600.73883999999998</v>
      </c>
      <c r="E475" s="48">
        <v>0</v>
      </c>
      <c r="F475" s="48">
        <f t="shared" ref="F475:F477" si="55">D475*(($F$328)+1)+(IF(E475&lt;101,E475,IF(E475&lt;201,E475/2,IF(E475&lt;=301,E475/3,E475/4))))</f>
        <v>901.10825999999997</v>
      </c>
      <c r="G475" s="109" t="str">
        <f>A474</f>
        <v>Upper Ground Floor For Residential &amp; Part Podium</v>
      </c>
      <c r="H475" s="110"/>
    </row>
    <row r="476" spans="1:8" s="2" customFormat="1" ht="16.5" customHeight="1" x14ac:dyDescent="0.25">
      <c r="A476" s="108">
        <v>2</v>
      </c>
      <c r="B476" s="108"/>
      <c r="C476" s="48" t="s">
        <v>173</v>
      </c>
      <c r="D476" s="48">
        <f>54.59*10.764</f>
        <v>587.60676000000001</v>
      </c>
      <c r="E476" s="40">
        <f>(3.05*1.97+3.2*1.33)*(10.764)</f>
        <v>110.487078</v>
      </c>
      <c r="F476" s="48">
        <f t="shared" si="55"/>
        <v>936.65367900000001</v>
      </c>
      <c r="G476" s="111"/>
      <c r="H476" s="112"/>
    </row>
    <row r="477" spans="1:8" s="2" customFormat="1" ht="16.5" customHeight="1" x14ac:dyDescent="0.25">
      <c r="A477" s="108">
        <v>3</v>
      </c>
      <c r="B477" s="108"/>
      <c r="C477" s="48" t="s">
        <v>173</v>
      </c>
      <c r="D477" s="48">
        <f>54.59*10.764</f>
        <v>587.60676000000001</v>
      </c>
      <c r="E477" s="40">
        <f>(3.25*1.97+3.2*1.2)*(10.764)</f>
        <v>110.25026999999999</v>
      </c>
      <c r="F477" s="48">
        <f t="shared" si="55"/>
        <v>936.53527499999996</v>
      </c>
      <c r="G477" s="111"/>
      <c r="H477" s="112"/>
    </row>
    <row r="478" spans="1:8" s="2" customFormat="1" ht="16.5" customHeight="1" x14ac:dyDescent="0.25">
      <c r="A478" s="108">
        <v>4</v>
      </c>
      <c r="B478" s="108"/>
      <c r="C478" s="109" t="s">
        <v>224</v>
      </c>
      <c r="D478" s="115"/>
      <c r="E478" s="115"/>
      <c r="F478" s="110"/>
      <c r="G478" s="111"/>
      <c r="H478" s="112"/>
    </row>
    <row r="479" spans="1:8" s="2" customFormat="1" ht="16.5" customHeight="1" x14ac:dyDescent="0.25">
      <c r="A479" s="108">
        <v>5</v>
      </c>
      <c r="B479" s="108"/>
      <c r="C479" s="113"/>
      <c r="D479" s="116"/>
      <c r="E479" s="116"/>
      <c r="F479" s="114"/>
      <c r="G479" s="111"/>
      <c r="H479" s="112"/>
    </row>
    <row r="480" spans="1:8" s="2" customFormat="1" ht="16.5" customHeight="1" x14ac:dyDescent="0.25">
      <c r="A480" s="108">
        <v>6</v>
      </c>
      <c r="B480" s="108"/>
      <c r="C480" s="48" t="s">
        <v>173</v>
      </c>
      <c r="D480" s="48">
        <f>49.46*10.764</f>
        <v>532.38743999999997</v>
      </c>
      <c r="E480" s="48">
        <v>0</v>
      </c>
      <c r="F480" s="48">
        <f t="shared" ref="F480:F482" si="56">D480*(($F$328)+1)+(IF(E480&lt;101,E480,IF(E480&lt;201,E480/2,IF(E480&lt;=301,E480/3,E480/4))))</f>
        <v>798.58115999999995</v>
      </c>
      <c r="G480" s="111"/>
      <c r="H480" s="112"/>
    </row>
    <row r="481" spans="1:8" s="2" customFormat="1" ht="16.5" customHeight="1" x14ac:dyDescent="0.25">
      <c r="A481" s="108">
        <v>7</v>
      </c>
      <c r="B481" s="108"/>
      <c r="C481" s="48" t="s">
        <v>176</v>
      </c>
      <c r="D481" s="48">
        <f>40*10.764</f>
        <v>430.55999999999995</v>
      </c>
      <c r="E481" s="40">
        <f>(4.2*2.17+1.4*2.78)*(10.764)</f>
        <v>139.99658399999998</v>
      </c>
      <c r="F481" s="48">
        <f t="shared" si="56"/>
        <v>715.83829199999991</v>
      </c>
      <c r="G481" s="111"/>
      <c r="H481" s="112"/>
    </row>
    <row r="482" spans="1:8" s="2" customFormat="1" ht="16.5" customHeight="1" x14ac:dyDescent="0.25">
      <c r="A482" s="108">
        <v>8</v>
      </c>
      <c r="B482" s="108"/>
      <c r="C482" s="48" t="s">
        <v>176</v>
      </c>
      <c r="D482" s="48">
        <f>40*10.764</f>
        <v>430.55999999999995</v>
      </c>
      <c r="E482" s="40">
        <f>(4.2*2.17+1.4*2.78)*(10.764)</f>
        <v>139.99658399999998</v>
      </c>
      <c r="F482" s="48">
        <f t="shared" si="56"/>
        <v>715.83829199999991</v>
      </c>
      <c r="G482" s="113"/>
      <c r="H482" s="114"/>
    </row>
    <row r="483" spans="1:8" s="2" customFormat="1" ht="16.5" customHeight="1" x14ac:dyDescent="0.25">
      <c r="A483" s="107" t="s">
        <v>218</v>
      </c>
      <c r="B483" s="107"/>
      <c r="C483" s="107"/>
      <c r="D483" s="107"/>
      <c r="E483" s="107"/>
      <c r="F483" s="107"/>
      <c r="G483" s="107"/>
      <c r="H483" s="107"/>
    </row>
    <row r="484" spans="1:8" s="2" customFormat="1" ht="16.5" customHeight="1" x14ac:dyDescent="0.25">
      <c r="A484" s="108">
        <v>1</v>
      </c>
      <c r="B484" s="108"/>
      <c r="C484" s="48" t="s">
        <v>173</v>
      </c>
      <c r="D484" s="48">
        <f t="shared" ref="D484:D485" si="57">55.81*10.764</f>
        <v>600.73883999999998</v>
      </c>
      <c r="E484" s="48">
        <v>0</v>
      </c>
      <c r="F484" s="48">
        <f t="shared" ref="F484:F485" si="58">D484*(($F$328)+1)+(IF(E484&lt;101,E484,IF(E484&lt;201,E484/2,IF(E484&lt;=301,E484/3,E484/4))))</f>
        <v>901.10825999999997</v>
      </c>
      <c r="G484" s="109" t="str">
        <f>A483</f>
        <v>Stilt/ Lobby Floor for Residential</v>
      </c>
      <c r="H484" s="110"/>
    </row>
    <row r="485" spans="1:8" s="2" customFormat="1" ht="16.5" customHeight="1" x14ac:dyDescent="0.25">
      <c r="A485" s="108">
        <v>2</v>
      </c>
      <c r="B485" s="108"/>
      <c r="C485" s="48" t="s">
        <v>173</v>
      </c>
      <c r="D485" s="48">
        <f t="shared" si="57"/>
        <v>600.73883999999998</v>
      </c>
      <c r="E485" s="48">
        <v>0</v>
      </c>
      <c r="F485" s="48">
        <f t="shared" si="58"/>
        <v>901.10825999999997</v>
      </c>
      <c r="G485" s="111"/>
      <c r="H485" s="112"/>
    </row>
    <row r="486" spans="1:8" s="2" customFormat="1" ht="16.5" customHeight="1" x14ac:dyDescent="0.25">
      <c r="A486" s="108">
        <v>3</v>
      </c>
      <c r="B486" s="108"/>
      <c r="C486" s="109" t="s">
        <v>225</v>
      </c>
      <c r="D486" s="115"/>
      <c r="E486" s="115"/>
      <c r="F486" s="110"/>
      <c r="G486" s="111"/>
      <c r="H486" s="112"/>
    </row>
    <row r="487" spans="1:8" s="2" customFormat="1" ht="16.5" customHeight="1" x14ac:dyDescent="0.25">
      <c r="A487" s="108">
        <v>4</v>
      </c>
      <c r="B487" s="108"/>
      <c r="C487" s="113"/>
      <c r="D487" s="116"/>
      <c r="E487" s="116"/>
      <c r="F487" s="114"/>
      <c r="G487" s="111"/>
      <c r="H487" s="112"/>
    </row>
    <row r="488" spans="1:8" s="2" customFormat="1" ht="16.5" customHeight="1" x14ac:dyDescent="0.25">
      <c r="A488" s="108">
        <v>5</v>
      </c>
      <c r="B488" s="108"/>
      <c r="C488" s="48" t="s">
        <v>173</v>
      </c>
      <c r="D488" s="48">
        <f t="shared" ref="D488:D489" si="59">49.46*10.764</f>
        <v>532.38743999999997</v>
      </c>
      <c r="E488" s="48">
        <v>0</v>
      </c>
      <c r="F488" s="48">
        <f t="shared" ref="F488:F491" si="60">D488*(($F$328)+1)+(IF(E488&lt;101,E488,IF(E488&lt;201,E488/2,IF(E488&lt;=301,E488/3,E488/4))))</f>
        <v>798.58115999999995</v>
      </c>
      <c r="G488" s="111"/>
      <c r="H488" s="112"/>
    </row>
    <row r="489" spans="1:8" s="2" customFormat="1" ht="16.5" customHeight="1" x14ac:dyDescent="0.25">
      <c r="A489" s="108">
        <v>6</v>
      </c>
      <c r="B489" s="108"/>
      <c r="C489" s="48" t="s">
        <v>173</v>
      </c>
      <c r="D489" s="48">
        <f t="shared" si="59"/>
        <v>532.38743999999997</v>
      </c>
      <c r="E489" s="48">
        <v>0</v>
      </c>
      <c r="F489" s="48">
        <f t="shared" si="60"/>
        <v>798.58115999999995</v>
      </c>
      <c r="G489" s="111"/>
      <c r="H489" s="112"/>
    </row>
    <row r="490" spans="1:8" s="2" customFormat="1" ht="16.5" customHeight="1" x14ac:dyDescent="0.25">
      <c r="A490" s="108">
        <v>7</v>
      </c>
      <c r="B490" s="108"/>
      <c r="C490" s="48" t="s">
        <v>176</v>
      </c>
      <c r="D490" s="48">
        <f>40*10.764</f>
        <v>430.55999999999995</v>
      </c>
      <c r="E490" s="48">
        <v>0</v>
      </c>
      <c r="F490" s="48">
        <f t="shared" si="60"/>
        <v>645.83999999999992</v>
      </c>
      <c r="G490" s="111"/>
      <c r="H490" s="112"/>
    </row>
    <row r="491" spans="1:8" s="2" customFormat="1" ht="16.5" customHeight="1" x14ac:dyDescent="0.25">
      <c r="A491" s="108">
        <v>8</v>
      </c>
      <c r="B491" s="108"/>
      <c r="C491" s="48" t="s">
        <v>176</v>
      </c>
      <c r="D491" s="48">
        <f>40*10.764</f>
        <v>430.55999999999995</v>
      </c>
      <c r="E491" s="48">
        <v>0</v>
      </c>
      <c r="F491" s="48">
        <f t="shared" si="60"/>
        <v>645.83999999999992</v>
      </c>
      <c r="G491" s="113"/>
      <c r="H491" s="114"/>
    </row>
    <row r="492" spans="1:8" s="2" customFormat="1" ht="16.5" customHeight="1" x14ac:dyDescent="0.25">
      <c r="A492" s="107" t="s">
        <v>220</v>
      </c>
      <c r="B492" s="107"/>
      <c r="C492" s="107"/>
      <c r="D492" s="107"/>
      <c r="E492" s="107"/>
      <c r="F492" s="107"/>
      <c r="G492" s="107"/>
      <c r="H492" s="107"/>
    </row>
    <row r="493" spans="1:8" s="2" customFormat="1" ht="16.5" customHeight="1" x14ac:dyDescent="0.25">
      <c r="A493" s="108">
        <v>1</v>
      </c>
      <c r="B493" s="108"/>
      <c r="C493" s="92" t="s">
        <v>173</v>
      </c>
      <c r="D493" s="92">
        <f t="shared" ref="D493:D496" si="61">55.81*10.764</f>
        <v>600.73883999999998</v>
      </c>
      <c r="E493" s="92">
        <v>0</v>
      </c>
      <c r="F493" s="92">
        <f t="shared" ref="F493:F500" si="62">D493*(($F$328)+1)+(IF(E493&lt;101,E493,IF(E493&lt;201,E493/2,IF(E493&lt;=301,E493/3,E493/4))))</f>
        <v>901.10825999999997</v>
      </c>
      <c r="G493" s="108" t="str">
        <f>A492</f>
        <v>1st to 5th, 7th to 10th, 12th to 16th, 18th to 22nd, 24th &amp; 25th Floor</v>
      </c>
      <c r="H493" s="108"/>
    </row>
    <row r="494" spans="1:8" s="2" customFormat="1" ht="16.5" customHeight="1" x14ac:dyDescent="0.25">
      <c r="A494" s="108">
        <v>2</v>
      </c>
      <c r="B494" s="108"/>
      <c r="C494" s="92" t="s">
        <v>173</v>
      </c>
      <c r="D494" s="92">
        <f t="shared" si="61"/>
        <v>600.73883999999998</v>
      </c>
      <c r="E494" s="92">
        <v>0</v>
      </c>
      <c r="F494" s="92">
        <f t="shared" si="62"/>
        <v>901.10825999999997</v>
      </c>
      <c r="G494" s="108"/>
      <c r="H494" s="108"/>
    </row>
    <row r="495" spans="1:8" s="2" customFormat="1" ht="16.5" customHeight="1" x14ac:dyDescent="0.25">
      <c r="A495" s="108">
        <v>3</v>
      </c>
      <c r="B495" s="108"/>
      <c r="C495" s="92" t="s">
        <v>173</v>
      </c>
      <c r="D495" s="92">
        <f t="shared" si="61"/>
        <v>600.73883999999998</v>
      </c>
      <c r="E495" s="92">
        <v>0</v>
      </c>
      <c r="F495" s="92">
        <f t="shared" si="62"/>
        <v>901.10825999999997</v>
      </c>
      <c r="G495" s="108"/>
      <c r="H495" s="108"/>
    </row>
    <row r="496" spans="1:8" s="2" customFormat="1" ht="16.5" customHeight="1" x14ac:dyDescent="0.25">
      <c r="A496" s="108">
        <v>4</v>
      </c>
      <c r="B496" s="108"/>
      <c r="C496" s="92" t="s">
        <v>173</v>
      </c>
      <c r="D496" s="92">
        <f t="shared" si="61"/>
        <v>600.73883999999998</v>
      </c>
      <c r="E496" s="92">
        <v>0</v>
      </c>
      <c r="F496" s="92">
        <f t="shared" si="62"/>
        <v>901.10825999999997</v>
      </c>
      <c r="G496" s="108"/>
      <c r="H496" s="108"/>
    </row>
    <row r="497" spans="1:8" s="2" customFormat="1" ht="16.5" customHeight="1" x14ac:dyDescent="0.25">
      <c r="A497" s="108">
        <v>5</v>
      </c>
      <c r="B497" s="108"/>
      <c r="C497" s="92" t="s">
        <v>173</v>
      </c>
      <c r="D497" s="92">
        <f t="shared" ref="D497:D498" si="63">49.46*10.764</f>
        <v>532.38743999999997</v>
      </c>
      <c r="E497" s="92">
        <v>0</v>
      </c>
      <c r="F497" s="92">
        <f t="shared" si="62"/>
        <v>798.58115999999995</v>
      </c>
      <c r="G497" s="108"/>
      <c r="H497" s="108"/>
    </row>
    <row r="498" spans="1:8" s="2" customFormat="1" ht="16.5" customHeight="1" x14ac:dyDescent="0.25">
      <c r="A498" s="108">
        <v>6</v>
      </c>
      <c r="B498" s="108"/>
      <c r="C498" s="92" t="s">
        <v>173</v>
      </c>
      <c r="D498" s="92">
        <f t="shared" si="63"/>
        <v>532.38743999999997</v>
      </c>
      <c r="E498" s="92">
        <v>0</v>
      </c>
      <c r="F498" s="92">
        <f t="shared" si="62"/>
        <v>798.58115999999995</v>
      </c>
      <c r="G498" s="108"/>
      <c r="H498" s="108"/>
    </row>
    <row r="499" spans="1:8" s="2" customFormat="1" ht="16.5" customHeight="1" x14ac:dyDescent="0.25">
      <c r="A499" s="108">
        <v>7</v>
      </c>
      <c r="B499" s="108"/>
      <c r="C499" s="92" t="s">
        <v>176</v>
      </c>
      <c r="D499" s="92">
        <f>40*10.764</f>
        <v>430.55999999999995</v>
      </c>
      <c r="E499" s="92">
        <v>0</v>
      </c>
      <c r="F499" s="92">
        <f t="shared" si="62"/>
        <v>645.83999999999992</v>
      </c>
      <c r="G499" s="108"/>
      <c r="H499" s="108"/>
    </row>
    <row r="500" spans="1:8" s="2" customFormat="1" ht="16.5" customHeight="1" x14ac:dyDescent="0.25">
      <c r="A500" s="108">
        <v>8</v>
      </c>
      <c r="B500" s="108"/>
      <c r="C500" s="92" t="s">
        <v>176</v>
      </c>
      <c r="D500" s="92">
        <f>40*10.764</f>
        <v>430.55999999999995</v>
      </c>
      <c r="E500" s="92">
        <v>0</v>
      </c>
      <c r="F500" s="92">
        <f t="shared" si="62"/>
        <v>645.83999999999992</v>
      </c>
      <c r="G500" s="108"/>
      <c r="H500" s="108"/>
    </row>
    <row r="501" spans="1:8" s="2" customFormat="1" ht="16.5" customHeight="1" x14ac:dyDescent="0.25">
      <c r="A501" s="107" t="s">
        <v>221</v>
      </c>
      <c r="B501" s="107"/>
      <c r="C501" s="107"/>
      <c r="D501" s="107"/>
      <c r="E501" s="107"/>
      <c r="F501" s="107"/>
      <c r="G501" s="107"/>
      <c r="H501" s="107"/>
    </row>
    <row r="502" spans="1:8" s="2" customFormat="1" ht="16.5" customHeight="1" x14ac:dyDescent="0.25">
      <c r="A502" s="108">
        <v>1</v>
      </c>
      <c r="B502" s="108"/>
      <c r="C502" s="94" t="s">
        <v>173</v>
      </c>
      <c r="D502" s="94">
        <f t="shared" ref="D502:D503" si="64">55.81*10.764</f>
        <v>600.73883999999998</v>
      </c>
      <c r="E502" s="94">
        <v>0</v>
      </c>
      <c r="F502" s="94">
        <f t="shared" ref="F502:F503" si="65">D502*(($F$328)+1)+(IF(E502&lt;101,E502,IF(E502&lt;201,E502/2,IF(E502&lt;=301,E502/3,E502/4))))</f>
        <v>901.10825999999997</v>
      </c>
      <c r="G502" s="108" t="str">
        <f>A501</f>
        <v>6th, 11th, 17th &amp; 23rd Floor (Part Refuge Area)</v>
      </c>
      <c r="H502" s="108"/>
    </row>
    <row r="503" spans="1:8" s="2" customFormat="1" ht="16.5" customHeight="1" x14ac:dyDescent="0.25">
      <c r="A503" s="108">
        <v>2</v>
      </c>
      <c r="B503" s="108"/>
      <c r="C503" s="94" t="s">
        <v>173</v>
      </c>
      <c r="D503" s="94">
        <f t="shared" si="64"/>
        <v>600.73883999999998</v>
      </c>
      <c r="E503" s="94">
        <v>0</v>
      </c>
      <c r="F503" s="94">
        <f t="shared" si="65"/>
        <v>901.10825999999997</v>
      </c>
      <c r="G503" s="108"/>
      <c r="H503" s="108"/>
    </row>
    <row r="504" spans="1:8" s="2" customFormat="1" ht="16.5" customHeight="1" x14ac:dyDescent="0.25">
      <c r="A504" s="108">
        <v>3</v>
      </c>
      <c r="B504" s="108"/>
      <c r="C504" s="108" t="s">
        <v>175</v>
      </c>
      <c r="D504" s="108"/>
      <c r="E504" s="108"/>
      <c r="F504" s="108"/>
      <c r="G504" s="108"/>
      <c r="H504" s="108"/>
    </row>
    <row r="505" spans="1:8" s="2" customFormat="1" ht="16.5" customHeight="1" x14ac:dyDescent="0.25">
      <c r="A505" s="108">
        <v>4</v>
      </c>
      <c r="B505" s="108"/>
      <c r="C505" s="94" t="s">
        <v>173</v>
      </c>
      <c r="D505" s="94">
        <f t="shared" ref="D505" si="66">55.81*10.764</f>
        <v>600.73883999999998</v>
      </c>
      <c r="E505" s="94">
        <v>0</v>
      </c>
      <c r="F505" s="94">
        <f t="shared" ref="F505:F509" si="67">D505*(($F$328)+1)+(IF(E505&lt;101,E505,IF(E505&lt;201,E505/2,IF(E505&lt;=301,E505/3,E505/4))))</f>
        <v>901.10825999999997</v>
      </c>
      <c r="G505" s="108"/>
      <c r="H505" s="108"/>
    </row>
    <row r="506" spans="1:8" s="2" customFormat="1" ht="16.5" customHeight="1" x14ac:dyDescent="0.25">
      <c r="A506" s="108">
        <v>5</v>
      </c>
      <c r="B506" s="108"/>
      <c r="C506" s="94" t="s">
        <v>173</v>
      </c>
      <c r="D506" s="94">
        <f t="shared" ref="D506:D507" si="68">49.46*10.764</f>
        <v>532.38743999999997</v>
      </c>
      <c r="E506" s="94">
        <v>0</v>
      </c>
      <c r="F506" s="94">
        <f t="shared" si="67"/>
        <v>798.58115999999995</v>
      </c>
      <c r="G506" s="108"/>
      <c r="H506" s="108"/>
    </row>
    <row r="507" spans="1:8" s="2" customFormat="1" ht="16.5" customHeight="1" x14ac:dyDescent="0.25">
      <c r="A507" s="108">
        <v>6</v>
      </c>
      <c r="B507" s="108"/>
      <c r="C507" s="94" t="s">
        <v>173</v>
      </c>
      <c r="D507" s="94">
        <f t="shared" si="68"/>
        <v>532.38743999999997</v>
      </c>
      <c r="E507" s="94">
        <v>0</v>
      </c>
      <c r="F507" s="94">
        <f t="shared" si="67"/>
        <v>798.58115999999995</v>
      </c>
      <c r="G507" s="108"/>
      <c r="H507" s="108"/>
    </row>
    <row r="508" spans="1:8" s="2" customFormat="1" ht="16.5" customHeight="1" x14ac:dyDescent="0.25">
      <c r="A508" s="108">
        <v>7</v>
      </c>
      <c r="B508" s="108"/>
      <c r="C508" s="94" t="s">
        <v>176</v>
      </c>
      <c r="D508" s="94">
        <f>40*10.764</f>
        <v>430.55999999999995</v>
      </c>
      <c r="E508" s="94">
        <v>0</v>
      </c>
      <c r="F508" s="94">
        <f t="shared" si="67"/>
        <v>645.83999999999992</v>
      </c>
      <c r="G508" s="108"/>
      <c r="H508" s="108"/>
    </row>
    <row r="509" spans="1:8" s="2" customFormat="1" ht="16.5" customHeight="1" x14ac:dyDescent="0.25">
      <c r="A509" s="108">
        <v>8</v>
      </c>
      <c r="B509" s="108"/>
      <c r="C509" s="94" t="s">
        <v>176</v>
      </c>
      <c r="D509" s="94">
        <f>40*10.764</f>
        <v>430.55999999999995</v>
      </c>
      <c r="E509" s="94">
        <v>0</v>
      </c>
      <c r="F509" s="94">
        <f t="shared" si="67"/>
        <v>645.83999999999992</v>
      </c>
      <c r="G509" s="108"/>
      <c r="H509" s="108"/>
    </row>
    <row r="510" spans="1:8" s="2" customFormat="1" ht="16.5" customHeight="1" x14ac:dyDescent="0.25">
      <c r="A510" s="107" t="s">
        <v>180</v>
      </c>
      <c r="B510" s="107"/>
      <c r="C510" s="107"/>
      <c r="D510" s="107"/>
      <c r="E510" s="107"/>
      <c r="F510" s="107"/>
      <c r="G510" s="107"/>
      <c r="H510" s="107"/>
    </row>
    <row r="511" spans="1:8" s="2" customFormat="1" ht="16.5" customHeight="1" x14ac:dyDescent="0.25">
      <c r="A511" s="107" t="s">
        <v>172</v>
      </c>
      <c r="B511" s="107"/>
      <c r="C511" s="107"/>
      <c r="D511" s="107"/>
      <c r="E511" s="107"/>
      <c r="F511" s="107"/>
      <c r="G511" s="107"/>
      <c r="H511" s="107"/>
    </row>
    <row r="512" spans="1:8" s="2" customFormat="1" ht="16.5" customHeight="1" x14ac:dyDescent="0.25">
      <c r="A512" s="107" t="s">
        <v>216</v>
      </c>
      <c r="B512" s="107"/>
      <c r="C512" s="107"/>
      <c r="D512" s="107"/>
      <c r="E512" s="107"/>
      <c r="F512" s="107"/>
      <c r="G512" s="107"/>
      <c r="H512" s="107"/>
    </row>
    <row r="513" spans="1:8" s="2" customFormat="1" ht="16.5" customHeight="1" x14ac:dyDescent="0.25">
      <c r="A513" s="178" t="s">
        <v>223</v>
      </c>
      <c r="B513" s="178"/>
      <c r="C513" s="178"/>
      <c r="D513" s="178"/>
      <c r="E513" s="178"/>
      <c r="F513" s="178"/>
      <c r="G513" s="178"/>
      <c r="H513" s="178"/>
    </row>
    <row r="514" spans="1:8" s="2" customFormat="1" ht="16.5" customHeight="1" x14ac:dyDescent="0.25">
      <c r="A514" s="108">
        <v>1</v>
      </c>
      <c r="B514" s="108"/>
      <c r="C514" s="48" t="s">
        <v>173</v>
      </c>
      <c r="D514" s="48">
        <f>48.81*10.764</f>
        <v>525.39084000000003</v>
      </c>
      <c r="E514" s="40">
        <f>(3.2*2+2.6*1)*(10.764)</f>
        <v>96.875999999999991</v>
      </c>
      <c r="F514" s="48">
        <f>D514*(($F$328)+1)+(IF(E514&lt;101,E514,IF(E514&lt;201,E514/2,IF(E514&lt;=301,E514/3,E514/4))))</f>
        <v>884.96226000000001</v>
      </c>
      <c r="G514" s="109" t="str">
        <f>A513</f>
        <v>Upper Ground Floor For Residential &amp; Part Podium</v>
      </c>
      <c r="H514" s="110"/>
    </row>
    <row r="515" spans="1:8" s="2" customFormat="1" ht="16.5" customHeight="1" x14ac:dyDescent="0.25">
      <c r="A515" s="108">
        <v>2</v>
      </c>
      <c r="B515" s="108"/>
      <c r="C515" s="109" t="s">
        <v>224</v>
      </c>
      <c r="D515" s="115"/>
      <c r="E515" s="115"/>
      <c r="F515" s="110"/>
      <c r="G515" s="111"/>
      <c r="H515" s="112"/>
    </row>
    <row r="516" spans="1:8" s="2" customFormat="1" ht="16.5" customHeight="1" x14ac:dyDescent="0.25">
      <c r="A516" s="108">
        <v>3</v>
      </c>
      <c r="B516" s="108"/>
      <c r="C516" s="111"/>
      <c r="D516" s="189"/>
      <c r="E516" s="189"/>
      <c r="F516" s="112"/>
      <c r="G516" s="111"/>
      <c r="H516" s="112"/>
    </row>
    <row r="517" spans="1:8" s="2" customFormat="1" ht="16.5" customHeight="1" x14ac:dyDescent="0.25">
      <c r="A517" s="108">
        <v>4</v>
      </c>
      <c r="B517" s="108"/>
      <c r="C517" s="111"/>
      <c r="D517" s="189"/>
      <c r="E517" s="189"/>
      <c r="F517" s="112"/>
      <c r="G517" s="111"/>
      <c r="H517" s="112"/>
    </row>
    <row r="518" spans="1:8" s="2" customFormat="1" ht="16.5" customHeight="1" x14ac:dyDescent="0.25">
      <c r="A518" s="108">
        <v>5</v>
      </c>
      <c r="B518" s="108"/>
      <c r="C518" s="113"/>
      <c r="D518" s="116"/>
      <c r="E518" s="116"/>
      <c r="F518" s="114"/>
      <c r="G518" s="111"/>
      <c r="H518" s="112"/>
    </row>
    <row r="519" spans="1:8" s="2" customFormat="1" ht="16.5" customHeight="1" x14ac:dyDescent="0.25">
      <c r="A519" s="108">
        <v>6</v>
      </c>
      <c r="B519" s="108"/>
      <c r="C519" s="48" t="s">
        <v>173</v>
      </c>
      <c r="D519" s="48">
        <f>54.61*10.764</f>
        <v>587.8220399999999</v>
      </c>
      <c r="E519" s="40">
        <f>(3*1.15+3.05*1.8)*(10.764)</f>
        <v>96.230159999999984</v>
      </c>
      <c r="F519" s="48">
        <f t="shared" ref="F519:F521" si="69">D519*(($F$328)+1)+(IF(E519&lt;101,E519,IF(E519&lt;201,E519/2,IF(E519&lt;=301,E519/3,E519/4))))</f>
        <v>977.96321999999975</v>
      </c>
      <c r="G519" s="111"/>
      <c r="H519" s="112"/>
    </row>
    <row r="520" spans="1:8" s="2" customFormat="1" ht="16.5" customHeight="1" x14ac:dyDescent="0.25">
      <c r="A520" s="108">
        <v>7</v>
      </c>
      <c r="B520" s="108"/>
      <c r="C520" s="48" t="s">
        <v>176</v>
      </c>
      <c r="D520" s="48">
        <f>35.45*10.764</f>
        <v>381.5838</v>
      </c>
      <c r="E520" s="40">
        <f>(1.9*1.9)*(10.764)</f>
        <v>38.858039999999995</v>
      </c>
      <c r="F520" s="48">
        <f t="shared" si="69"/>
        <v>611.23374000000001</v>
      </c>
      <c r="G520" s="111"/>
      <c r="H520" s="112"/>
    </row>
    <row r="521" spans="1:8" s="2" customFormat="1" ht="16.5" customHeight="1" x14ac:dyDescent="0.25">
      <c r="A521" s="108">
        <v>8</v>
      </c>
      <c r="B521" s="108"/>
      <c r="C521" s="48" t="s">
        <v>176</v>
      </c>
      <c r="D521" s="48">
        <f>35.45*10.764</f>
        <v>381.5838</v>
      </c>
      <c r="E521" s="40">
        <f>(1.9*1.9)*(10.764)</f>
        <v>38.858039999999995</v>
      </c>
      <c r="F521" s="48">
        <f t="shared" si="69"/>
        <v>611.23374000000001</v>
      </c>
      <c r="G521" s="113"/>
      <c r="H521" s="114"/>
    </row>
    <row r="522" spans="1:8" s="2" customFormat="1" ht="16.5" customHeight="1" x14ac:dyDescent="0.25">
      <c r="A522" s="107" t="s">
        <v>174</v>
      </c>
      <c r="B522" s="107"/>
      <c r="C522" s="107"/>
      <c r="D522" s="107"/>
      <c r="E522" s="107"/>
      <c r="F522" s="107"/>
      <c r="G522" s="107"/>
      <c r="H522" s="107"/>
    </row>
    <row r="523" spans="1:8" s="2" customFormat="1" ht="16.5" customHeight="1" x14ac:dyDescent="0.25">
      <c r="A523" s="108">
        <v>1</v>
      </c>
      <c r="B523" s="108"/>
      <c r="C523" s="48" t="s">
        <v>173</v>
      </c>
      <c r="D523" s="48">
        <f>49.46*10.764</f>
        <v>532.38743999999997</v>
      </c>
      <c r="E523" s="48">
        <v>0</v>
      </c>
      <c r="F523" s="48">
        <f t="shared" ref="F523:F524" si="70">D523*(($F$328)+1)+(IF(E523&lt;101,E523,IF(E523&lt;201,E523/2,IF(E523&lt;=301,E523/3,E523/4))))</f>
        <v>798.58115999999995</v>
      </c>
      <c r="G523" s="109" t="str">
        <f>A522</f>
        <v>Stilt/ Lobby Floor for Residential &amp; Parking</v>
      </c>
      <c r="H523" s="110"/>
    </row>
    <row r="524" spans="1:8" s="2" customFormat="1" ht="16.5" customHeight="1" x14ac:dyDescent="0.25">
      <c r="A524" s="108">
        <v>2</v>
      </c>
      <c r="B524" s="108"/>
      <c r="C524" s="48" t="s">
        <v>173</v>
      </c>
      <c r="D524" s="48">
        <f>49.46*10.764</f>
        <v>532.38743999999997</v>
      </c>
      <c r="E524" s="40">
        <f>(3.05*1.375+1.035*1.035)*(10.764)</f>
        <v>56.672190899999997</v>
      </c>
      <c r="F524" s="48">
        <f t="shared" si="70"/>
        <v>855.25335089999999</v>
      </c>
      <c r="G524" s="111"/>
      <c r="H524" s="112"/>
    </row>
    <row r="525" spans="1:8" s="2" customFormat="1" ht="16.5" customHeight="1" x14ac:dyDescent="0.25">
      <c r="A525" s="108">
        <v>3</v>
      </c>
      <c r="B525" s="108"/>
      <c r="C525" s="109" t="s">
        <v>225</v>
      </c>
      <c r="D525" s="115"/>
      <c r="E525" s="115"/>
      <c r="F525" s="110"/>
      <c r="G525" s="111"/>
      <c r="H525" s="112"/>
    </row>
    <row r="526" spans="1:8" s="2" customFormat="1" ht="16.5" customHeight="1" x14ac:dyDescent="0.25">
      <c r="A526" s="108">
        <v>4</v>
      </c>
      <c r="B526" s="108"/>
      <c r="C526" s="113"/>
      <c r="D526" s="116"/>
      <c r="E526" s="116"/>
      <c r="F526" s="114"/>
      <c r="G526" s="111"/>
      <c r="H526" s="112"/>
    </row>
    <row r="527" spans="1:8" s="2" customFormat="1" ht="16.5" customHeight="1" x14ac:dyDescent="0.25">
      <c r="A527" s="108">
        <v>5</v>
      </c>
      <c r="B527" s="108"/>
      <c r="C527" s="48" t="s">
        <v>173</v>
      </c>
      <c r="D527" s="41">
        <f>55.83*10.764</f>
        <v>600.95411999999999</v>
      </c>
      <c r="E527" s="40">
        <f>(3.05*1.22+2*0.6)*(10.764)</f>
        <v>52.969643999999988</v>
      </c>
      <c r="F527" s="48">
        <f t="shared" ref="F527:F530" si="71">D527*(($F$328)+1)+(IF(E527&lt;101,E527,IF(E527&lt;201,E527/2,IF(E527&lt;=301,E527/3,E527/4))))</f>
        <v>954.40082400000006</v>
      </c>
      <c r="G527" s="111"/>
      <c r="H527" s="112"/>
    </row>
    <row r="528" spans="1:8" s="2" customFormat="1" ht="16.5" customHeight="1" x14ac:dyDescent="0.25">
      <c r="A528" s="108">
        <v>6</v>
      </c>
      <c r="B528" s="108"/>
      <c r="C528" s="48" t="s">
        <v>173</v>
      </c>
      <c r="D528" s="41">
        <f>55.83*10.764</f>
        <v>600.95411999999999</v>
      </c>
      <c r="E528" s="48">
        <v>0</v>
      </c>
      <c r="F528" s="48">
        <f t="shared" si="71"/>
        <v>901.43118000000004</v>
      </c>
      <c r="G528" s="111"/>
      <c r="H528" s="112"/>
    </row>
    <row r="529" spans="1:8" s="2" customFormat="1" ht="16.5" customHeight="1" x14ac:dyDescent="0.25">
      <c r="A529" s="108">
        <v>7</v>
      </c>
      <c r="B529" s="108"/>
      <c r="C529" s="48" t="s">
        <v>176</v>
      </c>
      <c r="D529" s="41">
        <f>35.9*10.764</f>
        <v>386.42759999999998</v>
      </c>
      <c r="E529" s="48">
        <v>0</v>
      </c>
      <c r="F529" s="48">
        <f t="shared" si="71"/>
        <v>579.64139999999998</v>
      </c>
      <c r="G529" s="111"/>
      <c r="H529" s="112"/>
    </row>
    <row r="530" spans="1:8" s="2" customFormat="1" ht="16.5" customHeight="1" x14ac:dyDescent="0.25">
      <c r="A530" s="108">
        <v>8</v>
      </c>
      <c r="B530" s="108"/>
      <c r="C530" s="48" t="s">
        <v>176</v>
      </c>
      <c r="D530" s="41">
        <f>35.9*10.764</f>
        <v>386.42759999999998</v>
      </c>
      <c r="E530" s="48">
        <v>0</v>
      </c>
      <c r="F530" s="48">
        <f t="shared" si="71"/>
        <v>579.64139999999998</v>
      </c>
      <c r="G530" s="113"/>
      <c r="H530" s="114"/>
    </row>
    <row r="531" spans="1:8" s="2" customFormat="1" ht="16.5" customHeight="1" x14ac:dyDescent="0.25">
      <c r="A531" s="107" t="s">
        <v>220</v>
      </c>
      <c r="B531" s="107"/>
      <c r="C531" s="107"/>
      <c r="D531" s="107"/>
      <c r="E531" s="107"/>
      <c r="F531" s="107"/>
      <c r="G531" s="107"/>
      <c r="H531" s="107"/>
    </row>
    <row r="532" spans="1:8" s="2" customFormat="1" ht="16.5" customHeight="1" x14ac:dyDescent="0.25">
      <c r="A532" s="108">
        <v>1</v>
      </c>
      <c r="B532" s="108"/>
      <c r="C532" s="92" t="s">
        <v>173</v>
      </c>
      <c r="D532" s="92">
        <f>49.46*10.764</f>
        <v>532.38743999999997</v>
      </c>
      <c r="E532" s="92">
        <v>0</v>
      </c>
      <c r="F532" s="92">
        <f t="shared" ref="F532:F539" si="72">D532*(($F$328)+1)+(IF(E532&lt;101,E532,IF(E532&lt;201,E532/2,IF(E532&lt;=301,E532/3,E532/4))))</f>
        <v>798.58115999999995</v>
      </c>
      <c r="G532" s="108" t="str">
        <f>A531</f>
        <v>1st to 5th, 7th to 10th, 12th to 16th, 18th to 22nd, 24th &amp; 25th Floor</v>
      </c>
      <c r="H532" s="108"/>
    </row>
    <row r="533" spans="1:8" s="2" customFormat="1" ht="16.5" customHeight="1" x14ac:dyDescent="0.25">
      <c r="A533" s="108">
        <v>2</v>
      </c>
      <c r="B533" s="108"/>
      <c r="C533" s="92" t="s">
        <v>173</v>
      </c>
      <c r="D533" s="92">
        <f>49.46*10.764</f>
        <v>532.38743999999997</v>
      </c>
      <c r="E533" s="92">
        <v>0</v>
      </c>
      <c r="F533" s="92">
        <f t="shared" si="72"/>
        <v>798.58115999999995</v>
      </c>
      <c r="G533" s="108"/>
      <c r="H533" s="108"/>
    </row>
    <row r="534" spans="1:8" s="2" customFormat="1" ht="16.5" customHeight="1" x14ac:dyDescent="0.25">
      <c r="A534" s="108">
        <v>3</v>
      </c>
      <c r="B534" s="108"/>
      <c r="C534" s="92" t="s">
        <v>176</v>
      </c>
      <c r="D534" s="92">
        <f>40*10.764</f>
        <v>430.55999999999995</v>
      </c>
      <c r="E534" s="92">
        <v>0</v>
      </c>
      <c r="F534" s="92">
        <f t="shared" si="72"/>
        <v>645.83999999999992</v>
      </c>
      <c r="G534" s="108"/>
      <c r="H534" s="108"/>
    </row>
    <row r="535" spans="1:8" s="2" customFormat="1" ht="16.5" customHeight="1" x14ac:dyDescent="0.25">
      <c r="A535" s="108">
        <v>4</v>
      </c>
      <c r="B535" s="108"/>
      <c r="C535" s="92" t="s">
        <v>176</v>
      </c>
      <c r="D535" s="92">
        <f>40*10.764</f>
        <v>430.55999999999995</v>
      </c>
      <c r="E535" s="92">
        <v>0</v>
      </c>
      <c r="F535" s="92">
        <f t="shared" si="72"/>
        <v>645.83999999999992</v>
      </c>
      <c r="G535" s="108"/>
      <c r="H535" s="108"/>
    </row>
    <row r="536" spans="1:8" s="2" customFormat="1" ht="16.5" customHeight="1" x14ac:dyDescent="0.25">
      <c r="A536" s="108">
        <v>5</v>
      </c>
      <c r="B536" s="108"/>
      <c r="C536" s="92" t="s">
        <v>173</v>
      </c>
      <c r="D536" s="41">
        <f t="shared" ref="D536:D537" si="73">55.83*10.764</f>
        <v>600.95411999999999</v>
      </c>
      <c r="E536" s="92">
        <v>0</v>
      </c>
      <c r="F536" s="92">
        <f t="shared" si="72"/>
        <v>901.43118000000004</v>
      </c>
      <c r="G536" s="108"/>
      <c r="H536" s="108"/>
    </row>
    <row r="537" spans="1:8" s="2" customFormat="1" ht="16.5" customHeight="1" x14ac:dyDescent="0.25">
      <c r="A537" s="108">
        <v>6</v>
      </c>
      <c r="B537" s="108"/>
      <c r="C537" s="92" t="s">
        <v>173</v>
      </c>
      <c r="D537" s="41">
        <f t="shared" si="73"/>
        <v>600.95411999999999</v>
      </c>
      <c r="E537" s="92">
        <v>0</v>
      </c>
      <c r="F537" s="92">
        <f t="shared" si="72"/>
        <v>901.43118000000004</v>
      </c>
      <c r="G537" s="108"/>
      <c r="H537" s="108"/>
    </row>
    <row r="538" spans="1:8" s="2" customFormat="1" ht="16.5" customHeight="1" x14ac:dyDescent="0.25">
      <c r="A538" s="108">
        <v>7</v>
      </c>
      <c r="B538" s="108"/>
      <c r="C538" s="92" t="s">
        <v>176</v>
      </c>
      <c r="D538" s="41">
        <f>35.9*10.764</f>
        <v>386.42759999999998</v>
      </c>
      <c r="E538" s="92">
        <v>0</v>
      </c>
      <c r="F538" s="92">
        <f t="shared" si="72"/>
        <v>579.64139999999998</v>
      </c>
      <c r="G538" s="108"/>
      <c r="H538" s="108"/>
    </row>
    <row r="539" spans="1:8" s="2" customFormat="1" ht="16.5" customHeight="1" x14ac:dyDescent="0.25">
      <c r="A539" s="108">
        <v>8</v>
      </c>
      <c r="B539" s="108"/>
      <c r="C539" s="92" t="s">
        <v>176</v>
      </c>
      <c r="D539" s="41">
        <f>35.9*10.764</f>
        <v>386.42759999999998</v>
      </c>
      <c r="E539" s="92">
        <v>0</v>
      </c>
      <c r="F539" s="92">
        <f t="shared" si="72"/>
        <v>579.64139999999998</v>
      </c>
      <c r="G539" s="108"/>
      <c r="H539" s="108"/>
    </row>
    <row r="540" spans="1:8" s="2" customFormat="1" ht="16.5" customHeight="1" x14ac:dyDescent="0.25">
      <c r="A540" s="107" t="s">
        <v>221</v>
      </c>
      <c r="B540" s="107"/>
      <c r="C540" s="107"/>
      <c r="D540" s="107"/>
      <c r="E540" s="107"/>
      <c r="F540" s="107"/>
      <c r="G540" s="107"/>
      <c r="H540" s="107"/>
    </row>
    <row r="541" spans="1:8" s="2" customFormat="1" ht="16.5" customHeight="1" x14ac:dyDescent="0.25">
      <c r="A541" s="108">
        <v>1</v>
      </c>
      <c r="B541" s="108"/>
      <c r="C541" s="48" t="s">
        <v>173</v>
      </c>
      <c r="D541" s="48">
        <f>49.46*10.764</f>
        <v>532.38743999999997</v>
      </c>
      <c r="E541" s="48">
        <v>0</v>
      </c>
      <c r="F541" s="48">
        <f t="shared" ref="F541:F545" si="74">D541*(($F$328)+1)+(IF(E541&lt;101,E541,IF(E541&lt;201,E541/2,IF(E541&lt;=301,E541/3,E541/4))))</f>
        <v>798.58115999999995</v>
      </c>
      <c r="G541" s="109" t="str">
        <f>A540</f>
        <v>6th, 11th, 17th &amp; 23rd Floor (Part Refuge Area)</v>
      </c>
      <c r="H541" s="110"/>
    </row>
    <row r="542" spans="1:8" s="2" customFormat="1" ht="16.5" customHeight="1" x14ac:dyDescent="0.25">
      <c r="A542" s="108">
        <v>2</v>
      </c>
      <c r="B542" s="108"/>
      <c r="C542" s="48" t="s">
        <v>173</v>
      </c>
      <c r="D542" s="48">
        <f>49.46*10.764</f>
        <v>532.38743999999997</v>
      </c>
      <c r="E542" s="48">
        <v>0</v>
      </c>
      <c r="F542" s="48">
        <f t="shared" si="74"/>
        <v>798.58115999999995</v>
      </c>
      <c r="G542" s="111"/>
      <c r="H542" s="112"/>
    </row>
    <row r="543" spans="1:8" s="2" customFormat="1" ht="16.5" customHeight="1" x14ac:dyDescent="0.25">
      <c r="A543" s="108">
        <v>3</v>
      </c>
      <c r="B543" s="108"/>
      <c r="C543" s="48" t="s">
        <v>176</v>
      </c>
      <c r="D543" s="48">
        <f>40*10.764</f>
        <v>430.55999999999995</v>
      </c>
      <c r="E543" s="48">
        <v>0</v>
      </c>
      <c r="F543" s="48">
        <f t="shared" si="74"/>
        <v>645.83999999999992</v>
      </c>
      <c r="G543" s="111"/>
      <c r="H543" s="112"/>
    </row>
    <row r="544" spans="1:8" s="2" customFormat="1" ht="16.5" customHeight="1" x14ac:dyDescent="0.25">
      <c r="A544" s="108">
        <v>4</v>
      </c>
      <c r="B544" s="108"/>
      <c r="C544" s="48" t="s">
        <v>176</v>
      </c>
      <c r="D544" s="48">
        <f>40*10.764</f>
        <v>430.55999999999995</v>
      </c>
      <c r="E544" s="48">
        <v>0</v>
      </c>
      <c r="F544" s="48">
        <f t="shared" si="74"/>
        <v>645.83999999999992</v>
      </c>
      <c r="G544" s="111"/>
      <c r="H544" s="112"/>
    </row>
    <row r="545" spans="1:8" s="2" customFormat="1" ht="16.5" customHeight="1" x14ac:dyDescent="0.25">
      <c r="A545" s="108">
        <v>5</v>
      </c>
      <c r="B545" s="108"/>
      <c r="C545" s="48" t="s">
        <v>173</v>
      </c>
      <c r="D545" s="41">
        <f t="shared" ref="D545" si="75">55.83*10.764</f>
        <v>600.95411999999999</v>
      </c>
      <c r="E545" s="48">
        <v>0</v>
      </c>
      <c r="F545" s="48">
        <f t="shared" si="74"/>
        <v>901.43118000000004</v>
      </c>
      <c r="G545" s="111"/>
      <c r="H545" s="112"/>
    </row>
    <row r="546" spans="1:8" s="2" customFormat="1" ht="16.5" customHeight="1" x14ac:dyDescent="0.25">
      <c r="A546" s="108">
        <v>6</v>
      </c>
      <c r="B546" s="108"/>
      <c r="C546" s="126" t="s">
        <v>175</v>
      </c>
      <c r="D546" s="179"/>
      <c r="E546" s="179"/>
      <c r="F546" s="127"/>
      <c r="G546" s="111"/>
      <c r="H546" s="112"/>
    </row>
    <row r="547" spans="1:8" s="2" customFormat="1" ht="16.5" customHeight="1" x14ac:dyDescent="0.25">
      <c r="A547" s="108">
        <v>7</v>
      </c>
      <c r="B547" s="108"/>
      <c r="C547" s="48" t="s">
        <v>176</v>
      </c>
      <c r="D547" s="41">
        <f>35.9*10.764</f>
        <v>386.42759999999998</v>
      </c>
      <c r="E547" s="48">
        <v>0</v>
      </c>
      <c r="F547" s="48">
        <f t="shared" ref="F547:F548" si="76">D547*(($F$328)+1)+(IF(E547&lt;101,E547,IF(E547&lt;201,E547/2,IF(E547&lt;=301,E547/3,E547/4))))</f>
        <v>579.64139999999998</v>
      </c>
      <c r="G547" s="111"/>
      <c r="H547" s="112"/>
    </row>
    <row r="548" spans="1:8" s="2" customFormat="1" ht="16.5" customHeight="1" x14ac:dyDescent="0.25">
      <c r="A548" s="108">
        <v>8</v>
      </c>
      <c r="B548" s="108"/>
      <c r="C548" s="48" t="s">
        <v>176</v>
      </c>
      <c r="D548" s="41">
        <f>35.9*10.764</f>
        <v>386.42759999999998</v>
      </c>
      <c r="E548" s="48">
        <v>0</v>
      </c>
      <c r="F548" s="48">
        <f t="shared" si="76"/>
        <v>579.64139999999998</v>
      </c>
      <c r="G548" s="113"/>
      <c r="H548" s="114"/>
    </row>
    <row r="549" spans="1:8" s="2" customFormat="1" ht="16.5" customHeight="1" x14ac:dyDescent="0.25">
      <c r="A549" s="107" t="s">
        <v>250</v>
      </c>
      <c r="B549" s="107"/>
      <c r="C549" s="107"/>
      <c r="D549" s="107"/>
      <c r="E549" s="107"/>
      <c r="F549" s="107"/>
      <c r="G549" s="107"/>
      <c r="H549" s="107"/>
    </row>
    <row r="550" spans="1:8" s="2" customFormat="1" ht="16.5" customHeight="1" x14ac:dyDescent="0.25">
      <c r="A550" s="107" t="s">
        <v>253</v>
      </c>
      <c r="B550" s="107"/>
      <c r="C550" s="107"/>
      <c r="D550" s="107"/>
      <c r="E550" s="107"/>
      <c r="F550" s="107"/>
      <c r="G550" s="107"/>
      <c r="H550" s="107"/>
    </row>
    <row r="551" spans="1:8" s="2" customFormat="1" ht="16.5" customHeight="1" x14ac:dyDescent="0.25">
      <c r="A551" s="107" t="s">
        <v>172</v>
      </c>
      <c r="B551" s="107"/>
      <c r="C551" s="107"/>
      <c r="D551" s="107"/>
      <c r="E551" s="107"/>
      <c r="F551" s="107"/>
      <c r="G551" s="107"/>
      <c r="H551" s="107"/>
    </row>
    <row r="552" spans="1:8" s="2" customFormat="1" ht="16.5" customHeight="1" x14ac:dyDescent="0.25">
      <c r="A552" s="107" t="s">
        <v>255</v>
      </c>
      <c r="B552" s="107"/>
      <c r="C552" s="107"/>
      <c r="D552" s="107"/>
      <c r="E552" s="107"/>
      <c r="F552" s="107"/>
      <c r="G552" s="107"/>
      <c r="H552" s="107"/>
    </row>
    <row r="553" spans="1:8" s="2" customFormat="1" ht="16.5" customHeight="1" x14ac:dyDescent="0.25">
      <c r="A553" s="107" t="s">
        <v>223</v>
      </c>
      <c r="B553" s="107"/>
      <c r="C553" s="107"/>
      <c r="D553" s="107"/>
      <c r="E553" s="107"/>
      <c r="F553" s="107"/>
      <c r="G553" s="107"/>
      <c r="H553" s="107"/>
    </row>
    <row r="554" spans="1:8" s="2" customFormat="1" ht="16.5" customHeight="1" x14ac:dyDescent="0.25">
      <c r="A554" s="108">
        <v>1</v>
      </c>
      <c r="B554" s="108"/>
      <c r="C554" s="94" t="s">
        <v>173</v>
      </c>
      <c r="D554" s="94">
        <f>54.51*10.764</f>
        <v>586.74563999999998</v>
      </c>
      <c r="E554" s="94">
        <f>(3.05*1.2+3.2*1.2)*10.764</f>
        <v>80.72999999999999</v>
      </c>
      <c r="F554" s="94">
        <f>D554*(($F$328)+1)+(IF(E554&lt;101,E554,IF(E554&lt;201,E554/2,IF(E554&lt;=301,E554/3,E554/4))))</f>
        <v>960.84845999999993</v>
      </c>
      <c r="G554" s="108" t="str">
        <f>A553</f>
        <v>Upper Ground Floor For Residential &amp; Part Podium</v>
      </c>
      <c r="H554" s="108"/>
    </row>
    <row r="555" spans="1:8" s="2" customFormat="1" ht="16.5" customHeight="1" x14ac:dyDescent="0.25">
      <c r="A555" s="108">
        <v>2</v>
      </c>
      <c r="B555" s="108"/>
      <c r="C555" s="108" t="s">
        <v>224</v>
      </c>
      <c r="D555" s="108"/>
      <c r="E555" s="108"/>
      <c r="F555" s="108"/>
      <c r="G555" s="108"/>
      <c r="H555" s="108"/>
    </row>
    <row r="556" spans="1:8" s="2" customFormat="1" ht="16.5" customHeight="1" x14ac:dyDescent="0.25">
      <c r="A556" s="108">
        <v>3</v>
      </c>
      <c r="B556" s="108"/>
      <c r="C556" s="108"/>
      <c r="D556" s="108"/>
      <c r="E556" s="108"/>
      <c r="F556" s="108"/>
      <c r="G556" s="108"/>
      <c r="H556" s="108"/>
    </row>
    <row r="557" spans="1:8" s="2" customFormat="1" ht="16.5" customHeight="1" x14ac:dyDescent="0.25">
      <c r="A557" s="108">
        <v>4</v>
      </c>
      <c r="B557" s="108"/>
      <c r="C557" s="108"/>
      <c r="D557" s="108"/>
      <c r="E557" s="108"/>
      <c r="F557" s="108"/>
      <c r="G557" s="108"/>
      <c r="H557" s="108"/>
    </row>
    <row r="558" spans="1:8" s="2" customFormat="1" ht="16.5" customHeight="1" x14ac:dyDescent="0.25">
      <c r="A558" s="108">
        <v>5</v>
      </c>
      <c r="B558" s="108"/>
      <c r="C558" s="108"/>
      <c r="D558" s="108"/>
      <c r="E558" s="108"/>
      <c r="F558" s="108"/>
      <c r="G558" s="108"/>
      <c r="H558" s="108"/>
    </row>
    <row r="559" spans="1:8" s="2" customFormat="1" ht="16.5" customHeight="1" x14ac:dyDescent="0.25">
      <c r="A559" s="108">
        <v>6</v>
      </c>
      <c r="B559" s="108"/>
      <c r="C559" s="94" t="s">
        <v>173</v>
      </c>
      <c r="D559" s="94">
        <f>48.68*10.764</f>
        <v>523.99151999999992</v>
      </c>
      <c r="E559" s="94">
        <f>(3.05*1.4+2.84*1)*10.764</f>
        <v>76.532039999999995</v>
      </c>
      <c r="F559" s="94">
        <f t="shared" ref="F559:F561" si="77">D559*(($F$328)+1)+(IF(E559&lt;101,E559,IF(E559&lt;201,E559/2,IF(E559&lt;=301,E559/3,E559/4))))</f>
        <v>862.51931999999988</v>
      </c>
      <c r="G559" s="108"/>
      <c r="H559" s="108"/>
    </row>
    <row r="560" spans="1:8" s="2" customFormat="1" ht="16.5" customHeight="1" x14ac:dyDescent="0.25">
      <c r="A560" s="108">
        <v>7</v>
      </c>
      <c r="B560" s="108"/>
      <c r="C560" s="94" t="s">
        <v>176</v>
      </c>
      <c r="D560" s="94">
        <f>34.35*10.764</f>
        <v>369.74340000000001</v>
      </c>
      <c r="E560" s="94">
        <v>0</v>
      </c>
      <c r="F560" s="94">
        <f t="shared" si="77"/>
        <v>554.61509999999998</v>
      </c>
      <c r="G560" s="108"/>
      <c r="H560" s="108"/>
    </row>
    <row r="561" spans="1:8" s="2" customFormat="1" ht="16.5" customHeight="1" x14ac:dyDescent="0.25">
      <c r="A561" s="108">
        <v>8</v>
      </c>
      <c r="B561" s="108"/>
      <c r="C561" s="94" t="s">
        <v>176</v>
      </c>
      <c r="D561" s="94">
        <f>34.35*10.764</f>
        <v>369.74340000000001</v>
      </c>
      <c r="E561" s="94">
        <v>0</v>
      </c>
      <c r="F561" s="94">
        <f t="shared" si="77"/>
        <v>554.61509999999998</v>
      </c>
      <c r="G561" s="108"/>
      <c r="H561" s="108"/>
    </row>
    <row r="562" spans="1:8" s="2" customFormat="1" ht="16.5" customHeight="1" x14ac:dyDescent="0.25">
      <c r="A562" s="107" t="s">
        <v>174</v>
      </c>
      <c r="B562" s="107"/>
      <c r="C562" s="107"/>
      <c r="D562" s="107"/>
      <c r="E562" s="107"/>
      <c r="F562" s="107"/>
      <c r="G562" s="107"/>
      <c r="H562" s="107"/>
    </row>
    <row r="563" spans="1:8" s="2" customFormat="1" ht="16.5" customHeight="1" x14ac:dyDescent="0.25">
      <c r="A563" s="108">
        <v>1</v>
      </c>
      <c r="B563" s="108"/>
      <c r="C563" s="48" t="s">
        <v>173</v>
      </c>
      <c r="D563" s="48">
        <f>55.84*10.764</f>
        <v>601.06176000000005</v>
      </c>
      <c r="E563" s="48">
        <v>0</v>
      </c>
      <c r="F563" s="48">
        <f t="shared" ref="F563:F564" si="78">D563*(($F$328)+1)+(IF(E563&lt;101,E563,IF(E563&lt;201,E563/2,IF(E563&lt;=301,E563/3,E563/4))))</f>
        <v>901.59264000000007</v>
      </c>
      <c r="G563" s="109" t="str">
        <f>A562</f>
        <v>Stilt/ Lobby Floor for Residential &amp; Parking</v>
      </c>
      <c r="H563" s="110"/>
    </row>
    <row r="564" spans="1:8" s="2" customFormat="1" ht="16.5" customHeight="1" x14ac:dyDescent="0.25">
      <c r="A564" s="108">
        <v>2</v>
      </c>
      <c r="B564" s="108"/>
      <c r="C564" s="48" t="s">
        <v>173</v>
      </c>
      <c r="D564" s="60">
        <f>55.84*10.764</f>
        <v>601.06176000000005</v>
      </c>
      <c r="E564" s="62">
        <f>(3.05*1.2+2.6*0.6)*(10.764)</f>
        <v>56.188079999999992</v>
      </c>
      <c r="F564" s="48">
        <f t="shared" si="78"/>
        <v>957.78072000000009</v>
      </c>
      <c r="G564" s="111"/>
      <c r="H564" s="112"/>
    </row>
    <row r="565" spans="1:8" s="2" customFormat="1" ht="16.5" customHeight="1" x14ac:dyDescent="0.25">
      <c r="A565" s="108">
        <v>3</v>
      </c>
      <c r="B565" s="108"/>
      <c r="C565" s="109" t="s">
        <v>225</v>
      </c>
      <c r="D565" s="115"/>
      <c r="E565" s="115"/>
      <c r="F565" s="110"/>
      <c r="G565" s="111"/>
      <c r="H565" s="112"/>
    </row>
    <row r="566" spans="1:8" s="2" customFormat="1" ht="16.5" customHeight="1" x14ac:dyDescent="0.25">
      <c r="A566" s="108">
        <v>4</v>
      </c>
      <c r="B566" s="108"/>
      <c r="C566" s="113"/>
      <c r="D566" s="116"/>
      <c r="E566" s="116"/>
      <c r="F566" s="114"/>
      <c r="G566" s="111"/>
      <c r="H566" s="112"/>
    </row>
    <row r="567" spans="1:8" s="2" customFormat="1" ht="16.5" customHeight="1" x14ac:dyDescent="0.25">
      <c r="A567" s="108">
        <v>5</v>
      </c>
      <c r="B567" s="108"/>
      <c r="C567" s="48" t="s">
        <v>173</v>
      </c>
      <c r="D567" s="48">
        <f>49.32*10.764</f>
        <v>530.88047999999992</v>
      </c>
      <c r="E567" s="62">
        <f>(3.05*1.2+2.6*0.6)*(10.764)</f>
        <v>56.188079999999992</v>
      </c>
      <c r="F567" s="48">
        <f t="shared" ref="F567:F570" si="79">D567*(($F$328)+1)+(IF(E567&lt;101,E567,IF(E567&lt;201,E567/2,IF(E567&lt;=301,E567/3,E567/4))))</f>
        <v>852.50879999999995</v>
      </c>
      <c r="G567" s="111"/>
      <c r="H567" s="112"/>
    </row>
    <row r="568" spans="1:8" s="2" customFormat="1" ht="16.5" customHeight="1" x14ac:dyDescent="0.25">
      <c r="A568" s="108">
        <v>6</v>
      </c>
      <c r="B568" s="108"/>
      <c r="C568" s="48" t="s">
        <v>173</v>
      </c>
      <c r="D568" s="60">
        <f>49.32*10.764</f>
        <v>530.88047999999992</v>
      </c>
      <c r="E568" s="48">
        <v>0</v>
      </c>
      <c r="F568" s="48">
        <f t="shared" si="79"/>
        <v>796.32071999999994</v>
      </c>
      <c r="G568" s="111"/>
      <c r="H568" s="112"/>
    </row>
    <row r="569" spans="1:8" s="2" customFormat="1" ht="16.5" customHeight="1" x14ac:dyDescent="0.25">
      <c r="A569" s="108">
        <v>7</v>
      </c>
      <c r="B569" s="108"/>
      <c r="C569" s="48" t="s">
        <v>176</v>
      </c>
      <c r="D569" s="48">
        <f>34.35*10.764</f>
        <v>369.74340000000001</v>
      </c>
      <c r="E569" s="48">
        <v>0</v>
      </c>
      <c r="F569" s="48">
        <f t="shared" si="79"/>
        <v>554.61509999999998</v>
      </c>
      <c r="G569" s="111"/>
      <c r="H569" s="112"/>
    </row>
    <row r="570" spans="1:8" s="2" customFormat="1" ht="16.5" customHeight="1" x14ac:dyDescent="0.25">
      <c r="A570" s="108">
        <v>8</v>
      </c>
      <c r="B570" s="108"/>
      <c r="C570" s="48" t="s">
        <v>176</v>
      </c>
      <c r="D570" s="60">
        <f>34.35*10.764</f>
        <v>369.74340000000001</v>
      </c>
      <c r="E570" s="48">
        <v>0</v>
      </c>
      <c r="F570" s="48">
        <f t="shared" si="79"/>
        <v>554.61509999999998</v>
      </c>
      <c r="G570" s="113"/>
      <c r="H570" s="114"/>
    </row>
    <row r="571" spans="1:8" s="2" customFormat="1" ht="16.5" customHeight="1" x14ac:dyDescent="0.25">
      <c r="A571" s="107" t="s">
        <v>220</v>
      </c>
      <c r="B571" s="107"/>
      <c r="C571" s="107"/>
      <c r="D571" s="107"/>
      <c r="E571" s="107"/>
      <c r="F571" s="107"/>
      <c r="G571" s="107"/>
      <c r="H571" s="107"/>
    </row>
    <row r="572" spans="1:8" s="2" customFormat="1" ht="16.5" customHeight="1" x14ac:dyDescent="0.25">
      <c r="A572" s="108">
        <v>1</v>
      </c>
      <c r="B572" s="108"/>
      <c r="C572" s="48" t="s">
        <v>173</v>
      </c>
      <c r="D572" s="60">
        <f>55.84*10.764</f>
        <v>601.06176000000005</v>
      </c>
      <c r="E572" s="62">
        <v>0</v>
      </c>
      <c r="F572" s="48">
        <f t="shared" ref="F572:F579" si="80">D572*(($F$328)+1)+(IF(E572&lt;101,E572,IF(E572&lt;201,E572/2,IF(E572&lt;=301,E572/3,E572/4))))</f>
        <v>901.59264000000007</v>
      </c>
      <c r="G572" s="109" t="str">
        <f>A571</f>
        <v>1st to 5th, 7th to 10th, 12th to 16th, 18th to 22nd, 24th &amp; 25th Floor</v>
      </c>
      <c r="H572" s="110"/>
    </row>
    <row r="573" spans="1:8" s="2" customFormat="1" ht="16.5" customHeight="1" x14ac:dyDescent="0.25">
      <c r="A573" s="108">
        <v>2</v>
      </c>
      <c r="B573" s="108"/>
      <c r="C573" s="48" t="s">
        <v>173</v>
      </c>
      <c r="D573" s="60">
        <f>55.84*10.764</f>
        <v>601.06176000000005</v>
      </c>
      <c r="E573" s="48">
        <v>0</v>
      </c>
      <c r="F573" s="48">
        <f t="shared" si="80"/>
        <v>901.59264000000007</v>
      </c>
      <c r="G573" s="111"/>
      <c r="H573" s="112"/>
    </row>
    <row r="574" spans="1:8" s="2" customFormat="1" ht="16.5" customHeight="1" x14ac:dyDescent="0.25">
      <c r="A574" s="108">
        <v>3</v>
      </c>
      <c r="B574" s="108"/>
      <c r="C574" s="48" t="s">
        <v>176</v>
      </c>
      <c r="D574" s="60">
        <f>34.35*10.764</f>
        <v>369.74340000000001</v>
      </c>
      <c r="E574" s="48">
        <v>0</v>
      </c>
      <c r="F574" s="48">
        <f t="shared" si="80"/>
        <v>554.61509999999998</v>
      </c>
      <c r="G574" s="111"/>
      <c r="H574" s="112"/>
    </row>
    <row r="575" spans="1:8" s="2" customFormat="1" ht="16.5" customHeight="1" x14ac:dyDescent="0.25">
      <c r="A575" s="108">
        <v>4</v>
      </c>
      <c r="B575" s="108"/>
      <c r="C575" s="48" t="s">
        <v>176</v>
      </c>
      <c r="D575" s="60">
        <f>34.35*10.764</f>
        <v>369.74340000000001</v>
      </c>
      <c r="E575" s="48">
        <v>0</v>
      </c>
      <c r="F575" s="48">
        <f t="shared" si="80"/>
        <v>554.61509999999998</v>
      </c>
      <c r="G575" s="111"/>
      <c r="H575" s="112"/>
    </row>
    <row r="576" spans="1:8" s="2" customFormat="1" ht="16.5" customHeight="1" x14ac:dyDescent="0.25">
      <c r="A576" s="108">
        <v>5</v>
      </c>
      <c r="B576" s="108"/>
      <c r="C576" s="48" t="s">
        <v>173</v>
      </c>
      <c r="D576" s="60">
        <f>49.32*10.764</f>
        <v>530.88047999999992</v>
      </c>
      <c r="E576" s="48">
        <v>0</v>
      </c>
      <c r="F576" s="48">
        <f t="shared" si="80"/>
        <v>796.32071999999994</v>
      </c>
      <c r="G576" s="111"/>
      <c r="H576" s="112"/>
    </row>
    <row r="577" spans="1:8" s="2" customFormat="1" ht="16.5" customHeight="1" x14ac:dyDescent="0.25">
      <c r="A577" s="108">
        <v>6</v>
      </c>
      <c r="B577" s="108"/>
      <c r="C577" s="48" t="s">
        <v>173</v>
      </c>
      <c r="D577" s="60">
        <f>49.32*10.764</f>
        <v>530.88047999999992</v>
      </c>
      <c r="E577" s="48">
        <v>0</v>
      </c>
      <c r="F577" s="48">
        <f t="shared" si="80"/>
        <v>796.32071999999994</v>
      </c>
      <c r="G577" s="111"/>
      <c r="H577" s="112"/>
    </row>
    <row r="578" spans="1:8" s="2" customFormat="1" ht="16.5" customHeight="1" x14ac:dyDescent="0.25">
      <c r="A578" s="108">
        <v>7</v>
      </c>
      <c r="B578" s="108"/>
      <c r="C578" s="48" t="s">
        <v>176</v>
      </c>
      <c r="D578" s="60">
        <f>34.35*10.764</f>
        <v>369.74340000000001</v>
      </c>
      <c r="E578" s="48">
        <v>0</v>
      </c>
      <c r="F578" s="48">
        <f t="shared" si="80"/>
        <v>554.61509999999998</v>
      </c>
      <c r="G578" s="111"/>
      <c r="H578" s="112"/>
    </row>
    <row r="579" spans="1:8" s="2" customFormat="1" ht="16.5" customHeight="1" x14ac:dyDescent="0.25">
      <c r="A579" s="108">
        <v>8</v>
      </c>
      <c r="B579" s="108"/>
      <c r="C579" s="48" t="s">
        <v>176</v>
      </c>
      <c r="D579" s="60">
        <f>34.35*10.764</f>
        <v>369.74340000000001</v>
      </c>
      <c r="E579" s="48">
        <v>0</v>
      </c>
      <c r="F579" s="48">
        <f t="shared" si="80"/>
        <v>554.61509999999998</v>
      </c>
      <c r="G579" s="113"/>
      <c r="H579" s="114"/>
    </row>
    <row r="580" spans="1:8" s="2" customFormat="1" ht="16.5" customHeight="1" x14ac:dyDescent="0.25">
      <c r="A580" s="107" t="s">
        <v>221</v>
      </c>
      <c r="B580" s="107"/>
      <c r="C580" s="107"/>
      <c r="D580" s="107"/>
      <c r="E580" s="107"/>
      <c r="F580" s="107"/>
      <c r="G580" s="107"/>
      <c r="H580" s="107"/>
    </row>
    <row r="581" spans="1:8" s="2" customFormat="1" ht="16.5" customHeight="1" x14ac:dyDescent="0.25">
      <c r="A581" s="108">
        <v>1</v>
      </c>
      <c r="B581" s="108"/>
      <c r="C581" s="108" t="s">
        <v>175</v>
      </c>
      <c r="D581" s="108"/>
      <c r="E581" s="108"/>
      <c r="F581" s="108"/>
      <c r="G581" s="108" t="str">
        <f>A580</f>
        <v>6th, 11th, 17th &amp; 23rd Floor (Part Refuge Area)</v>
      </c>
      <c r="H581" s="108"/>
    </row>
    <row r="582" spans="1:8" s="2" customFormat="1" ht="16.5" customHeight="1" x14ac:dyDescent="0.25">
      <c r="A582" s="108">
        <v>2</v>
      </c>
      <c r="B582" s="108"/>
      <c r="C582" s="92" t="s">
        <v>173</v>
      </c>
      <c r="D582" s="92">
        <f>55.84*10.764</f>
        <v>601.06176000000005</v>
      </c>
      <c r="E582" s="92">
        <v>0</v>
      </c>
      <c r="F582" s="92">
        <f t="shared" ref="F582:F585" si="81">D582*(($F$328)+1)+(IF(E582&lt;101,E582,IF(E582&lt;201,E582/2,IF(E582&lt;=301,E582/3,E582/4))))</f>
        <v>901.59264000000007</v>
      </c>
      <c r="G582" s="108"/>
      <c r="H582" s="108"/>
    </row>
    <row r="583" spans="1:8" s="2" customFormat="1" ht="16.5" customHeight="1" x14ac:dyDescent="0.25">
      <c r="A583" s="108">
        <v>3</v>
      </c>
      <c r="B583" s="108"/>
      <c r="C583" s="92" t="s">
        <v>176</v>
      </c>
      <c r="D583" s="92">
        <f>34.35*10.764</f>
        <v>369.74340000000001</v>
      </c>
      <c r="E583" s="92">
        <v>0</v>
      </c>
      <c r="F583" s="92">
        <f t="shared" si="81"/>
        <v>554.61509999999998</v>
      </c>
      <c r="G583" s="108"/>
      <c r="H583" s="108"/>
    </row>
    <row r="584" spans="1:8" s="2" customFormat="1" ht="16.5" customHeight="1" x14ac:dyDescent="0.25">
      <c r="A584" s="108">
        <v>4</v>
      </c>
      <c r="B584" s="108"/>
      <c r="C584" s="92" t="s">
        <v>176</v>
      </c>
      <c r="D584" s="92">
        <f>34.35*10.764</f>
        <v>369.74340000000001</v>
      </c>
      <c r="E584" s="92">
        <v>0</v>
      </c>
      <c r="F584" s="92">
        <f t="shared" si="81"/>
        <v>554.61509999999998</v>
      </c>
      <c r="G584" s="108"/>
      <c r="H584" s="108"/>
    </row>
    <row r="585" spans="1:8" s="2" customFormat="1" ht="16.5" customHeight="1" x14ac:dyDescent="0.25">
      <c r="A585" s="108">
        <v>5</v>
      </c>
      <c r="B585" s="108"/>
      <c r="C585" s="92" t="s">
        <v>173</v>
      </c>
      <c r="D585" s="92">
        <f>49.32*10.764</f>
        <v>530.88047999999992</v>
      </c>
      <c r="E585" s="92">
        <v>0</v>
      </c>
      <c r="F585" s="92">
        <f t="shared" si="81"/>
        <v>796.32071999999994</v>
      </c>
      <c r="G585" s="108"/>
      <c r="H585" s="108"/>
    </row>
    <row r="586" spans="1:8" s="2" customFormat="1" ht="16.5" customHeight="1" x14ac:dyDescent="0.25">
      <c r="A586" s="108">
        <v>6</v>
      </c>
      <c r="B586" s="108"/>
      <c r="C586" s="92" t="s">
        <v>173</v>
      </c>
      <c r="D586" s="92">
        <f>49.32*10.764</f>
        <v>530.88047999999992</v>
      </c>
      <c r="E586" s="92">
        <v>0</v>
      </c>
      <c r="F586" s="92">
        <f t="shared" ref="F586" si="82">D586*(($F$328)+1)+(IF(E586&lt;101,E586,IF(E586&lt;201,E586/2,IF(E586&lt;=301,E586/3,E586/4))))</f>
        <v>796.32071999999994</v>
      </c>
      <c r="G586" s="108"/>
      <c r="H586" s="108"/>
    </row>
    <row r="587" spans="1:8" s="2" customFormat="1" ht="16.5" customHeight="1" x14ac:dyDescent="0.25">
      <c r="A587" s="108">
        <v>7</v>
      </c>
      <c r="B587" s="108"/>
      <c r="C587" s="92" t="s">
        <v>176</v>
      </c>
      <c r="D587" s="92">
        <f>34.35*10.764</f>
        <v>369.74340000000001</v>
      </c>
      <c r="E587" s="92">
        <v>0</v>
      </c>
      <c r="F587" s="92">
        <f t="shared" ref="F587:F588" si="83">D587*(($F$328)+1)+(IF(E587&lt;101,E587,IF(E587&lt;201,E587/2,IF(E587&lt;=301,E587/3,E587/4))))</f>
        <v>554.61509999999998</v>
      </c>
      <c r="G587" s="108"/>
      <c r="H587" s="108"/>
    </row>
    <row r="588" spans="1:8" s="2" customFormat="1" ht="16.5" customHeight="1" x14ac:dyDescent="0.25">
      <c r="A588" s="108">
        <v>8</v>
      </c>
      <c r="B588" s="108"/>
      <c r="C588" s="92" t="s">
        <v>176</v>
      </c>
      <c r="D588" s="92">
        <f>34.35*10.764</f>
        <v>369.74340000000001</v>
      </c>
      <c r="E588" s="92">
        <v>0</v>
      </c>
      <c r="F588" s="92">
        <f t="shared" si="83"/>
        <v>554.61509999999998</v>
      </c>
      <c r="G588" s="108"/>
      <c r="H588" s="108"/>
    </row>
    <row r="589" spans="1:8" s="64" customFormat="1" ht="16.5" customHeight="1" x14ac:dyDescent="0.25">
      <c r="A589" s="107" t="s">
        <v>260</v>
      </c>
      <c r="B589" s="107"/>
      <c r="C589" s="107"/>
      <c r="D589" s="107"/>
      <c r="E589" s="107"/>
      <c r="F589" s="107"/>
      <c r="G589" s="107"/>
      <c r="H589" s="107"/>
    </row>
    <row r="590" spans="1:8" s="64" customFormat="1" ht="16.5" customHeight="1" x14ac:dyDescent="0.25">
      <c r="A590" s="107" t="s">
        <v>172</v>
      </c>
      <c r="B590" s="107"/>
      <c r="C590" s="107"/>
      <c r="D590" s="107"/>
      <c r="E590" s="107"/>
      <c r="F590" s="107"/>
      <c r="G590" s="107"/>
      <c r="H590" s="107"/>
    </row>
    <row r="591" spans="1:8" s="64" customFormat="1" ht="16.5" customHeight="1" x14ac:dyDescent="0.25">
      <c r="A591" s="107" t="s">
        <v>255</v>
      </c>
      <c r="B591" s="107"/>
      <c r="C591" s="107"/>
      <c r="D591" s="107"/>
      <c r="E591" s="107"/>
      <c r="F591" s="107"/>
      <c r="G591" s="107"/>
      <c r="H591" s="107"/>
    </row>
    <row r="592" spans="1:8" s="64" customFormat="1" ht="16.5" customHeight="1" x14ac:dyDescent="0.25">
      <c r="A592" s="107" t="s">
        <v>223</v>
      </c>
      <c r="B592" s="107"/>
      <c r="C592" s="107"/>
      <c r="D592" s="107"/>
      <c r="E592" s="107"/>
      <c r="F592" s="107"/>
      <c r="G592" s="107"/>
      <c r="H592" s="107"/>
    </row>
    <row r="593" spans="1:8" s="64" customFormat="1" ht="16.5" customHeight="1" x14ac:dyDescent="0.25">
      <c r="A593" s="108">
        <v>1</v>
      </c>
      <c r="B593" s="108"/>
      <c r="C593" s="94" t="s">
        <v>173</v>
      </c>
      <c r="D593" s="94">
        <f>(54.58+1.73*0.61)*10.764</f>
        <v>598.85836919999997</v>
      </c>
      <c r="E593" s="94">
        <f>(3.05*1.5+3.2*1.2)*10.764</f>
        <v>90.579059999999984</v>
      </c>
      <c r="F593" s="94">
        <f>D593*(($F$328)+1)+(IF(E593&lt;101,E593,IF(E593&lt;201,E593/2,IF(E593&lt;=301,E593/3,E593/4))))</f>
        <v>988.86661379999998</v>
      </c>
      <c r="G593" s="108" t="str">
        <f>A592</f>
        <v>Upper Ground Floor For Residential &amp; Part Podium</v>
      </c>
      <c r="H593" s="108"/>
    </row>
    <row r="594" spans="1:8" s="64" customFormat="1" ht="16.5" customHeight="1" x14ac:dyDescent="0.25">
      <c r="A594" s="108">
        <v>2</v>
      </c>
      <c r="B594" s="108"/>
      <c r="C594" s="108" t="s">
        <v>224</v>
      </c>
      <c r="D594" s="108"/>
      <c r="E594" s="108"/>
      <c r="F594" s="108"/>
      <c r="G594" s="108"/>
      <c r="H594" s="108"/>
    </row>
    <row r="595" spans="1:8" s="64" customFormat="1" ht="16.5" customHeight="1" x14ac:dyDescent="0.25">
      <c r="A595" s="108">
        <v>3</v>
      </c>
      <c r="B595" s="108"/>
      <c r="C595" s="108"/>
      <c r="D595" s="108"/>
      <c r="E595" s="108"/>
      <c r="F595" s="108"/>
      <c r="G595" s="108"/>
      <c r="H595" s="108"/>
    </row>
    <row r="596" spans="1:8" s="64" customFormat="1" ht="16.5" customHeight="1" x14ac:dyDescent="0.25">
      <c r="A596" s="108">
        <v>4</v>
      </c>
      <c r="B596" s="108"/>
      <c r="C596" s="94" t="s">
        <v>173</v>
      </c>
      <c r="D596" s="94">
        <f>(54.58+1.73*0.61)*10.764</f>
        <v>598.85836919999997</v>
      </c>
      <c r="E596" s="94">
        <f>(3.05*1.5+3.2*1.2)*10.764</f>
        <v>90.579059999999984</v>
      </c>
      <c r="F596" s="94">
        <f>D596*(($F$328)+1)+(IF(E596&lt;101,E596,IF(E596&lt;201,E596/2,IF(E596&lt;=301,E596/3,E596/4))))</f>
        <v>988.86661379999998</v>
      </c>
      <c r="G596" s="108"/>
      <c r="H596" s="108"/>
    </row>
    <row r="597" spans="1:8" s="64" customFormat="1" ht="16.5" customHeight="1" x14ac:dyDescent="0.25">
      <c r="A597" s="108">
        <v>5</v>
      </c>
      <c r="B597" s="108"/>
      <c r="C597" s="94" t="s">
        <v>173</v>
      </c>
      <c r="D597" s="94">
        <f>(48.8+1.58*0.6)*10.764</f>
        <v>535.48747199999991</v>
      </c>
      <c r="E597" s="94">
        <f>(3.05*1.5+2.84*1)*10.764</f>
        <v>79.815059999999988</v>
      </c>
      <c r="F597" s="94">
        <f>D597*(($F$328)+1)+(IF(E597&lt;101,E597,IF(E597&lt;201,E597/2,IF(E597&lt;=301,E597/3,E597/4))))</f>
        <v>883.04626799999994</v>
      </c>
      <c r="G597" s="108"/>
      <c r="H597" s="108"/>
    </row>
    <row r="598" spans="1:8" s="64" customFormat="1" ht="16.5" customHeight="1" x14ac:dyDescent="0.25">
      <c r="A598" s="108">
        <v>6</v>
      </c>
      <c r="B598" s="108"/>
      <c r="C598" s="94" t="s">
        <v>173</v>
      </c>
      <c r="D598" s="94">
        <f>(48.8+1.58*0.6)*10.764</f>
        <v>535.48747199999991</v>
      </c>
      <c r="E598" s="94">
        <f>(3.05*1.5+2.84*1)*10.764</f>
        <v>79.815059999999988</v>
      </c>
      <c r="F598" s="94">
        <f t="shared" ref="F598:F600" si="84">D598*(($F$328)+1)+(IF(E598&lt;101,E598,IF(E598&lt;201,E598/2,IF(E598&lt;=301,E598/3,E598/4))))</f>
        <v>883.04626799999994</v>
      </c>
      <c r="G598" s="108"/>
      <c r="H598" s="108"/>
    </row>
    <row r="599" spans="1:8" s="64" customFormat="1" ht="16.5" customHeight="1" x14ac:dyDescent="0.25">
      <c r="A599" s="108">
        <v>7</v>
      </c>
      <c r="B599" s="108"/>
      <c r="C599" s="94" t="s">
        <v>176</v>
      </c>
      <c r="D599" s="94">
        <f>(39.67+2.39*0.63+2.08*0.6)*10.764</f>
        <v>456.64870679999996</v>
      </c>
      <c r="E599" s="94">
        <f>(2*2.2)*10.764</f>
        <v>47.361600000000003</v>
      </c>
      <c r="F599" s="94">
        <f t="shared" si="84"/>
        <v>732.33466019999992</v>
      </c>
      <c r="G599" s="108"/>
      <c r="H599" s="108"/>
    </row>
    <row r="600" spans="1:8" s="64" customFormat="1" ht="16.5" customHeight="1" x14ac:dyDescent="0.25">
      <c r="A600" s="108">
        <v>8</v>
      </c>
      <c r="B600" s="108"/>
      <c r="C600" s="94" t="s">
        <v>176</v>
      </c>
      <c r="D600" s="94">
        <f>(39.67+2.39*0.63+2.08*0.6)*10.764</f>
        <v>456.64870679999996</v>
      </c>
      <c r="E600" s="94">
        <f>(2*2.2)*10.764</f>
        <v>47.361600000000003</v>
      </c>
      <c r="F600" s="94">
        <f t="shared" si="84"/>
        <v>732.33466019999992</v>
      </c>
      <c r="G600" s="108"/>
      <c r="H600" s="108"/>
    </row>
    <row r="601" spans="1:8" s="64" customFormat="1" ht="16.5" customHeight="1" x14ac:dyDescent="0.25">
      <c r="A601" s="107" t="s">
        <v>174</v>
      </c>
      <c r="B601" s="107"/>
      <c r="C601" s="107"/>
      <c r="D601" s="107"/>
      <c r="E601" s="107"/>
      <c r="F601" s="107"/>
      <c r="G601" s="107"/>
      <c r="H601" s="107"/>
    </row>
    <row r="602" spans="1:8" s="64" customFormat="1" ht="16.5" customHeight="1" x14ac:dyDescent="0.25">
      <c r="A602" s="108">
        <v>1</v>
      </c>
      <c r="B602" s="108"/>
      <c r="C602" s="65" t="s">
        <v>173</v>
      </c>
      <c r="D602" s="65">
        <f>(55.8+1.73*0.61+3.05*0.63+2.61*0.63)*10.764</f>
        <v>650.37272039999993</v>
      </c>
      <c r="E602" s="65">
        <v>0</v>
      </c>
      <c r="F602" s="65">
        <f t="shared" ref="F602:F603" si="85">D602*(($F$328)+1)+(IF(E602&lt;101,E602,IF(E602&lt;201,E602/2,IF(E602&lt;=301,E602/3,E602/4))))</f>
        <v>975.5590805999999</v>
      </c>
      <c r="G602" s="109" t="str">
        <f>A601</f>
        <v>Stilt/ Lobby Floor for Residential &amp; Parking</v>
      </c>
      <c r="H602" s="110"/>
    </row>
    <row r="603" spans="1:8" s="64" customFormat="1" ht="16.5" customHeight="1" x14ac:dyDescent="0.25">
      <c r="A603" s="108">
        <v>2</v>
      </c>
      <c r="B603" s="108"/>
      <c r="C603" s="65" t="s">
        <v>173</v>
      </c>
      <c r="D603" s="65">
        <f>(55.8+1.73*0.61+3.05*0.63+2.61*0.63)*10.764</f>
        <v>650.37272039999993</v>
      </c>
      <c r="E603" s="65">
        <f>(3.05*1.2+2.6*0.6)*(10.764)</f>
        <v>56.188079999999992</v>
      </c>
      <c r="F603" s="65">
        <f t="shared" si="85"/>
        <v>1031.7471605999999</v>
      </c>
      <c r="G603" s="111"/>
      <c r="H603" s="112"/>
    </row>
    <row r="604" spans="1:8" s="64" customFormat="1" ht="16.5" customHeight="1" x14ac:dyDescent="0.25">
      <c r="A604" s="108">
        <v>3</v>
      </c>
      <c r="B604" s="108"/>
      <c r="C604" s="109" t="s">
        <v>225</v>
      </c>
      <c r="D604" s="115"/>
      <c r="E604" s="115"/>
      <c r="F604" s="110"/>
      <c r="G604" s="111"/>
      <c r="H604" s="112"/>
    </row>
    <row r="605" spans="1:8" s="64" customFormat="1" ht="16.5" customHeight="1" x14ac:dyDescent="0.25">
      <c r="A605" s="108">
        <v>4</v>
      </c>
      <c r="B605" s="108"/>
      <c r="C605" s="113"/>
      <c r="D605" s="116"/>
      <c r="E605" s="116"/>
      <c r="F605" s="114"/>
      <c r="G605" s="111"/>
      <c r="H605" s="112"/>
    </row>
    <row r="606" spans="1:8" s="64" customFormat="1" ht="16.5" customHeight="1" x14ac:dyDescent="0.25">
      <c r="A606" s="108">
        <v>5</v>
      </c>
      <c r="B606" s="108"/>
      <c r="C606" s="65" t="s">
        <v>173</v>
      </c>
      <c r="D606" s="65">
        <f>(49.45+1.58*0.6+3.05*0.63)*10.764</f>
        <v>563.16709800000001</v>
      </c>
      <c r="E606" s="65">
        <v>0</v>
      </c>
      <c r="F606" s="65">
        <f t="shared" ref="F606:F609" si="86">D606*(($F$328)+1)+(IF(E606&lt;101,E606,IF(E606&lt;201,E606/2,IF(E606&lt;=301,E606/3,E606/4))))</f>
        <v>844.75064700000007</v>
      </c>
      <c r="G606" s="111"/>
      <c r="H606" s="112"/>
    </row>
    <row r="607" spans="1:8" s="64" customFormat="1" ht="16.5" customHeight="1" x14ac:dyDescent="0.25">
      <c r="A607" s="108">
        <v>6</v>
      </c>
      <c r="B607" s="108"/>
      <c r="C607" s="65" t="s">
        <v>173</v>
      </c>
      <c r="D607" s="65">
        <f>(49.45+1.58*0.6+3.05*0.63)*10.764</f>
        <v>563.16709800000001</v>
      </c>
      <c r="E607" s="65">
        <v>0</v>
      </c>
      <c r="F607" s="65">
        <f t="shared" si="86"/>
        <v>844.75064700000007</v>
      </c>
      <c r="G607" s="111"/>
      <c r="H607" s="112"/>
    </row>
    <row r="608" spans="1:8" s="64" customFormat="1" ht="16.5" customHeight="1" x14ac:dyDescent="0.25">
      <c r="A608" s="108">
        <v>7</v>
      </c>
      <c r="B608" s="108"/>
      <c r="C608" s="65" t="s">
        <v>176</v>
      </c>
      <c r="D608" s="65">
        <f>(40+2.08*0.63+2.05*0.6+2.39*0.63)*10.764</f>
        <v>474.1122203999999</v>
      </c>
      <c r="E608" s="65">
        <v>0</v>
      </c>
      <c r="F608" s="65">
        <f t="shared" si="86"/>
        <v>711.16833059999988</v>
      </c>
      <c r="G608" s="111"/>
      <c r="H608" s="112"/>
    </row>
    <row r="609" spans="1:8" s="64" customFormat="1" ht="16.5" customHeight="1" x14ac:dyDescent="0.25">
      <c r="A609" s="108">
        <v>8</v>
      </c>
      <c r="B609" s="108"/>
      <c r="C609" s="65" t="s">
        <v>176</v>
      </c>
      <c r="D609" s="65">
        <f>(40+2.08*0.63+2.05*0.6+2.39*0.63)*10.764</f>
        <v>474.1122203999999</v>
      </c>
      <c r="E609" s="65">
        <v>0</v>
      </c>
      <c r="F609" s="65">
        <f t="shared" si="86"/>
        <v>711.16833059999988</v>
      </c>
      <c r="G609" s="113"/>
      <c r="H609" s="114"/>
    </row>
    <row r="610" spans="1:8" s="64" customFormat="1" ht="16.5" customHeight="1" x14ac:dyDescent="0.25">
      <c r="A610" s="107" t="s">
        <v>220</v>
      </c>
      <c r="B610" s="107"/>
      <c r="C610" s="107"/>
      <c r="D610" s="107"/>
      <c r="E610" s="107"/>
      <c r="F610" s="107"/>
      <c r="G610" s="107"/>
      <c r="H610" s="107"/>
    </row>
    <row r="611" spans="1:8" s="64" customFormat="1" ht="16.5" customHeight="1" x14ac:dyDescent="0.25">
      <c r="A611" s="108">
        <v>1</v>
      </c>
      <c r="B611" s="108"/>
      <c r="C611" s="65" t="s">
        <v>173</v>
      </c>
      <c r="D611" s="65">
        <f>(55.8+1.73*0.61+3.05*0.63+2.61*0.63)*10.764</f>
        <v>650.37272039999993</v>
      </c>
      <c r="E611" s="65">
        <v>0</v>
      </c>
      <c r="F611" s="65">
        <f t="shared" ref="F611:F618" si="87">D611*(($F$328)+1)+(IF(E611&lt;101,E611,IF(E611&lt;201,E611/2,IF(E611&lt;=301,E611/3,E611/4))))</f>
        <v>975.5590805999999</v>
      </c>
      <c r="G611" s="109" t="str">
        <f>A610</f>
        <v>1st to 5th, 7th to 10th, 12th to 16th, 18th to 22nd, 24th &amp; 25th Floor</v>
      </c>
      <c r="H611" s="110"/>
    </row>
    <row r="612" spans="1:8" s="64" customFormat="1" ht="16.5" customHeight="1" x14ac:dyDescent="0.25">
      <c r="A612" s="108">
        <v>2</v>
      </c>
      <c r="B612" s="108"/>
      <c r="C612" s="65" t="s">
        <v>173</v>
      </c>
      <c r="D612" s="65">
        <f>(55.8+1.73*0.61+3.05*0.63+2.61*0.63)*10.764</f>
        <v>650.37272039999993</v>
      </c>
      <c r="E612" s="65">
        <v>0</v>
      </c>
      <c r="F612" s="65">
        <f t="shared" si="87"/>
        <v>975.5590805999999</v>
      </c>
      <c r="G612" s="111"/>
      <c r="H612" s="112"/>
    </row>
    <row r="613" spans="1:8" s="64" customFormat="1" ht="16.5" customHeight="1" x14ac:dyDescent="0.25">
      <c r="A613" s="108">
        <v>3</v>
      </c>
      <c r="B613" s="108"/>
      <c r="C613" s="65" t="s">
        <v>173</v>
      </c>
      <c r="D613" s="65">
        <f t="shared" ref="D613:D614" si="88">(55.8+1.73*0.61+3.05*0.63+2.61*0.63)*10.764</f>
        <v>650.37272039999993</v>
      </c>
      <c r="E613" s="65">
        <v>0</v>
      </c>
      <c r="F613" s="65">
        <f t="shared" si="87"/>
        <v>975.5590805999999</v>
      </c>
      <c r="G613" s="111"/>
      <c r="H613" s="112"/>
    </row>
    <row r="614" spans="1:8" s="64" customFormat="1" ht="16.5" customHeight="1" x14ac:dyDescent="0.25">
      <c r="A614" s="108">
        <v>4</v>
      </c>
      <c r="B614" s="108"/>
      <c r="C614" s="65" t="s">
        <v>173</v>
      </c>
      <c r="D614" s="65">
        <f t="shared" si="88"/>
        <v>650.37272039999993</v>
      </c>
      <c r="E614" s="65">
        <v>0</v>
      </c>
      <c r="F614" s="65">
        <f t="shared" si="87"/>
        <v>975.5590805999999</v>
      </c>
      <c r="G614" s="111"/>
      <c r="H614" s="112"/>
    </row>
    <row r="615" spans="1:8" s="64" customFormat="1" ht="16.5" customHeight="1" x14ac:dyDescent="0.25">
      <c r="A615" s="108">
        <v>5</v>
      </c>
      <c r="B615" s="108"/>
      <c r="C615" s="65" t="s">
        <v>173</v>
      </c>
      <c r="D615" s="65">
        <f>(49.45+1.58*0.6+3.05*0.63)*10.764</f>
        <v>563.16709800000001</v>
      </c>
      <c r="E615" s="65">
        <v>0</v>
      </c>
      <c r="F615" s="65">
        <f t="shared" si="87"/>
        <v>844.75064700000007</v>
      </c>
      <c r="G615" s="111"/>
      <c r="H615" s="112"/>
    </row>
    <row r="616" spans="1:8" s="64" customFormat="1" ht="16.5" customHeight="1" x14ac:dyDescent="0.25">
      <c r="A616" s="108">
        <v>6</v>
      </c>
      <c r="B616" s="108"/>
      <c r="C616" s="65" t="s">
        <v>173</v>
      </c>
      <c r="D616" s="65">
        <f>(49.45+1.58*0.6+3.05*0.63)*10.764</f>
        <v>563.16709800000001</v>
      </c>
      <c r="E616" s="65">
        <v>0</v>
      </c>
      <c r="F616" s="65">
        <f t="shared" si="87"/>
        <v>844.75064700000007</v>
      </c>
      <c r="G616" s="111"/>
      <c r="H616" s="112"/>
    </row>
    <row r="617" spans="1:8" s="64" customFormat="1" ht="16.5" customHeight="1" x14ac:dyDescent="0.25">
      <c r="A617" s="108">
        <v>7</v>
      </c>
      <c r="B617" s="108"/>
      <c r="C617" s="65" t="s">
        <v>176</v>
      </c>
      <c r="D617" s="65">
        <f>(40+2.08*0.63+2.05*0.6+2.39*0.63)*10.764</f>
        <v>474.1122203999999</v>
      </c>
      <c r="E617" s="65">
        <v>0</v>
      </c>
      <c r="F617" s="65">
        <f t="shared" si="87"/>
        <v>711.16833059999988</v>
      </c>
      <c r="G617" s="111"/>
      <c r="H617" s="112"/>
    </row>
    <row r="618" spans="1:8" s="64" customFormat="1" ht="16.5" customHeight="1" x14ac:dyDescent="0.25">
      <c r="A618" s="108">
        <v>8</v>
      </c>
      <c r="B618" s="108"/>
      <c r="C618" s="65" t="s">
        <v>176</v>
      </c>
      <c r="D618" s="65">
        <f>(40+2.08*0.63+2.05*0.6+2.39*0.63)*10.764</f>
        <v>474.1122203999999</v>
      </c>
      <c r="E618" s="65">
        <v>0</v>
      </c>
      <c r="F618" s="65">
        <f t="shared" si="87"/>
        <v>711.16833059999988</v>
      </c>
      <c r="G618" s="113"/>
      <c r="H618" s="114"/>
    </row>
    <row r="619" spans="1:8" s="64" customFormat="1" ht="16.5" customHeight="1" x14ac:dyDescent="0.25">
      <c r="A619" s="107" t="s">
        <v>221</v>
      </c>
      <c r="B619" s="107"/>
      <c r="C619" s="107"/>
      <c r="D619" s="107"/>
      <c r="E619" s="107"/>
      <c r="F619" s="107"/>
      <c r="G619" s="107"/>
      <c r="H619" s="107"/>
    </row>
    <row r="620" spans="1:8" s="64" customFormat="1" ht="16.5" customHeight="1" x14ac:dyDescent="0.25">
      <c r="A620" s="108">
        <v>1</v>
      </c>
      <c r="B620" s="108"/>
      <c r="C620" s="92" t="s">
        <v>173</v>
      </c>
      <c r="D620" s="92">
        <f>(55.8+1.73*0.61+3.05*0.63+2.61*0.63)*10.764</f>
        <v>650.37272039999993</v>
      </c>
      <c r="E620" s="92">
        <v>0</v>
      </c>
      <c r="F620" s="92">
        <f>D620*(($F$328)+1)+(IF(E620&lt;101,E620,IF(E620&lt;201,E620/2,IF(E620&lt;=301,E620/3,E620/4))))</f>
        <v>975.5590805999999</v>
      </c>
      <c r="G620" s="108" t="str">
        <f>A619</f>
        <v>6th, 11th, 17th &amp; 23rd Floor (Part Refuge Area)</v>
      </c>
      <c r="H620" s="108"/>
    </row>
    <row r="621" spans="1:8" s="64" customFormat="1" ht="16.5" customHeight="1" x14ac:dyDescent="0.25">
      <c r="A621" s="108">
        <v>2</v>
      </c>
      <c r="B621" s="108"/>
      <c r="C621" s="92" t="s">
        <v>173</v>
      </c>
      <c r="D621" s="92">
        <f>(55.8+1.73*0.61+3.05*0.63+2.61*0.63)*10.764</f>
        <v>650.37272039999993</v>
      </c>
      <c r="E621" s="92">
        <v>0</v>
      </c>
      <c r="F621" s="92">
        <f>D621*(($F$328)+1)+(IF(E621&lt;101,E621,IF(E621&lt;201,E621/2,IF(E621&lt;=301,E621/3,E621/4))))</f>
        <v>975.5590805999999</v>
      </c>
      <c r="G621" s="108"/>
      <c r="H621" s="108"/>
    </row>
    <row r="622" spans="1:8" s="64" customFormat="1" ht="16.5" customHeight="1" x14ac:dyDescent="0.25">
      <c r="A622" s="108">
        <v>3</v>
      </c>
      <c r="B622" s="108"/>
      <c r="C622" s="92" t="s">
        <v>173</v>
      </c>
      <c r="D622" s="92">
        <f t="shared" ref="D622" si="89">(55.8+1.73*0.61+3.05*0.63+2.61*0.63)*10.764</f>
        <v>650.37272039999993</v>
      </c>
      <c r="E622" s="92">
        <v>0</v>
      </c>
      <c r="F622" s="92">
        <f>D622*(($F$328)+1)+(IF(E622&lt;101,E622,IF(E622&lt;201,E622/2,IF(E622&lt;=301,E622/3,E622/4))))</f>
        <v>975.5590805999999</v>
      </c>
      <c r="G622" s="108"/>
      <c r="H622" s="108"/>
    </row>
    <row r="623" spans="1:8" s="64" customFormat="1" ht="16.5" customHeight="1" x14ac:dyDescent="0.25">
      <c r="A623" s="108">
        <v>4</v>
      </c>
      <c r="B623" s="108"/>
      <c r="C623" s="108" t="s">
        <v>175</v>
      </c>
      <c r="D623" s="108"/>
      <c r="E623" s="108"/>
      <c r="F623" s="108"/>
      <c r="G623" s="108"/>
      <c r="H623" s="108"/>
    </row>
    <row r="624" spans="1:8" s="64" customFormat="1" ht="16.5" customHeight="1" x14ac:dyDescent="0.25">
      <c r="A624" s="108">
        <v>5</v>
      </c>
      <c r="B624" s="108"/>
      <c r="C624" s="92" t="s">
        <v>173</v>
      </c>
      <c r="D624" s="92">
        <f>(49.45+1.58*0.6+3.05*0.63)*10.764</f>
        <v>563.16709800000001</v>
      </c>
      <c r="E624" s="92">
        <v>0</v>
      </c>
      <c r="F624" s="92">
        <f>D624*(($F$328)+1)+(IF(E624&lt;101,E624,IF(E624&lt;201,E624/2,IF(E624&lt;=301,E624/3,E624/4))))</f>
        <v>844.75064700000007</v>
      </c>
      <c r="G624" s="108"/>
      <c r="H624" s="108"/>
    </row>
    <row r="625" spans="1:8" s="64" customFormat="1" ht="16.5" customHeight="1" x14ac:dyDescent="0.25">
      <c r="A625" s="108">
        <v>6</v>
      </c>
      <c r="B625" s="108"/>
      <c r="C625" s="92" t="s">
        <v>173</v>
      </c>
      <c r="D625" s="92">
        <f>(49.45+1.58*0.6+3.05*0.63)*10.764</f>
        <v>563.16709800000001</v>
      </c>
      <c r="E625" s="92">
        <v>0</v>
      </c>
      <c r="F625" s="92">
        <f>D625*(($F$328)+1)+(IF(E625&lt;101,E625,IF(E625&lt;201,E625/2,IF(E625&lt;=301,E625/3,E625/4))))</f>
        <v>844.75064700000007</v>
      </c>
      <c r="G625" s="108"/>
      <c r="H625" s="108"/>
    </row>
    <row r="626" spans="1:8" s="64" customFormat="1" ht="16.5" customHeight="1" x14ac:dyDescent="0.25">
      <c r="A626" s="108">
        <v>7</v>
      </c>
      <c r="B626" s="108"/>
      <c r="C626" s="92" t="s">
        <v>176</v>
      </c>
      <c r="D626" s="92">
        <f>(40+2.08*0.63+2.05*0.6+2.39*0.63)*10.764</f>
        <v>474.1122203999999</v>
      </c>
      <c r="E626" s="92">
        <v>0</v>
      </c>
      <c r="F626" s="92">
        <f>D626*(($F$328)+1)+(IF(E626&lt;101,E626,IF(E626&lt;201,E626/2,IF(E626&lt;=301,E626/3,E626/4))))</f>
        <v>711.16833059999988</v>
      </c>
      <c r="G626" s="108"/>
      <c r="H626" s="108"/>
    </row>
    <row r="627" spans="1:8" s="64" customFormat="1" ht="16.5" customHeight="1" x14ac:dyDescent="0.25">
      <c r="A627" s="108">
        <v>8</v>
      </c>
      <c r="B627" s="108"/>
      <c r="C627" s="92" t="s">
        <v>176</v>
      </c>
      <c r="D627" s="92">
        <f>(40+2.08*0.63+2.05*0.6+2.39*0.63)*10.764</f>
        <v>474.1122203999999</v>
      </c>
      <c r="E627" s="92">
        <v>0</v>
      </c>
      <c r="F627" s="92">
        <f>D627*(($F$328)+1)+(IF(E627&lt;101,E627,IF(E627&lt;201,E627/2,IF(E627&lt;=301,E627/3,E627/4))))</f>
        <v>711.16833059999988</v>
      </c>
      <c r="G627" s="108"/>
      <c r="H627" s="108"/>
    </row>
    <row r="628" spans="1:8" s="61" customFormat="1" ht="16.5" customHeight="1" x14ac:dyDescent="0.25">
      <c r="A628" s="107" t="s">
        <v>249</v>
      </c>
      <c r="B628" s="107"/>
      <c r="C628" s="107"/>
      <c r="D628" s="107"/>
      <c r="E628" s="107"/>
      <c r="F628" s="107"/>
      <c r="G628" s="107"/>
      <c r="H628" s="107"/>
    </row>
    <row r="629" spans="1:8" s="61" customFormat="1" ht="16.5" customHeight="1" x14ac:dyDescent="0.25">
      <c r="A629" s="107" t="s">
        <v>172</v>
      </c>
      <c r="B629" s="107"/>
      <c r="C629" s="107"/>
      <c r="D629" s="107"/>
      <c r="E629" s="107"/>
      <c r="F629" s="107"/>
      <c r="G629" s="107"/>
      <c r="H629" s="107"/>
    </row>
    <row r="630" spans="1:8" s="61" customFormat="1" ht="16.5" customHeight="1" x14ac:dyDescent="0.25">
      <c r="A630" s="107" t="s">
        <v>252</v>
      </c>
      <c r="B630" s="107"/>
      <c r="C630" s="107"/>
      <c r="D630" s="107"/>
      <c r="E630" s="107"/>
      <c r="F630" s="107"/>
      <c r="G630" s="107"/>
      <c r="H630" s="107"/>
    </row>
    <row r="631" spans="1:8" s="61" customFormat="1" ht="16.5" customHeight="1" x14ac:dyDescent="0.25">
      <c r="A631" s="107" t="s">
        <v>223</v>
      </c>
      <c r="B631" s="107"/>
      <c r="C631" s="107"/>
      <c r="D631" s="107"/>
      <c r="E631" s="107"/>
      <c r="F631" s="107"/>
      <c r="G631" s="107"/>
      <c r="H631" s="107"/>
    </row>
    <row r="632" spans="1:8" s="61" customFormat="1" ht="16.5" customHeight="1" x14ac:dyDescent="0.25">
      <c r="A632" s="108">
        <v>1</v>
      </c>
      <c r="B632" s="108"/>
      <c r="C632" s="94" t="s">
        <v>173</v>
      </c>
      <c r="D632" s="94">
        <f>48.77*10.764</f>
        <v>524.96028000000001</v>
      </c>
      <c r="E632" s="94">
        <f>(3.25*1.98+2.65*0.89)*10.764</f>
        <v>94.653233999999998</v>
      </c>
      <c r="F632" s="94">
        <f>D632*(($F$328)+1)+(IF(E632&lt;101,E632,IF(E632&lt;201,E632/2,IF(E632&lt;=301,E632/3,E632/4))))</f>
        <v>882.09365400000002</v>
      </c>
      <c r="G632" s="108" t="str">
        <f>A631</f>
        <v>Upper Ground Floor For Residential &amp; Part Podium</v>
      </c>
      <c r="H632" s="108"/>
    </row>
    <row r="633" spans="1:8" s="61" customFormat="1" ht="16.5" customHeight="1" x14ac:dyDescent="0.25">
      <c r="A633" s="108">
        <v>2</v>
      </c>
      <c r="B633" s="108"/>
      <c r="C633" s="108" t="s">
        <v>224</v>
      </c>
      <c r="D633" s="108"/>
      <c r="E633" s="108"/>
      <c r="F633" s="108"/>
      <c r="G633" s="108"/>
      <c r="H633" s="108"/>
    </row>
    <row r="634" spans="1:8" s="61" customFormat="1" ht="16.5" customHeight="1" x14ac:dyDescent="0.25">
      <c r="A634" s="108">
        <v>3</v>
      </c>
      <c r="B634" s="108"/>
      <c r="C634" s="108"/>
      <c r="D634" s="108"/>
      <c r="E634" s="108"/>
      <c r="F634" s="108"/>
      <c r="G634" s="108"/>
      <c r="H634" s="108"/>
    </row>
    <row r="635" spans="1:8" s="61" customFormat="1" ht="16.5" customHeight="1" x14ac:dyDescent="0.25">
      <c r="A635" s="108">
        <v>4</v>
      </c>
      <c r="B635" s="108"/>
      <c r="C635" s="108"/>
      <c r="D635" s="108"/>
      <c r="E635" s="108"/>
      <c r="F635" s="108"/>
      <c r="G635" s="108"/>
      <c r="H635" s="108"/>
    </row>
    <row r="636" spans="1:8" s="61" customFormat="1" ht="16.5" customHeight="1" x14ac:dyDescent="0.25">
      <c r="A636" s="108">
        <v>5</v>
      </c>
      <c r="B636" s="108"/>
      <c r="C636" s="108"/>
      <c r="D636" s="108"/>
      <c r="E636" s="108"/>
      <c r="F636" s="108"/>
      <c r="G636" s="108"/>
      <c r="H636" s="108"/>
    </row>
    <row r="637" spans="1:8" s="61" customFormat="1" ht="16.5" customHeight="1" x14ac:dyDescent="0.25">
      <c r="A637" s="108">
        <v>6</v>
      </c>
      <c r="B637" s="108"/>
      <c r="C637" s="94" t="s">
        <v>173</v>
      </c>
      <c r="D637" s="94">
        <f>54.58*10.764</f>
        <v>587.49911999999995</v>
      </c>
      <c r="E637" s="94">
        <f>(3.25*1.98+2.65*0.89)*10.764</f>
        <v>94.653233999999998</v>
      </c>
      <c r="F637" s="94">
        <f t="shared" ref="F637:F639" si="90">D637*(($F$328)+1)+(IF(E637&lt;101,E637,IF(E637&lt;201,E637/2,IF(E637&lt;=301,E637/3,E637/4))))</f>
        <v>975.90191399999992</v>
      </c>
      <c r="G637" s="108"/>
      <c r="H637" s="108"/>
    </row>
    <row r="638" spans="1:8" s="61" customFormat="1" ht="16.5" customHeight="1" x14ac:dyDescent="0.25">
      <c r="A638" s="108">
        <v>7</v>
      </c>
      <c r="B638" s="108"/>
      <c r="C638" s="94" t="s">
        <v>176</v>
      </c>
      <c r="D638" s="94">
        <f>35.64*10.764</f>
        <v>383.62896000000001</v>
      </c>
      <c r="E638" s="94">
        <f>1.95*1.8*10.764</f>
        <v>37.781639999999996</v>
      </c>
      <c r="F638" s="94">
        <f t="shared" si="90"/>
        <v>613.22508000000005</v>
      </c>
      <c r="G638" s="108"/>
      <c r="H638" s="108"/>
    </row>
    <row r="639" spans="1:8" s="61" customFormat="1" ht="16.5" customHeight="1" x14ac:dyDescent="0.25">
      <c r="A639" s="108">
        <v>8</v>
      </c>
      <c r="B639" s="108"/>
      <c r="C639" s="94" t="s">
        <v>176</v>
      </c>
      <c r="D639" s="94">
        <f>35.64*10.764</f>
        <v>383.62896000000001</v>
      </c>
      <c r="E639" s="94">
        <f>1.95*1.8*10.764</f>
        <v>37.781639999999996</v>
      </c>
      <c r="F639" s="94">
        <f t="shared" si="90"/>
        <v>613.22508000000005</v>
      </c>
      <c r="G639" s="108"/>
      <c r="H639" s="108"/>
    </row>
    <row r="640" spans="1:8" s="61" customFormat="1" ht="16.5" customHeight="1" x14ac:dyDescent="0.25">
      <c r="A640" s="107" t="s">
        <v>174</v>
      </c>
      <c r="B640" s="107"/>
      <c r="C640" s="107"/>
      <c r="D640" s="107"/>
      <c r="E640" s="107"/>
      <c r="F640" s="107"/>
      <c r="G640" s="107"/>
      <c r="H640" s="107"/>
    </row>
    <row r="641" spans="1:8" s="61" customFormat="1" ht="16.5" customHeight="1" x14ac:dyDescent="0.25">
      <c r="A641" s="108">
        <v>1</v>
      </c>
      <c r="B641" s="108"/>
      <c r="C641" s="60" t="s">
        <v>173</v>
      </c>
      <c r="D641" s="60">
        <f>49.43*10.764</f>
        <v>532.06452000000002</v>
      </c>
      <c r="E641" s="60">
        <v>0</v>
      </c>
      <c r="F641" s="60">
        <f t="shared" ref="F641:F642" si="91">D641*(($F$328)+1)+(IF(E641&lt;101,E641,IF(E641&lt;201,E641/2,IF(E641&lt;=301,E641/3,E641/4))))</f>
        <v>798.09678000000008</v>
      </c>
      <c r="G641" s="109" t="str">
        <f>A640</f>
        <v>Stilt/ Lobby Floor for Residential &amp; Parking</v>
      </c>
      <c r="H641" s="110"/>
    </row>
    <row r="642" spans="1:8" s="61" customFormat="1" ht="16.5" customHeight="1" x14ac:dyDescent="0.25">
      <c r="A642" s="108">
        <v>2</v>
      </c>
      <c r="B642" s="108"/>
      <c r="C642" s="60" t="s">
        <v>173</v>
      </c>
      <c r="D642" s="60">
        <f>49.43*10.764</f>
        <v>532.06452000000002</v>
      </c>
      <c r="E642" s="40">
        <f>(3.4*1.5+2.82*0.5)*(10.764)</f>
        <v>70.073639999999997</v>
      </c>
      <c r="F642" s="60">
        <f t="shared" si="91"/>
        <v>868.17042000000004</v>
      </c>
      <c r="G642" s="111"/>
      <c r="H642" s="112"/>
    </row>
    <row r="643" spans="1:8" s="61" customFormat="1" ht="16.5" customHeight="1" x14ac:dyDescent="0.25">
      <c r="A643" s="108">
        <v>3</v>
      </c>
      <c r="B643" s="108"/>
      <c r="C643" s="109" t="s">
        <v>225</v>
      </c>
      <c r="D643" s="115"/>
      <c r="E643" s="115"/>
      <c r="F643" s="110"/>
      <c r="G643" s="111"/>
      <c r="H643" s="112"/>
    </row>
    <row r="644" spans="1:8" s="61" customFormat="1" ht="16.5" customHeight="1" x14ac:dyDescent="0.25">
      <c r="A644" s="108">
        <v>4</v>
      </c>
      <c r="B644" s="108"/>
      <c r="C644" s="113"/>
      <c r="D644" s="116"/>
      <c r="E644" s="116"/>
      <c r="F644" s="114"/>
      <c r="G644" s="111"/>
      <c r="H644" s="112"/>
    </row>
    <row r="645" spans="1:8" s="61" customFormat="1" ht="16.5" customHeight="1" x14ac:dyDescent="0.25">
      <c r="A645" s="108">
        <v>5</v>
      </c>
      <c r="B645" s="108"/>
      <c r="C645" s="60" t="s">
        <v>173</v>
      </c>
      <c r="D645" s="60">
        <f>55.8*10.764</f>
        <v>600.63119999999992</v>
      </c>
      <c r="E645" s="40">
        <f>(3.4*1.5+2.82*0.5)*(10.764)</f>
        <v>70.073639999999997</v>
      </c>
      <c r="F645" s="60">
        <f t="shared" ref="F645:F648" si="92">D645*(($F$328)+1)+(IF(E645&lt;101,E645,IF(E645&lt;201,E645/2,IF(E645&lt;=301,E645/3,E645/4))))</f>
        <v>971.02043999999989</v>
      </c>
      <c r="G645" s="111"/>
      <c r="H645" s="112"/>
    </row>
    <row r="646" spans="1:8" s="61" customFormat="1" ht="16.5" customHeight="1" x14ac:dyDescent="0.25">
      <c r="A646" s="108">
        <v>6</v>
      </c>
      <c r="B646" s="108"/>
      <c r="C646" s="60" t="s">
        <v>173</v>
      </c>
      <c r="D646" s="60">
        <f>55.8*10.764</f>
        <v>600.63119999999992</v>
      </c>
      <c r="E646" s="60">
        <v>0</v>
      </c>
      <c r="F646" s="60">
        <f t="shared" si="92"/>
        <v>900.94679999999994</v>
      </c>
      <c r="G646" s="111"/>
      <c r="H646" s="112"/>
    </row>
    <row r="647" spans="1:8" s="61" customFormat="1" ht="16.5" customHeight="1" x14ac:dyDescent="0.25">
      <c r="A647" s="108">
        <v>7</v>
      </c>
      <c r="B647" s="108"/>
      <c r="C647" s="60" t="s">
        <v>176</v>
      </c>
      <c r="D647" s="60">
        <f>35.09*10.764</f>
        <v>377.70876000000004</v>
      </c>
      <c r="E647" s="60">
        <v>0</v>
      </c>
      <c r="F647" s="60">
        <f t="shared" si="92"/>
        <v>566.56314000000009</v>
      </c>
      <c r="G647" s="111"/>
      <c r="H647" s="112"/>
    </row>
    <row r="648" spans="1:8" s="61" customFormat="1" ht="16.5" customHeight="1" x14ac:dyDescent="0.25">
      <c r="A648" s="108">
        <v>8</v>
      </c>
      <c r="B648" s="108"/>
      <c r="C648" s="60" t="s">
        <v>176</v>
      </c>
      <c r="D648" s="60">
        <f>35.09*10.764</f>
        <v>377.70876000000004</v>
      </c>
      <c r="E648" s="60">
        <v>0</v>
      </c>
      <c r="F648" s="60">
        <f t="shared" si="92"/>
        <v>566.56314000000009</v>
      </c>
      <c r="G648" s="113"/>
      <c r="H648" s="114"/>
    </row>
    <row r="649" spans="1:8" s="61" customFormat="1" ht="16.5" customHeight="1" x14ac:dyDescent="0.25">
      <c r="A649" s="107" t="s">
        <v>220</v>
      </c>
      <c r="B649" s="107"/>
      <c r="C649" s="107"/>
      <c r="D649" s="107"/>
      <c r="E649" s="107"/>
      <c r="F649" s="107"/>
      <c r="G649" s="107"/>
      <c r="H649" s="107"/>
    </row>
    <row r="650" spans="1:8" s="61" customFormat="1" ht="16.5" customHeight="1" x14ac:dyDescent="0.25">
      <c r="A650" s="108">
        <v>1</v>
      </c>
      <c r="B650" s="108"/>
      <c r="C650" s="60" t="s">
        <v>173</v>
      </c>
      <c r="D650" s="60">
        <f>49.43*10.764</f>
        <v>532.06452000000002</v>
      </c>
      <c r="E650" s="60">
        <v>0</v>
      </c>
      <c r="F650" s="60">
        <f t="shared" ref="F650:F657" si="93">D650*(($F$328)+1)+(IF(E650&lt;101,E650,IF(E650&lt;201,E650/2,IF(E650&lt;=301,E650/3,E650/4))))</f>
        <v>798.09678000000008</v>
      </c>
      <c r="G650" s="109" t="str">
        <f>A649</f>
        <v>1st to 5th, 7th to 10th, 12th to 16th, 18th to 22nd, 24th &amp; 25th Floor</v>
      </c>
      <c r="H650" s="110"/>
    </row>
    <row r="651" spans="1:8" s="61" customFormat="1" ht="16.5" customHeight="1" x14ac:dyDescent="0.25">
      <c r="A651" s="108">
        <v>2</v>
      </c>
      <c r="B651" s="108"/>
      <c r="C651" s="60" t="s">
        <v>173</v>
      </c>
      <c r="D651" s="60">
        <f>49.43*10.764</f>
        <v>532.06452000000002</v>
      </c>
      <c r="E651" s="60">
        <v>0</v>
      </c>
      <c r="F651" s="60">
        <f t="shared" si="93"/>
        <v>798.09678000000008</v>
      </c>
      <c r="G651" s="111"/>
      <c r="H651" s="112"/>
    </row>
    <row r="652" spans="1:8" s="61" customFormat="1" ht="16.5" customHeight="1" x14ac:dyDescent="0.25">
      <c r="A652" s="108">
        <v>3</v>
      </c>
      <c r="B652" s="108"/>
      <c r="C652" s="60" t="s">
        <v>176</v>
      </c>
      <c r="D652" s="60">
        <f>40*10.764</f>
        <v>430.55999999999995</v>
      </c>
      <c r="E652" s="60">
        <v>0</v>
      </c>
      <c r="F652" s="60">
        <f t="shared" si="93"/>
        <v>645.83999999999992</v>
      </c>
      <c r="G652" s="111"/>
      <c r="H652" s="112"/>
    </row>
    <row r="653" spans="1:8" s="61" customFormat="1" ht="16.5" customHeight="1" x14ac:dyDescent="0.25">
      <c r="A653" s="108">
        <v>4</v>
      </c>
      <c r="B653" s="108"/>
      <c r="C653" s="60" t="s">
        <v>176</v>
      </c>
      <c r="D653" s="60">
        <f>40*10.764</f>
        <v>430.55999999999995</v>
      </c>
      <c r="E653" s="60">
        <v>0</v>
      </c>
      <c r="F653" s="60">
        <f t="shared" si="93"/>
        <v>645.83999999999992</v>
      </c>
      <c r="G653" s="111"/>
      <c r="H653" s="112"/>
    </row>
    <row r="654" spans="1:8" s="61" customFormat="1" ht="16.5" customHeight="1" x14ac:dyDescent="0.25">
      <c r="A654" s="108">
        <v>5</v>
      </c>
      <c r="B654" s="108"/>
      <c r="C654" s="60" t="s">
        <v>173</v>
      </c>
      <c r="D654" s="60">
        <f>55.8*10.764</f>
        <v>600.63119999999992</v>
      </c>
      <c r="E654" s="60">
        <v>0</v>
      </c>
      <c r="F654" s="60">
        <f t="shared" si="93"/>
        <v>900.94679999999994</v>
      </c>
      <c r="G654" s="111"/>
      <c r="H654" s="112"/>
    </row>
    <row r="655" spans="1:8" s="61" customFormat="1" ht="16.5" customHeight="1" x14ac:dyDescent="0.25">
      <c r="A655" s="108">
        <v>6</v>
      </c>
      <c r="B655" s="108"/>
      <c r="C655" s="60" t="s">
        <v>173</v>
      </c>
      <c r="D655" s="60">
        <f>55.8*10.764</f>
        <v>600.63119999999992</v>
      </c>
      <c r="E655" s="60">
        <v>0</v>
      </c>
      <c r="F655" s="60">
        <f t="shared" si="93"/>
        <v>900.94679999999994</v>
      </c>
      <c r="G655" s="111"/>
      <c r="H655" s="112"/>
    </row>
    <row r="656" spans="1:8" s="61" customFormat="1" ht="16.5" customHeight="1" x14ac:dyDescent="0.25">
      <c r="A656" s="108">
        <v>7</v>
      </c>
      <c r="B656" s="108"/>
      <c r="C656" s="60" t="s">
        <v>176</v>
      </c>
      <c r="D656" s="60">
        <f>36.09*10.764</f>
        <v>388.47275999999999</v>
      </c>
      <c r="E656" s="60">
        <v>0</v>
      </c>
      <c r="F656" s="60">
        <f t="shared" si="93"/>
        <v>582.70913999999993</v>
      </c>
      <c r="G656" s="111"/>
      <c r="H656" s="112"/>
    </row>
    <row r="657" spans="1:10" s="61" customFormat="1" ht="16.5" customHeight="1" x14ac:dyDescent="0.25">
      <c r="A657" s="108">
        <v>8</v>
      </c>
      <c r="B657" s="108"/>
      <c r="C657" s="60" t="s">
        <v>176</v>
      </c>
      <c r="D657" s="60">
        <f>36.09*10.764</f>
        <v>388.47275999999999</v>
      </c>
      <c r="E657" s="60">
        <v>0</v>
      </c>
      <c r="F657" s="60">
        <f t="shared" si="93"/>
        <v>582.70913999999993</v>
      </c>
      <c r="G657" s="113"/>
      <c r="H657" s="114"/>
    </row>
    <row r="658" spans="1:10" s="61" customFormat="1" ht="16.5" customHeight="1" x14ac:dyDescent="0.25">
      <c r="A658" s="107" t="s">
        <v>221</v>
      </c>
      <c r="B658" s="107"/>
      <c r="C658" s="107"/>
      <c r="D658" s="107"/>
      <c r="E658" s="107"/>
      <c r="F658" s="107"/>
      <c r="G658" s="107"/>
      <c r="H658" s="107"/>
    </row>
    <row r="659" spans="1:10" s="61" customFormat="1" ht="16.5" customHeight="1" x14ac:dyDescent="0.25">
      <c r="A659" s="108">
        <v>1</v>
      </c>
      <c r="B659" s="108"/>
      <c r="C659" s="92" t="s">
        <v>173</v>
      </c>
      <c r="D659" s="92">
        <f>49.43*10.764</f>
        <v>532.06452000000002</v>
      </c>
      <c r="E659" s="92">
        <v>0</v>
      </c>
      <c r="F659" s="92">
        <f t="shared" ref="F659:F663" si="94">D659*(($F$328)+1)+(IF(E659&lt;101,E659,IF(E659&lt;201,E659/2,IF(E659&lt;=301,E659/3,E659/4))))</f>
        <v>798.09678000000008</v>
      </c>
      <c r="G659" s="108" t="str">
        <f>A658</f>
        <v>6th, 11th, 17th &amp; 23rd Floor (Part Refuge Area)</v>
      </c>
      <c r="H659" s="108"/>
    </row>
    <row r="660" spans="1:10" s="61" customFormat="1" ht="16.5" customHeight="1" x14ac:dyDescent="0.25">
      <c r="A660" s="108">
        <v>2</v>
      </c>
      <c r="B660" s="108"/>
      <c r="C660" s="92" t="s">
        <v>173</v>
      </c>
      <c r="D660" s="92">
        <f>49.43*10.764</f>
        <v>532.06452000000002</v>
      </c>
      <c r="E660" s="92">
        <v>0</v>
      </c>
      <c r="F660" s="92">
        <f t="shared" si="94"/>
        <v>798.09678000000008</v>
      </c>
      <c r="G660" s="108"/>
      <c r="H660" s="108"/>
    </row>
    <row r="661" spans="1:10" s="61" customFormat="1" ht="16.5" customHeight="1" x14ac:dyDescent="0.25">
      <c r="A661" s="108">
        <v>3</v>
      </c>
      <c r="B661" s="108"/>
      <c r="C661" s="92" t="s">
        <v>176</v>
      </c>
      <c r="D661" s="92">
        <f>40*10.764</f>
        <v>430.55999999999995</v>
      </c>
      <c r="E661" s="92">
        <v>0</v>
      </c>
      <c r="F661" s="92">
        <f t="shared" si="94"/>
        <v>645.83999999999992</v>
      </c>
      <c r="G661" s="108"/>
      <c r="H661" s="108"/>
    </row>
    <row r="662" spans="1:10" s="61" customFormat="1" ht="16.5" customHeight="1" x14ac:dyDescent="0.25">
      <c r="A662" s="108">
        <v>4</v>
      </c>
      <c r="B662" s="108"/>
      <c r="C662" s="92" t="s">
        <v>176</v>
      </c>
      <c r="D662" s="92">
        <f>40*10.764</f>
        <v>430.55999999999995</v>
      </c>
      <c r="E662" s="92">
        <v>0</v>
      </c>
      <c r="F662" s="92">
        <f t="shared" si="94"/>
        <v>645.83999999999992</v>
      </c>
      <c r="G662" s="108"/>
      <c r="H662" s="108"/>
    </row>
    <row r="663" spans="1:10" s="61" customFormat="1" ht="16.5" customHeight="1" x14ac:dyDescent="0.25">
      <c r="A663" s="108">
        <v>5</v>
      </c>
      <c r="B663" s="108"/>
      <c r="C663" s="92" t="s">
        <v>173</v>
      </c>
      <c r="D663" s="92">
        <f>55.8*10.764</f>
        <v>600.63119999999992</v>
      </c>
      <c r="E663" s="92">
        <v>0</v>
      </c>
      <c r="F663" s="92">
        <f t="shared" si="94"/>
        <v>900.94679999999994</v>
      </c>
      <c r="G663" s="108"/>
      <c r="H663" s="108"/>
    </row>
    <row r="664" spans="1:10" s="61" customFormat="1" ht="16.5" customHeight="1" x14ac:dyDescent="0.25">
      <c r="A664" s="108">
        <v>6</v>
      </c>
      <c r="B664" s="108"/>
      <c r="C664" s="108" t="s">
        <v>175</v>
      </c>
      <c r="D664" s="108"/>
      <c r="E664" s="108"/>
      <c r="F664" s="108"/>
      <c r="G664" s="108"/>
      <c r="H664" s="108"/>
    </row>
    <row r="665" spans="1:10" s="61" customFormat="1" ht="16.5" customHeight="1" x14ac:dyDescent="0.25">
      <c r="A665" s="108">
        <v>7</v>
      </c>
      <c r="B665" s="108"/>
      <c r="C665" s="92" t="s">
        <v>176</v>
      </c>
      <c r="D665" s="92">
        <f>36.09*10.764</f>
        <v>388.47275999999999</v>
      </c>
      <c r="E665" s="92">
        <v>0</v>
      </c>
      <c r="F665" s="92">
        <f t="shared" ref="F665:F666" si="95">D665*(($F$328)+1)+(IF(E665&lt;101,E665,IF(E665&lt;201,E665/2,IF(E665&lt;=301,E665/3,E665/4))))</f>
        <v>582.70913999999993</v>
      </c>
      <c r="G665" s="108"/>
      <c r="H665" s="108"/>
    </row>
    <row r="666" spans="1:10" s="61" customFormat="1" ht="16.5" customHeight="1" x14ac:dyDescent="0.25">
      <c r="A666" s="108">
        <v>8</v>
      </c>
      <c r="B666" s="108"/>
      <c r="C666" s="92" t="s">
        <v>176</v>
      </c>
      <c r="D666" s="92">
        <f>36.09*10.764</f>
        <v>388.47275999999999</v>
      </c>
      <c r="E666" s="92">
        <v>0</v>
      </c>
      <c r="F666" s="92">
        <f t="shared" si="95"/>
        <v>582.70913999999993</v>
      </c>
      <c r="G666" s="108"/>
      <c r="H666" s="108"/>
    </row>
    <row r="667" spans="1:10" s="2" customFormat="1" ht="16.5" customHeight="1" x14ac:dyDescent="0.25">
      <c r="A667" s="107" t="s">
        <v>182</v>
      </c>
      <c r="B667" s="107"/>
      <c r="C667" s="107"/>
      <c r="D667" s="107"/>
      <c r="E667" s="107"/>
      <c r="F667" s="107"/>
      <c r="G667" s="107"/>
      <c r="H667" s="107"/>
    </row>
    <row r="668" spans="1:10" s="2" customFormat="1" ht="16.5" customHeight="1" x14ac:dyDescent="0.25">
      <c r="A668" s="107" t="s">
        <v>181</v>
      </c>
      <c r="B668" s="107"/>
      <c r="C668" s="107"/>
      <c r="D668" s="107"/>
      <c r="E668" s="107"/>
      <c r="F668" s="107"/>
      <c r="G668" s="107"/>
      <c r="H668" s="107"/>
    </row>
    <row r="669" spans="1:10" s="2" customFormat="1" ht="16.5" customHeight="1" x14ac:dyDescent="0.25">
      <c r="A669" s="107" t="s">
        <v>216</v>
      </c>
      <c r="B669" s="107"/>
      <c r="C669" s="107"/>
      <c r="D669" s="107"/>
      <c r="E669" s="107"/>
      <c r="F669" s="107"/>
      <c r="G669" s="107"/>
      <c r="H669" s="107"/>
    </row>
    <row r="670" spans="1:10" s="2" customFormat="1" ht="16.5" customHeight="1" x14ac:dyDescent="0.25">
      <c r="A670" s="107" t="s">
        <v>223</v>
      </c>
      <c r="B670" s="107"/>
      <c r="C670" s="107"/>
      <c r="D670" s="107"/>
      <c r="E670" s="107"/>
      <c r="F670" s="107"/>
      <c r="G670" s="107"/>
      <c r="H670" s="107"/>
    </row>
    <row r="671" spans="1:10" s="2" customFormat="1" ht="16.5" customHeight="1" x14ac:dyDescent="0.25">
      <c r="A671" s="108">
        <v>1</v>
      </c>
      <c r="B671" s="108"/>
      <c r="C671" s="48" t="s">
        <v>173</v>
      </c>
      <c r="D671" s="48">
        <f>55.83*10.764</f>
        <v>600.95411999999999</v>
      </c>
      <c r="E671" s="40">
        <f>(3.099*1.07+3.2*0.43)*(10.764)</f>
        <v>50.503934520000001</v>
      </c>
      <c r="F671" s="48">
        <f>D671*(($F$328)+1)+(IF(E671&lt;101,E671,IF(E671&lt;201,E671/2,IF(E671&lt;=301,E671/3,E671/4))))</f>
        <v>951.93511452000007</v>
      </c>
      <c r="G671" s="109" t="str">
        <f>A670</f>
        <v>Upper Ground Floor For Residential &amp; Part Podium</v>
      </c>
      <c r="H671" s="110"/>
      <c r="J671" s="2">
        <f>2.229*1.05+2.18*2.74+3.05*4.72+1.3*2.16+2.21*1.3+3.2*3.05+2.755*3.32+1.19*0.91+1.85*0.91</f>
        <v>50.063650000000003</v>
      </c>
    </row>
    <row r="672" spans="1:10" s="2" customFormat="1" ht="16.5" customHeight="1" x14ac:dyDescent="0.25">
      <c r="A672" s="108">
        <v>2</v>
      </c>
      <c r="B672" s="108"/>
      <c r="C672" s="109" t="s">
        <v>224</v>
      </c>
      <c r="D672" s="115"/>
      <c r="E672" s="115"/>
      <c r="F672" s="110"/>
      <c r="G672" s="111"/>
      <c r="H672" s="112"/>
      <c r="J672" s="2">
        <f>1.73*0.6+3.05*0.63+2.6*0.63</f>
        <v>4.5975000000000001</v>
      </c>
    </row>
    <row r="673" spans="1:10" s="2" customFormat="1" ht="16.5" customHeight="1" x14ac:dyDescent="0.25">
      <c r="A673" s="108">
        <v>3</v>
      </c>
      <c r="B673" s="108"/>
      <c r="C673" s="111"/>
      <c r="D673" s="189"/>
      <c r="E673" s="189"/>
      <c r="F673" s="112"/>
      <c r="G673" s="111"/>
      <c r="H673" s="112"/>
    </row>
    <row r="674" spans="1:10" s="2" customFormat="1" ht="16.5" customHeight="1" x14ac:dyDescent="0.25">
      <c r="A674" s="108">
        <v>4</v>
      </c>
      <c r="B674" s="108"/>
      <c r="C674" s="111"/>
      <c r="D674" s="189"/>
      <c r="E674" s="189"/>
      <c r="F674" s="112"/>
      <c r="G674" s="111"/>
      <c r="H674" s="112"/>
    </row>
    <row r="675" spans="1:10" s="2" customFormat="1" ht="16.5" customHeight="1" x14ac:dyDescent="0.25">
      <c r="A675" s="108">
        <v>5</v>
      </c>
      <c r="B675" s="108"/>
      <c r="C675" s="113"/>
      <c r="D675" s="116"/>
      <c r="E675" s="116"/>
      <c r="F675" s="114"/>
      <c r="G675" s="111"/>
      <c r="H675" s="112"/>
    </row>
    <row r="676" spans="1:10" s="2" customFormat="1" ht="16.5" customHeight="1" x14ac:dyDescent="0.25">
      <c r="A676" s="108">
        <v>6</v>
      </c>
      <c r="B676" s="108"/>
      <c r="C676" s="48" t="s">
        <v>173</v>
      </c>
      <c r="D676" s="48">
        <f>49.35*10.764</f>
        <v>531.20339999999999</v>
      </c>
      <c r="E676" s="40">
        <f>(3.25*1.225+2.565*0.885)*(10.764)</f>
        <v>67.288724099999996</v>
      </c>
      <c r="F676" s="48">
        <f t="shared" ref="F676:F678" si="96">D676*(($F$328)+1)+(IF(E676&lt;101,E676,IF(E676&lt;201,E676/2,IF(E676&lt;=301,E676/3,E676/4))))</f>
        <v>864.09382410000001</v>
      </c>
      <c r="G676" s="111"/>
      <c r="H676" s="112"/>
    </row>
    <row r="677" spans="1:10" s="2" customFormat="1" ht="16.5" customHeight="1" x14ac:dyDescent="0.25">
      <c r="A677" s="108">
        <v>7</v>
      </c>
      <c r="B677" s="108"/>
      <c r="C677" s="48" t="s">
        <v>176</v>
      </c>
      <c r="D677" s="48">
        <f>34.36*10.764</f>
        <v>369.85103999999995</v>
      </c>
      <c r="E677" s="40">
        <f>(2.675*0.775)*(10.764)</f>
        <v>22.315117499999999</v>
      </c>
      <c r="F677" s="48">
        <f t="shared" si="96"/>
        <v>577.09167749999995</v>
      </c>
      <c r="G677" s="111"/>
      <c r="H677" s="112"/>
      <c r="I677" s="2">
        <f>4807000/F677</f>
        <v>8329.6990537521669</v>
      </c>
    </row>
    <row r="678" spans="1:10" s="2" customFormat="1" ht="16.5" customHeight="1" x14ac:dyDescent="0.25">
      <c r="A678" s="108">
        <v>8</v>
      </c>
      <c r="B678" s="108"/>
      <c r="C678" s="48" t="s">
        <v>176</v>
      </c>
      <c r="D678" s="48">
        <f>34.36*10.764</f>
        <v>369.85103999999995</v>
      </c>
      <c r="E678" s="40">
        <f>(2.675*0.775)*(10.764)</f>
        <v>22.315117499999999</v>
      </c>
      <c r="F678" s="48">
        <f t="shared" si="96"/>
        <v>577.09167749999995</v>
      </c>
      <c r="G678" s="113"/>
      <c r="H678" s="114"/>
    </row>
    <row r="679" spans="1:10" s="2" customFormat="1" ht="16.5" customHeight="1" x14ac:dyDescent="0.25">
      <c r="A679" s="107" t="s">
        <v>218</v>
      </c>
      <c r="B679" s="107"/>
      <c r="C679" s="107"/>
      <c r="D679" s="107"/>
      <c r="E679" s="107"/>
      <c r="F679" s="107"/>
      <c r="G679" s="107"/>
      <c r="H679" s="107"/>
    </row>
    <row r="680" spans="1:10" s="2" customFormat="1" ht="16.5" customHeight="1" x14ac:dyDescent="0.25">
      <c r="A680" s="108">
        <v>1</v>
      </c>
      <c r="B680" s="108"/>
      <c r="C680" s="94" t="s">
        <v>173</v>
      </c>
      <c r="D680" s="94">
        <f t="shared" ref="D680:D681" si="97">55.83*10.764</f>
        <v>600.95411999999999</v>
      </c>
      <c r="E680" s="94">
        <v>0</v>
      </c>
      <c r="F680" s="94">
        <f t="shared" ref="F680:F681" si="98">D680*(($F$328)+1)+(IF(E680&lt;101,E680,IF(E680&lt;201,E680/2,IF(E680&lt;=301,E680/3,E680/4))))</f>
        <v>901.43118000000004</v>
      </c>
      <c r="G680" s="108" t="str">
        <f>A679</f>
        <v>Stilt/ Lobby Floor for Residential</v>
      </c>
      <c r="H680" s="108"/>
      <c r="J680" s="40">
        <f>10.764</f>
        <v>10.763999999999999</v>
      </c>
    </row>
    <row r="681" spans="1:10" s="2" customFormat="1" ht="16.5" customHeight="1" x14ac:dyDescent="0.25">
      <c r="A681" s="108">
        <v>2</v>
      </c>
      <c r="B681" s="108"/>
      <c r="C681" s="94" t="s">
        <v>173</v>
      </c>
      <c r="D681" s="94">
        <f t="shared" si="97"/>
        <v>600.95411999999999</v>
      </c>
      <c r="E681" s="40">
        <f>(3.05*1.22+2.6*0.6)*(10.764)</f>
        <v>56.844683999999994</v>
      </c>
      <c r="F681" s="94">
        <f t="shared" si="98"/>
        <v>958.27586400000007</v>
      </c>
      <c r="G681" s="108"/>
      <c r="H681" s="108"/>
    </row>
    <row r="682" spans="1:10" s="2" customFormat="1" ht="16.5" customHeight="1" x14ac:dyDescent="0.25">
      <c r="A682" s="108">
        <v>3</v>
      </c>
      <c r="B682" s="108"/>
      <c r="C682" s="108" t="s">
        <v>225</v>
      </c>
      <c r="D682" s="108"/>
      <c r="E682" s="108"/>
      <c r="F682" s="108"/>
      <c r="G682" s="108"/>
      <c r="H682" s="108"/>
    </row>
    <row r="683" spans="1:10" s="2" customFormat="1" ht="16.5" customHeight="1" x14ac:dyDescent="0.25">
      <c r="A683" s="108">
        <v>4</v>
      </c>
      <c r="B683" s="108"/>
      <c r="C683" s="108"/>
      <c r="D683" s="108"/>
      <c r="E683" s="108"/>
      <c r="F683" s="108"/>
      <c r="G683" s="108"/>
      <c r="H683" s="108"/>
    </row>
    <row r="684" spans="1:10" s="2" customFormat="1" ht="16.5" customHeight="1" x14ac:dyDescent="0.25">
      <c r="A684" s="108">
        <v>5</v>
      </c>
      <c r="B684" s="108"/>
      <c r="C684" s="94" t="s">
        <v>173</v>
      </c>
      <c r="D684" s="94">
        <f t="shared" ref="D684:D685" si="99">49.35*10.764</f>
        <v>531.20339999999999</v>
      </c>
      <c r="E684" s="40">
        <f>(3.05*1.375+2.4*1.1)*(10.764)</f>
        <v>73.558485000000005</v>
      </c>
      <c r="F684" s="94">
        <f t="shared" ref="F684:F687" si="100">D684*(($F$328)+1)+(IF(E684&lt;101,E684,IF(E684&lt;201,E684/2,IF(E684&lt;=301,E684/3,E684/4))))</f>
        <v>870.36358500000006</v>
      </c>
      <c r="G684" s="108"/>
      <c r="H684" s="108"/>
    </row>
    <row r="685" spans="1:10" s="2" customFormat="1" ht="16.5" customHeight="1" x14ac:dyDescent="0.25">
      <c r="A685" s="108">
        <v>6</v>
      </c>
      <c r="B685" s="108"/>
      <c r="C685" s="94" t="s">
        <v>173</v>
      </c>
      <c r="D685" s="94">
        <f t="shared" si="99"/>
        <v>531.20339999999999</v>
      </c>
      <c r="E685" s="94">
        <v>0</v>
      </c>
      <c r="F685" s="94">
        <f t="shared" si="100"/>
        <v>796.80510000000004</v>
      </c>
      <c r="G685" s="108"/>
      <c r="H685" s="108"/>
    </row>
    <row r="686" spans="1:10" s="2" customFormat="1" ht="16.5" customHeight="1" x14ac:dyDescent="0.25">
      <c r="A686" s="108">
        <v>7</v>
      </c>
      <c r="B686" s="108"/>
      <c r="C686" s="94" t="s">
        <v>176</v>
      </c>
      <c r="D686" s="94">
        <f>34.36*10.764</f>
        <v>369.85103999999995</v>
      </c>
      <c r="E686" s="94">
        <v>0</v>
      </c>
      <c r="F686" s="94">
        <f t="shared" si="100"/>
        <v>554.7765599999999</v>
      </c>
      <c r="G686" s="108"/>
      <c r="H686" s="108"/>
    </row>
    <row r="687" spans="1:10" s="2" customFormat="1" ht="16.5" customHeight="1" x14ac:dyDescent="0.25">
      <c r="A687" s="108">
        <v>8</v>
      </c>
      <c r="B687" s="108"/>
      <c r="C687" s="94" t="s">
        <v>176</v>
      </c>
      <c r="D687" s="94">
        <f>34.36*10.764</f>
        <v>369.85103999999995</v>
      </c>
      <c r="E687" s="94">
        <v>0</v>
      </c>
      <c r="F687" s="94">
        <f t="shared" si="100"/>
        <v>554.7765599999999</v>
      </c>
      <c r="G687" s="108"/>
      <c r="H687" s="108"/>
    </row>
    <row r="688" spans="1:10" s="2" customFormat="1" ht="16.5" customHeight="1" x14ac:dyDescent="0.25">
      <c r="A688" s="107" t="s">
        <v>220</v>
      </c>
      <c r="B688" s="107"/>
      <c r="C688" s="107"/>
      <c r="D688" s="107"/>
      <c r="E688" s="107"/>
      <c r="F688" s="107"/>
      <c r="G688" s="107"/>
      <c r="H688" s="107"/>
    </row>
    <row r="689" spans="1:9" s="2" customFormat="1" ht="16.5" customHeight="1" x14ac:dyDescent="0.25">
      <c r="A689" s="108">
        <v>1</v>
      </c>
      <c r="B689" s="108"/>
      <c r="C689" s="48" t="s">
        <v>173</v>
      </c>
      <c r="D689" s="48">
        <f t="shared" ref="D689:D690" si="101">55.83*10.764</f>
        <v>600.95411999999999</v>
      </c>
      <c r="E689" s="48">
        <v>0</v>
      </c>
      <c r="F689" s="48">
        <f t="shared" ref="F689:F696" si="102">D689*(($F$328)+1)+(IF(E689&lt;101,E689,IF(E689&lt;201,E689/2,IF(E689&lt;=301,E689/3,E689/4))))</f>
        <v>901.43118000000004</v>
      </c>
      <c r="G689" s="109" t="str">
        <f>A688</f>
        <v>1st to 5th, 7th to 10th, 12th to 16th, 18th to 22nd, 24th &amp; 25th Floor</v>
      </c>
      <c r="H689" s="110"/>
      <c r="I689" s="2">
        <f>1.5*1.8+2.18*2.6+3.05*4.27+2.455*3.025+2.84*3.05+1.52*0.65+2.21*1.27+1.27*2.16+0.91*2.455+1.58*0.6+3.05*0.63+0.75*2.455+0.75*2.84</f>
        <v>53.092575000000011</v>
      </c>
    </row>
    <row r="690" spans="1:9" s="2" customFormat="1" ht="16.5" customHeight="1" x14ac:dyDescent="0.25">
      <c r="A690" s="108">
        <v>2</v>
      </c>
      <c r="B690" s="108"/>
      <c r="C690" s="48" t="s">
        <v>173</v>
      </c>
      <c r="D690" s="48">
        <f t="shared" si="101"/>
        <v>600.95411999999999</v>
      </c>
      <c r="E690" s="48">
        <v>0</v>
      </c>
      <c r="F690" s="48">
        <f t="shared" si="102"/>
        <v>901.43118000000004</v>
      </c>
      <c r="G690" s="111"/>
      <c r="H690" s="112"/>
    </row>
    <row r="691" spans="1:9" s="2" customFormat="1" ht="16.5" customHeight="1" x14ac:dyDescent="0.25">
      <c r="A691" s="108">
        <v>3</v>
      </c>
      <c r="B691" s="108"/>
      <c r="C691" s="48" t="s">
        <v>176</v>
      </c>
      <c r="D691" s="48">
        <f>34.36*10.764</f>
        <v>369.85103999999995</v>
      </c>
      <c r="E691" s="48">
        <v>0</v>
      </c>
      <c r="F691" s="48">
        <f t="shared" si="102"/>
        <v>554.7765599999999</v>
      </c>
      <c r="G691" s="111"/>
      <c r="H691" s="112"/>
    </row>
    <row r="692" spans="1:9" s="2" customFormat="1" ht="16.5" customHeight="1" x14ac:dyDescent="0.25">
      <c r="A692" s="108">
        <v>4</v>
      </c>
      <c r="B692" s="108"/>
      <c r="C692" s="48" t="s">
        <v>176</v>
      </c>
      <c r="D692" s="48">
        <f>34.36*10.764</f>
        <v>369.85103999999995</v>
      </c>
      <c r="E692" s="48">
        <v>0</v>
      </c>
      <c r="F692" s="48">
        <f t="shared" si="102"/>
        <v>554.7765599999999</v>
      </c>
      <c r="G692" s="111"/>
      <c r="H692" s="112"/>
    </row>
    <row r="693" spans="1:9" s="2" customFormat="1" ht="16.5" customHeight="1" x14ac:dyDescent="0.25">
      <c r="A693" s="108">
        <v>5</v>
      </c>
      <c r="B693" s="108"/>
      <c r="C693" s="48" t="s">
        <v>173</v>
      </c>
      <c r="D693" s="48">
        <f t="shared" ref="D693:D694" si="103">49.35*10.764</f>
        <v>531.20339999999999</v>
      </c>
      <c r="E693" s="48">
        <v>0</v>
      </c>
      <c r="F693" s="48">
        <f t="shared" si="102"/>
        <v>796.80510000000004</v>
      </c>
      <c r="G693" s="111"/>
      <c r="H693" s="112"/>
    </row>
    <row r="694" spans="1:9" s="2" customFormat="1" ht="16.5" customHeight="1" x14ac:dyDescent="0.25">
      <c r="A694" s="108">
        <v>6</v>
      </c>
      <c r="B694" s="108"/>
      <c r="C694" s="48" t="s">
        <v>173</v>
      </c>
      <c r="D694" s="48">
        <f t="shared" si="103"/>
        <v>531.20339999999999</v>
      </c>
      <c r="E694" s="48">
        <v>0</v>
      </c>
      <c r="F694" s="48">
        <f t="shared" si="102"/>
        <v>796.80510000000004</v>
      </c>
      <c r="G694" s="111"/>
      <c r="H694" s="112"/>
    </row>
    <row r="695" spans="1:9" s="2" customFormat="1" ht="16.5" customHeight="1" x14ac:dyDescent="0.25">
      <c r="A695" s="108">
        <v>7</v>
      </c>
      <c r="B695" s="108"/>
      <c r="C695" s="48" t="s">
        <v>176</v>
      </c>
      <c r="D695" s="48">
        <f>34.36*10.764</f>
        <v>369.85103999999995</v>
      </c>
      <c r="E695" s="48">
        <v>0</v>
      </c>
      <c r="F695" s="48">
        <f t="shared" si="102"/>
        <v>554.7765599999999</v>
      </c>
      <c r="G695" s="111"/>
      <c r="H695" s="112"/>
    </row>
    <row r="696" spans="1:9" s="2" customFormat="1" ht="16.5" customHeight="1" x14ac:dyDescent="0.25">
      <c r="A696" s="108">
        <v>8</v>
      </c>
      <c r="B696" s="108"/>
      <c r="C696" s="48" t="s">
        <v>176</v>
      </c>
      <c r="D696" s="48">
        <f>34.36*10.764</f>
        <v>369.85103999999995</v>
      </c>
      <c r="E696" s="48">
        <v>0</v>
      </c>
      <c r="F696" s="48">
        <f t="shared" si="102"/>
        <v>554.7765599999999</v>
      </c>
      <c r="G696" s="113"/>
      <c r="H696" s="114"/>
    </row>
    <row r="697" spans="1:9" s="2" customFormat="1" ht="16.5" customHeight="1" x14ac:dyDescent="0.25">
      <c r="A697" s="107" t="s">
        <v>221</v>
      </c>
      <c r="B697" s="107"/>
      <c r="C697" s="107"/>
      <c r="D697" s="107"/>
      <c r="E697" s="107"/>
      <c r="F697" s="107"/>
      <c r="G697" s="107"/>
      <c r="H697" s="107"/>
    </row>
    <row r="698" spans="1:9" s="2" customFormat="1" ht="16.5" customHeight="1" x14ac:dyDescent="0.25">
      <c r="A698" s="108">
        <v>1</v>
      </c>
      <c r="B698" s="108"/>
      <c r="C698" s="126" t="s">
        <v>175</v>
      </c>
      <c r="D698" s="179"/>
      <c r="E698" s="179"/>
      <c r="F698" s="127"/>
      <c r="G698" s="109" t="str">
        <f>A697</f>
        <v>6th, 11th, 17th &amp; 23rd Floor (Part Refuge Area)</v>
      </c>
      <c r="H698" s="110"/>
    </row>
    <row r="699" spans="1:9" s="2" customFormat="1" ht="16.5" customHeight="1" x14ac:dyDescent="0.25">
      <c r="A699" s="108">
        <v>2</v>
      </c>
      <c r="B699" s="108"/>
      <c r="C699" s="48" t="s">
        <v>173</v>
      </c>
      <c r="D699" s="48">
        <f t="shared" ref="D699" si="104">55.83*10.764</f>
        <v>600.95411999999999</v>
      </c>
      <c r="E699" s="48">
        <v>0</v>
      </c>
      <c r="F699" s="48">
        <f t="shared" ref="F699:F705" si="105">D699*(($F$328)+1)+(IF(E699&lt;101,E699,IF(E699&lt;201,E699/2,IF(E699&lt;=301,E699/3,E699/4))))</f>
        <v>901.43118000000004</v>
      </c>
      <c r="G699" s="111"/>
      <c r="H699" s="112"/>
    </row>
    <row r="700" spans="1:9" s="2" customFormat="1" ht="16.5" customHeight="1" x14ac:dyDescent="0.25">
      <c r="A700" s="108">
        <v>3</v>
      </c>
      <c r="B700" s="108"/>
      <c r="C700" s="48" t="s">
        <v>176</v>
      </c>
      <c r="D700" s="48">
        <f>34.36*10.764</f>
        <v>369.85103999999995</v>
      </c>
      <c r="E700" s="48">
        <v>0</v>
      </c>
      <c r="F700" s="48">
        <f t="shared" si="105"/>
        <v>554.7765599999999</v>
      </c>
      <c r="G700" s="111"/>
      <c r="H700" s="112"/>
    </row>
    <row r="701" spans="1:9" s="2" customFormat="1" ht="16.5" customHeight="1" x14ac:dyDescent="0.25">
      <c r="A701" s="108">
        <v>4</v>
      </c>
      <c r="B701" s="108"/>
      <c r="C701" s="48" t="s">
        <v>176</v>
      </c>
      <c r="D701" s="48">
        <f>34.36*10.764</f>
        <v>369.85103999999995</v>
      </c>
      <c r="E701" s="48">
        <v>0</v>
      </c>
      <c r="F701" s="48">
        <f t="shared" si="105"/>
        <v>554.7765599999999</v>
      </c>
      <c r="G701" s="111"/>
      <c r="H701" s="112"/>
    </row>
    <row r="702" spans="1:9" s="2" customFormat="1" ht="16.5" customHeight="1" x14ac:dyDescent="0.25">
      <c r="A702" s="108">
        <v>5</v>
      </c>
      <c r="B702" s="108"/>
      <c r="C702" s="48" t="s">
        <v>173</v>
      </c>
      <c r="D702" s="48">
        <f t="shared" ref="D702:D703" si="106">49.35*10.764</f>
        <v>531.20339999999999</v>
      </c>
      <c r="E702" s="48">
        <v>0</v>
      </c>
      <c r="F702" s="48">
        <f t="shared" si="105"/>
        <v>796.80510000000004</v>
      </c>
      <c r="G702" s="111"/>
      <c r="H702" s="112"/>
    </row>
    <row r="703" spans="1:9" s="2" customFormat="1" ht="16.5" customHeight="1" x14ac:dyDescent="0.25">
      <c r="A703" s="108">
        <v>6</v>
      </c>
      <c r="B703" s="108"/>
      <c r="C703" s="48" t="s">
        <v>173</v>
      </c>
      <c r="D703" s="48">
        <f t="shared" si="106"/>
        <v>531.20339999999999</v>
      </c>
      <c r="E703" s="48">
        <v>0</v>
      </c>
      <c r="F703" s="48">
        <f t="shared" si="105"/>
        <v>796.80510000000004</v>
      </c>
      <c r="G703" s="111"/>
      <c r="H703" s="112"/>
      <c r="I703" s="2">
        <f>7570000/F703</f>
        <v>9500.4411994852944</v>
      </c>
    </row>
    <row r="704" spans="1:9" s="2" customFormat="1" ht="16.5" customHeight="1" x14ac:dyDescent="0.25">
      <c r="A704" s="108">
        <v>7</v>
      </c>
      <c r="B704" s="108"/>
      <c r="C704" s="48" t="s">
        <v>176</v>
      </c>
      <c r="D704" s="48">
        <f>34.36*10.764</f>
        <v>369.85103999999995</v>
      </c>
      <c r="E704" s="48">
        <v>0</v>
      </c>
      <c r="F704" s="48">
        <f t="shared" si="105"/>
        <v>554.7765599999999</v>
      </c>
      <c r="G704" s="111"/>
      <c r="H704" s="112"/>
    </row>
    <row r="705" spans="1:9" s="2" customFormat="1" ht="16.5" customHeight="1" x14ac:dyDescent="0.25">
      <c r="A705" s="108">
        <v>8</v>
      </c>
      <c r="B705" s="108"/>
      <c r="C705" s="48" t="s">
        <v>176</v>
      </c>
      <c r="D705" s="48">
        <f>34.36*10.764</f>
        <v>369.85103999999995</v>
      </c>
      <c r="E705" s="48">
        <v>0</v>
      </c>
      <c r="F705" s="48">
        <f t="shared" si="105"/>
        <v>554.7765599999999</v>
      </c>
      <c r="G705" s="113"/>
      <c r="H705" s="114"/>
      <c r="I705" s="2">
        <f>7570000/F705</f>
        <v>13645.133096466803</v>
      </c>
    </row>
    <row r="706" spans="1:9" s="2" customFormat="1" ht="16.5" customHeight="1" x14ac:dyDescent="0.25">
      <c r="A706" s="107" t="s">
        <v>183</v>
      </c>
      <c r="B706" s="107"/>
      <c r="C706" s="107"/>
      <c r="D706" s="107"/>
      <c r="E706" s="107"/>
      <c r="F706" s="107"/>
      <c r="G706" s="107"/>
      <c r="H706" s="107"/>
    </row>
    <row r="707" spans="1:9" s="2" customFormat="1" ht="16.5" customHeight="1" x14ac:dyDescent="0.25">
      <c r="A707" s="107" t="s">
        <v>216</v>
      </c>
      <c r="B707" s="107"/>
      <c r="C707" s="107"/>
      <c r="D707" s="107"/>
      <c r="E707" s="107"/>
      <c r="F707" s="107"/>
      <c r="G707" s="107"/>
      <c r="H707" s="107"/>
    </row>
    <row r="708" spans="1:9" s="2" customFormat="1" ht="16.5" customHeight="1" x14ac:dyDescent="0.25">
      <c r="A708" s="107" t="s">
        <v>223</v>
      </c>
      <c r="B708" s="107"/>
      <c r="C708" s="107"/>
      <c r="D708" s="107"/>
      <c r="E708" s="107"/>
      <c r="F708" s="107"/>
      <c r="G708" s="107"/>
      <c r="H708" s="107"/>
    </row>
    <row r="709" spans="1:9" s="2" customFormat="1" ht="16.5" customHeight="1" x14ac:dyDescent="0.25">
      <c r="A709" s="108">
        <v>1</v>
      </c>
      <c r="B709" s="108"/>
      <c r="C709" s="92" t="s">
        <v>173</v>
      </c>
      <c r="D709" s="92">
        <f>55.78*10.764</f>
        <v>600.41592000000003</v>
      </c>
      <c r="E709" s="40">
        <f>(3.05*1.22+3.2*0.35+0.75*0.35)*(10.764)</f>
        <v>54.934073999999988</v>
      </c>
      <c r="F709" s="92">
        <f t="shared" ref="F709:F711" si="107">D709*(($F$328)+1)+(IF(E709&lt;101,E709,IF(E709&lt;201,E709/2,IF(E709&lt;=301,E709/3,E709/4))))</f>
        <v>955.55795400000011</v>
      </c>
      <c r="G709" s="108" t="str">
        <f>A708</f>
        <v>Upper Ground Floor For Residential &amp; Part Podium</v>
      </c>
      <c r="H709" s="108"/>
    </row>
    <row r="710" spans="1:9" s="2" customFormat="1" ht="16.5" customHeight="1" x14ac:dyDescent="0.25">
      <c r="A710" s="108">
        <v>2</v>
      </c>
      <c r="B710" s="108"/>
      <c r="C710" s="92" t="s">
        <v>173</v>
      </c>
      <c r="D710" s="92">
        <f t="shared" ref="D710:D711" si="108">55.78*10.764</f>
        <v>600.41592000000003</v>
      </c>
      <c r="E710" s="92">
        <v>0</v>
      </c>
      <c r="F710" s="92">
        <f t="shared" si="107"/>
        <v>900.6238800000001</v>
      </c>
      <c r="G710" s="108"/>
      <c r="H710" s="108"/>
    </row>
    <row r="711" spans="1:9" s="2" customFormat="1" ht="16.5" customHeight="1" x14ac:dyDescent="0.25">
      <c r="A711" s="108">
        <v>3</v>
      </c>
      <c r="B711" s="108"/>
      <c r="C711" s="92" t="s">
        <v>173</v>
      </c>
      <c r="D711" s="92">
        <f t="shared" si="108"/>
        <v>600.41592000000003</v>
      </c>
      <c r="E711" s="40">
        <f>0</f>
        <v>0</v>
      </c>
      <c r="F711" s="92">
        <f t="shared" si="107"/>
        <v>900.6238800000001</v>
      </c>
      <c r="G711" s="108"/>
      <c r="H711" s="108"/>
    </row>
    <row r="712" spans="1:9" s="2" customFormat="1" ht="16.5" customHeight="1" x14ac:dyDescent="0.25">
      <c r="A712" s="108">
        <v>4</v>
      </c>
      <c r="B712" s="108"/>
      <c r="C712" s="108" t="s">
        <v>224</v>
      </c>
      <c r="D712" s="108"/>
      <c r="E712" s="108"/>
      <c r="F712" s="108"/>
      <c r="G712" s="108"/>
      <c r="H712" s="108"/>
    </row>
    <row r="713" spans="1:9" s="2" customFormat="1" ht="16.5" customHeight="1" x14ac:dyDescent="0.25">
      <c r="A713" s="108">
        <v>5</v>
      </c>
      <c r="B713" s="108"/>
      <c r="C713" s="108"/>
      <c r="D713" s="108"/>
      <c r="E713" s="108"/>
      <c r="F713" s="108"/>
      <c r="G713" s="108"/>
      <c r="H713" s="108"/>
    </row>
    <row r="714" spans="1:9" s="2" customFormat="1" ht="16.5" customHeight="1" x14ac:dyDescent="0.25">
      <c r="A714" s="108">
        <v>6</v>
      </c>
      <c r="B714" s="108"/>
      <c r="C714" s="92" t="s">
        <v>173</v>
      </c>
      <c r="D714" s="92">
        <f>49.27*10.764</f>
        <v>530.34227999999996</v>
      </c>
      <c r="E714" s="40">
        <f>(3.05*1.375+2.7*1.035)*(10.764)</f>
        <v>75.221522999999991</v>
      </c>
      <c r="F714" s="92">
        <f t="shared" ref="F714:F716" si="109">D714*(($F$328)+1)+(IF(E714&lt;101,E714,IF(E714&lt;201,E714/2,IF(E714&lt;=301,E714/3,E714/4))))</f>
        <v>870.73494299999993</v>
      </c>
      <c r="G714" s="108"/>
      <c r="H714" s="108"/>
    </row>
    <row r="715" spans="1:9" s="2" customFormat="1" ht="16.5" customHeight="1" x14ac:dyDescent="0.25">
      <c r="A715" s="108">
        <v>7</v>
      </c>
      <c r="B715" s="108"/>
      <c r="C715" s="92" t="s">
        <v>176</v>
      </c>
      <c r="D715" s="92">
        <f>40.08*10.764</f>
        <v>431.42111999999997</v>
      </c>
      <c r="E715" s="92">
        <v>0</v>
      </c>
      <c r="F715" s="92">
        <f t="shared" si="109"/>
        <v>647.13167999999996</v>
      </c>
      <c r="G715" s="108"/>
      <c r="H715" s="108"/>
    </row>
    <row r="716" spans="1:9" s="2" customFormat="1" ht="16.5" customHeight="1" x14ac:dyDescent="0.25">
      <c r="A716" s="108">
        <v>8</v>
      </c>
      <c r="B716" s="108"/>
      <c r="C716" s="92" t="s">
        <v>176</v>
      </c>
      <c r="D716" s="92">
        <f>40.08*10.764</f>
        <v>431.42111999999997</v>
      </c>
      <c r="E716" s="92">
        <v>0</v>
      </c>
      <c r="F716" s="92">
        <f t="shared" si="109"/>
        <v>647.13167999999996</v>
      </c>
      <c r="G716" s="108"/>
      <c r="H716" s="108"/>
    </row>
    <row r="717" spans="1:9" s="2" customFormat="1" ht="16.5" customHeight="1" x14ac:dyDescent="0.25">
      <c r="A717" s="107" t="s">
        <v>174</v>
      </c>
      <c r="B717" s="107"/>
      <c r="C717" s="107"/>
      <c r="D717" s="107"/>
      <c r="E717" s="107"/>
      <c r="F717" s="107"/>
      <c r="G717" s="107"/>
      <c r="H717" s="107"/>
    </row>
    <row r="718" spans="1:9" s="2" customFormat="1" ht="16.5" customHeight="1" x14ac:dyDescent="0.25">
      <c r="A718" s="108">
        <v>1</v>
      </c>
      <c r="B718" s="108"/>
      <c r="C718" s="94" t="s">
        <v>173</v>
      </c>
      <c r="D718" s="94">
        <f>55.78*10.764</f>
        <v>600.41592000000003</v>
      </c>
      <c r="E718" s="94">
        <v>0</v>
      </c>
      <c r="F718" s="94">
        <f t="shared" ref="F718:F719" si="110">D718*(($F$328)+1)+(IF(E718&lt;101,E718,IF(E718&lt;201,E718/2,IF(E718&lt;=301,E718/3,E718/4))))</f>
        <v>900.6238800000001</v>
      </c>
      <c r="G718" s="108" t="str">
        <f>A717</f>
        <v>Stilt/ Lobby Floor for Residential &amp; Parking</v>
      </c>
      <c r="H718" s="108"/>
    </row>
    <row r="719" spans="1:9" s="2" customFormat="1" ht="16.5" customHeight="1" x14ac:dyDescent="0.25">
      <c r="A719" s="108">
        <v>2</v>
      </c>
      <c r="B719" s="108"/>
      <c r="C719" s="94" t="s">
        <v>173</v>
      </c>
      <c r="D719" s="94">
        <f t="shared" ref="D719" si="111">55.78*10.764</f>
        <v>600.41592000000003</v>
      </c>
      <c r="E719" s="94">
        <v>0</v>
      </c>
      <c r="F719" s="94">
        <f t="shared" si="110"/>
        <v>900.6238800000001</v>
      </c>
      <c r="G719" s="108"/>
      <c r="H719" s="108"/>
    </row>
    <row r="720" spans="1:9" s="2" customFormat="1" ht="16.5" customHeight="1" x14ac:dyDescent="0.25">
      <c r="A720" s="108">
        <v>3</v>
      </c>
      <c r="B720" s="108"/>
      <c r="C720" s="108" t="s">
        <v>225</v>
      </c>
      <c r="D720" s="108"/>
      <c r="E720" s="108"/>
      <c r="F720" s="108"/>
      <c r="G720" s="108"/>
      <c r="H720" s="108"/>
    </row>
    <row r="721" spans="1:8" s="2" customFormat="1" ht="16.5" customHeight="1" x14ac:dyDescent="0.25">
      <c r="A721" s="108">
        <v>4</v>
      </c>
      <c r="B721" s="108"/>
      <c r="C721" s="108"/>
      <c r="D721" s="108"/>
      <c r="E721" s="108"/>
      <c r="F721" s="108"/>
      <c r="G721" s="108"/>
      <c r="H721" s="108"/>
    </row>
    <row r="722" spans="1:8" s="2" customFormat="1" ht="16.5" customHeight="1" x14ac:dyDescent="0.25">
      <c r="A722" s="108">
        <v>5</v>
      </c>
      <c r="B722" s="108"/>
      <c r="C722" s="94" t="s">
        <v>173</v>
      </c>
      <c r="D722" s="94">
        <f t="shared" ref="D722:D723" si="112">49.27*10.764</f>
        <v>530.34227999999996</v>
      </c>
      <c r="E722" s="94">
        <f>(3.05*1.45+2.69*1.085)*10.764</f>
        <v>79.020138599999981</v>
      </c>
      <c r="F722" s="94">
        <f t="shared" ref="F722:F725" si="113">D722*(($F$328)+1)+(IF(E722&lt;101,E722,IF(E722&lt;201,E722/2,IF(E722&lt;=301,E722/3,E722/4))))</f>
        <v>874.53355859999999</v>
      </c>
      <c r="G722" s="108"/>
      <c r="H722" s="108"/>
    </row>
    <row r="723" spans="1:8" s="2" customFormat="1" ht="16.5" customHeight="1" x14ac:dyDescent="0.25">
      <c r="A723" s="108">
        <v>6</v>
      </c>
      <c r="B723" s="108"/>
      <c r="C723" s="94" t="s">
        <v>173</v>
      </c>
      <c r="D723" s="94">
        <f t="shared" si="112"/>
        <v>530.34227999999996</v>
      </c>
      <c r="E723" s="94">
        <v>0</v>
      </c>
      <c r="F723" s="94">
        <f t="shared" si="113"/>
        <v>795.51342</v>
      </c>
      <c r="G723" s="108"/>
      <c r="H723" s="108"/>
    </row>
    <row r="724" spans="1:8" s="2" customFormat="1" ht="16.5" customHeight="1" x14ac:dyDescent="0.25">
      <c r="A724" s="108">
        <v>7</v>
      </c>
      <c r="B724" s="108"/>
      <c r="C724" s="94" t="s">
        <v>176</v>
      </c>
      <c r="D724" s="94">
        <f t="shared" ref="D724:D725" si="114">40.08*10.764</f>
        <v>431.42111999999997</v>
      </c>
      <c r="E724" s="94">
        <v>0</v>
      </c>
      <c r="F724" s="94">
        <f t="shared" si="113"/>
        <v>647.13167999999996</v>
      </c>
      <c r="G724" s="108"/>
      <c r="H724" s="108"/>
    </row>
    <row r="725" spans="1:8" s="2" customFormat="1" ht="16.5" customHeight="1" x14ac:dyDescent="0.25">
      <c r="A725" s="108">
        <v>8</v>
      </c>
      <c r="B725" s="108"/>
      <c r="C725" s="94" t="s">
        <v>176</v>
      </c>
      <c r="D725" s="94">
        <f t="shared" si="114"/>
        <v>431.42111999999997</v>
      </c>
      <c r="E725" s="94">
        <v>0</v>
      </c>
      <c r="F725" s="94">
        <f t="shared" si="113"/>
        <v>647.13167999999996</v>
      </c>
      <c r="G725" s="108"/>
      <c r="H725" s="108"/>
    </row>
    <row r="726" spans="1:8" s="2" customFormat="1" ht="16.5" customHeight="1" x14ac:dyDescent="0.25">
      <c r="A726" s="107" t="s">
        <v>220</v>
      </c>
      <c r="B726" s="107"/>
      <c r="C726" s="107"/>
      <c r="D726" s="107"/>
      <c r="E726" s="107"/>
      <c r="F726" s="107"/>
      <c r="G726" s="107"/>
      <c r="H726" s="107"/>
    </row>
    <row r="727" spans="1:8" s="2" customFormat="1" ht="16.5" customHeight="1" x14ac:dyDescent="0.25">
      <c r="A727" s="108">
        <v>1</v>
      </c>
      <c r="B727" s="108"/>
      <c r="C727" s="48" t="s">
        <v>173</v>
      </c>
      <c r="D727" s="48">
        <f t="shared" ref="D727:D730" si="115">55.78*10.764</f>
        <v>600.41592000000003</v>
      </c>
      <c r="E727" s="48">
        <v>0</v>
      </c>
      <c r="F727" s="48">
        <f t="shared" ref="F727:F733" si="116">D727*(($F$328)+1)+(IF(E727&lt;101,E727,IF(E727&lt;201,E727/2,IF(E727&lt;=301,E727/3,E727/4))))</f>
        <v>900.6238800000001</v>
      </c>
      <c r="G727" s="109" t="str">
        <f>A726</f>
        <v>1st to 5th, 7th to 10th, 12th to 16th, 18th to 22nd, 24th &amp; 25th Floor</v>
      </c>
      <c r="H727" s="110"/>
    </row>
    <row r="728" spans="1:8" s="2" customFormat="1" ht="16.5" customHeight="1" x14ac:dyDescent="0.25">
      <c r="A728" s="108">
        <v>2</v>
      </c>
      <c r="B728" s="108"/>
      <c r="C728" s="48" t="s">
        <v>173</v>
      </c>
      <c r="D728" s="48">
        <f t="shared" si="115"/>
        <v>600.41592000000003</v>
      </c>
      <c r="E728" s="48">
        <v>0</v>
      </c>
      <c r="F728" s="48">
        <f t="shared" si="116"/>
        <v>900.6238800000001</v>
      </c>
      <c r="G728" s="111"/>
      <c r="H728" s="112"/>
    </row>
    <row r="729" spans="1:8" s="2" customFormat="1" ht="16.5" customHeight="1" x14ac:dyDescent="0.25">
      <c r="A729" s="108">
        <v>3</v>
      </c>
      <c r="B729" s="108"/>
      <c r="C729" s="48" t="s">
        <v>173</v>
      </c>
      <c r="D729" s="48">
        <f t="shared" si="115"/>
        <v>600.41592000000003</v>
      </c>
      <c r="E729" s="48">
        <v>0</v>
      </c>
      <c r="F729" s="48">
        <f t="shared" si="116"/>
        <v>900.6238800000001</v>
      </c>
      <c r="G729" s="111"/>
      <c r="H729" s="112"/>
    </row>
    <row r="730" spans="1:8" s="2" customFormat="1" ht="16.5" customHeight="1" x14ac:dyDescent="0.25">
      <c r="A730" s="108">
        <v>4</v>
      </c>
      <c r="B730" s="108"/>
      <c r="C730" s="48" t="s">
        <v>173</v>
      </c>
      <c r="D730" s="48">
        <f t="shared" si="115"/>
        <v>600.41592000000003</v>
      </c>
      <c r="E730" s="48">
        <v>0</v>
      </c>
      <c r="F730" s="48">
        <f t="shared" si="116"/>
        <v>900.6238800000001</v>
      </c>
      <c r="G730" s="111"/>
      <c r="H730" s="112"/>
    </row>
    <row r="731" spans="1:8" s="2" customFormat="1" ht="16.5" customHeight="1" x14ac:dyDescent="0.25">
      <c r="A731" s="108">
        <v>5</v>
      </c>
      <c r="B731" s="108"/>
      <c r="C731" s="48" t="s">
        <v>173</v>
      </c>
      <c r="D731" s="48">
        <f t="shared" ref="D731:D732" si="117">49.27*10.764</f>
        <v>530.34227999999996</v>
      </c>
      <c r="E731" s="48">
        <v>0</v>
      </c>
      <c r="F731" s="48">
        <f t="shared" si="116"/>
        <v>795.51342</v>
      </c>
      <c r="G731" s="111"/>
      <c r="H731" s="112"/>
    </row>
    <row r="732" spans="1:8" s="2" customFormat="1" ht="16.5" customHeight="1" x14ac:dyDescent="0.25">
      <c r="A732" s="108">
        <v>6</v>
      </c>
      <c r="B732" s="108"/>
      <c r="C732" s="48" t="s">
        <v>173</v>
      </c>
      <c r="D732" s="48">
        <f t="shared" si="117"/>
        <v>530.34227999999996</v>
      </c>
      <c r="E732" s="48">
        <v>0</v>
      </c>
      <c r="F732" s="48">
        <f t="shared" si="116"/>
        <v>795.51342</v>
      </c>
      <c r="G732" s="111"/>
      <c r="H732" s="112"/>
    </row>
    <row r="733" spans="1:8" s="2" customFormat="1" ht="16.5" customHeight="1" x14ac:dyDescent="0.25">
      <c r="A733" s="108">
        <v>7</v>
      </c>
      <c r="B733" s="108"/>
      <c r="C733" s="48" t="s">
        <v>176</v>
      </c>
      <c r="D733" s="48">
        <f t="shared" ref="D733:D734" si="118">40.08*10.764</f>
        <v>431.42111999999997</v>
      </c>
      <c r="E733" s="48">
        <v>0</v>
      </c>
      <c r="F733" s="48">
        <f t="shared" si="116"/>
        <v>647.13167999999996</v>
      </c>
      <c r="G733" s="111"/>
      <c r="H733" s="112"/>
    </row>
    <row r="734" spans="1:8" s="2" customFormat="1" ht="16.5" customHeight="1" x14ac:dyDescent="0.25">
      <c r="A734" s="108">
        <v>8</v>
      </c>
      <c r="B734" s="108"/>
      <c r="C734" s="48" t="s">
        <v>176</v>
      </c>
      <c r="D734" s="48">
        <f t="shared" si="118"/>
        <v>431.42111999999997</v>
      </c>
      <c r="E734" s="48">
        <v>0</v>
      </c>
      <c r="F734" s="48">
        <f>D734*(($F$328)+1)+(IF(E734&lt;101,E734,IF(E734&lt;201,E734/2,IF(E734&lt;=301,E734/3,E734/4))))</f>
        <v>647.13167999999996</v>
      </c>
      <c r="G734" s="113"/>
      <c r="H734" s="114"/>
    </row>
    <row r="735" spans="1:8" s="2" customFormat="1" ht="16.5" customHeight="1" x14ac:dyDescent="0.25">
      <c r="A735" s="107" t="s">
        <v>221</v>
      </c>
      <c r="B735" s="107"/>
      <c r="C735" s="107"/>
      <c r="D735" s="107"/>
      <c r="E735" s="107"/>
      <c r="F735" s="107"/>
      <c r="G735" s="107"/>
      <c r="H735" s="107"/>
    </row>
    <row r="736" spans="1:8" s="2" customFormat="1" ht="16.5" customHeight="1" x14ac:dyDescent="0.25">
      <c r="A736" s="108">
        <v>1</v>
      </c>
      <c r="B736" s="108"/>
      <c r="C736" s="48" t="s">
        <v>173</v>
      </c>
      <c r="D736" s="48">
        <f t="shared" ref="D736:D737" si="119">55.78*10.764</f>
        <v>600.41592000000003</v>
      </c>
      <c r="E736" s="48">
        <v>0</v>
      </c>
      <c r="F736" s="48">
        <f t="shared" ref="F736:F737" si="120">D736*(($F$328)+1)+(IF(E736&lt;101,E736,IF(E736&lt;201,E736/2,IF(E736&lt;=301,E736/3,E736/4))))</f>
        <v>900.6238800000001</v>
      </c>
      <c r="G736" s="109" t="str">
        <f>A735</f>
        <v>6th, 11th, 17th &amp; 23rd Floor (Part Refuge Area)</v>
      </c>
      <c r="H736" s="110"/>
    </row>
    <row r="737" spans="1:10" s="2" customFormat="1" ht="16.5" customHeight="1" x14ac:dyDescent="0.25">
      <c r="A737" s="108">
        <v>2</v>
      </c>
      <c r="B737" s="108"/>
      <c r="C737" s="48" t="s">
        <v>173</v>
      </c>
      <c r="D737" s="48">
        <f t="shared" si="119"/>
        <v>600.41592000000003</v>
      </c>
      <c r="E737" s="48">
        <v>0</v>
      </c>
      <c r="F737" s="48">
        <f t="shared" si="120"/>
        <v>900.6238800000001</v>
      </c>
      <c r="G737" s="111"/>
      <c r="H737" s="112"/>
    </row>
    <row r="738" spans="1:10" s="2" customFormat="1" ht="16.5" customHeight="1" x14ac:dyDescent="0.25">
      <c r="A738" s="108">
        <v>3</v>
      </c>
      <c r="B738" s="108"/>
      <c r="C738" s="126" t="s">
        <v>175</v>
      </c>
      <c r="D738" s="179"/>
      <c r="E738" s="179"/>
      <c r="F738" s="127"/>
      <c r="G738" s="111"/>
      <c r="H738" s="112"/>
    </row>
    <row r="739" spans="1:10" s="2" customFormat="1" ht="16.5" customHeight="1" x14ac:dyDescent="0.25">
      <c r="A739" s="108">
        <v>4</v>
      </c>
      <c r="B739" s="108"/>
      <c r="C739" s="48" t="s">
        <v>173</v>
      </c>
      <c r="D739" s="48">
        <f t="shared" ref="D739" si="121">55.78*10.764</f>
        <v>600.41592000000003</v>
      </c>
      <c r="E739" s="48">
        <v>0</v>
      </c>
      <c r="F739" s="48">
        <f t="shared" ref="F739:F743" si="122">D739*(($F$328)+1)+(IF(E739&lt;101,E739,IF(E739&lt;201,E739/2,IF(E739&lt;=301,E739/3,E739/4))))</f>
        <v>900.6238800000001</v>
      </c>
      <c r="G739" s="111"/>
      <c r="H739" s="112"/>
      <c r="J739" s="2">
        <f>5550000/F739</f>
        <v>6162.3948945257807</v>
      </c>
    </row>
    <row r="740" spans="1:10" s="2" customFormat="1" ht="16.5" customHeight="1" x14ac:dyDescent="0.25">
      <c r="A740" s="108">
        <v>5</v>
      </c>
      <c r="B740" s="108"/>
      <c r="C740" s="48" t="s">
        <v>173</v>
      </c>
      <c r="D740" s="48">
        <f t="shared" ref="D740:D741" si="123">49.27*10.764</f>
        <v>530.34227999999996</v>
      </c>
      <c r="E740" s="48">
        <v>0</v>
      </c>
      <c r="F740" s="48">
        <f t="shared" si="122"/>
        <v>795.51342</v>
      </c>
      <c r="G740" s="111"/>
      <c r="H740" s="112"/>
    </row>
    <row r="741" spans="1:10" s="2" customFormat="1" ht="16.5" customHeight="1" x14ac:dyDescent="0.25">
      <c r="A741" s="108">
        <v>6</v>
      </c>
      <c r="B741" s="108"/>
      <c r="C741" s="48" t="s">
        <v>173</v>
      </c>
      <c r="D741" s="48">
        <f t="shared" si="123"/>
        <v>530.34227999999996</v>
      </c>
      <c r="E741" s="48">
        <v>0</v>
      </c>
      <c r="F741" s="48">
        <f t="shared" si="122"/>
        <v>795.51342</v>
      </c>
      <c r="G741" s="111"/>
      <c r="H741" s="112"/>
    </row>
    <row r="742" spans="1:10" s="2" customFormat="1" ht="16.5" customHeight="1" x14ac:dyDescent="0.25">
      <c r="A742" s="108">
        <v>7</v>
      </c>
      <c r="B742" s="108"/>
      <c r="C742" s="48" t="s">
        <v>176</v>
      </c>
      <c r="D742" s="48">
        <f t="shared" ref="D742:D743" si="124">40.08*10.764</f>
        <v>431.42111999999997</v>
      </c>
      <c r="E742" s="48">
        <v>0</v>
      </c>
      <c r="F742" s="48">
        <f t="shared" si="122"/>
        <v>647.13167999999996</v>
      </c>
      <c r="G742" s="111"/>
      <c r="H742" s="112"/>
    </row>
    <row r="743" spans="1:10" s="2" customFormat="1" ht="16.5" customHeight="1" x14ac:dyDescent="0.25">
      <c r="A743" s="108">
        <v>8</v>
      </c>
      <c r="B743" s="108"/>
      <c r="C743" s="48" t="s">
        <v>176</v>
      </c>
      <c r="D743" s="48">
        <f t="shared" si="124"/>
        <v>431.42111999999997</v>
      </c>
      <c r="E743" s="48">
        <v>0</v>
      </c>
      <c r="F743" s="48">
        <f t="shared" si="122"/>
        <v>647.13167999999996</v>
      </c>
      <c r="G743" s="113"/>
      <c r="H743" s="114"/>
    </row>
    <row r="744" spans="1:10" s="2" customFormat="1" ht="16.5" customHeight="1" x14ac:dyDescent="0.25">
      <c r="A744" s="107" t="s">
        <v>184</v>
      </c>
      <c r="B744" s="107"/>
      <c r="C744" s="107"/>
      <c r="D744" s="107"/>
      <c r="E744" s="107"/>
      <c r="F744" s="107"/>
      <c r="G744" s="107"/>
      <c r="H744" s="107"/>
    </row>
    <row r="745" spans="1:10" s="2" customFormat="1" ht="16.5" customHeight="1" x14ac:dyDescent="0.25">
      <c r="A745" s="107" t="s">
        <v>216</v>
      </c>
      <c r="B745" s="107"/>
      <c r="C745" s="107"/>
      <c r="D745" s="107"/>
      <c r="E745" s="107"/>
      <c r="F745" s="107"/>
      <c r="G745" s="107"/>
      <c r="H745" s="107"/>
    </row>
    <row r="746" spans="1:10" s="2" customFormat="1" ht="16.5" customHeight="1" x14ac:dyDescent="0.25">
      <c r="A746" s="107" t="s">
        <v>223</v>
      </c>
      <c r="B746" s="107"/>
      <c r="C746" s="107"/>
      <c r="D746" s="107"/>
      <c r="E746" s="107"/>
      <c r="F746" s="107"/>
      <c r="G746" s="107"/>
      <c r="H746" s="107"/>
    </row>
    <row r="747" spans="1:10" s="2" customFormat="1" ht="16.5" customHeight="1" x14ac:dyDescent="0.25">
      <c r="A747" s="108">
        <v>1</v>
      </c>
      <c r="B747" s="108"/>
      <c r="C747" s="92" t="s">
        <v>173</v>
      </c>
      <c r="D747" s="92">
        <f>49.27*10.764</f>
        <v>530.34227999999996</v>
      </c>
      <c r="E747" s="92">
        <v>0</v>
      </c>
      <c r="F747" s="92">
        <f>D747*(($F$328)+1)+(IF(E747&lt;101,E747,IF(E747&lt;201,E747/2,IF(E747&lt;=301,E747/3,E747/4))))</f>
        <v>795.51342</v>
      </c>
      <c r="G747" s="108" t="str">
        <f>A746</f>
        <v>Upper Ground Floor For Residential &amp; Part Podium</v>
      </c>
      <c r="H747" s="108"/>
    </row>
    <row r="748" spans="1:10" s="2" customFormat="1" ht="16.5" customHeight="1" x14ac:dyDescent="0.25">
      <c r="A748" s="108">
        <v>2</v>
      </c>
      <c r="B748" s="108"/>
      <c r="C748" s="108" t="s">
        <v>224</v>
      </c>
      <c r="D748" s="108"/>
      <c r="E748" s="108"/>
      <c r="F748" s="108"/>
      <c r="G748" s="108"/>
      <c r="H748" s="108"/>
    </row>
    <row r="749" spans="1:10" s="2" customFormat="1" ht="16.5" customHeight="1" x14ac:dyDescent="0.25">
      <c r="A749" s="108">
        <v>3</v>
      </c>
      <c r="B749" s="108"/>
      <c r="C749" s="108"/>
      <c r="D749" s="108"/>
      <c r="E749" s="108"/>
      <c r="F749" s="108"/>
      <c r="G749" s="108"/>
      <c r="H749" s="108"/>
    </row>
    <row r="750" spans="1:10" s="2" customFormat="1" ht="16.5" customHeight="1" x14ac:dyDescent="0.25">
      <c r="A750" s="108">
        <v>4</v>
      </c>
      <c r="B750" s="108"/>
      <c r="C750" s="108"/>
      <c r="D750" s="108"/>
      <c r="E750" s="108"/>
      <c r="F750" s="108"/>
      <c r="G750" s="108"/>
      <c r="H750" s="108"/>
    </row>
    <row r="751" spans="1:10" s="2" customFormat="1" ht="16.5" customHeight="1" x14ac:dyDescent="0.25">
      <c r="A751" s="108">
        <v>5</v>
      </c>
      <c r="B751" s="108"/>
      <c r="C751" s="108"/>
      <c r="D751" s="108"/>
      <c r="E751" s="108"/>
      <c r="F751" s="108"/>
      <c r="G751" s="108"/>
      <c r="H751" s="108"/>
    </row>
    <row r="752" spans="1:10" s="2" customFormat="1" ht="16.5" customHeight="1" x14ac:dyDescent="0.25">
      <c r="A752" s="108">
        <v>6</v>
      </c>
      <c r="B752" s="108"/>
      <c r="C752" s="92" t="s">
        <v>173</v>
      </c>
      <c r="D752" s="92">
        <f>55.78*10.764</f>
        <v>600.41592000000003</v>
      </c>
      <c r="E752" s="92">
        <v>0</v>
      </c>
      <c r="F752" s="92">
        <f t="shared" ref="F752:F754" si="125">D752*(($F$328)+1)+(IF(E752&lt;101,E752,IF(E752&lt;201,E752/2,IF(E752&lt;=301,E752/3,E752/4))))</f>
        <v>900.6238800000001</v>
      </c>
      <c r="G752" s="108"/>
      <c r="H752" s="108"/>
    </row>
    <row r="753" spans="1:8" s="2" customFormat="1" ht="16.5" customHeight="1" x14ac:dyDescent="0.25">
      <c r="A753" s="108">
        <v>7</v>
      </c>
      <c r="B753" s="108"/>
      <c r="C753" s="92" t="s">
        <v>176</v>
      </c>
      <c r="D753" s="92">
        <f>35.84*10.764</f>
        <v>385.78176000000002</v>
      </c>
      <c r="E753" s="92">
        <v>0</v>
      </c>
      <c r="F753" s="92">
        <f t="shared" si="125"/>
        <v>578.67264</v>
      </c>
      <c r="G753" s="108"/>
      <c r="H753" s="108"/>
    </row>
    <row r="754" spans="1:8" s="2" customFormat="1" ht="16.5" customHeight="1" x14ac:dyDescent="0.25">
      <c r="A754" s="108">
        <v>8</v>
      </c>
      <c r="B754" s="108"/>
      <c r="C754" s="92" t="s">
        <v>176</v>
      </c>
      <c r="D754" s="92">
        <f>35.84*10.764</f>
        <v>385.78176000000002</v>
      </c>
      <c r="E754" s="92">
        <v>0</v>
      </c>
      <c r="F754" s="92">
        <f t="shared" si="125"/>
        <v>578.67264</v>
      </c>
      <c r="G754" s="108"/>
      <c r="H754" s="108"/>
    </row>
    <row r="755" spans="1:8" s="2" customFormat="1" ht="16.5" customHeight="1" x14ac:dyDescent="0.25">
      <c r="A755" s="107" t="s">
        <v>174</v>
      </c>
      <c r="B755" s="107"/>
      <c r="C755" s="107"/>
      <c r="D755" s="107"/>
      <c r="E755" s="107"/>
      <c r="F755" s="107"/>
      <c r="G755" s="107"/>
      <c r="H755" s="107"/>
    </row>
    <row r="756" spans="1:8" s="2" customFormat="1" ht="16.5" customHeight="1" x14ac:dyDescent="0.25">
      <c r="A756" s="108">
        <v>1</v>
      </c>
      <c r="B756" s="108"/>
      <c r="C756" s="48" t="s">
        <v>173</v>
      </c>
      <c r="D756" s="48">
        <f t="shared" ref="D756:D757" si="126">49.27*10.764</f>
        <v>530.34227999999996</v>
      </c>
      <c r="E756" s="48">
        <v>0</v>
      </c>
      <c r="F756" s="48">
        <f t="shared" ref="F756:F757" si="127">D756*(($F$328)+1)+(IF(E756&lt;101,E756,IF(E756&lt;201,E756/2,IF(E756&lt;=301,E756/3,E756/4))))</f>
        <v>795.51342</v>
      </c>
      <c r="G756" s="109" t="str">
        <f>A755</f>
        <v>Stilt/ Lobby Floor for Residential &amp; Parking</v>
      </c>
      <c r="H756" s="110"/>
    </row>
    <row r="757" spans="1:8" s="2" customFormat="1" ht="16.5" customHeight="1" x14ac:dyDescent="0.25">
      <c r="A757" s="108">
        <v>2</v>
      </c>
      <c r="B757" s="108"/>
      <c r="C757" s="48" t="s">
        <v>173</v>
      </c>
      <c r="D757" s="48">
        <f t="shared" si="126"/>
        <v>530.34227999999996</v>
      </c>
      <c r="E757" s="40">
        <f>(3.05*1.375+2.4*1.035)*(10.764)</f>
        <v>71.879300999999998</v>
      </c>
      <c r="F757" s="48">
        <f t="shared" si="127"/>
        <v>867.39272099999994</v>
      </c>
      <c r="G757" s="111"/>
      <c r="H757" s="112"/>
    </row>
    <row r="758" spans="1:8" s="2" customFormat="1" ht="16.5" customHeight="1" x14ac:dyDescent="0.25">
      <c r="A758" s="108">
        <v>3</v>
      </c>
      <c r="B758" s="108"/>
      <c r="C758" s="109" t="s">
        <v>225</v>
      </c>
      <c r="D758" s="115"/>
      <c r="E758" s="115"/>
      <c r="F758" s="110"/>
      <c r="G758" s="111"/>
      <c r="H758" s="112"/>
    </row>
    <row r="759" spans="1:8" s="2" customFormat="1" ht="16.5" customHeight="1" x14ac:dyDescent="0.25">
      <c r="A759" s="108">
        <v>4</v>
      </c>
      <c r="B759" s="108"/>
      <c r="C759" s="113"/>
      <c r="D759" s="116"/>
      <c r="E759" s="116"/>
      <c r="F759" s="114"/>
      <c r="G759" s="111"/>
      <c r="H759" s="112"/>
    </row>
    <row r="760" spans="1:8" s="2" customFormat="1" ht="16.5" customHeight="1" x14ac:dyDescent="0.25">
      <c r="A760" s="108">
        <v>5</v>
      </c>
      <c r="B760" s="108"/>
      <c r="C760" s="48" t="s">
        <v>173</v>
      </c>
      <c r="D760" s="48">
        <f t="shared" ref="D760:D761" si="128">55.78*10.764</f>
        <v>600.41592000000003</v>
      </c>
      <c r="E760" s="40">
        <f>(3.05*1.22+2.66*0.6)*(10.764)</f>
        <v>57.232188000000001</v>
      </c>
      <c r="F760" s="48">
        <f t="shared" ref="F760:F763" si="129">D760*(($F$328)+1)+(IF(E760&lt;101,E760,IF(E760&lt;201,E760/2,IF(E760&lt;=301,E760/3,E760/4))))</f>
        <v>957.85606800000005</v>
      </c>
      <c r="G760" s="111"/>
      <c r="H760" s="112"/>
    </row>
    <row r="761" spans="1:8" s="2" customFormat="1" ht="16.5" customHeight="1" x14ac:dyDescent="0.25">
      <c r="A761" s="108">
        <v>6</v>
      </c>
      <c r="B761" s="108"/>
      <c r="C761" s="48" t="s">
        <v>173</v>
      </c>
      <c r="D761" s="48">
        <f t="shared" si="128"/>
        <v>600.41592000000003</v>
      </c>
      <c r="E761" s="48">
        <v>0</v>
      </c>
      <c r="F761" s="48">
        <f t="shared" si="129"/>
        <v>900.6238800000001</v>
      </c>
      <c r="G761" s="111"/>
      <c r="H761" s="112"/>
    </row>
    <row r="762" spans="1:8" s="2" customFormat="1" ht="16.5" customHeight="1" x14ac:dyDescent="0.25">
      <c r="A762" s="108">
        <v>7</v>
      </c>
      <c r="B762" s="108"/>
      <c r="C762" s="48" t="s">
        <v>176</v>
      </c>
      <c r="D762" s="48">
        <f>35.84*10.764</f>
        <v>385.78176000000002</v>
      </c>
      <c r="E762" s="48">
        <v>0</v>
      </c>
      <c r="F762" s="48">
        <f t="shared" si="129"/>
        <v>578.67264</v>
      </c>
      <c r="G762" s="111"/>
      <c r="H762" s="112"/>
    </row>
    <row r="763" spans="1:8" s="2" customFormat="1" ht="16.5" customHeight="1" x14ac:dyDescent="0.25">
      <c r="A763" s="108">
        <v>8</v>
      </c>
      <c r="B763" s="108"/>
      <c r="C763" s="48" t="s">
        <v>176</v>
      </c>
      <c r="D763" s="48">
        <f>35.84*10.764</f>
        <v>385.78176000000002</v>
      </c>
      <c r="E763" s="48">
        <v>0</v>
      </c>
      <c r="F763" s="48">
        <f t="shared" si="129"/>
        <v>578.67264</v>
      </c>
      <c r="G763" s="113"/>
      <c r="H763" s="114"/>
    </row>
    <row r="764" spans="1:8" s="2" customFormat="1" ht="16.5" customHeight="1" x14ac:dyDescent="0.25">
      <c r="A764" s="107" t="s">
        <v>220</v>
      </c>
      <c r="B764" s="107"/>
      <c r="C764" s="107"/>
      <c r="D764" s="107"/>
      <c r="E764" s="107"/>
      <c r="F764" s="107"/>
      <c r="G764" s="107"/>
      <c r="H764" s="107"/>
    </row>
    <row r="765" spans="1:8" s="2" customFormat="1" ht="16.5" customHeight="1" x14ac:dyDescent="0.25">
      <c r="A765" s="108">
        <v>1</v>
      </c>
      <c r="B765" s="108"/>
      <c r="C765" s="94" t="s">
        <v>173</v>
      </c>
      <c r="D765" s="94">
        <f t="shared" ref="D765:D766" si="130">49.27*10.764</f>
        <v>530.34227999999996</v>
      </c>
      <c r="E765" s="94">
        <v>0</v>
      </c>
      <c r="F765" s="94">
        <f t="shared" ref="F765:F772" si="131">D765*(($F$328)+1)+(IF(E765&lt;101,E765,IF(E765&lt;201,E765/2,IF(E765&lt;=301,E765/3,E765/4))))</f>
        <v>795.51342</v>
      </c>
      <c r="G765" s="108" t="str">
        <f>A764</f>
        <v>1st to 5th, 7th to 10th, 12th to 16th, 18th to 22nd, 24th &amp; 25th Floor</v>
      </c>
      <c r="H765" s="108"/>
    </row>
    <row r="766" spans="1:8" s="2" customFormat="1" ht="16.5" customHeight="1" x14ac:dyDescent="0.25">
      <c r="A766" s="108">
        <v>2</v>
      </c>
      <c r="B766" s="108"/>
      <c r="C766" s="94" t="s">
        <v>173</v>
      </c>
      <c r="D766" s="94">
        <f t="shared" si="130"/>
        <v>530.34227999999996</v>
      </c>
      <c r="E766" s="94">
        <v>0</v>
      </c>
      <c r="F766" s="94">
        <f t="shared" si="131"/>
        <v>795.51342</v>
      </c>
      <c r="G766" s="108"/>
      <c r="H766" s="108"/>
    </row>
    <row r="767" spans="1:8" s="2" customFormat="1" ht="16.5" customHeight="1" x14ac:dyDescent="0.25">
      <c r="A767" s="108">
        <v>3</v>
      </c>
      <c r="B767" s="108"/>
      <c r="C767" s="94" t="s">
        <v>176</v>
      </c>
      <c r="D767" s="94">
        <f>40.1*10.764</f>
        <v>431.63639999999998</v>
      </c>
      <c r="E767" s="94">
        <v>0</v>
      </c>
      <c r="F767" s="94">
        <f t="shared" si="131"/>
        <v>647.45460000000003</v>
      </c>
      <c r="G767" s="108"/>
      <c r="H767" s="108"/>
    </row>
    <row r="768" spans="1:8" s="2" customFormat="1" ht="16.5" customHeight="1" x14ac:dyDescent="0.25">
      <c r="A768" s="108">
        <v>4</v>
      </c>
      <c r="B768" s="108"/>
      <c r="C768" s="94" t="s">
        <v>176</v>
      </c>
      <c r="D768" s="94">
        <f>40.1*10.764</f>
        <v>431.63639999999998</v>
      </c>
      <c r="E768" s="94">
        <v>0</v>
      </c>
      <c r="F768" s="94">
        <f t="shared" si="131"/>
        <v>647.45460000000003</v>
      </c>
      <c r="G768" s="108"/>
      <c r="H768" s="108"/>
    </row>
    <row r="769" spans="1:8" s="2" customFormat="1" ht="16.5" customHeight="1" x14ac:dyDescent="0.25">
      <c r="A769" s="108">
        <v>5</v>
      </c>
      <c r="B769" s="108"/>
      <c r="C769" s="94" t="s">
        <v>173</v>
      </c>
      <c r="D769" s="94">
        <f t="shared" ref="D769:D770" si="132">55.78*10.764</f>
        <v>600.41592000000003</v>
      </c>
      <c r="E769" s="94">
        <v>0</v>
      </c>
      <c r="F769" s="94">
        <f t="shared" si="131"/>
        <v>900.6238800000001</v>
      </c>
      <c r="G769" s="108"/>
      <c r="H769" s="108"/>
    </row>
    <row r="770" spans="1:8" s="2" customFormat="1" ht="16.5" customHeight="1" x14ac:dyDescent="0.25">
      <c r="A770" s="108">
        <v>6</v>
      </c>
      <c r="B770" s="108"/>
      <c r="C770" s="94" t="s">
        <v>173</v>
      </c>
      <c r="D770" s="94">
        <f t="shared" si="132"/>
        <v>600.41592000000003</v>
      </c>
      <c r="E770" s="94">
        <v>0</v>
      </c>
      <c r="F770" s="94">
        <f t="shared" si="131"/>
        <v>900.6238800000001</v>
      </c>
      <c r="G770" s="108"/>
      <c r="H770" s="108"/>
    </row>
    <row r="771" spans="1:8" s="2" customFormat="1" ht="16.5" customHeight="1" x14ac:dyDescent="0.25">
      <c r="A771" s="108">
        <v>7</v>
      </c>
      <c r="B771" s="108"/>
      <c r="C771" s="94" t="s">
        <v>176</v>
      </c>
      <c r="D771" s="94">
        <f>35.84*10.764</f>
        <v>385.78176000000002</v>
      </c>
      <c r="E771" s="94">
        <v>0</v>
      </c>
      <c r="F771" s="94">
        <f t="shared" si="131"/>
        <v>578.67264</v>
      </c>
      <c r="G771" s="108"/>
      <c r="H771" s="108"/>
    </row>
    <row r="772" spans="1:8" s="2" customFormat="1" ht="16.5" customHeight="1" x14ac:dyDescent="0.25">
      <c r="A772" s="108">
        <v>8</v>
      </c>
      <c r="B772" s="108"/>
      <c r="C772" s="94" t="s">
        <v>176</v>
      </c>
      <c r="D772" s="94">
        <f>35.84*10.764</f>
        <v>385.78176000000002</v>
      </c>
      <c r="E772" s="94">
        <v>0</v>
      </c>
      <c r="F772" s="94">
        <f t="shared" si="131"/>
        <v>578.67264</v>
      </c>
      <c r="G772" s="108"/>
      <c r="H772" s="108"/>
    </row>
    <row r="773" spans="1:8" s="2" customFormat="1" ht="16.5" customHeight="1" x14ac:dyDescent="0.25">
      <c r="A773" s="107" t="s">
        <v>221</v>
      </c>
      <c r="B773" s="107"/>
      <c r="C773" s="107"/>
      <c r="D773" s="107"/>
      <c r="E773" s="107"/>
      <c r="F773" s="107"/>
      <c r="G773" s="107"/>
      <c r="H773" s="107"/>
    </row>
    <row r="774" spans="1:8" s="2" customFormat="1" ht="16.5" customHeight="1" x14ac:dyDescent="0.25">
      <c r="A774" s="108">
        <v>1</v>
      </c>
      <c r="B774" s="108"/>
      <c r="C774" s="92" t="s">
        <v>173</v>
      </c>
      <c r="D774" s="92">
        <f t="shared" ref="D774:D775" si="133">49.27*10.764</f>
        <v>530.34227999999996</v>
      </c>
      <c r="E774" s="92">
        <v>0</v>
      </c>
      <c r="F774" s="92">
        <f t="shared" ref="F774:F778" si="134">D774*(($F$328)+1)+(IF(E774&lt;101,E774,IF(E774&lt;201,E774/2,IF(E774&lt;=301,E774/3,E774/4))))</f>
        <v>795.51342</v>
      </c>
      <c r="G774" s="108" t="str">
        <f>A773</f>
        <v>6th, 11th, 17th &amp; 23rd Floor (Part Refuge Area)</v>
      </c>
      <c r="H774" s="108"/>
    </row>
    <row r="775" spans="1:8" s="2" customFormat="1" ht="16.5" customHeight="1" x14ac:dyDescent="0.25">
      <c r="A775" s="108">
        <v>2</v>
      </c>
      <c r="B775" s="108"/>
      <c r="C775" s="92" t="s">
        <v>173</v>
      </c>
      <c r="D775" s="92">
        <f t="shared" si="133"/>
        <v>530.34227999999996</v>
      </c>
      <c r="E775" s="92">
        <v>0</v>
      </c>
      <c r="F775" s="92">
        <f t="shared" si="134"/>
        <v>795.51342</v>
      </c>
      <c r="G775" s="108"/>
      <c r="H775" s="108"/>
    </row>
    <row r="776" spans="1:8" s="2" customFormat="1" ht="16.5" customHeight="1" x14ac:dyDescent="0.25">
      <c r="A776" s="108">
        <v>3</v>
      </c>
      <c r="B776" s="108"/>
      <c r="C776" s="92" t="s">
        <v>176</v>
      </c>
      <c r="D776" s="92">
        <f>40.1*10.764</f>
        <v>431.63639999999998</v>
      </c>
      <c r="E776" s="92">
        <v>0</v>
      </c>
      <c r="F776" s="92">
        <f t="shared" si="134"/>
        <v>647.45460000000003</v>
      </c>
      <c r="G776" s="108"/>
      <c r="H776" s="108"/>
    </row>
    <row r="777" spans="1:8" s="2" customFormat="1" ht="16.5" customHeight="1" x14ac:dyDescent="0.25">
      <c r="A777" s="108">
        <v>4</v>
      </c>
      <c r="B777" s="108"/>
      <c r="C777" s="92" t="s">
        <v>176</v>
      </c>
      <c r="D777" s="92">
        <f>40.1*10.764</f>
        <v>431.63639999999998</v>
      </c>
      <c r="E777" s="92">
        <v>0</v>
      </c>
      <c r="F777" s="92">
        <f t="shared" si="134"/>
        <v>647.45460000000003</v>
      </c>
      <c r="G777" s="108"/>
      <c r="H777" s="108"/>
    </row>
    <row r="778" spans="1:8" s="2" customFormat="1" ht="16.5" customHeight="1" x14ac:dyDescent="0.25">
      <c r="A778" s="108">
        <v>5</v>
      </c>
      <c r="B778" s="108"/>
      <c r="C778" s="92" t="s">
        <v>173</v>
      </c>
      <c r="D778" s="92">
        <f t="shared" ref="D778" si="135">55.78*10.764</f>
        <v>600.41592000000003</v>
      </c>
      <c r="E778" s="92">
        <v>0</v>
      </c>
      <c r="F778" s="92">
        <f t="shared" si="134"/>
        <v>900.6238800000001</v>
      </c>
      <c r="G778" s="108"/>
      <c r="H778" s="108"/>
    </row>
    <row r="779" spans="1:8" s="2" customFormat="1" ht="16.5" customHeight="1" x14ac:dyDescent="0.25">
      <c r="A779" s="108">
        <v>6</v>
      </c>
      <c r="B779" s="108"/>
      <c r="C779" s="108" t="s">
        <v>175</v>
      </c>
      <c r="D779" s="108"/>
      <c r="E779" s="108"/>
      <c r="F779" s="108"/>
      <c r="G779" s="108"/>
      <c r="H779" s="108"/>
    </row>
    <row r="780" spans="1:8" s="2" customFormat="1" ht="16.5" customHeight="1" x14ac:dyDescent="0.25">
      <c r="A780" s="108">
        <v>7</v>
      </c>
      <c r="B780" s="108"/>
      <c r="C780" s="92" t="s">
        <v>176</v>
      </c>
      <c r="D780" s="92">
        <f>35.84*10.764</f>
        <v>385.78176000000002</v>
      </c>
      <c r="E780" s="92">
        <v>0</v>
      </c>
      <c r="F780" s="92">
        <f t="shared" ref="F780:F781" si="136">D780*(($F$328)+1)+(IF(E780&lt;101,E780,IF(E780&lt;201,E780/2,IF(E780&lt;=301,E780/3,E780/4))))</f>
        <v>578.67264</v>
      </c>
      <c r="G780" s="108"/>
      <c r="H780" s="108"/>
    </row>
    <row r="781" spans="1:8" s="2" customFormat="1" ht="16.5" customHeight="1" x14ac:dyDescent="0.25">
      <c r="A781" s="108">
        <v>8</v>
      </c>
      <c r="B781" s="108"/>
      <c r="C781" s="92" t="s">
        <v>176</v>
      </c>
      <c r="D781" s="92">
        <f>35.84*10.764</f>
        <v>385.78176000000002</v>
      </c>
      <c r="E781" s="92">
        <v>0</v>
      </c>
      <c r="F781" s="92">
        <f t="shared" si="136"/>
        <v>578.67264</v>
      </c>
      <c r="G781" s="108"/>
      <c r="H781" s="108"/>
    </row>
    <row r="782" spans="1:8" s="1" customFormat="1" x14ac:dyDescent="0.25">
      <c r="A782" s="165" t="s">
        <v>79</v>
      </c>
      <c r="B782" s="165"/>
      <c r="C782" s="165"/>
      <c r="D782" s="165"/>
      <c r="E782" s="165"/>
      <c r="F782" s="165"/>
      <c r="G782" s="165"/>
      <c r="H782" s="165"/>
    </row>
    <row r="783" spans="1:8" s="10" customFormat="1" ht="270" customHeight="1" x14ac:dyDescent="0.25">
      <c r="A783" s="166" t="s">
        <v>294</v>
      </c>
      <c r="B783" s="166"/>
      <c r="C783" s="166"/>
      <c r="D783" s="166"/>
      <c r="E783" s="166"/>
      <c r="F783" s="166"/>
      <c r="G783" s="166"/>
      <c r="H783" s="166"/>
    </row>
    <row r="784" spans="1:8" x14ac:dyDescent="0.25">
      <c r="A784" s="167" t="s">
        <v>70</v>
      </c>
      <c r="B784" s="167"/>
      <c r="C784" s="167"/>
      <c r="D784" s="167"/>
      <c r="E784" s="167"/>
      <c r="F784" s="167"/>
      <c r="G784" s="167"/>
      <c r="H784" s="167"/>
    </row>
    <row r="785" spans="1:8" x14ac:dyDescent="0.25">
      <c r="A785" s="122" t="s">
        <v>71</v>
      </c>
      <c r="B785" s="122"/>
      <c r="C785" s="122"/>
      <c r="D785" s="122"/>
      <c r="E785" s="122"/>
      <c r="F785" s="122"/>
      <c r="G785" s="122"/>
      <c r="H785" s="122"/>
    </row>
    <row r="786" spans="1:8" ht="15.75" customHeight="1" x14ac:dyDescent="0.25">
      <c r="A786" s="167" t="s">
        <v>72</v>
      </c>
      <c r="B786" s="167"/>
      <c r="C786" s="167"/>
      <c r="D786" s="167"/>
      <c r="E786" s="167"/>
      <c r="F786" s="167"/>
      <c r="G786" s="167"/>
      <c r="H786" s="167"/>
    </row>
    <row r="787" spans="1:8" x14ac:dyDescent="0.25">
      <c r="A787" s="122" t="s">
        <v>73</v>
      </c>
      <c r="B787" s="122"/>
      <c r="C787" s="122"/>
      <c r="D787" s="122"/>
      <c r="E787" s="122"/>
      <c r="F787" s="122"/>
      <c r="G787" s="122"/>
      <c r="H787" s="122"/>
    </row>
    <row r="788" spans="1:8" x14ac:dyDescent="0.25">
      <c r="A788" s="122" t="s">
        <v>74</v>
      </c>
      <c r="B788" s="122"/>
      <c r="C788" s="122"/>
      <c r="D788" s="122"/>
      <c r="E788" s="122"/>
      <c r="F788" s="122"/>
      <c r="G788" s="122"/>
      <c r="H788" s="122"/>
    </row>
    <row r="789" spans="1:8" hidden="1" x14ac:dyDescent="0.25">
      <c r="A789" s="122" t="s">
        <v>75</v>
      </c>
      <c r="B789" s="122"/>
      <c r="C789" s="122"/>
      <c r="D789" s="122"/>
      <c r="E789" s="122"/>
      <c r="F789" s="122"/>
      <c r="G789" s="122"/>
      <c r="H789" s="122"/>
    </row>
    <row r="790" spans="1:8" ht="35.25" hidden="1" customHeight="1" x14ac:dyDescent="0.25">
      <c r="A790" s="162" t="s">
        <v>76</v>
      </c>
      <c r="B790" s="162"/>
      <c r="C790" s="162"/>
      <c r="D790" s="162"/>
      <c r="E790" s="162"/>
      <c r="F790" s="162"/>
      <c r="G790" s="162"/>
      <c r="H790" s="162"/>
    </row>
    <row r="791" spans="1:8" x14ac:dyDescent="0.25">
      <c r="A791" s="161" t="s">
        <v>114</v>
      </c>
      <c r="B791" s="161"/>
      <c r="C791" s="161" t="s">
        <v>298</v>
      </c>
      <c r="D791" s="161"/>
      <c r="E791" s="161" t="s">
        <v>146</v>
      </c>
      <c r="F791" s="161"/>
      <c r="G791" s="161" t="s">
        <v>297</v>
      </c>
      <c r="H791" s="161"/>
    </row>
    <row r="792" spans="1:8" x14ac:dyDescent="0.25">
      <c r="A792" s="160" t="s">
        <v>116</v>
      </c>
      <c r="B792" s="160"/>
      <c r="C792" s="160"/>
      <c r="D792" s="160"/>
      <c r="E792" s="160"/>
      <c r="F792" s="160"/>
      <c r="G792" s="160"/>
      <c r="H792" s="160"/>
    </row>
    <row r="793" spans="1:8" x14ac:dyDescent="0.25">
      <c r="A793" s="160"/>
      <c r="B793" s="160"/>
      <c r="C793" s="160"/>
      <c r="D793" s="160"/>
      <c r="E793" s="160"/>
      <c r="F793" s="160"/>
      <c r="G793" s="160"/>
      <c r="H793" s="160"/>
    </row>
    <row r="794" spans="1:8" x14ac:dyDescent="0.25">
      <c r="A794" s="160"/>
      <c r="B794" s="160"/>
      <c r="C794" s="160"/>
      <c r="D794" s="160"/>
      <c r="E794" s="160"/>
      <c r="F794" s="160"/>
      <c r="G794" s="160"/>
      <c r="H794" s="160"/>
    </row>
    <row r="795" spans="1:8" x14ac:dyDescent="0.25">
      <c r="A795" s="160"/>
      <c r="B795" s="160"/>
      <c r="C795" s="160"/>
      <c r="D795" s="160"/>
      <c r="E795" s="160"/>
      <c r="F795" s="160"/>
      <c r="G795" s="160"/>
      <c r="H795" s="160"/>
    </row>
    <row r="796" spans="1:8" x14ac:dyDescent="0.25">
      <c r="A796" s="57" t="s">
        <v>77</v>
      </c>
      <c r="B796" s="58"/>
      <c r="C796" s="58"/>
      <c r="D796" s="57" t="str">
        <f>E8</f>
        <v>My City Phase II - Cluster 05 - (Part I, II &amp; III)</v>
      </c>
      <c r="F796" s="58"/>
      <c r="G796" s="58"/>
      <c r="H796" s="58"/>
    </row>
    <row r="797" spans="1:8" x14ac:dyDescent="0.25">
      <c r="A797" s="58"/>
      <c r="B797" s="58"/>
      <c r="C797" s="58"/>
      <c r="D797" s="58"/>
      <c r="E797" s="58"/>
      <c r="F797" s="58"/>
      <c r="G797" s="58"/>
      <c r="H797" s="58"/>
    </row>
    <row r="798" spans="1:8" x14ac:dyDescent="0.25">
      <c r="A798" s="58"/>
      <c r="B798" s="58"/>
      <c r="C798" s="58"/>
      <c r="D798" s="58"/>
      <c r="E798" s="58"/>
      <c r="F798" s="58"/>
      <c r="G798" s="58"/>
      <c r="H798" s="58"/>
    </row>
    <row r="799" spans="1:8" ht="15" customHeight="1" x14ac:dyDescent="0.25"/>
    <row r="841" spans="1:8" x14ac:dyDescent="0.25">
      <c r="A841" s="57" t="s">
        <v>77</v>
      </c>
      <c r="B841" s="58"/>
      <c r="C841" s="58"/>
      <c r="D841" s="57"/>
      <c r="F841" s="58"/>
      <c r="G841" s="58"/>
      <c r="H841" s="58"/>
    </row>
    <row r="842" spans="1:8" x14ac:dyDescent="0.25">
      <c r="A842" s="58"/>
      <c r="B842" s="58"/>
      <c r="C842" s="58"/>
      <c r="D842" s="58"/>
      <c r="E842" s="58"/>
      <c r="F842" s="58"/>
      <c r="G842" s="58"/>
      <c r="H842" s="58"/>
    </row>
    <row r="843" spans="1:8" x14ac:dyDescent="0.25">
      <c r="A843" s="58"/>
      <c r="B843" s="58"/>
      <c r="C843" s="58"/>
      <c r="D843" s="58"/>
      <c r="E843" s="58"/>
      <c r="F843" s="58"/>
      <c r="G843" s="58"/>
      <c r="H843" s="58"/>
    </row>
    <row r="844" spans="1:8" ht="15" customHeight="1" x14ac:dyDescent="0.25"/>
    <row r="885" spans="1:1" x14ac:dyDescent="0.25">
      <c r="A885" s="59" t="s">
        <v>78</v>
      </c>
    </row>
  </sheetData>
  <mergeCells count="1137">
    <mergeCell ref="A80:B80"/>
    <mergeCell ref="C80:D80"/>
    <mergeCell ref="E80:F80"/>
    <mergeCell ref="G80:H80"/>
    <mergeCell ref="A105:B105"/>
    <mergeCell ref="A106:B106"/>
    <mergeCell ref="C36:H36"/>
    <mergeCell ref="A149:B149"/>
    <mergeCell ref="C149:H149"/>
    <mergeCell ref="A41:D41"/>
    <mergeCell ref="E41:H41"/>
    <mergeCell ref="E42:H42"/>
    <mergeCell ref="E43:H43"/>
    <mergeCell ref="E44:H44"/>
    <mergeCell ref="A42:D42"/>
    <mergeCell ref="A43:D43"/>
    <mergeCell ref="A44:D44"/>
    <mergeCell ref="A45:H45"/>
    <mergeCell ref="G46:H46"/>
    <mergeCell ref="G47:H47"/>
    <mergeCell ref="A47:B47"/>
    <mergeCell ref="A54:H54"/>
    <mergeCell ref="A132:B132"/>
    <mergeCell ref="A127:B127"/>
    <mergeCell ref="A51:B51"/>
    <mergeCell ref="C51:H51"/>
    <mergeCell ref="A36:B36"/>
    <mergeCell ref="A59:C59"/>
    <mergeCell ref="A60:C60"/>
    <mergeCell ref="D59:H59"/>
    <mergeCell ref="D60:H60"/>
    <mergeCell ref="A61:C61"/>
    <mergeCell ref="D61:H61"/>
    <mergeCell ref="A62:C62"/>
    <mergeCell ref="D62:H62"/>
    <mergeCell ref="A48:B49"/>
    <mergeCell ref="C47:E47"/>
    <mergeCell ref="A46:B46"/>
    <mergeCell ref="C46:E46"/>
    <mergeCell ref="G66:H66"/>
    <mergeCell ref="A52:B52"/>
    <mergeCell ref="C52:E52"/>
    <mergeCell ref="G52:H52"/>
    <mergeCell ref="A53:B53"/>
    <mergeCell ref="C53:H53"/>
    <mergeCell ref="C95:H95"/>
    <mergeCell ref="A96:B96"/>
    <mergeCell ref="G48:H48"/>
    <mergeCell ref="C49:H49"/>
    <mergeCell ref="A50:B50"/>
    <mergeCell ref="E96:F96"/>
    <mergeCell ref="G96:H96"/>
    <mergeCell ref="A84:B84"/>
    <mergeCell ref="A85:B85"/>
    <mergeCell ref="A86:B86"/>
    <mergeCell ref="A87:B87"/>
    <mergeCell ref="A88:B88"/>
    <mergeCell ref="A89:B89"/>
    <mergeCell ref="A90:B90"/>
    <mergeCell ref="A91:B91"/>
    <mergeCell ref="A92:B92"/>
    <mergeCell ref="A66:B66"/>
    <mergeCell ref="C66:D66"/>
    <mergeCell ref="E66:F66"/>
    <mergeCell ref="C50:E50"/>
    <mergeCell ref="G50:H50"/>
    <mergeCell ref="C48:E48"/>
    <mergeCell ref="A78:B78"/>
    <mergeCell ref="C78:H78"/>
    <mergeCell ref="A81:B81"/>
    <mergeCell ref="C81:H81"/>
    <mergeCell ref="A82:B82"/>
    <mergeCell ref="E82:F82"/>
    <mergeCell ref="G82:H82"/>
    <mergeCell ref="A83:B83"/>
    <mergeCell ref="E83:F92"/>
    <mergeCell ref="G83:H92"/>
    <mergeCell ref="E138:F138"/>
    <mergeCell ref="G138:H138"/>
    <mergeCell ref="C37:H37"/>
    <mergeCell ref="E124:F124"/>
    <mergeCell ref="G124:H124"/>
    <mergeCell ref="A151:B151"/>
    <mergeCell ref="C151:H151"/>
    <mergeCell ref="A152:B152"/>
    <mergeCell ref="E152:F152"/>
    <mergeCell ref="G152:H152"/>
    <mergeCell ref="A153:B153"/>
    <mergeCell ref="E153:F162"/>
    <mergeCell ref="G153:H162"/>
    <mergeCell ref="A154:B154"/>
    <mergeCell ref="A155:B155"/>
    <mergeCell ref="G125:H134"/>
    <mergeCell ref="A128:B128"/>
    <mergeCell ref="A129:B129"/>
    <mergeCell ref="A130:B130"/>
    <mergeCell ref="A97:B97"/>
    <mergeCell ref="E97:F106"/>
    <mergeCell ref="G97:H106"/>
    <mergeCell ref="A98:B98"/>
    <mergeCell ref="A99:B99"/>
    <mergeCell ref="A100:B100"/>
    <mergeCell ref="A101:B101"/>
    <mergeCell ref="A102:B102"/>
    <mergeCell ref="A103:B103"/>
    <mergeCell ref="A104:B104"/>
    <mergeCell ref="A93:B93"/>
    <mergeCell ref="C93:H93"/>
    <mergeCell ref="A95:B95"/>
    <mergeCell ref="A551:H551"/>
    <mergeCell ref="G563:H570"/>
    <mergeCell ref="D229:E229"/>
    <mergeCell ref="F229:H229"/>
    <mergeCell ref="A238:B238"/>
    <mergeCell ref="D238:E238"/>
    <mergeCell ref="F238:H238"/>
    <mergeCell ref="V206:AA223"/>
    <mergeCell ref="A10:D10"/>
    <mergeCell ref="E10:H10"/>
    <mergeCell ref="A63:B63"/>
    <mergeCell ref="C63:H63"/>
    <mergeCell ref="A65:B65"/>
    <mergeCell ref="C65:H65"/>
    <mergeCell ref="A67:B67"/>
    <mergeCell ref="E67:F67"/>
    <mergeCell ref="G67:H67"/>
    <mergeCell ref="A68:B68"/>
    <mergeCell ref="E68:F77"/>
    <mergeCell ref="G68:H77"/>
    <mergeCell ref="A69:B69"/>
    <mergeCell ref="A70:B70"/>
    <mergeCell ref="A71:B71"/>
    <mergeCell ref="A72:B72"/>
    <mergeCell ref="A73:B73"/>
    <mergeCell ref="A74:B74"/>
    <mergeCell ref="A75:B75"/>
    <mergeCell ref="A76:B76"/>
    <mergeCell ref="A77:B77"/>
    <mergeCell ref="A135:B135"/>
    <mergeCell ref="C135:H135"/>
    <mergeCell ref="A137:B137"/>
    <mergeCell ref="A611:B611"/>
    <mergeCell ref="G611:H618"/>
    <mergeCell ref="A612:B612"/>
    <mergeCell ref="A613:B613"/>
    <mergeCell ref="A614:B614"/>
    <mergeCell ref="A615:B615"/>
    <mergeCell ref="A616:B616"/>
    <mergeCell ref="A617:B617"/>
    <mergeCell ref="A618:B618"/>
    <mergeCell ref="A608:B608"/>
    <mergeCell ref="A609:B609"/>
    <mergeCell ref="C594:F595"/>
    <mergeCell ref="D227:E227"/>
    <mergeCell ref="F227:H227"/>
    <mergeCell ref="A225:A227"/>
    <mergeCell ref="A589:H589"/>
    <mergeCell ref="A240:B240"/>
    <mergeCell ref="D240:E240"/>
    <mergeCell ref="F240:H240"/>
    <mergeCell ref="A279:H279"/>
    <mergeCell ref="A280:H280"/>
    <mergeCell ref="D225:E225"/>
    <mergeCell ref="F225:H225"/>
    <mergeCell ref="A239:B239"/>
    <mergeCell ref="D239:E239"/>
    <mergeCell ref="F239:H239"/>
    <mergeCell ref="D226:E226"/>
    <mergeCell ref="F226:H226"/>
    <mergeCell ref="A300:B300"/>
    <mergeCell ref="A301:H301"/>
    <mergeCell ref="A303:H303"/>
    <mergeCell ref="A561:B561"/>
    <mergeCell ref="A620:B620"/>
    <mergeCell ref="G620:H627"/>
    <mergeCell ref="A621:B621"/>
    <mergeCell ref="A622:B622"/>
    <mergeCell ref="A623:B623"/>
    <mergeCell ref="A624:B624"/>
    <mergeCell ref="A625:B625"/>
    <mergeCell ref="A626:B626"/>
    <mergeCell ref="A627:B627"/>
    <mergeCell ref="C623:F623"/>
    <mergeCell ref="A590:H590"/>
    <mergeCell ref="A591:H591"/>
    <mergeCell ref="A592:H592"/>
    <mergeCell ref="A593:B593"/>
    <mergeCell ref="G593:H600"/>
    <mergeCell ref="A594:B594"/>
    <mergeCell ref="A595:B595"/>
    <mergeCell ref="A596:B596"/>
    <mergeCell ref="A597:B597"/>
    <mergeCell ref="A598:B598"/>
    <mergeCell ref="A599:B599"/>
    <mergeCell ref="A600:B600"/>
    <mergeCell ref="A601:H601"/>
    <mergeCell ref="A602:B602"/>
    <mergeCell ref="G602:H609"/>
    <mergeCell ref="A603:B603"/>
    <mergeCell ref="A604:B604"/>
    <mergeCell ref="C604:F605"/>
    <mergeCell ref="A605:B605"/>
    <mergeCell ref="A606:B606"/>
    <mergeCell ref="A607:B607"/>
    <mergeCell ref="A610:H610"/>
    <mergeCell ref="L277:M277"/>
    <mergeCell ref="L278:M278"/>
    <mergeCell ref="A270:H270"/>
    <mergeCell ref="A271:B271"/>
    <mergeCell ref="L271:M271"/>
    <mergeCell ref="A272:B272"/>
    <mergeCell ref="L272:M272"/>
    <mergeCell ref="A273:B273"/>
    <mergeCell ref="L273:M273"/>
    <mergeCell ref="F245:H245"/>
    <mergeCell ref="A268:H268"/>
    <mergeCell ref="A293:H293"/>
    <mergeCell ref="A294:H294"/>
    <mergeCell ref="A284:B284"/>
    <mergeCell ref="A285:B285"/>
    <mergeCell ref="A286:B286"/>
    <mergeCell ref="A263:B263"/>
    <mergeCell ref="L288:M288"/>
    <mergeCell ref="L289:M289"/>
    <mergeCell ref="L290:M290"/>
    <mergeCell ref="L291:M291"/>
    <mergeCell ref="L292:M292"/>
    <mergeCell ref="L263:M263"/>
    <mergeCell ref="A264:B264"/>
    <mergeCell ref="L264:M264"/>
    <mergeCell ref="A258:B258"/>
    <mergeCell ref="L259:M259"/>
    <mergeCell ref="A260:H260"/>
    <mergeCell ref="L262:M262"/>
    <mergeCell ref="G271:H278"/>
    <mergeCell ref="B248:B249"/>
    <mergeCell ref="C248:C249"/>
    <mergeCell ref="L296:M296"/>
    <mergeCell ref="A297:B297"/>
    <mergeCell ref="L297:M297"/>
    <mergeCell ref="A298:B298"/>
    <mergeCell ref="L298:M298"/>
    <mergeCell ref="D244:E244"/>
    <mergeCell ref="A245:B245"/>
    <mergeCell ref="D245:E245"/>
    <mergeCell ref="A241:B241"/>
    <mergeCell ref="D241:E241"/>
    <mergeCell ref="F241:H241"/>
    <mergeCell ref="A266:B266"/>
    <mergeCell ref="A246:H246"/>
    <mergeCell ref="A295:B295"/>
    <mergeCell ref="G295:H300"/>
    <mergeCell ref="A564:B564"/>
    <mergeCell ref="A565:B565"/>
    <mergeCell ref="C565:F566"/>
    <mergeCell ref="A566:B566"/>
    <mergeCell ref="L274:M274"/>
    <mergeCell ref="L275:M275"/>
    <mergeCell ref="L276:M276"/>
    <mergeCell ref="A550:H550"/>
    <mergeCell ref="A552:H552"/>
    <mergeCell ref="A553:H553"/>
    <mergeCell ref="A554:B554"/>
    <mergeCell ref="G554:H561"/>
    <mergeCell ref="A555:B555"/>
    <mergeCell ref="C555:F558"/>
    <mergeCell ref="A556:B556"/>
    <mergeCell ref="A557:B557"/>
    <mergeCell ref="A558:B558"/>
    <mergeCell ref="L299:M299"/>
    <mergeCell ref="A549:H549"/>
    <mergeCell ref="A457:H457"/>
    <mergeCell ref="A464:H464"/>
    <mergeCell ref="A465:B465"/>
    <mergeCell ref="A466:B466"/>
    <mergeCell ref="L281:M281"/>
    <mergeCell ref="L282:M282"/>
    <mergeCell ref="L283:M283"/>
    <mergeCell ref="L284:M284"/>
    <mergeCell ref="A580:H580"/>
    <mergeCell ref="A581:B581"/>
    <mergeCell ref="G581:H588"/>
    <mergeCell ref="A582:B582"/>
    <mergeCell ref="A583:B583"/>
    <mergeCell ref="A584:B584"/>
    <mergeCell ref="A585:B585"/>
    <mergeCell ref="A586:B586"/>
    <mergeCell ref="A587:B587"/>
    <mergeCell ref="A588:B588"/>
    <mergeCell ref="A571:H571"/>
    <mergeCell ref="A572:B572"/>
    <mergeCell ref="G572:H579"/>
    <mergeCell ref="A573:B573"/>
    <mergeCell ref="A574:B574"/>
    <mergeCell ref="A575:B575"/>
    <mergeCell ref="A576:B576"/>
    <mergeCell ref="A577:B577"/>
    <mergeCell ref="A578:B578"/>
    <mergeCell ref="A579:B579"/>
    <mergeCell ref="C581:F581"/>
    <mergeCell ref="A563:B563"/>
    <mergeCell ref="L305:M305"/>
    <mergeCell ref="A306:B306"/>
    <mergeCell ref="L306:M306"/>
    <mergeCell ref="A307:B307"/>
    <mergeCell ref="L307:M307"/>
    <mergeCell ref="A308:B308"/>
    <mergeCell ref="L308:M308"/>
    <mergeCell ref="A456:B456"/>
    <mergeCell ref="A458:B458"/>
    <mergeCell ref="G458:H463"/>
    <mergeCell ref="G465:H470"/>
    <mergeCell ref="A459:B459"/>
    <mergeCell ref="A460:B460"/>
    <mergeCell ref="L315:M315"/>
    <mergeCell ref="A316:B316"/>
    <mergeCell ref="L316:M316"/>
    <mergeCell ref="L309:M309"/>
    <mergeCell ref="A310:B310"/>
    <mergeCell ref="L310:M310"/>
    <mergeCell ref="A311:B311"/>
    <mergeCell ref="A403:H403"/>
    <mergeCell ref="A436:B436"/>
    <mergeCell ref="A409:B409"/>
    <mergeCell ref="C406:F409"/>
    <mergeCell ref="A385:B385"/>
    <mergeCell ref="A391:B391"/>
    <mergeCell ref="A383:H383"/>
    <mergeCell ref="A384:B384"/>
    <mergeCell ref="A312:B312"/>
    <mergeCell ref="L312:M312"/>
    <mergeCell ref="L322:M322"/>
    <mergeCell ref="A323:B323"/>
    <mergeCell ref="A235:B235"/>
    <mergeCell ref="D235:E235"/>
    <mergeCell ref="F235:H235"/>
    <mergeCell ref="A236:B236"/>
    <mergeCell ref="D236:E236"/>
    <mergeCell ref="D242:E242"/>
    <mergeCell ref="A248:A249"/>
    <mergeCell ref="F237:H237"/>
    <mergeCell ref="A242:B242"/>
    <mergeCell ref="L254:M254"/>
    <mergeCell ref="A255:B255"/>
    <mergeCell ref="L255:M255"/>
    <mergeCell ref="A256:B256"/>
    <mergeCell ref="L256:M256"/>
    <mergeCell ref="A257:B257"/>
    <mergeCell ref="L257:M257"/>
    <mergeCell ref="A244:B244"/>
    <mergeCell ref="D248:D249"/>
    <mergeCell ref="L304:M304"/>
    <mergeCell ref="L311:M311"/>
    <mergeCell ref="L258:M258"/>
    <mergeCell ref="L265:M265"/>
    <mergeCell ref="L266:M266"/>
    <mergeCell ref="A267:B267"/>
    <mergeCell ref="L267:M267"/>
    <mergeCell ref="G324:H324"/>
    <mergeCell ref="L324:M324"/>
    <mergeCell ref="A325:B325"/>
    <mergeCell ref="G325:H325"/>
    <mergeCell ref="L325:M325"/>
    <mergeCell ref="A320:B320"/>
    <mergeCell ref="L320:M320"/>
    <mergeCell ref="A317:B317"/>
    <mergeCell ref="L317:M317"/>
    <mergeCell ref="A318:B318"/>
    <mergeCell ref="L318:M318"/>
    <mergeCell ref="L300:M300"/>
    <mergeCell ref="A302:H302"/>
    <mergeCell ref="A269:H269"/>
    <mergeCell ref="L285:M285"/>
    <mergeCell ref="L286:M286"/>
    <mergeCell ref="L287:M287"/>
    <mergeCell ref="L295:M295"/>
    <mergeCell ref="A315:B315"/>
    <mergeCell ref="A319:B319"/>
    <mergeCell ref="A324:B324"/>
    <mergeCell ref="A278:B278"/>
    <mergeCell ref="A274:B274"/>
    <mergeCell ref="A275:B275"/>
    <mergeCell ref="A276:B276"/>
    <mergeCell ref="L323:M323"/>
    <mergeCell ref="L319:M319"/>
    <mergeCell ref="A721:B721"/>
    <mergeCell ref="C720:F721"/>
    <mergeCell ref="A682:B682"/>
    <mergeCell ref="C672:F675"/>
    <mergeCell ref="A686:B686"/>
    <mergeCell ref="A687:B687"/>
    <mergeCell ref="C682:F683"/>
    <mergeCell ref="G680:H687"/>
    <mergeCell ref="A667:H667"/>
    <mergeCell ref="A717:H717"/>
    <mergeCell ref="A706:H706"/>
    <mergeCell ref="A707:H707"/>
    <mergeCell ref="A697:H697"/>
    <mergeCell ref="A698:B698"/>
    <mergeCell ref="A699:B699"/>
    <mergeCell ref="A700:B700"/>
    <mergeCell ref="A567:B567"/>
    <mergeCell ref="A568:B568"/>
    <mergeCell ref="A498:B498"/>
    <mergeCell ref="A474:H474"/>
    <mergeCell ref="A569:B569"/>
    <mergeCell ref="A570:B570"/>
    <mergeCell ref="A559:B559"/>
    <mergeCell ref="A560:B560"/>
    <mergeCell ref="A475:B475"/>
    <mergeCell ref="G475:H482"/>
    <mergeCell ref="A476:B476"/>
    <mergeCell ref="A477:B477"/>
    <mergeCell ref="A478:B478"/>
    <mergeCell ref="A619:H619"/>
    <mergeCell ref="A480:B480"/>
    <mergeCell ref="A481:B481"/>
    <mergeCell ref="A482:B482"/>
    <mergeCell ref="C478:F479"/>
    <mergeCell ref="A471:H471"/>
    <mergeCell ref="G414:H421"/>
    <mergeCell ref="G423:H430"/>
    <mergeCell ref="A427:B427"/>
    <mergeCell ref="A428:B428"/>
    <mergeCell ref="A429:B429"/>
    <mergeCell ref="A430:B430"/>
    <mergeCell ref="A416:B416"/>
    <mergeCell ref="A420:B420"/>
    <mergeCell ref="A426:B426"/>
    <mergeCell ref="A424:B424"/>
    <mergeCell ref="A422:H422"/>
    <mergeCell ref="G323:H323"/>
    <mergeCell ref="A341:H341"/>
    <mergeCell ref="A348:H348"/>
    <mergeCell ref="A335:B335"/>
    <mergeCell ref="G335:H340"/>
    <mergeCell ref="A336:B336"/>
    <mergeCell ref="A337:B337"/>
    <mergeCell ref="A338:B338"/>
    <mergeCell ref="A339:B339"/>
    <mergeCell ref="A340:B340"/>
    <mergeCell ref="F215:H215"/>
    <mergeCell ref="D222:E222"/>
    <mergeCell ref="F222:H222"/>
    <mergeCell ref="D223:E223"/>
    <mergeCell ref="F223:H223"/>
    <mergeCell ref="A222:B222"/>
    <mergeCell ref="A277:B277"/>
    <mergeCell ref="G167:H176"/>
    <mergeCell ref="A304:B304"/>
    <mergeCell ref="A265:B265"/>
    <mergeCell ref="A326:H326"/>
    <mergeCell ref="A252:H252"/>
    <mergeCell ref="A250:H250"/>
    <mergeCell ref="A251:H251"/>
    <mergeCell ref="A253:H253"/>
    <mergeCell ref="A254:B254"/>
    <mergeCell ref="A259:B259"/>
    <mergeCell ref="A289:B289"/>
    <mergeCell ref="A290:B290"/>
    <mergeCell ref="A291:B291"/>
    <mergeCell ref="A292:B292"/>
    <mergeCell ref="G281:H292"/>
    <mergeCell ref="F242:H242"/>
    <mergeCell ref="A730:B730"/>
    <mergeCell ref="A735:H735"/>
    <mergeCell ref="G727:H734"/>
    <mergeCell ref="C712:F713"/>
    <mergeCell ref="A720:B720"/>
    <mergeCell ref="C698:F698"/>
    <mergeCell ref="A733:B733"/>
    <mergeCell ref="A734:B734"/>
    <mergeCell ref="A729:B729"/>
    <mergeCell ref="A678:B678"/>
    <mergeCell ref="A683:B683"/>
    <mergeCell ref="A701:B701"/>
    <mergeCell ref="A719:B719"/>
    <mergeCell ref="A690:B690"/>
    <mergeCell ref="A692:B692"/>
    <mergeCell ref="A693:B693"/>
    <mergeCell ref="A694:B694"/>
    <mergeCell ref="A726:H726"/>
    <mergeCell ref="A727:B727"/>
    <mergeCell ref="A728:B728"/>
    <mergeCell ref="A731:B731"/>
    <mergeCell ref="A732:B732"/>
    <mergeCell ref="A718:B718"/>
    <mergeCell ref="G718:H725"/>
    <mergeCell ref="A702:B702"/>
    <mergeCell ref="A703:B703"/>
    <mergeCell ref="A704:B704"/>
    <mergeCell ref="A705:B705"/>
    <mergeCell ref="G698:H705"/>
    <mergeCell ref="A708:H708"/>
    <mergeCell ref="A709:B709"/>
    <mergeCell ref="G709:H716"/>
    <mergeCell ref="A562:H562"/>
    <mergeCell ref="A691:B691"/>
    <mergeCell ref="A695:B695"/>
    <mergeCell ref="A696:B696"/>
    <mergeCell ref="A722:B722"/>
    <mergeCell ref="A723:B723"/>
    <mergeCell ref="A724:B724"/>
    <mergeCell ref="A725:B725"/>
    <mergeCell ref="A774:B774"/>
    <mergeCell ref="G765:H772"/>
    <mergeCell ref="G774:H781"/>
    <mergeCell ref="A766:B766"/>
    <mergeCell ref="A767:B767"/>
    <mergeCell ref="A768:B768"/>
    <mergeCell ref="A769:B769"/>
    <mergeCell ref="A770:B770"/>
    <mergeCell ref="A780:B780"/>
    <mergeCell ref="A781:B781"/>
    <mergeCell ref="C779:F779"/>
    <mergeCell ref="A776:B776"/>
    <mergeCell ref="A777:B777"/>
    <mergeCell ref="A778:B778"/>
    <mergeCell ref="A779:B779"/>
    <mergeCell ref="A771:B771"/>
    <mergeCell ref="A772:B772"/>
    <mergeCell ref="A773:H773"/>
    <mergeCell ref="A775:B775"/>
    <mergeCell ref="A761:B761"/>
    <mergeCell ref="A762:B762"/>
    <mergeCell ref="A763:B763"/>
    <mergeCell ref="A764:H764"/>
    <mergeCell ref="A765:B765"/>
    <mergeCell ref="A756:B756"/>
    <mergeCell ref="A757:B757"/>
    <mergeCell ref="A760:B760"/>
    <mergeCell ref="A741:B741"/>
    <mergeCell ref="A742:B742"/>
    <mergeCell ref="A743:B743"/>
    <mergeCell ref="G756:H763"/>
    <mergeCell ref="A746:H746"/>
    <mergeCell ref="A755:H755"/>
    <mergeCell ref="A758:B758"/>
    <mergeCell ref="A759:B759"/>
    <mergeCell ref="C758:F759"/>
    <mergeCell ref="A744:H744"/>
    <mergeCell ref="A745:H745"/>
    <mergeCell ref="G736:H743"/>
    <mergeCell ref="A736:B736"/>
    <mergeCell ref="A737:B737"/>
    <mergeCell ref="A738:B738"/>
    <mergeCell ref="A739:B739"/>
    <mergeCell ref="C738:F738"/>
    <mergeCell ref="A740:B740"/>
    <mergeCell ref="A747:B747"/>
    <mergeCell ref="G747:H754"/>
    <mergeCell ref="A748:B748"/>
    <mergeCell ref="A749:B749"/>
    <mergeCell ref="A750:B750"/>
    <mergeCell ref="A751:B751"/>
    <mergeCell ref="A752:B752"/>
    <mergeCell ref="A753:B753"/>
    <mergeCell ref="A754:B754"/>
    <mergeCell ref="C748:F751"/>
    <mergeCell ref="A710:B710"/>
    <mergeCell ref="A711:B711"/>
    <mergeCell ref="A712:B712"/>
    <mergeCell ref="A713:B713"/>
    <mergeCell ref="A714:B714"/>
    <mergeCell ref="A715:B715"/>
    <mergeCell ref="A716:B716"/>
    <mergeCell ref="A527:B527"/>
    <mergeCell ref="A528:B528"/>
    <mergeCell ref="A544:B544"/>
    <mergeCell ref="A545:B545"/>
    <mergeCell ref="A546:B546"/>
    <mergeCell ref="A547:B547"/>
    <mergeCell ref="A548:B548"/>
    <mergeCell ref="C546:F546"/>
    <mergeCell ref="A540:H540"/>
    <mergeCell ref="A541:B541"/>
    <mergeCell ref="A542:B542"/>
    <mergeCell ref="A543:B543"/>
    <mergeCell ref="G541:H548"/>
    <mergeCell ref="G689:H696"/>
    <mergeCell ref="A668:H668"/>
    <mergeCell ref="A669:H669"/>
    <mergeCell ref="A670:H670"/>
    <mergeCell ref="A679:H679"/>
    <mergeCell ref="A688:H688"/>
    <mergeCell ref="A689:B689"/>
    <mergeCell ref="A684:B684"/>
    <mergeCell ref="A680:B680"/>
    <mergeCell ref="A681:B681"/>
    <mergeCell ref="A685:B685"/>
    <mergeCell ref="A671:B671"/>
    <mergeCell ref="G671:H678"/>
    <mergeCell ref="A672:B672"/>
    <mergeCell ref="A673:B673"/>
    <mergeCell ref="A674:B674"/>
    <mergeCell ref="A675:B675"/>
    <mergeCell ref="A676:B676"/>
    <mergeCell ref="A677:B677"/>
    <mergeCell ref="A400:B400"/>
    <mergeCell ref="C396:F396"/>
    <mergeCell ref="A387:B387"/>
    <mergeCell ref="A388:B388"/>
    <mergeCell ref="G393:H400"/>
    <mergeCell ref="G384:H391"/>
    <mergeCell ref="C525:F526"/>
    <mergeCell ref="G502:H509"/>
    <mergeCell ref="G523:H530"/>
    <mergeCell ref="G532:H539"/>
    <mergeCell ref="A522:H522"/>
    <mergeCell ref="A531:H531"/>
    <mergeCell ref="C504:F504"/>
    <mergeCell ref="A503:B503"/>
    <mergeCell ref="A504:B504"/>
    <mergeCell ref="A507:B507"/>
    <mergeCell ref="A502:B502"/>
    <mergeCell ref="A524:B524"/>
    <mergeCell ref="A535:B535"/>
    <mergeCell ref="A539:B539"/>
    <mergeCell ref="A538:B538"/>
    <mergeCell ref="A517:B517"/>
    <mergeCell ref="A518:B518"/>
    <mergeCell ref="A519:B519"/>
    <mergeCell ref="A520:B520"/>
    <mergeCell ref="A521:B521"/>
    <mergeCell ref="A512:H512"/>
    <mergeCell ref="C515:F518"/>
    <mergeCell ref="A533:B533"/>
    <mergeCell ref="A534:B534"/>
    <mergeCell ref="A536:B536"/>
    <mergeCell ref="A537:B537"/>
    <mergeCell ref="A360:B360"/>
    <mergeCell ref="A357:B357"/>
    <mergeCell ref="A358:B358"/>
    <mergeCell ref="A359:B359"/>
    <mergeCell ref="C356:F356"/>
    <mergeCell ref="A399:B399"/>
    <mergeCell ref="A361:B361"/>
    <mergeCell ref="A389:B389"/>
    <mergeCell ref="A392:H392"/>
    <mergeCell ref="G342:H347"/>
    <mergeCell ref="G349:H354"/>
    <mergeCell ref="G356:H361"/>
    <mergeCell ref="A355:H355"/>
    <mergeCell ref="A343:B343"/>
    <mergeCell ref="A345:B345"/>
    <mergeCell ref="A346:B346"/>
    <mergeCell ref="A350:B350"/>
    <mergeCell ref="A367:B367"/>
    <mergeCell ref="A368:B368"/>
    <mergeCell ref="A369:B369"/>
    <mergeCell ref="A370:B370"/>
    <mergeCell ref="A371:B371"/>
    <mergeCell ref="A372:B372"/>
    <mergeCell ref="A373:B373"/>
    <mergeCell ref="C367:F368"/>
    <mergeCell ref="A386:B386"/>
    <mergeCell ref="A378:B378"/>
    <mergeCell ref="C377:F378"/>
    <mergeCell ref="A330:H330"/>
    <mergeCell ref="A331:H331"/>
    <mergeCell ref="A332:H332"/>
    <mergeCell ref="E248:E249"/>
    <mergeCell ref="G248:H249"/>
    <mergeCell ref="A321:H321"/>
    <mergeCell ref="A322:B322"/>
    <mergeCell ref="G322:H322"/>
    <mergeCell ref="A261:H261"/>
    <mergeCell ref="A262:B262"/>
    <mergeCell ref="G375:H382"/>
    <mergeCell ref="A362:H362"/>
    <mergeCell ref="A363:H363"/>
    <mergeCell ref="A364:H364"/>
    <mergeCell ref="A374:H374"/>
    <mergeCell ref="A375:B375"/>
    <mergeCell ref="A376:B376"/>
    <mergeCell ref="A379:B379"/>
    <mergeCell ref="A380:B380"/>
    <mergeCell ref="A381:B381"/>
    <mergeCell ref="A377:B377"/>
    <mergeCell ref="A349:B349"/>
    <mergeCell ref="A287:B287"/>
    <mergeCell ref="A333:H333"/>
    <mergeCell ref="A334:H334"/>
    <mergeCell ref="A327:B328"/>
    <mergeCell ref="C327:C328"/>
    <mergeCell ref="D327:D328"/>
    <mergeCell ref="E327:E328"/>
    <mergeCell ref="G514:H521"/>
    <mergeCell ref="A515:B515"/>
    <mergeCell ref="A516:B516"/>
    <mergeCell ref="A417:B417"/>
    <mergeCell ref="C416:F417"/>
    <mergeCell ref="A445:B445"/>
    <mergeCell ref="A446:B446"/>
    <mergeCell ref="A447:B447"/>
    <mergeCell ref="A418:B418"/>
    <mergeCell ref="A419:B419"/>
    <mergeCell ref="A472:H472"/>
    <mergeCell ref="A473:H473"/>
    <mergeCell ref="A455:B455"/>
    <mergeCell ref="A444:B444"/>
    <mergeCell ref="G444:H449"/>
    <mergeCell ref="A454:B454"/>
    <mergeCell ref="A461:B461"/>
    <mergeCell ref="G451:H456"/>
    <mergeCell ref="C465:F465"/>
    <mergeCell ref="A467:B467"/>
    <mergeCell ref="A468:B468"/>
    <mergeCell ref="A469:B469"/>
    <mergeCell ref="A470:B470"/>
    <mergeCell ref="A425:B425"/>
    <mergeCell ref="A423:B423"/>
    <mergeCell ref="A421:B421"/>
    <mergeCell ref="A462:B462"/>
    <mergeCell ref="A463:B463"/>
    <mergeCell ref="A496:B496"/>
    <mergeCell ref="A497:B497"/>
    <mergeCell ref="A437:B437"/>
    <mergeCell ref="A438:B438"/>
    <mergeCell ref="G405:H412"/>
    <mergeCell ref="A410:B410"/>
    <mergeCell ref="A411:B411"/>
    <mergeCell ref="A412:B412"/>
    <mergeCell ref="A413:H413"/>
    <mergeCell ref="A440:H440"/>
    <mergeCell ref="G432:H439"/>
    <mergeCell ref="A448:B448"/>
    <mergeCell ref="C486:F487"/>
    <mergeCell ref="A433:B433"/>
    <mergeCell ref="A434:B434"/>
    <mergeCell ref="A435:B435"/>
    <mergeCell ref="A450:H450"/>
    <mergeCell ref="A415:B415"/>
    <mergeCell ref="A414:B414"/>
    <mergeCell ref="A441:H441"/>
    <mergeCell ref="A443:H443"/>
    <mergeCell ref="A431:H431"/>
    <mergeCell ref="A432:B432"/>
    <mergeCell ref="A449:B449"/>
    <mergeCell ref="A442:H442"/>
    <mergeCell ref="C445:F447"/>
    <mergeCell ref="A453:B453"/>
    <mergeCell ref="C453:F453"/>
    <mergeCell ref="A451:B451"/>
    <mergeCell ref="A452:B452"/>
    <mergeCell ref="C437:F437"/>
    <mergeCell ref="A439:B439"/>
    <mergeCell ref="A406:B406"/>
    <mergeCell ref="A407:B407"/>
    <mergeCell ref="A408:B408"/>
    <mergeCell ref="A479:B479"/>
    <mergeCell ref="A786:H786"/>
    <mergeCell ref="A787:H787"/>
    <mergeCell ref="A491:B491"/>
    <mergeCell ref="A493:B493"/>
    <mergeCell ref="A483:H483"/>
    <mergeCell ref="A495:B495"/>
    <mergeCell ref="A500:B500"/>
    <mergeCell ref="A505:B505"/>
    <mergeCell ref="A506:B506"/>
    <mergeCell ref="A530:B530"/>
    <mergeCell ref="A532:B532"/>
    <mergeCell ref="A508:B508"/>
    <mergeCell ref="A509:B509"/>
    <mergeCell ref="A510:H510"/>
    <mergeCell ref="A511:H511"/>
    <mergeCell ref="A523:B523"/>
    <mergeCell ref="A529:B529"/>
    <mergeCell ref="A525:B525"/>
    <mergeCell ref="A526:B526"/>
    <mergeCell ref="A487:B487"/>
    <mergeCell ref="A492:H492"/>
    <mergeCell ref="G484:H491"/>
    <mergeCell ref="G493:H500"/>
    <mergeCell ref="A485:B485"/>
    <mergeCell ref="A488:B488"/>
    <mergeCell ref="A501:H501"/>
    <mergeCell ref="A494:B494"/>
    <mergeCell ref="A484:B484"/>
    <mergeCell ref="A499:B499"/>
    <mergeCell ref="A486:B486"/>
    <mergeCell ref="A513:H513"/>
    <mergeCell ref="A514:B514"/>
    <mergeCell ref="A14:B14"/>
    <mergeCell ref="C14:H14"/>
    <mergeCell ref="C15:H15"/>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31:B31"/>
    <mergeCell ref="C31:E31"/>
    <mergeCell ref="A32:B32"/>
    <mergeCell ref="C32:E32"/>
    <mergeCell ref="A33:B33"/>
    <mergeCell ref="C33:E33"/>
    <mergeCell ref="C34:E34"/>
    <mergeCell ref="A30:B30"/>
    <mergeCell ref="A37:B37"/>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788:H788"/>
    <mergeCell ref="A789:H789"/>
    <mergeCell ref="A790:H790"/>
    <mergeCell ref="A782:H782"/>
    <mergeCell ref="A783:H783"/>
    <mergeCell ref="A784:H784"/>
    <mergeCell ref="A785:H785"/>
    <mergeCell ref="A489:B489"/>
    <mergeCell ref="A490:B490"/>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792:H795"/>
    <mergeCell ref="A791:B791"/>
    <mergeCell ref="E791:F791"/>
    <mergeCell ref="C791:D791"/>
    <mergeCell ref="G791:H791"/>
    <mergeCell ref="A221:H221"/>
    <mergeCell ref="A219:E219"/>
    <mergeCell ref="F219:H219"/>
    <mergeCell ref="A220:E220"/>
    <mergeCell ref="F220:H220"/>
    <mergeCell ref="D233:E233"/>
    <mergeCell ref="F233:H233"/>
    <mergeCell ref="A329:H329"/>
    <mergeCell ref="A233:B233"/>
    <mergeCell ref="A354:B354"/>
    <mergeCell ref="A356:B356"/>
    <mergeCell ref="A55:C55"/>
    <mergeCell ref="A188:B188"/>
    <mergeCell ref="A189:B189"/>
    <mergeCell ref="A190:B190"/>
    <mergeCell ref="A206:H206"/>
    <mergeCell ref="E181:F190"/>
    <mergeCell ref="A121:B121"/>
    <mergeCell ref="C121:H121"/>
    <mergeCell ref="A123:B123"/>
    <mergeCell ref="C123:H123"/>
    <mergeCell ref="A125:B125"/>
    <mergeCell ref="E125:F134"/>
    <mergeCell ref="A107:B107"/>
    <mergeCell ref="A56:C56"/>
    <mergeCell ref="D56:H56"/>
    <mergeCell ref="D55:H55"/>
    <mergeCell ref="A134:B134"/>
    <mergeCell ref="A119:B119"/>
    <mergeCell ref="A109:B109"/>
    <mergeCell ref="A113:B113"/>
    <mergeCell ref="A114:B114"/>
    <mergeCell ref="A115:B115"/>
    <mergeCell ref="A116:B116"/>
    <mergeCell ref="A172:B172"/>
    <mergeCell ref="A173:B173"/>
    <mergeCell ref="C107:H107"/>
    <mergeCell ref="C109:H109"/>
    <mergeCell ref="A110:B110"/>
    <mergeCell ref="E110:F110"/>
    <mergeCell ref="A133:B133"/>
    <mergeCell ref="A117:B117"/>
    <mergeCell ref="A118:B118"/>
    <mergeCell ref="A171:B171"/>
    <mergeCell ref="A120:B120"/>
    <mergeCell ref="A156:B156"/>
    <mergeCell ref="A157:B157"/>
    <mergeCell ref="A158:B158"/>
    <mergeCell ref="A159:B159"/>
    <mergeCell ref="A160:B160"/>
    <mergeCell ref="A161:B161"/>
    <mergeCell ref="A162:B162"/>
    <mergeCell ref="A139:B139"/>
    <mergeCell ref="A126:B126"/>
    <mergeCell ref="A124:B124"/>
    <mergeCell ref="A131:B131"/>
    <mergeCell ref="A140:B140"/>
    <mergeCell ref="C137:H137"/>
    <mergeCell ref="A138:B138"/>
    <mergeCell ref="C177:H177"/>
    <mergeCell ref="A179:B179"/>
    <mergeCell ref="C179:H179"/>
    <mergeCell ref="A180:B180"/>
    <mergeCell ref="E139:F148"/>
    <mergeCell ref="G139:H148"/>
    <mergeCell ref="G327:H328"/>
    <mergeCell ref="A211:E211"/>
    <mergeCell ref="F211:H211"/>
    <mergeCell ref="A212:E212"/>
    <mergeCell ref="F212:H212"/>
    <mergeCell ref="F214:H214"/>
    <mergeCell ref="A234:B234"/>
    <mergeCell ref="D234:E234"/>
    <mergeCell ref="F234:H234"/>
    <mergeCell ref="A213:E213"/>
    <mergeCell ref="F213:H213"/>
    <mergeCell ref="A214:E214"/>
    <mergeCell ref="D237:E237"/>
    <mergeCell ref="A296:B296"/>
    <mergeCell ref="A243:B243"/>
    <mergeCell ref="D243:E243"/>
    <mergeCell ref="F236:H236"/>
    <mergeCell ref="A237:B237"/>
    <mergeCell ref="A223:A224"/>
    <mergeCell ref="A228:A229"/>
    <mergeCell ref="D230:E230"/>
    <mergeCell ref="F230:H230"/>
    <mergeCell ref="A230:B230"/>
    <mergeCell ref="A299:B299"/>
    <mergeCell ref="A288:B288"/>
    <mergeCell ref="A281:B281"/>
    <mergeCell ref="A141:B141"/>
    <mergeCell ref="A142:B142"/>
    <mergeCell ref="A143:B143"/>
    <mergeCell ref="A144:B144"/>
    <mergeCell ref="A145:B145"/>
    <mergeCell ref="A146:B146"/>
    <mergeCell ref="A147:B147"/>
    <mergeCell ref="A148:B148"/>
    <mergeCell ref="A174:B174"/>
    <mergeCell ref="A175:B175"/>
    <mergeCell ref="A168:B168"/>
    <mergeCell ref="A169:B169"/>
    <mergeCell ref="A170:B170"/>
    <mergeCell ref="A207:B207"/>
    <mergeCell ref="A187:B187"/>
    <mergeCell ref="A176:B176"/>
    <mergeCell ref="A186:B186"/>
    <mergeCell ref="A177:B177"/>
    <mergeCell ref="D57:H57"/>
    <mergeCell ref="A57:C57"/>
    <mergeCell ref="A58:C58"/>
    <mergeCell ref="D58:H58"/>
    <mergeCell ref="C207:H207"/>
    <mergeCell ref="A181:B181"/>
    <mergeCell ref="G110:H110"/>
    <mergeCell ref="A111:B111"/>
    <mergeCell ref="E111:F120"/>
    <mergeCell ref="G111:H120"/>
    <mergeCell ref="A112:B112"/>
    <mergeCell ref="A216:E216"/>
    <mergeCell ref="F216:H216"/>
    <mergeCell ref="A217:E217"/>
    <mergeCell ref="F217:H217"/>
    <mergeCell ref="A163:B163"/>
    <mergeCell ref="C163:H163"/>
    <mergeCell ref="A165:B165"/>
    <mergeCell ref="C165:H165"/>
    <mergeCell ref="A166:B166"/>
    <mergeCell ref="E166:F166"/>
    <mergeCell ref="G166:H166"/>
    <mergeCell ref="A167:B167"/>
    <mergeCell ref="E167:F176"/>
    <mergeCell ref="A191:B191"/>
    <mergeCell ref="C191:H191"/>
    <mergeCell ref="A193:B193"/>
    <mergeCell ref="E180:F180"/>
    <mergeCell ref="G180:H180"/>
    <mergeCell ref="A210:E210"/>
    <mergeCell ref="F210:H210"/>
    <mergeCell ref="A205:H205"/>
    <mergeCell ref="G181:H190"/>
    <mergeCell ref="A182:B182"/>
    <mergeCell ref="A183:B183"/>
    <mergeCell ref="A184:B184"/>
    <mergeCell ref="A185:B185"/>
    <mergeCell ref="A218:E218"/>
    <mergeCell ref="F218:H218"/>
    <mergeCell ref="A215:E215"/>
    <mergeCell ref="D228:E228"/>
    <mergeCell ref="F228:H228"/>
    <mergeCell ref="G254:H259"/>
    <mergeCell ref="G262:H267"/>
    <mergeCell ref="G304:H312"/>
    <mergeCell ref="G315:H320"/>
    <mergeCell ref="A305:B305"/>
    <mergeCell ref="A309:B309"/>
    <mergeCell ref="A313:H313"/>
    <mergeCell ref="A247:H247"/>
    <mergeCell ref="A231:H231"/>
    <mergeCell ref="D224:E224"/>
    <mergeCell ref="F224:H224"/>
    <mergeCell ref="A314:H314"/>
    <mergeCell ref="A208:H208"/>
    <mergeCell ref="A209:E209"/>
    <mergeCell ref="F209:H209"/>
    <mergeCell ref="A282:B282"/>
    <mergeCell ref="A283:B283"/>
    <mergeCell ref="A232:B232"/>
    <mergeCell ref="D232:E232"/>
    <mergeCell ref="F232:H232"/>
    <mergeCell ref="F244:H244"/>
    <mergeCell ref="F243:H243"/>
    <mergeCell ref="A658:H658"/>
    <mergeCell ref="A659:B659"/>
    <mergeCell ref="G659:H666"/>
    <mergeCell ref="A660:B660"/>
    <mergeCell ref="A661:B661"/>
    <mergeCell ref="A662:B662"/>
    <mergeCell ref="A663:B663"/>
    <mergeCell ref="A664:B664"/>
    <mergeCell ref="C664:F664"/>
    <mergeCell ref="A665:B665"/>
    <mergeCell ref="A666:B666"/>
    <mergeCell ref="A649:H649"/>
    <mergeCell ref="A650:B650"/>
    <mergeCell ref="G650:H657"/>
    <mergeCell ref="A651:B651"/>
    <mergeCell ref="A652:B652"/>
    <mergeCell ref="A653:B653"/>
    <mergeCell ref="A654:B654"/>
    <mergeCell ref="A655:B655"/>
    <mergeCell ref="A656:B656"/>
    <mergeCell ref="A657:B657"/>
    <mergeCell ref="A641:B641"/>
    <mergeCell ref="G641:H648"/>
    <mergeCell ref="A642:B642"/>
    <mergeCell ref="A643:B643"/>
    <mergeCell ref="C643:F644"/>
    <mergeCell ref="A644:B644"/>
    <mergeCell ref="A645:B645"/>
    <mergeCell ref="A646:B646"/>
    <mergeCell ref="A647:B647"/>
    <mergeCell ref="A401:H401"/>
    <mergeCell ref="A393:B393"/>
    <mergeCell ref="A394:B394"/>
    <mergeCell ref="A395:B395"/>
    <mergeCell ref="A396:B396"/>
    <mergeCell ref="A402:H402"/>
    <mergeCell ref="A344:B344"/>
    <mergeCell ref="C344:F344"/>
    <mergeCell ref="A353:B353"/>
    <mergeCell ref="A365:H365"/>
    <mergeCell ref="A366:B366"/>
    <mergeCell ref="G366:H373"/>
    <mergeCell ref="A648:B648"/>
    <mergeCell ref="A628:H628"/>
    <mergeCell ref="A629:H629"/>
    <mergeCell ref="A630:H630"/>
    <mergeCell ref="A631:H631"/>
    <mergeCell ref="A632:B632"/>
    <mergeCell ref="G632:H639"/>
    <mergeCell ref="A633:B633"/>
    <mergeCell ref="C633:F636"/>
    <mergeCell ref="A634:B634"/>
    <mergeCell ref="A635:B635"/>
    <mergeCell ref="C193:H193"/>
    <mergeCell ref="A194:B194"/>
    <mergeCell ref="E194:F194"/>
    <mergeCell ref="G194:H194"/>
    <mergeCell ref="A195:B195"/>
    <mergeCell ref="E195:F204"/>
    <mergeCell ref="G195:H204"/>
    <mergeCell ref="A196:B196"/>
    <mergeCell ref="A197:B197"/>
    <mergeCell ref="A198:B198"/>
    <mergeCell ref="A199:B199"/>
    <mergeCell ref="A200:B200"/>
    <mergeCell ref="A201:B201"/>
    <mergeCell ref="A202:B202"/>
    <mergeCell ref="A203:B203"/>
    <mergeCell ref="A204:B204"/>
    <mergeCell ref="A640:H640"/>
    <mergeCell ref="A636:B636"/>
    <mergeCell ref="A637:B637"/>
    <mergeCell ref="A638:B638"/>
    <mergeCell ref="A639:B639"/>
    <mergeCell ref="A404:H404"/>
    <mergeCell ref="A351:B351"/>
    <mergeCell ref="A347:B347"/>
    <mergeCell ref="C336:F338"/>
    <mergeCell ref="A342:B342"/>
    <mergeCell ref="A352:B352"/>
    <mergeCell ref="A397:B397"/>
    <mergeCell ref="A398:B398"/>
    <mergeCell ref="A382:B382"/>
    <mergeCell ref="A390:B390"/>
    <mergeCell ref="A405:B405"/>
  </mergeCells>
  <hyperlinks>
    <hyperlink ref="C37" r:id="rId1"/>
  </hyperlinks>
  <printOptions horizontalCentered="1"/>
  <pageMargins left="0.39370078740157483" right="0.39370078740157483" top="0.78740157480314965" bottom="0.78740157480314965" header="0.19685039370078741" footer="0.19685039370078741"/>
  <pageSetup paperSize="2" scale="95" fitToHeight="0" orientation="portrait" r:id="rId2"/>
  <headerFooter>
    <oddHeader>&amp;C&amp;G</oddHeader>
    <oddFooter>&amp;L&amp;"Times New Roman,Bold"&amp;12Ref No: &amp;F&amp;C&amp;G&amp;R&amp;"Times New Roman,Bold"&amp;12                                                          &amp;P</oddFooter>
  </headerFooter>
  <rowBreaks count="5" manualBreakCount="5">
    <brk id="19" max="16383" man="1"/>
    <brk id="230" max="7" man="1"/>
    <brk id="795" max="16383" man="1"/>
    <brk id="840" max="7" man="1"/>
    <brk id="88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3"/>
  <sheetViews>
    <sheetView workbookViewId="0">
      <selection activeCell="B4" sqref="B4"/>
    </sheetView>
  </sheetViews>
  <sheetFormatPr defaultRowHeight="15" x14ac:dyDescent="0.25"/>
  <sheetData>
    <row r="3" spans="2:3" x14ac:dyDescent="0.25">
      <c r="B3" t="s">
        <v>288</v>
      </c>
      <c r="C3" t="s">
        <v>287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6" workbookViewId="0">
      <selection activeCell="I43" sqref="I43"/>
    </sheetView>
  </sheetViews>
  <sheetFormatPr defaultRowHeight="15" x14ac:dyDescent="0.25"/>
  <cols>
    <col min="2" max="2" width="12.28515625" customWidth="1"/>
  </cols>
  <sheetData>
    <row r="2" spans="1:12" x14ac:dyDescent="0.25">
      <c r="B2" s="3" t="s">
        <v>80</v>
      </c>
      <c r="C2" s="225"/>
      <c r="D2" s="225"/>
    </row>
    <row r="3" spans="1:12" x14ac:dyDescent="0.25">
      <c r="D3" s="4"/>
      <c r="E3" s="4"/>
      <c r="F3" s="4"/>
      <c r="G3" s="4"/>
      <c r="H3" s="4"/>
      <c r="I3" s="4"/>
    </row>
    <row r="4" spans="1:12" x14ac:dyDescent="0.25">
      <c r="A4" s="3" t="s">
        <v>81</v>
      </c>
      <c r="B4" s="5" t="s">
        <v>82</v>
      </c>
      <c r="C4" s="226" t="s">
        <v>83</v>
      </c>
      <c r="D4" s="226"/>
      <c r="E4" s="226"/>
      <c r="F4" s="6"/>
      <c r="G4" s="226" t="s">
        <v>84</v>
      </c>
      <c r="H4" s="226"/>
      <c r="I4" s="226"/>
      <c r="J4" s="226" t="s">
        <v>85</v>
      </c>
      <c r="K4" s="226"/>
      <c r="L4" s="226"/>
    </row>
    <row r="5" spans="1:12" x14ac:dyDescent="0.25">
      <c r="A5" s="3">
        <v>202</v>
      </c>
      <c r="B5" s="5"/>
      <c r="C5" s="5" t="s">
        <v>86</v>
      </c>
      <c r="D5" s="5" t="s">
        <v>87</v>
      </c>
      <c r="E5" s="5" t="s">
        <v>61</v>
      </c>
      <c r="F5" s="5"/>
      <c r="G5" s="5" t="s">
        <v>86</v>
      </c>
      <c r="H5" s="5" t="s">
        <v>87</v>
      </c>
      <c r="I5" s="5" t="s">
        <v>61</v>
      </c>
      <c r="J5" s="5" t="s">
        <v>86</v>
      </c>
      <c r="K5" s="5" t="s">
        <v>87</v>
      </c>
      <c r="L5" s="5" t="s">
        <v>61</v>
      </c>
    </row>
    <row r="6" spans="1:12" x14ac:dyDescent="0.25">
      <c r="B6" s="7" t="s">
        <v>88</v>
      </c>
      <c r="C6" s="7">
        <v>3.05</v>
      </c>
      <c r="D6" s="7">
        <v>4.72</v>
      </c>
      <c r="E6" s="7">
        <f>C6*D6</f>
        <v>14.395999999999999</v>
      </c>
      <c r="F6" s="7" t="s">
        <v>89</v>
      </c>
      <c r="G6" s="7">
        <v>2.1800000000000002</v>
      </c>
      <c r="H6" s="7">
        <v>0.6</v>
      </c>
      <c r="I6" s="7">
        <f>G6*H6</f>
        <v>1.3080000000000001</v>
      </c>
      <c r="J6" s="7"/>
      <c r="K6" s="7"/>
      <c r="L6" s="7">
        <f>J6*K6</f>
        <v>0</v>
      </c>
    </row>
    <row r="7" spans="1:12" x14ac:dyDescent="0.25">
      <c r="B7" s="7"/>
      <c r="C7" s="7"/>
      <c r="D7" s="7"/>
      <c r="E7" s="7">
        <f t="shared" ref="E7:E33" si="0">C7*D7</f>
        <v>0</v>
      </c>
      <c r="F7" s="7" t="s">
        <v>90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91</v>
      </c>
      <c r="C9" s="7">
        <v>2.13</v>
      </c>
      <c r="D9" s="7">
        <v>2.74</v>
      </c>
      <c r="E9" s="7">
        <f t="shared" si="0"/>
        <v>5.8361999999999998</v>
      </c>
      <c r="F9" s="7" t="s">
        <v>89</v>
      </c>
      <c r="G9" s="7"/>
      <c r="H9" s="7"/>
      <c r="I9" s="7">
        <f t="shared" si="1"/>
        <v>0</v>
      </c>
      <c r="J9" s="7"/>
      <c r="K9" s="7"/>
      <c r="L9" s="7">
        <f t="shared" si="2"/>
        <v>0</v>
      </c>
    </row>
    <row r="10" spans="1:12" x14ac:dyDescent="0.25">
      <c r="B10" s="7"/>
      <c r="C10" s="7"/>
      <c r="D10" s="7"/>
      <c r="E10" s="7">
        <f t="shared" si="0"/>
        <v>0</v>
      </c>
      <c r="F10" s="7" t="s">
        <v>90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92</v>
      </c>
      <c r="C13" s="7">
        <v>2.74</v>
      </c>
      <c r="D13" s="7">
        <v>3.367</v>
      </c>
      <c r="E13" s="7">
        <f t="shared" si="0"/>
        <v>9.2255800000000008</v>
      </c>
      <c r="F13" s="7" t="s">
        <v>89</v>
      </c>
      <c r="G13" s="7"/>
      <c r="H13" s="7"/>
      <c r="I13" s="7">
        <f t="shared" si="1"/>
        <v>0</v>
      </c>
      <c r="J13" s="7"/>
      <c r="K13" s="7"/>
      <c r="L13" s="7">
        <f t="shared" si="2"/>
        <v>0</v>
      </c>
    </row>
    <row r="14" spans="1:12" x14ac:dyDescent="0.25">
      <c r="B14" s="7"/>
      <c r="C14" s="7"/>
      <c r="D14" s="7"/>
      <c r="E14" s="7">
        <f t="shared" si="0"/>
        <v>0</v>
      </c>
      <c r="F14" s="7" t="s">
        <v>90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93</v>
      </c>
      <c r="C17" s="7">
        <v>3.2</v>
      </c>
      <c r="D17" s="7">
        <v>3.05</v>
      </c>
      <c r="E17" s="7">
        <f t="shared" si="0"/>
        <v>9.76</v>
      </c>
      <c r="F17" s="7" t="s">
        <v>89</v>
      </c>
      <c r="G17" s="7"/>
      <c r="H17" s="7"/>
      <c r="I17" s="7">
        <f t="shared" si="1"/>
        <v>0</v>
      </c>
      <c r="J17" s="7"/>
      <c r="K17" s="7"/>
      <c r="L17" s="7">
        <f t="shared" si="2"/>
        <v>0</v>
      </c>
    </row>
    <row r="18" spans="2:12" x14ac:dyDescent="0.25">
      <c r="B18" s="7"/>
      <c r="C18" s="7"/>
      <c r="D18" s="7"/>
      <c r="E18" s="7">
        <f t="shared" si="0"/>
        <v>0</v>
      </c>
      <c r="F18" s="7" t="s">
        <v>90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93</v>
      </c>
      <c r="C20" s="7"/>
      <c r="D20" s="7"/>
      <c r="E20" s="7">
        <f t="shared" si="0"/>
        <v>0</v>
      </c>
      <c r="F20" s="7" t="s">
        <v>89</v>
      </c>
      <c r="G20" s="7"/>
      <c r="H20" s="7"/>
      <c r="I20" s="7">
        <f t="shared" si="1"/>
        <v>0</v>
      </c>
      <c r="J20" s="7"/>
      <c r="K20" s="7"/>
      <c r="L20" s="7">
        <f t="shared" si="2"/>
        <v>0</v>
      </c>
    </row>
    <row r="21" spans="2:12" x14ac:dyDescent="0.25">
      <c r="B21" s="7"/>
      <c r="C21" s="7"/>
      <c r="D21" s="7"/>
      <c r="E21" s="7">
        <f t="shared" si="0"/>
        <v>0</v>
      </c>
      <c r="F21" s="7" t="s">
        <v>90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94</v>
      </c>
      <c r="C23" s="7">
        <v>2.21</v>
      </c>
      <c r="D23" s="7">
        <v>1.3</v>
      </c>
      <c r="E23" s="7">
        <f t="shared" si="0"/>
        <v>2.8730000000000002</v>
      </c>
      <c r="F23" s="7" t="s">
        <v>95</v>
      </c>
      <c r="G23" s="7"/>
      <c r="H23" s="7"/>
      <c r="I23" s="7">
        <f t="shared" si="1"/>
        <v>0</v>
      </c>
      <c r="J23" s="7"/>
      <c r="K23" s="7"/>
      <c r="L23" s="7">
        <f t="shared" si="2"/>
        <v>0</v>
      </c>
    </row>
    <row r="24" spans="2:12" x14ac:dyDescent="0.25">
      <c r="B24" s="7" t="s">
        <v>96</v>
      </c>
      <c r="C24" s="7">
        <v>1.3</v>
      </c>
      <c r="D24" s="7">
        <v>2.21</v>
      </c>
      <c r="E24" s="7">
        <f t="shared" si="0"/>
        <v>2.8730000000000002</v>
      </c>
      <c r="F24" s="7" t="s">
        <v>95</v>
      </c>
      <c r="G24" s="7"/>
      <c r="H24" s="7"/>
      <c r="I24" s="7">
        <f t="shared" si="1"/>
        <v>0</v>
      </c>
      <c r="J24" s="7"/>
      <c r="K24" s="7"/>
      <c r="L24" s="7">
        <f t="shared" si="2"/>
        <v>0</v>
      </c>
    </row>
    <row r="25" spans="2:12" x14ac:dyDescent="0.25">
      <c r="B25" s="7" t="s">
        <v>97</v>
      </c>
      <c r="C25" s="7"/>
      <c r="D25" s="7"/>
      <c r="E25" s="7">
        <f t="shared" si="0"/>
        <v>0</v>
      </c>
      <c r="F25" s="7" t="s">
        <v>95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98</v>
      </c>
      <c r="C27" s="7">
        <v>0.91</v>
      </c>
      <c r="D27" s="7">
        <v>2.74</v>
      </c>
      <c r="E27" s="7">
        <f t="shared" si="0"/>
        <v>2.4934000000000003</v>
      </c>
      <c r="F27" s="7"/>
      <c r="G27" s="7"/>
      <c r="H27" s="7"/>
      <c r="I27" s="7">
        <f t="shared" si="1"/>
        <v>0</v>
      </c>
      <c r="J27" s="7"/>
      <c r="K27" s="7"/>
      <c r="L27" s="7">
        <f t="shared" si="2"/>
        <v>0</v>
      </c>
    </row>
    <row r="28" spans="2:12" x14ac:dyDescent="0.25">
      <c r="B28" s="7" t="s">
        <v>99</v>
      </c>
      <c r="C28" s="7">
        <v>1.05</v>
      </c>
      <c r="D28" s="7">
        <v>2.13</v>
      </c>
      <c r="E28" s="7">
        <f t="shared" si="0"/>
        <v>2.2364999999999999</v>
      </c>
      <c r="F28" s="7"/>
      <c r="G28" s="7"/>
      <c r="H28" s="7"/>
      <c r="I28" s="7">
        <f t="shared" si="1"/>
        <v>0</v>
      </c>
      <c r="J28" s="7"/>
      <c r="K28" s="7"/>
      <c r="L28" s="7">
        <f t="shared" si="2"/>
        <v>0</v>
      </c>
    </row>
    <row r="29" spans="2:12" x14ac:dyDescent="0.25">
      <c r="B29" s="7" t="s">
        <v>100</v>
      </c>
      <c r="C29" s="7"/>
      <c r="D29" s="7"/>
      <c r="E29" s="7">
        <f t="shared" si="0"/>
        <v>0</v>
      </c>
      <c r="F29" s="7"/>
      <c r="G29" s="7"/>
      <c r="H29" s="7"/>
      <c r="I29" s="7">
        <f t="shared" si="1"/>
        <v>0</v>
      </c>
      <c r="J29" s="7"/>
      <c r="K29" s="7"/>
      <c r="L29" s="7">
        <f t="shared" si="2"/>
        <v>0</v>
      </c>
    </row>
    <row r="30" spans="2:12" x14ac:dyDescent="0.25">
      <c r="B30" s="7" t="s">
        <v>101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62</v>
      </c>
      <c r="C34" s="7"/>
      <c r="D34" s="7">
        <f>E34*10.764</f>
        <v>534.90277151999987</v>
      </c>
      <c r="E34" s="7">
        <f>SUM(E6:E33)</f>
        <v>49.693679999999993</v>
      </c>
      <c r="F34" s="7"/>
      <c r="G34" s="7"/>
      <c r="H34" s="7">
        <f>I34*10.764</f>
        <v>14.079312</v>
      </c>
      <c r="I34" s="7">
        <f>SUM(I6:I33)</f>
        <v>1.3080000000000001</v>
      </c>
      <c r="J34" s="7"/>
      <c r="K34" s="7">
        <f>L34*10.764</f>
        <v>0</v>
      </c>
      <c r="L34" s="7">
        <f>SUM(L6:L33)</f>
        <v>0</v>
      </c>
    </row>
    <row r="36" spans="2:12" x14ac:dyDescent="0.25">
      <c r="D36">
        <f>D34+H34</f>
        <v>548.98208351999983</v>
      </c>
      <c r="E36">
        <f>E34+I34</f>
        <v>51.001679999999993</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
  <sheetViews>
    <sheetView workbookViewId="0">
      <selection activeCell="G2" sqref="G2"/>
    </sheetView>
  </sheetViews>
  <sheetFormatPr defaultRowHeight="15" x14ac:dyDescent="0.25"/>
  <sheetData>
    <row r="2" spans="1:1" x14ac:dyDescent="0.25">
      <c r="A2" t="s">
        <v>247</v>
      </c>
    </row>
  </sheetData>
  <pageMargins left="0.7" right="0.7" top="0.75" bottom="0.75" header="0.3" footer="0.3"/>
  <drawing r:id="rId1"/>
  <legacyDrawing r:id="rId2"/>
  <oleObjects>
    <mc:AlternateContent xmlns:mc="http://schemas.openxmlformats.org/markup-compatibility/2006">
      <mc:Choice Requires="x14">
        <oleObject progId="Acrobat Document" dvAspect="DVASPECT_ICON" shapeId="4097" r:id="rId3">
          <objectPr defaultSize="0" r:id="rId4">
            <anchor moveWithCells="1">
              <from>
                <xdr:col>6</xdr:col>
                <xdr:colOff>0</xdr:colOff>
                <xdr:row>1</xdr:row>
                <xdr:rowOff>0</xdr:rowOff>
              </from>
              <to>
                <xdr:col>7</xdr:col>
                <xdr:colOff>304800</xdr:colOff>
                <xdr:row>5</xdr:row>
                <xdr:rowOff>9525</xdr:rowOff>
              </to>
            </anchor>
          </objectPr>
        </oleObject>
      </mc:Choice>
      <mc:Fallback>
        <oleObject progId="Acrobat Document" dvAspect="DVASPECT_ICON" shapeId="4097"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115" zoomScaleNormal="115" workbookViewId="0">
      <selection activeCell="F5" sqref="F5:F8"/>
    </sheetView>
  </sheetViews>
  <sheetFormatPr defaultColWidth="8.7109375" defaultRowHeight="15" x14ac:dyDescent="0.25"/>
  <cols>
    <col min="1" max="1" width="8.7109375" style="21"/>
    <col min="2" max="2" width="22.140625" style="21" customWidth="1"/>
    <col min="3" max="3" width="31" style="21" bestFit="1" customWidth="1"/>
    <col min="4" max="5" width="11.42578125" style="21" customWidth="1"/>
    <col min="6" max="6" width="14" style="21" customWidth="1"/>
    <col min="7" max="7" width="20" style="21" customWidth="1"/>
    <col min="8" max="8" width="16.42578125" style="21" customWidth="1"/>
    <col min="9" max="16384" width="8.7109375" style="21"/>
  </cols>
  <sheetData>
    <row r="1" spans="1:9" ht="15" customHeight="1" x14ac:dyDescent="0.25"/>
    <row r="2" spans="1:9" ht="15" customHeight="1" x14ac:dyDescent="0.25">
      <c r="A2" s="22"/>
      <c r="B2" s="22"/>
      <c r="C2" s="22"/>
      <c r="D2" s="22"/>
      <c r="E2" s="22"/>
      <c r="F2" s="22"/>
      <c r="G2" s="22"/>
      <c r="H2" s="22"/>
    </row>
    <row r="3" spans="1:9" ht="15.75" customHeight="1" x14ac:dyDescent="0.25">
      <c r="A3" s="22"/>
      <c r="B3" s="227" t="s">
        <v>147</v>
      </c>
      <c r="C3" s="227"/>
      <c r="D3" s="227"/>
      <c r="E3" s="227"/>
      <c r="F3" s="227"/>
      <c r="G3" s="227"/>
      <c r="H3" s="227"/>
    </row>
    <row r="4" spans="1:9" x14ac:dyDescent="0.25">
      <c r="A4" s="22"/>
      <c r="B4" s="23" t="s">
        <v>148</v>
      </c>
      <c r="C4" s="23" t="s">
        <v>149</v>
      </c>
      <c r="D4" s="23" t="s">
        <v>81</v>
      </c>
      <c r="E4" s="23" t="s">
        <v>150</v>
      </c>
      <c r="F4" s="23" t="s">
        <v>155</v>
      </c>
      <c r="G4" s="23" t="s">
        <v>156</v>
      </c>
      <c r="H4" s="23" t="s">
        <v>151</v>
      </c>
    </row>
    <row r="5" spans="1:9" ht="15" customHeight="1" x14ac:dyDescent="0.25">
      <c r="A5" s="22"/>
      <c r="B5" s="31" t="s">
        <v>186</v>
      </c>
      <c r="C5" s="32" t="s">
        <v>187</v>
      </c>
      <c r="D5" s="31" t="s">
        <v>176</v>
      </c>
      <c r="E5" s="26">
        <v>406</v>
      </c>
      <c r="F5" s="26">
        <f>E5*1.5</f>
        <v>609</v>
      </c>
      <c r="G5" s="26">
        <f>H5/F5</f>
        <v>8249.5894909688013</v>
      </c>
      <c r="H5" s="27">
        <v>5024000</v>
      </c>
    </row>
    <row r="6" spans="1:9" x14ac:dyDescent="0.25">
      <c r="A6" s="22"/>
      <c r="B6" s="31" t="s">
        <v>186</v>
      </c>
      <c r="C6" s="32" t="s">
        <v>187</v>
      </c>
      <c r="D6" s="31" t="s">
        <v>173</v>
      </c>
      <c r="E6" s="26">
        <v>525</v>
      </c>
      <c r="F6" s="26">
        <f>E6*1.5</f>
        <v>787.5</v>
      </c>
      <c r="G6" s="26">
        <f t="shared" ref="G6:G11" si="0">H6/F6</f>
        <v>7970.7936507936511</v>
      </c>
      <c r="H6" s="27">
        <v>6277000</v>
      </c>
    </row>
    <row r="7" spans="1:9" ht="15" customHeight="1" x14ac:dyDescent="0.25">
      <c r="A7" s="22"/>
      <c r="B7" s="31" t="s">
        <v>186</v>
      </c>
      <c r="C7" s="32" t="s">
        <v>187</v>
      </c>
      <c r="D7" s="31" t="s">
        <v>173</v>
      </c>
      <c r="E7" s="26">
        <v>576</v>
      </c>
      <c r="F7" s="26">
        <f>E7*1.5</f>
        <v>864</v>
      </c>
      <c r="G7" s="26">
        <f t="shared" si="0"/>
        <v>7965.2777777777774</v>
      </c>
      <c r="H7" s="27">
        <v>6882000</v>
      </c>
    </row>
    <row r="8" spans="1:9" x14ac:dyDescent="0.25">
      <c r="A8" s="22"/>
      <c r="B8" s="31" t="s">
        <v>186</v>
      </c>
      <c r="C8" s="32" t="s">
        <v>187</v>
      </c>
      <c r="D8" s="31" t="s">
        <v>152</v>
      </c>
      <c r="E8" s="26">
        <v>706</v>
      </c>
      <c r="F8" s="26">
        <f>E8*1.5</f>
        <v>1059</v>
      </c>
      <c r="G8" s="26">
        <f t="shared" si="0"/>
        <v>8300.28328611898</v>
      </c>
      <c r="H8" s="27">
        <v>8790000</v>
      </c>
    </row>
    <row r="9" spans="1:9" ht="15" customHeight="1" x14ac:dyDescent="0.25">
      <c r="A9" s="22"/>
      <c r="B9" s="31" t="s">
        <v>188</v>
      </c>
      <c r="C9" s="32" t="s">
        <v>187</v>
      </c>
      <c r="D9" s="31" t="s">
        <v>176</v>
      </c>
      <c r="E9" s="25">
        <v>372</v>
      </c>
      <c r="F9" s="26">
        <f>E9*1.6</f>
        <v>595.20000000000005</v>
      </c>
      <c r="G9" s="26">
        <f t="shared" si="0"/>
        <v>6123.9919354838703</v>
      </c>
      <c r="H9" s="27">
        <v>3645000</v>
      </c>
    </row>
    <row r="10" spans="1:9" ht="15" customHeight="1" x14ac:dyDescent="0.25">
      <c r="A10" s="22"/>
      <c r="B10" s="31" t="s">
        <v>188</v>
      </c>
      <c r="C10" s="32" t="s">
        <v>187</v>
      </c>
      <c r="D10" s="31" t="s">
        <v>176</v>
      </c>
      <c r="E10" s="25">
        <v>409</v>
      </c>
      <c r="F10" s="26">
        <f>E10*1.6</f>
        <v>654.40000000000009</v>
      </c>
      <c r="G10" s="26">
        <f t="shared" si="0"/>
        <v>6066.6259168704146</v>
      </c>
      <c r="H10" s="27">
        <v>3970000</v>
      </c>
    </row>
    <row r="11" spans="1:9" ht="15" customHeight="1" x14ac:dyDescent="0.25">
      <c r="A11" s="22"/>
      <c r="B11" s="31" t="s">
        <v>188</v>
      </c>
      <c r="C11" s="32" t="s">
        <v>187</v>
      </c>
      <c r="D11" s="31" t="s">
        <v>173</v>
      </c>
      <c r="E11" s="25">
        <v>502</v>
      </c>
      <c r="F11" s="26">
        <f>E11*1.6</f>
        <v>803.2</v>
      </c>
      <c r="G11" s="26">
        <f t="shared" si="0"/>
        <v>5984.8107569721114</v>
      </c>
      <c r="H11" s="27">
        <v>4807000</v>
      </c>
    </row>
    <row r="12" spans="1:9" ht="15" customHeight="1" x14ac:dyDescent="0.25">
      <c r="A12" s="22"/>
      <c r="B12" s="31" t="s">
        <v>188</v>
      </c>
      <c r="C12" s="32" t="s">
        <v>187</v>
      </c>
      <c r="D12" s="31" t="s">
        <v>173</v>
      </c>
      <c r="E12" s="25">
        <v>570</v>
      </c>
      <c r="F12" s="26">
        <f>E12*1.6</f>
        <v>912</v>
      </c>
      <c r="G12" s="26">
        <f>H12/F12</f>
        <v>6085.5263157894733</v>
      </c>
      <c r="H12" s="27">
        <v>5550000</v>
      </c>
    </row>
    <row r="13" spans="1:9" ht="15" customHeight="1" x14ac:dyDescent="0.25">
      <c r="A13" s="22"/>
      <c r="B13" s="31" t="s">
        <v>188</v>
      </c>
      <c r="C13" s="32" t="s">
        <v>187</v>
      </c>
      <c r="D13" s="31" t="s">
        <v>152</v>
      </c>
      <c r="E13" s="25">
        <v>777</v>
      </c>
      <c r="F13" s="26">
        <f>E13*1.6</f>
        <v>1243.2</v>
      </c>
      <c r="G13" s="26">
        <f>H13/F13</f>
        <v>6089.1248391248391</v>
      </c>
      <c r="H13" s="27">
        <v>7570000</v>
      </c>
    </row>
    <row r="14" spans="1:9" ht="15" customHeight="1" x14ac:dyDescent="0.25">
      <c r="A14" s="22"/>
      <c r="B14" s="28" t="s">
        <v>153</v>
      </c>
      <c r="C14" s="32"/>
      <c r="D14" s="25"/>
      <c r="E14" s="25"/>
      <c r="F14" s="25"/>
      <c r="G14" s="29">
        <f>AVERAGE(G5:G13)</f>
        <v>6981.7804410999906</v>
      </c>
      <c r="H14" s="25"/>
    </row>
    <row r="15" spans="1:9" ht="15" customHeight="1" x14ac:dyDescent="0.25">
      <c r="B15" s="28" t="s">
        <v>154</v>
      </c>
      <c r="C15" s="25"/>
      <c r="D15" s="25"/>
      <c r="E15" s="25"/>
      <c r="F15" s="30"/>
      <c r="G15" s="28">
        <v>8800</v>
      </c>
      <c r="H15" s="28"/>
      <c r="I15" s="24"/>
    </row>
    <row r="16" spans="1:9" ht="15" customHeight="1" x14ac:dyDescent="0.25"/>
    <row r="17" ht="15" customHeight="1" x14ac:dyDescent="0.25"/>
    <row r="18"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2025-07-14T12:50:48Z</cp:lastPrinted>
  <dcterms:created xsi:type="dcterms:W3CDTF">2019-07-16T09:29:46Z</dcterms:created>
  <dcterms:modified xsi:type="dcterms:W3CDTF">2025-07-14T12:51:15Z</dcterms:modified>
</cp:coreProperties>
</file>