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Vsjadon\common drive\APF\25-26\July 2025\Godrej\NEW\Saurav\14351 - Sector B- Tower A and B\"/>
    </mc:Choice>
  </mc:AlternateContent>
  <bookViews>
    <workbookView xWindow="-105" yWindow="-105" windowWidth="21840" windowHeight="12450"/>
  </bookViews>
  <sheets>
    <sheet name="Report" sheetId="3" r:id="rId1"/>
    <sheet name="Construction table" sheetId="4" r:id="rId2"/>
    <sheet name="Remarks" sheetId="5" r:id="rId3"/>
    <sheet name="Area Calculation" sheetId="6" r:id="rId4"/>
  </sheets>
  <definedNames>
    <definedName name="_xlnm.Print_Area" localSheetId="0">Report!$A$1:$H$422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71" i="3" l="1"/>
  <c r="F253" i="3"/>
  <c r="E253" i="3"/>
  <c r="F252" i="3"/>
  <c r="E252" i="3"/>
  <c r="F251" i="3"/>
  <c r="E251" i="3"/>
  <c r="F250" i="3"/>
  <c r="E250" i="3"/>
  <c r="F248" i="3"/>
  <c r="E248" i="3"/>
  <c r="F247" i="3"/>
  <c r="E247" i="3"/>
  <c r="F246" i="3"/>
  <c r="E246" i="3"/>
  <c r="F245" i="3"/>
  <c r="E245" i="3"/>
  <c r="F244" i="3"/>
  <c r="E244" i="3"/>
  <c r="F243" i="3"/>
  <c r="E243" i="3"/>
  <c r="F242" i="3"/>
  <c r="E242" i="3"/>
  <c r="F240" i="3"/>
  <c r="E240" i="3"/>
  <c r="F239" i="3"/>
  <c r="E239" i="3"/>
  <c r="F238" i="3"/>
  <c r="E238" i="3"/>
  <c r="F236" i="3"/>
  <c r="E236" i="3"/>
  <c r="F235" i="3"/>
  <c r="E235" i="3"/>
  <c r="F234" i="3"/>
  <c r="E234" i="3"/>
  <c r="F232" i="3"/>
  <c r="E232" i="3"/>
  <c r="F231" i="3"/>
  <c r="E231" i="3"/>
  <c r="F230" i="3"/>
  <c r="E230" i="3"/>
  <c r="F229" i="3"/>
  <c r="E229" i="3"/>
  <c r="F228" i="3"/>
  <c r="E228" i="3"/>
  <c r="F227" i="3"/>
  <c r="E227" i="3"/>
  <c r="F226" i="3"/>
  <c r="E226" i="3"/>
  <c r="F221" i="3"/>
  <c r="E221" i="3"/>
  <c r="F220" i="3"/>
  <c r="E220" i="3"/>
  <c r="F214" i="3"/>
  <c r="E214" i="3"/>
  <c r="F213" i="3"/>
  <c r="E213" i="3"/>
  <c r="F212" i="3"/>
  <c r="E212" i="3"/>
  <c r="F198" i="3"/>
  <c r="E198" i="3"/>
  <c r="F197" i="3"/>
  <c r="E197" i="3"/>
  <c r="F196" i="3"/>
  <c r="E196" i="3"/>
  <c r="F186" i="3"/>
  <c r="E186" i="3"/>
  <c r="F185" i="3"/>
  <c r="E185" i="3"/>
  <c r="F184" i="3"/>
  <c r="E184" i="3"/>
  <c r="F182" i="3"/>
  <c r="E182" i="3"/>
  <c r="F181" i="3"/>
  <c r="E181" i="3"/>
  <c r="F178" i="3"/>
  <c r="E178" i="3"/>
  <c r="F177" i="3"/>
  <c r="E177" i="3"/>
  <c r="F176" i="3"/>
  <c r="E176" i="3"/>
  <c r="F174" i="3"/>
  <c r="E174" i="3"/>
  <c r="F173" i="3"/>
  <c r="E173" i="3"/>
  <c r="F167" i="3"/>
  <c r="E167" i="3"/>
  <c r="F166" i="3"/>
  <c r="E166" i="3"/>
  <c r="F165" i="3"/>
  <c r="E165" i="3"/>
  <c r="F163" i="3"/>
  <c r="E163" i="3"/>
  <c r="F162" i="3"/>
  <c r="E162" i="3"/>
  <c r="F161" i="3"/>
  <c r="E161" i="3"/>
  <c r="F159" i="3"/>
  <c r="E159" i="3"/>
  <c r="F158" i="3"/>
  <c r="E158" i="3"/>
  <c r="F157" i="3"/>
  <c r="E157" i="3"/>
  <c r="F155" i="3"/>
  <c r="E155" i="3"/>
  <c r="F154" i="3"/>
  <c r="E154" i="3"/>
  <c r="F153" i="3"/>
  <c r="E153" i="3"/>
  <c r="F152" i="3"/>
  <c r="E152" i="3"/>
  <c r="F151" i="3"/>
  <c r="E151" i="3"/>
  <c r="F150" i="3"/>
  <c r="E150" i="3"/>
  <c r="F149" i="3"/>
  <c r="E149" i="3"/>
  <c r="F146" i="3"/>
  <c r="E146" i="3"/>
  <c r="F145" i="3"/>
  <c r="E145" i="3"/>
  <c r="F144" i="3"/>
  <c r="E144" i="3"/>
  <c r="F143" i="3"/>
  <c r="E143" i="3"/>
  <c r="F137" i="3"/>
  <c r="E137" i="3"/>
  <c r="F136" i="3"/>
  <c r="E136" i="3"/>
  <c r="F135" i="3"/>
  <c r="E135" i="3"/>
  <c r="F134" i="3"/>
  <c r="E134" i="3"/>
  <c r="F129" i="3"/>
  <c r="E129" i="3"/>
  <c r="F128" i="3"/>
  <c r="E128" i="3"/>
  <c r="F127" i="3"/>
  <c r="E127" i="3"/>
  <c r="F126" i="3"/>
  <c r="E126" i="3"/>
  <c r="F263" i="3" l="1"/>
  <c r="E262" i="3"/>
  <c r="F256" i="3"/>
  <c r="E121" i="3" l="1"/>
  <c r="E118" i="3"/>
  <c r="E269" i="3" l="1"/>
  <c r="F269" i="3"/>
  <c r="H269" i="3"/>
  <c r="U269" i="3"/>
  <c r="T269" i="3" s="1"/>
  <c r="V269" i="3"/>
  <c r="I117" i="3" l="1"/>
  <c r="C20" i="3"/>
  <c r="G98" i="3" l="1"/>
  <c r="G97" i="3"/>
  <c r="E271" i="3"/>
  <c r="F270" i="3"/>
  <c r="E270" i="3"/>
  <c r="F267" i="3"/>
  <c r="E267" i="3"/>
  <c r="F266" i="3"/>
  <c r="E266" i="3"/>
  <c r="E263" i="3"/>
  <c r="F262" i="3"/>
  <c r="F261" i="3"/>
  <c r="E261" i="3"/>
  <c r="F259" i="3"/>
  <c r="E259" i="3"/>
  <c r="H259" i="3" s="1"/>
  <c r="F258" i="3"/>
  <c r="E258" i="3"/>
  <c r="E256" i="3"/>
  <c r="H250" i="3"/>
  <c r="H247" i="3"/>
  <c r="H243" i="3"/>
  <c r="H235" i="3"/>
  <c r="H232" i="3"/>
  <c r="H226" i="3"/>
  <c r="F206" i="3"/>
  <c r="E206" i="3"/>
  <c r="H206" i="3" s="1"/>
  <c r="F205" i="3"/>
  <c r="E205" i="3"/>
  <c r="F204" i="3"/>
  <c r="E204" i="3"/>
  <c r="H197" i="3"/>
  <c r="I265" i="3"/>
  <c r="I257" i="3"/>
  <c r="I249" i="3"/>
  <c r="I241" i="3"/>
  <c r="H242" i="3"/>
  <c r="I233" i="3"/>
  <c r="I196" i="3"/>
  <c r="E171" i="3"/>
  <c r="J149" i="3"/>
  <c r="I149" i="3"/>
  <c r="J129" i="3"/>
  <c r="I129" i="3"/>
  <c r="J126" i="3"/>
  <c r="I126" i="3"/>
  <c r="E117" i="3"/>
  <c r="H230" i="3"/>
  <c r="I225" i="3"/>
  <c r="H213" i="3"/>
  <c r="H198" i="3"/>
  <c r="I111" i="3"/>
  <c r="U234" i="3"/>
  <c r="V250" i="3"/>
  <c r="U258" i="3"/>
  <c r="U217" i="3"/>
  <c r="U193" i="3"/>
  <c r="V217" i="3"/>
  <c r="U201" i="3"/>
  <c r="V226" i="3"/>
  <c r="U266" i="3"/>
  <c r="V209" i="3"/>
  <c r="V266" i="3"/>
  <c r="U226" i="3"/>
  <c r="V242" i="3"/>
  <c r="V201" i="3"/>
  <c r="U250" i="3"/>
  <c r="U242" i="3"/>
  <c r="V234" i="3"/>
  <c r="V193" i="3"/>
  <c r="V258" i="3"/>
  <c r="U209" i="3"/>
  <c r="E107" i="3" l="1"/>
  <c r="H238" i="3"/>
  <c r="H262" i="3"/>
  <c r="H204" i="3"/>
  <c r="H228" i="3"/>
  <c r="H256" i="3"/>
  <c r="H266" i="3"/>
  <c r="H196" i="3"/>
  <c r="H205" i="3"/>
  <c r="H214" i="3"/>
  <c r="H221" i="3"/>
  <c r="H229" i="3"/>
  <c r="H231" i="3"/>
  <c r="H236" i="3"/>
  <c r="H239" i="3"/>
  <c r="H244" i="3"/>
  <c r="H246" i="3"/>
  <c r="H248" i="3"/>
  <c r="H251" i="3"/>
  <c r="H253" i="3"/>
  <c r="H261" i="3"/>
  <c r="H263" i="3"/>
  <c r="H267" i="3"/>
  <c r="H270" i="3"/>
  <c r="H220" i="3"/>
  <c r="H234" i="3"/>
  <c r="H240" i="3"/>
  <c r="H252" i="3"/>
  <c r="H258" i="3"/>
  <c r="H271" i="3"/>
  <c r="H245" i="3"/>
  <c r="H212" i="3"/>
  <c r="V267" i="3"/>
  <c r="T266" i="3"/>
  <c r="U267" i="3"/>
  <c r="U268" i="3" s="1"/>
  <c r="T258" i="3"/>
  <c r="U259" i="3"/>
  <c r="V259" i="3"/>
  <c r="V260" i="3" s="1"/>
  <c r="V261" i="3" s="1"/>
  <c r="V262" i="3" s="1"/>
  <c r="V263" i="3" s="1"/>
  <c r="V264" i="3" s="1"/>
  <c r="T250" i="3"/>
  <c r="U251" i="3"/>
  <c r="V251" i="3"/>
  <c r="V252" i="3" s="1"/>
  <c r="V253" i="3" s="1"/>
  <c r="V254" i="3" s="1"/>
  <c r="V255" i="3" s="1"/>
  <c r="V256" i="3" s="1"/>
  <c r="T242" i="3"/>
  <c r="U243" i="3"/>
  <c r="V243" i="3"/>
  <c r="V244" i="3" s="1"/>
  <c r="V245" i="3" s="1"/>
  <c r="V246" i="3" s="1"/>
  <c r="V247" i="3" s="1"/>
  <c r="V248" i="3" s="1"/>
  <c r="T234" i="3"/>
  <c r="U235" i="3"/>
  <c r="V235" i="3"/>
  <c r="V236" i="3" s="1"/>
  <c r="V237" i="3" s="1"/>
  <c r="V238" i="3" s="1"/>
  <c r="V239" i="3" s="1"/>
  <c r="V240" i="3" s="1"/>
  <c r="H227" i="3"/>
  <c r="V227" i="3"/>
  <c r="V228" i="3" s="1"/>
  <c r="V229" i="3" s="1"/>
  <c r="V230" i="3" s="1"/>
  <c r="V231" i="3" s="1"/>
  <c r="V232" i="3" s="1"/>
  <c r="U227" i="3"/>
  <c r="T226" i="3"/>
  <c r="V218" i="3"/>
  <c r="V219" i="3" s="1"/>
  <c r="V220" i="3" s="1"/>
  <c r="V221" i="3" s="1"/>
  <c r="V222" i="3" s="1"/>
  <c r="V223" i="3" s="1"/>
  <c r="T217" i="3"/>
  <c r="U218" i="3"/>
  <c r="V210" i="3"/>
  <c r="V211" i="3" s="1"/>
  <c r="V212" i="3" s="1"/>
  <c r="V213" i="3" s="1"/>
  <c r="V214" i="3" s="1"/>
  <c r="V215" i="3" s="1"/>
  <c r="U210" i="3"/>
  <c r="T209" i="3"/>
  <c r="V202" i="3"/>
  <c r="V203" i="3" s="1"/>
  <c r="V204" i="3" s="1"/>
  <c r="V205" i="3" s="1"/>
  <c r="V206" i="3" s="1"/>
  <c r="V207" i="3" s="1"/>
  <c r="U202" i="3"/>
  <c r="T201" i="3"/>
  <c r="T193" i="3"/>
  <c r="U194" i="3"/>
  <c r="V194" i="3"/>
  <c r="V195" i="3" s="1"/>
  <c r="V196" i="3" s="1"/>
  <c r="V197" i="3" s="1"/>
  <c r="V198" i="3" s="1"/>
  <c r="V199" i="3" s="1"/>
  <c r="E102" i="3"/>
  <c r="E103" i="3" s="1"/>
  <c r="G107" i="3" l="1"/>
  <c r="V270" i="3"/>
  <c r="V271" i="3" s="1"/>
  <c r="V272" i="3" s="1"/>
  <c r="V268" i="3"/>
  <c r="T268" i="3" s="1"/>
  <c r="T267" i="3"/>
  <c r="U260" i="3"/>
  <c r="T259" i="3"/>
  <c r="T251" i="3"/>
  <c r="U252" i="3"/>
  <c r="T243" i="3"/>
  <c r="U244" i="3"/>
  <c r="T235" i="3"/>
  <c r="U236" i="3"/>
  <c r="U228" i="3"/>
  <c r="T227" i="3"/>
  <c r="U219" i="3"/>
  <c r="T218" i="3"/>
  <c r="U211" i="3"/>
  <c r="T210" i="3"/>
  <c r="U203" i="3"/>
  <c r="T202" i="3"/>
  <c r="T194" i="3"/>
  <c r="U195" i="3"/>
  <c r="T260" i="3" l="1"/>
  <c r="U261" i="3"/>
  <c r="T252" i="3"/>
  <c r="U253" i="3"/>
  <c r="T244" i="3"/>
  <c r="U245" i="3"/>
  <c r="T236" i="3"/>
  <c r="U237" i="3"/>
  <c r="T228" i="3"/>
  <c r="U229" i="3"/>
  <c r="U220" i="3"/>
  <c r="T219" i="3"/>
  <c r="U212" i="3"/>
  <c r="T211" i="3"/>
  <c r="T203" i="3"/>
  <c r="U204" i="3"/>
  <c r="T195" i="3"/>
  <c r="U196" i="3"/>
  <c r="U270" i="3" l="1"/>
  <c r="U262" i="3"/>
  <c r="T261" i="3"/>
  <c r="T253" i="3"/>
  <c r="U254" i="3"/>
  <c r="T245" i="3"/>
  <c r="U246" i="3"/>
  <c r="T237" i="3"/>
  <c r="U238" i="3"/>
  <c r="T229" i="3"/>
  <c r="U230" i="3"/>
  <c r="T220" i="3"/>
  <c r="U221" i="3"/>
  <c r="T212" i="3"/>
  <c r="U213" i="3"/>
  <c r="T204" i="3"/>
  <c r="U205" i="3"/>
  <c r="T196" i="3"/>
  <c r="U197" i="3"/>
  <c r="U271" i="3" l="1"/>
  <c r="U272" i="3" s="1"/>
  <c r="T272" i="3" s="1"/>
  <c r="T270" i="3"/>
  <c r="T262" i="3"/>
  <c r="U263" i="3"/>
  <c r="T254" i="3"/>
  <c r="U255" i="3"/>
  <c r="T246" i="3"/>
  <c r="U247" i="3"/>
  <c r="T238" i="3"/>
  <c r="U239" i="3"/>
  <c r="U231" i="3"/>
  <c r="T230" i="3"/>
  <c r="U222" i="3"/>
  <c r="T221" i="3"/>
  <c r="U214" i="3"/>
  <c r="T213" i="3"/>
  <c r="T205" i="3"/>
  <c r="U206" i="3"/>
  <c r="T197" i="3"/>
  <c r="U198" i="3"/>
  <c r="T271" i="3" l="1"/>
  <c r="U264" i="3"/>
  <c r="T264" i="3" s="1"/>
  <c r="T263" i="3"/>
  <c r="T255" i="3"/>
  <c r="U256" i="3"/>
  <c r="T256" i="3" s="1"/>
  <c r="T247" i="3"/>
  <c r="U248" i="3"/>
  <c r="T248" i="3" s="1"/>
  <c r="T239" i="3"/>
  <c r="U240" i="3"/>
  <c r="T240" i="3" s="1"/>
  <c r="T231" i="3"/>
  <c r="U232" i="3"/>
  <c r="T232" i="3" s="1"/>
  <c r="U223" i="3"/>
  <c r="T223" i="3" s="1"/>
  <c r="T222" i="3"/>
  <c r="U215" i="3"/>
  <c r="T215" i="3" s="1"/>
  <c r="T214" i="3"/>
  <c r="U207" i="3"/>
  <c r="T207" i="3" s="1"/>
  <c r="T206" i="3"/>
  <c r="T198" i="3"/>
  <c r="U199" i="3"/>
  <c r="T199" i="3" s="1"/>
  <c r="I180" i="3" l="1"/>
  <c r="I172" i="3"/>
  <c r="H186" i="3"/>
  <c r="H185" i="3"/>
  <c r="H178" i="3"/>
  <c r="H176" i="3"/>
  <c r="H174" i="3"/>
  <c r="I164" i="3"/>
  <c r="F171" i="3"/>
  <c r="H166" i="3"/>
  <c r="H165" i="3"/>
  <c r="I156" i="3"/>
  <c r="I148" i="3"/>
  <c r="I147" i="3"/>
  <c r="A144" i="3"/>
  <c r="A145" i="3" s="1"/>
  <c r="A146" i="3" s="1"/>
  <c r="I139" i="3"/>
  <c r="I138" i="3"/>
  <c r="A135" i="3"/>
  <c r="A136" i="3" s="1"/>
  <c r="A137" i="3" s="1"/>
  <c r="I130" i="3"/>
  <c r="H121" i="3"/>
  <c r="I120" i="3"/>
  <c r="H118" i="3"/>
  <c r="H117" i="3"/>
  <c r="A118" i="3"/>
  <c r="I122" i="3"/>
  <c r="V165" i="3"/>
  <c r="V173" i="3"/>
  <c r="U181" i="3"/>
  <c r="U173" i="3"/>
  <c r="U165" i="3"/>
  <c r="V181" i="3"/>
  <c r="E106" i="3" l="1"/>
  <c r="E108" i="3" s="1"/>
  <c r="E109" i="3" s="1"/>
  <c r="G102" i="3"/>
  <c r="G103" i="3" s="1"/>
  <c r="H171" i="3"/>
  <c r="H173" i="3"/>
  <c r="H177" i="3"/>
  <c r="H181" i="3"/>
  <c r="H184" i="3"/>
  <c r="H167" i="3"/>
  <c r="H182" i="3"/>
  <c r="U182" i="3"/>
  <c r="U183" i="3" s="1"/>
  <c r="T181" i="3"/>
  <c r="V182" i="3"/>
  <c r="V174" i="3"/>
  <c r="V175" i="3" s="1"/>
  <c r="V176" i="3" s="1"/>
  <c r="V177" i="3" s="1"/>
  <c r="V178" i="3" s="1"/>
  <c r="V179" i="3" s="1"/>
  <c r="T173" i="3"/>
  <c r="U174" i="3"/>
  <c r="T165" i="3"/>
  <c r="U166" i="3"/>
  <c r="V166" i="3"/>
  <c r="V167" i="3" s="1"/>
  <c r="V168" i="3" s="1"/>
  <c r="V169" i="3" s="1"/>
  <c r="V170" i="3" s="1"/>
  <c r="V171" i="3" s="1"/>
  <c r="H143" i="3"/>
  <c r="H145" i="3"/>
  <c r="H144" i="3"/>
  <c r="H146" i="3"/>
  <c r="H134" i="3"/>
  <c r="H136" i="3"/>
  <c r="K136" i="3" s="1"/>
  <c r="H135" i="3"/>
  <c r="H137" i="3"/>
  <c r="V184" i="3" l="1"/>
  <c r="V185" i="3" s="1"/>
  <c r="V186" i="3" s="1"/>
  <c r="V187" i="3" s="1"/>
  <c r="V183" i="3"/>
  <c r="T183" i="3" s="1"/>
  <c r="T182" i="3"/>
  <c r="T174" i="3"/>
  <c r="U175" i="3"/>
  <c r="T166" i="3"/>
  <c r="U167" i="3"/>
  <c r="U184" i="3" l="1"/>
  <c r="T175" i="3"/>
  <c r="U176" i="3"/>
  <c r="T167" i="3"/>
  <c r="U168" i="3"/>
  <c r="T184" i="3" l="1"/>
  <c r="U185" i="3"/>
  <c r="U177" i="3"/>
  <c r="T176" i="3"/>
  <c r="T168" i="3"/>
  <c r="U169" i="3"/>
  <c r="U186" i="3" l="1"/>
  <c r="U187" i="3" s="1"/>
  <c r="T187" i="3" s="1"/>
  <c r="T185" i="3"/>
  <c r="T177" i="3"/>
  <c r="U178" i="3"/>
  <c r="T169" i="3"/>
  <c r="U170" i="3"/>
  <c r="T186" i="3" l="1"/>
  <c r="U179" i="3"/>
  <c r="T179" i="3" s="1"/>
  <c r="T178" i="3"/>
  <c r="T170" i="3"/>
  <c r="U171" i="3"/>
  <c r="T171" i="3" s="1"/>
  <c r="G19" i="3" l="1"/>
  <c r="C19" i="3" s="1"/>
  <c r="G18" i="3"/>
  <c r="D286" i="3" l="1"/>
  <c r="D284" i="3"/>
  <c r="H126" i="3"/>
  <c r="H127" i="3"/>
  <c r="A60" i="3"/>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l="1"/>
  <c r="I42" i="6"/>
  <c r="H42" i="6" s="1"/>
  <c r="L42" i="6"/>
  <c r="K42" i="6" s="1"/>
  <c r="E44" i="6"/>
  <c r="D42" i="6"/>
  <c r="D44" i="6" s="1"/>
  <c r="C26" i="3" l="1"/>
  <c r="C18" i="3"/>
  <c r="H163" i="3"/>
  <c r="H162" i="3"/>
  <c r="H161" i="3"/>
  <c r="H159" i="3"/>
  <c r="H158" i="3"/>
  <c r="H157" i="3"/>
  <c r="H155" i="3"/>
  <c r="K155" i="3" s="1"/>
  <c r="H154" i="3"/>
  <c r="H153" i="3"/>
  <c r="H152" i="3"/>
  <c r="H151" i="3"/>
  <c r="H150" i="3"/>
  <c r="H149" i="3"/>
  <c r="H128" i="3"/>
  <c r="H129" i="3"/>
  <c r="G106" i="3" l="1"/>
  <c r="G108" i="3" s="1"/>
  <c r="G109" i="3" s="1"/>
  <c r="A76" i="3"/>
  <c r="D77" i="3" s="1"/>
  <c r="D61" i="3"/>
  <c r="C38" i="4" l="1"/>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H77" i="3"/>
  <c r="F38" i="4" l="1"/>
  <c r="G38" i="4"/>
  <c r="E18" i="4"/>
  <c r="E15" i="4"/>
  <c r="E17" i="4"/>
  <c r="E11" i="4"/>
  <c r="K6" i="4"/>
  <c r="E9" i="4"/>
  <c r="K8" i="4"/>
  <c r="C7" i="4" s="1"/>
  <c r="E14" i="4"/>
  <c r="E12" i="4"/>
  <c r="E16" i="4"/>
  <c r="E10" i="4"/>
  <c r="K9" i="4"/>
  <c r="K10" i="4" s="1"/>
  <c r="K11" i="4" s="1"/>
  <c r="E13" i="4"/>
  <c r="K7" i="4"/>
  <c r="J88" i="3"/>
  <c r="J87" i="3"/>
  <c r="K12" i="4" l="1"/>
  <c r="K16" i="4" s="1"/>
  <c r="C8" i="4" s="1"/>
  <c r="E8" i="4" s="1"/>
  <c r="E7" i="4"/>
  <c r="A127" i="3"/>
  <c r="A128" i="3" s="1"/>
  <c r="A129" i="3" s="1"/>
  <c r="F7" i="4" l="1"/>
  <c r="J4" i="4" s="1"/>
  <c r="H7" i="4" s="1"/>
  <c r="G4" i="3" l="1"/>
  <c r="D285" i="3" l="1"/>
  <c r="G99" i="3"/>
  <c r="J72" i="3"/>
  <c r="J71" i="3"/>
  <c r="H61" i="3"/>
  <c r="J67" i="3" l="1"/>
  <c r="D70" i="3"/>
  <c r="D67" i="3"/>
  <c r="D65" i="3"/>
  <c r="J65" i="3"/>
  <c r="D74" i="3"/>
  <c r="D72" i="3"/>
  <c r="D69" i="3"/>
  <c r="D66" i="3"/>
  <c r="J66" i="3"/>
  <c r="J64" i="3"/>
  <c r="D73" i="3"/>
  <c r="D71" i="3"/>
  <c r="D68" i="3"/>
  <c r="D90" i="3" l="1"/>
  <c r="D82" i="3"/>
  <c r="D85" i="3"/>
  <c r="J81" i="3"/>
  <c r="D89" i="3"/>
  <c r="D83" i="3"/>
  <c r="J80" i="3"/>
  <c r="D88" i="3"/>
  <c r="J83" i="3"/>
  <c r="J84" i="3" s="1"/>
  <c r="D87" i="3"/>
  <c r="D81" i="3"/>
  <c r="J82" i="3"/>
  <c r="D86" i="3"/>
  <c r="D84" i="3"/>
  <c r="J68" i="3"/>
  <c r="J73" i="3" s="1"/>
  <c r="C64" i="3" l="1"/>
  <c r="C63" i="3"/>
  <c r="J85" i="3"/>
  <c r="J89" i="3"/>
  <c r="J86" i="3"/>
  <c r="J69" i="3"/>
  <c r="C79" i="3" l="1"/>
  <c r="D79" i="3" s="1"/>
  <c r="C80" i="3"/>
  <c r="J90" i="3"/>
  <c r="J70" i="3"/>
  <c r="D80" i="3" l="1"/>
  <c r="E79" i="3"/>
  <c r="I78" i="3" s="1"/>
  <c r="G79" i="3" s="1"/>
  <c r="J74" i="3"/>
  <c r="V140" i="3"/>
  <c r="U149" i="3"/>
  <c r="U157" i="3"/>
  <c r="V149" i="3"/>
  <c r="V157" i="3"/>
  <c r="U140" i="3"/>
  <c r="D63" i="3" l="1"/>
  <c r="E63" i="3"/>
  <c r="G91" i="3" s="1"/>
  <c r="T157" i="3"/>
  <c r="U158" i="3"/>
  <c r="V158" i="3"/>
  <c r="V159" i="3" s="1"/>
  <c r="V160" i="3" s="1"/>
  <c r="V161" i="3" s="1"/>
  <c r="V162" i="3" s="1"/>
  <c r="V163" i="3" s="1"/>
  <c r="T149" i="3"/>
  <c r="U150" i="3"/>
  <c r="V150" i="3"/>
  <c r="V151" i="3" s="1"/>
  <c r="V152" i="3" s="1"/>
  <c r="V153" i="3" s="1"/>
  <c r="V154" i="3" s="1"/>
  <c r="V155" i="3" s="1"/>
  <c r="V141" i="3"/>
  <c r="V142" i="3" s="1"/>
  <c r="V143" i="3" s="1"/>
  <c r="V144" i="3" s="1"/>
  <c r="V145" i="3" s="1"/>
  <c r="V146" i="3" s="1"/>
  <c r="U141" i="3"/>
  <c r="T140" i="3"/>
  <c r="D64" i="3" l="1"/>
  <c r="I62" i="3"/>
  <c r="G63" i="3" s="1"/>
  <c r="T158" i="3"/>
  <c r="U159" i="3"/>
  <c r="T159" i="3" s="1"/>
  <c r="T150" i="3"/>
  <c r="U151" i="3"/>
  <c r="T151" i="3" s="1"/>
  <c r="U142" i="3"/>
  <c r="T141" i="3"/>
  <c r="U160" i="3" l="1"/>
  <c r="T160" i="3" s="1"/>
  <c r="U152" i="3"/>
  <c r="T152" i="3" s="1"/>
  <c r="U143" i="3"/>
  <c r="T142" i="3"/>
  <c r="U161" i="3" l="1"/>
  <c r="T161" i="3" s="1"/>
  <c r="U153" i="3"/>
  <c r="T153" i="3" s="1"/>
  <c r="U144" i="3"/>
  <c r="T143" i="3"/>
  <c r="U162" i="3" l="1"/>
  <c r="T162" i="3" s="1"/>
  <c r="U154" i="3"/>
  <c r="T154" i="3" s="1"/>
  <c r="U145" i="3"/>
  <c r="T144" i="3"/>
  <c r="U163" i="3" l="1"/>
  <c r="T163" i="3" s="1"/>
  <c r="U155" i="3"/>
  <c r="T155" i="3" s="1"/>
  <c r="U146" i="3"/>
  <c r="T145" i="3"/>
  <c r="T146" i="3" l="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97"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<sst xmlns="http://schemas.openxmlformats.org/spreadsheetml/2006/main" count="834" uniqueCount="397">
  <si>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</si>
  <si>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</si>
  <si>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</si>
  <si>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</si>
  <si>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</si>
  <si>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</si>
  <si>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</si>
  <si>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</si>
  <si>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</si>
  <si>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</si>
  <si>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</si>
  <si>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</si>
  <si>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</si>
  <si>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</si>
  <si>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</si>
  <si>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</si>
  <si>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</si>
  <si>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</si>
  <si>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</si>
  <si>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</si>
  <si>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</si>
  <si>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</si>
  <si>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</si>
  <si>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</si>
  <si>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</si>
  <si>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</si>
  <si>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</si>
  <si>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</si>
  <si>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</si>
  <si>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</si>
  <si>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</si>
  <si>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</si>
  <si>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</si>
  <si>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</si>
  <si>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</si>
  <si>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</si>
  <si>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</si>
  <si>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</si>
  <si>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</si>
  <si>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</si>
  <si>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</si>
  <si>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</si>
  <si>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</si>
  <si>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</si>
  <si>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</si>
  <si>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</si>
  <si>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</si>
  <si>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</si>
  <si>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</si>
  <si>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</si>
  <si>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</si>
  <si>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</si>
  <si>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</si>
  <si>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</si>
  <si>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</si>
  <si>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</si>
  <si>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</si>
  <si>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</si>
  <si>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</si>
  <si>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</si>
  <si>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</si>
  <si>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</si>
  <si>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</si>
  <si>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</si>
  <si>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</si>
  <si>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</si>
  <si>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</si>
  <si>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</si>
  <si>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</si>
  <si>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</si>
  <si>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</si>
  <si>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</si>
  <si>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</si>
  <si>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</si>
  <si>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</si>
  <si>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</si>
  <si>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</si>
  <si>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</si>
  <si>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</si>
  <si>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</si>
  <si>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</si>
  <si>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</si>
  <si>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</si>
  <si>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</si>
  <si>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</si>
  <si>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</si>
  <si>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</si>
  <si>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</si>
  <si>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</si>
  <si>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</si>
  <si>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</si>
  <si>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</si>
  <si>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</si>
  <si>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</si>
  <si>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</si>
  <si>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</si>
  <si>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</si>
  <si>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</si>
  <si>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</si>
  <si>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</si>
  <si>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</si>
  <si>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</si>
  <si>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</si>
  <si>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</si>
  <si>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</si>
  <si>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</si>
  <si>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</si>
  <si>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</si>
  <si>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</si>
  <si>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</si>
  <si>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</si>
  <si>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</si>
  <si>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</si>
  <si>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</si>
  <si>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</si>
  <si>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</si>
  <si>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</si>
  <si>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</si>
  <si>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</si>
  <si>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</si>
  <si>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</si>
  <si>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</si>
  <si>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</si>
  <si>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</si>
  <si>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</si>
  <si>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</si>
  <si>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</si>
  <si>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</si>
  <si>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</si>
  <si>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</si>
  <si>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</si>
  <si>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</si>
  <si>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</si>
  <si>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</si>
  <si>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</si>
  <si>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</si>
  <si>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</si>
  <si>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</si>
  <si>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</si>
  <si>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</si>
  <si>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</si>
  <si>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</si>
  <si>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</si>
  <si>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</si>
  <si>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</si>
  <si>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</si>
  <si>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</si>
  <si>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</si>
  <si>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</si>
  <si>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</si>
  <si>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</si>
  <si>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</si>
  <si>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</si>
  <si>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</si>
  <si>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</si>
  <si>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</si>
  <si>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</si>
  <si>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</si>
  <si>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</si>
  <si>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</si>
  <si>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</si>
  <si>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</si>
  <si>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</si>
  <si>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</si>
  <si>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</si>
  <si>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</si>
  <si>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</si>
  <si>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</si>
  <si>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</si>
  <si>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</si>
  <si>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</si>
  <si>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</si>
  <si>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</si>
  <si>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</si>
  <si>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</si>
  <si>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</si>
  <si>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</si>
  <si>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</si>
  <si>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</si>
  <si>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</si>
  <si>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</si>
  <si>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</si>
  <si>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</si>
  <si>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</si>
  <si>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</si>
  <si>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</si>
  <si>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</si>
  <si>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</si>
  <si>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</si>
  <si>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</si>
  <si>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</si>
  <si>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</si>
  <si>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</si>
  <si>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</si>
  <si>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</si>
  <si>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</si>
  <si>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</si>
  <si>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</si>
  <si>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</si>
  <si>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</si>
  <si>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</si>
  <si>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</si>
  <si>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</si>
  <si>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</si>
  <si>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</si>
  <si>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</si>
  <si>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</si>
  <si>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</si>
  <si>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</si>
  <si>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</si>
  <si>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</si>
  <si>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</si>
  <si>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</si>
  <si>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</si>
  <si>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</si>
  <si>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</si>
  <si>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</si>
  <si>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</si>
  <si>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</si>
  <si>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</si>
  <si>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</si>
  <si>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</si>
  <si>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</si>
  <si>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</si>
  <si>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</si>
  <si>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</si>
  <si>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</si>
  <si>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</si>
  <si>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</si>
  <si>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</si>
  <si>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</si>
  <si>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</si>
  <si>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</si>
  <si>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</si>
  <si>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</si>
  <si>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</si>
  <si>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</si>
  <si>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</si>
  <si>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</si>
  <si>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</si>
  <si>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</si>
  <si>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 xml:space="preserve">CC Details
Valid Up to: </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</si>
  <si>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</si>
  <si>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</si>
  <si>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</si>
  <si>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</si>
  <si>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</si>
  <si>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</si>
  <si>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</si>
  <si>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</si>
  <si>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</si>
  <si>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</si>
  <si>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</si>
  <si>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</si>
  <si>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</si>
  <si>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</si>
  <si>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</si>
  <si>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</si>
  <si>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</si>
  <si>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</si>
  <si>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</si>
  <si>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</si>
  <si>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</si>
  <si>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</si>
  <si>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</si>
  <si>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</si>
  <si>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</si>
  <si>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</si>
  <si>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</si>
  <si>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</si>
  <si>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</si>
  <si>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</si>
  <si>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</si>
  <si>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</si>
  <si>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</si>
  <si>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</si>
  <si>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</si>
  <si>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</si>
  <si>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</si>
  <si>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</si>
  <si>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</si>
  <si>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</si>
  <si>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</si>
  <si>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</si>
  <si>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</si>
  <si>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</si>
  <si>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</si>
  <si>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</si>
  <si>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</si>
  <si>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</si>
  <si>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</si>
  <si>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</si>
  <si>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</si>
  <si>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</si>
  <si>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</si>
  <si>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</si>
  <si>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</si>
  <si>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</si>
  <si>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</si>
  <si>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</si>
  <si>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</si>
  <si>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Bitumen</t>
  </si>
  <si>
    <t>7 RCC
3Brick 
2 plaster</t>
  </si>
  <si>
    <t>Mr. Suraj Khare</t>
  </si>
  <si>
    <t>Sector B- Tower A and B</t>
  </si>
  <si>
    <t>Godrej One, Mumbai-RO Thane</t>
  </si>
  <si>
    <t>M/s. Agile Real Estate PVT LTD</t>
  </si>
  <si>
    <t>101, Kalpataru Synergy, Opp. Grand Hyatt, Santacruz (East), Mumbai, Maharashtra, 400055.</t>
  </si>
  <si>
    <t>Sub Plot B, New S.No. 19/1B, 19/2, 19/3, 19/4, 19/5, 19/6(pt.), 19/7, 19/9 to 19/12, 19/13/A, 19/13/B, 19/14, 19/15, 19/16A, 19/16B, 19/17 to 19/19, 19/20/A, 19/20/B, 19/21, 19/22, 19/24, 19/25/A, 19/25/B, 19/26, 19/27/A, 19/27/B, 19/28, 19/34/B, 19/34/C, 19/35, 19/36, 19/39/A, 19/39/B, 19/41/A, 19/41/B, 19/44, 19/46, 20/1 to 20/3, 80/2/B, 80/2/C, 82, 83/2/B/2, 83/4/1/B, 83/4/2/A, 83/4/2B, 83/6/B, 83/7/A, 83/7/B, 83/7/C, 83/11/B, 83/12, 85/3, 85/4, 86/1/B, 86/2/B, 86/3/B, 87/1/C &amp; 81 , Sector 5, Village Balkum, Thane (W) at Thane (M Corp.), Thane, Thane, 400607</t>
  </si>
  <si>
    <t>19.228802,72.992525</t>
  </si>
  <si>
    <t>https://maps.app.goo.gl/CvvpfRn9FnEeR9SF9</t>
  </si>
  <si>
    <t>Approved Layout &amp; Floor Plans, CC, RERA certificate</t>
  </si>
  <si>
    <t>Thane Municipal Corporation (TMC)</t>
  </si>
  <si>
    <t>PR1332022500106</t>
  </si>
  <si>
    <t>HDFC Bank</t>
  </si>
  <si>
    <t>Middle</t>
  </si>
  <si>
    <t>30m</t>
  </si>
  <si>
    <t>0.30 KM from Dosti County Bus Stop</t>
  </si>
  <si>
    <t>About 4.40 KM from Narayana e-Techno School</t>
  </si>
  <si>
    <t xml:space="preserve">About 3.40 KM from Phoenix Hospital </t>
  </si>
  <si>
    <t>7.90 KM from Thane Railway Station
8.30 KM from Kalwa Railway Station</t>
  </si>
  <si>
    <t>Tower 2A</t>
  </si>
  <si>
    <t>Tower 2B</t>
  </si>
  <si>
    <t>2B + G + 6P + 1st to 46th Floor</t>
  </si>
  <si>
    <t>2B + G + 6P + 1st to 43rd Floor</t>
  </si>
  <si>
    <t>We are releasing Nil Report.</t>
  </si>
  <si>
    <t>Work not yet Started.</t>
  </si>
  <si>
    <t>30 M Wide DP Road</t>
  </si>
  <si>
    <t>S. No. 19/8 &amp; 19/9</t>
  </si>
  <si>
    <t>S. No. 19/17 &amp; 19/18</t>
  </si>
  <si>
    <t>S. No. 19/4, 19/7, 19/11 &amp; 19/15</t>
  </si>
  <si>
    <t>Dosti West County Road</t>
  </si>
  <si>
    <t>Open Plot</t>
  </si>
  <si>
    <t>TMCB/RB/2025/APL/00307</t>
  </si>
  <si>
    <t>Tower 2A = 2B + G + 1st to 6th Podium + 1st to 46th Floor
Tower 2A = 2B + G + 1st to 6th Podium + 1st to 43rd Floor</t>
  </si>
  <si>
    <t>Mr. Ajay Songare</t>
  </si>
  <si>
    <t>Tower 2A &amp; 2B</t>
  </si>
  <si>
    <t>1st Podium Floor For Parking, Entrance Lobby &amp; Society Office</t>
  </si>
  <si>
    <t>Shop</t>
  </si>
  <si>
    <t xml:space="preserve"> - </t>
  </si>
  <si>
    <t>2BHK</t>
  </si>
  <si>
    <t>3BHK</t>
  </si>
  <si>
    <t>Balcony + AP Area</t>
  </si>
  <si>
    <t>Commercial Area</t>
  </si>
  <si>
    <t>Transfer Lift Lobby</t>
  </si>
  <si>
    <t>Parking</t>
  </si>
  <si>
    <t>5th Podium Floor For Residential, Fitness Center, Lounge &amp; Amenity Area</t>
  </si>
  <si>
    <t>6th Podium Floor For Gym, Indoor Games &amp; Store Room</t>
  </si>
  <si>
    <t>2nd, 7th, 12th, 17th, 22nd, 27th, 32nd, 37th &amp; 42nd Floor For Residential (Part Refuge Area)</t>
  </si>
  <si>
    <t>Refuge Area</t>
  </si>
  <si>
    <t>45th Floor For Residential (Part Terrace Area)</t>
  </si>
  <si>
    <t>Terrace Area</t>
  </si>
  <si>
    <t>46th Floor For Residential</t>
  </si>
  <si>
    <t xml:space="preserve">Tower 2A </t>
  </si>
  <si>
    <t>OK</t>
  </si>
  <si>
    <t>3rd Podium Floor For Residential, Parking &amp; Entrance Lobby</t>
  </si>
  <si>
    <t>4th Podium Floor For Residential, Parking &amp; Entrance Lobby</t>
  </si>
  <si>
    <t>5th Podium Floor For Residential, Fitness Center &amp; Creche</t>
  </si>
  <si>
    <t>Fitness Center</t>
  </si>
  <si>
    <t xml:space="preserve">Creche </t>
  </si>
  <si>
    <t>1st Floor For Residential</t>
  </si>
  <si>
    <t>2nd, 7th, 12th, 17th, 22nd, 27th, 32nd &amp; 37th Floor For Residential (Part Refuge Area)</t>
  </si>
  <si>
    <t>42nd Floor For Residential (Part Terrace Area)</t>
  </si>
  <si>
    <t>43rd Floor</t>
  </si>
  <si>
    <t xml:space="preserve">We considered Gross carpet area = Net carpet + Balcony + AP Area.
</t>
  </si>
  <si>
    <t>15/07/2025 at 12:23 PM</t>
  </si>
  <si>
    <t>Mr. Krishna</t>
  </si>
  <si>
    <t>S.No. 19/1B, 19/2 to 19/5, 19/6(pt.), 19/7, 19/9 to 19/12, 19/13/A, 19/13/B, 19/14, 19/15, 19/16A, 19/16B, 19/17 to 19/19, 19/20/A, 19/20/B, 19/21, 19/22, 19/24, 19/25/A, 19/25/B, 19/26, 19/27/A, 19/27/B, 19/28, 19/34/B, 19/34/C, 19/35, 19/36, 19/39/A, 19/39/B, 19/41/A, 19/41/B, 19/44, 19/46, 20/1 to 20/3, 80/2/B, 80/2/C, 82, 83/2/B/2, 83/4/1/B, 83/4/2/A, 83/4/2B, 83/6/B, 83/7/A, 83/7/B, 83/7/C, 83/11/B, 83/12, 85/3, 85/4, 86/1/B, 86/2/B, 86/3/B, 87/1/C &amp; 81 of Village Balkum,Thane (W), Bayer Compound, Kolshet Road, Sector 5, Thane</t>
  </si>
  <si>
    <t>Sector B - Tower A &amp; B, Near Dosti Pine, Dosti West County Bhiwandi, Road, Kolshet Industrial Area, Balkum Pada, Wadpa, Thane West, Thane, Maharashtra 400607.</t>
  </si>
  <si>
    <t>As per RERA Site Flats = 611 &amp; Shop = 03</t>
  </si>
  <si>
    <t>Dosti Pine</t>
  </si>
  <si>
    <t>Swimming Pool, Gymnasium, Children's Play Area, Park, Jogging Track, Vitrified tiles flooring, Granite Kitchen Platform, Decorative Entrance, Landscaping &amp; Garden, etc.</t>
  </si>
  <si>
    <t>1. Approx. 1.90 KM from Eden Super Market.
2. Approx. 4.00KM from Vegetable &amp; Fruit Market.</t>
  </si>
  <si>
    <t>Fire NOC Details</t>
  </si>
  <si>
    <t>TMC/CFO/M/HR/274/264
Tower 2A = 2B + G + 1st to 6th Podium + 1st to 46th Floor (Total Height = 163.45 Mtrs.)
Tower 2A = 2B + G + 1st to 6th Podium + 1st to 43rd Floor (Total Height = 154.30 Mtrs.)</t>
  </si>
  <si>
    <t>Flats =  611    &amp; 
Shop = 03</t>
  </si>
  <si>
    <t>Sector B</t>
  </si>
  <si>
    <t>Ground Floor For Commercial, Driveway, Landscape, Entrance Lobby &amp; Meter Room</t>
  </si>
  <si>
    <t>1st &amp; 2nd Basement Floor For Parking</t>
  </si>
  <si>
    <t>3rd Podium Floor For Residential, Double Heighted Shop, Parking &amp; Entrance Lobby</t>
  </si>
  <si>
    <t>Double Heighted Shop</t>
  </si>
  <si>
    <t>4th Podium Floor For Office &amp; Amenity Area</t>
  </si>
  <si>
    <t>Fitness Center &amp; Lounge</t>
  </si>
  <si>
    <t>Amenity Area</t>
  </si>
  <si>
    <t>1st, 3rd to 6th, 8th to 11th, 13th to 14th, 16th, 18th to 21st, 23rd to 26th, 28th to 31st, 33rd to 35th, 
38th to 41st &amp; 43rd to 44th Floor For Residential</t>
  </si>
  <si>
    <t>15th &amp; 36th Floor For Residential &amp; Water Tank Area</t>
  </si>
  <si>
    <t>Water Tank Area</t>
  </si>
  <si>
    <t>Below Terrace Area</t>
  </si>
  <si>
    <t>3rd to 6th, 8th to 11th, 13th to 14th, 16th, 18th to 21st, 23rd to 26th, 28th to 31st, 
33rd to 35th &amp; 38th to 41st Floor</t>
  </si>
  <si>
    <t>6th Podium Floor For Gym, Indoor Games &amp; Store</t>
  </si>
  <si>
    <t>Ground Floor For Panel Room, Entrance Lobby, Meter Room &amp; Landscape</t>
  </si>
  <si>
    <t>1st Podium Floor For Entrance Lobby, Society Office, Drivers Room, Void
FTTH Room &amp; Telecom Room</t>
  </si>
  <si>
    <t>2nd &amp; 3rd Podium Floor For Residential, Parking &amp; Entrance Lobby</t>
  </si>
  <si>
    <t>15500 to 16500</t>
  </si>
  <si>
    <t xml:space="preserve">Please check for Environmental Clearance Certificate. </t>
  </si>
  <si>
    <t>2nd Podium Floor For Residential, Commercial, Parking &amp; Entrance Lobby</t>
  </si>
  <si>
    <t>2nd Podium Floor For Commercial, Residential, Parking &amp; Entrance Lobby</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</si>
</sst>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sz val="11"/>
      <color indexed="8"/>
      <name val="Calibri"/>
      <family val="2"/>
    </font>
    <font>
      <u/>
      <sz val="14"/>
      <color theme="10"/>
      <name val="Calibri"/>
      <family val="2"/>
    </font>
    <font>
      <sz val="14"/>
      <name val="Times New Roman"/>
      <family val="1"/>
    </font>
    <font>
      <b/>
      <sz val="16"/>
      <color rgb="FFFF0000"/>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4">
    <xf numFmtId="0" fontId="0" fillId="0" borderId="0"/>
    <xf numFmtId="0" fontId="1" fillId="0" borderId="0"/>
    <xf numFmtId="0" fontId="25" fillId="0" borderId="0" applyNumberFormat="0" applyFill="0" applyBorder="0" applyAlignment="0" applyProtection="0"/>
    <xf numFmtId="0" fontId="26" fillId="0" borderId="0"/>
  </cellStyleXfs>
  <cellXfs count="236">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2" fillId="0" borderId="1" xfId="1" applyNumberFormat="1" applyFont="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0" fontId="4" fillId="4" borderId="1" xfId="1" applyFont="1" applyFill="1" applyBorder="1" applyAlignment="1" applyProtection="1">
      <alignment horizontal="center" vertical="center" wrapText="1"/>
      <protection hidden="1"/>
    </xf>
    <xf numFmtId="0" fontId="2" fillId="0" borderId="1" xfId="0"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9" fillId="0" borderId="0" xfId="0" applyFont="1" applyAlignment="1">
      <alignment vertical="top"/>
    </xf>
    <xf numFmtId="0" fontId="3" fillId="0" borderId="1" xfId="0" applyFont="1" applyBorder="1" applyAlignment="1">
      <alignment vertical="top"/>
    </xf>
    <xf numFmtId="0" fontId="4" fillId="4" borderId="1" xfId="0"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1" fontId="9" fillId="4" borderId="1" xfId="1" applyNumberFormat="1" applyFont="1" applyFill="1" applyBorder="1" applyAlignment="1">
      <alignment horizontal="center" vertical="center" wrapText="1"/>
    </xf>
    <xf numFmtId="1" fontId="4" fillId="4" borderId="1" xfId="1" applyNumberFormat="1" applyFont="1" applyFill="1" applyBorder="1" applyAlignment="1">
      <alignment horizontal="center" vertical="center" wrapText="1"/>
    </xf>
    <xf numFmtId="0" fontId="2" fillId="4" borderId="0" xfId="0" applyFont="1" applyFill="1" applyAlignment="1">
      <alignment vertical="top" wrapText="1"/>
    </xf>
    <xf numFmtId="1" fontId="6" fillId="4" borderId="1" xfId="1" applyNumberFormat="1" applyFont="1" applyFill="1" applyBorder="1" applyAlignment="1">
      <alignment horizontal="center" vertical="center" wrapText="1"/>
    </xf>
    <xf numFmtId="1" fontId="4"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2" fillId="4" borderId="12" xfId="1" applyNumberFormat="1" applyFont="1" applyFill="1" applyBorder="1" applyAlignment="1">
      <alignment horizontal="center" vertical="center" wrapText="1"/>
    </xf>
    <xf numFmtId="1" fontId="2" fillId="4" borderId="8" xfId="1" applyNumberFormat="1" applyFont="1" applyFill="1" applyBorder="1" applyAlignment="1">
      <alignment horizontal="center" vertical="center" wrapText="1"/>
    </xf>
    <xf numFmtId="1" fontId="2" fillId="4" borderId="13" xfId="1" applyNumberFormat="1" applyFont="1" applyFill="1" applyBorder="1" applyAlignment="1">
      <alignment horizontal="center" vertical="center" wrapText="1"/>
    </xf>
    <xf numFmtId="1" fontId="4" fillId="4" borderId="1" xfId="1" applyNumberFormat="1" applyFont="1" applyFill="1" applyBorder="1" applyAlignment="1">
      <alignment horizontal="center" vertical="center" wrapText="1"/>
    </xf>
    <xf numFmtId="1" fontId="29" fillId="4" borderId="12" xfId="1" applyNumberFormat="1" applyFont="1" applyFill="1" applyBorder="1" applyAlignment="1">
      <alignment horizontal="center" vertical="center" wrapText="1"/>
    </xf>
    <xf numFmtId="1" fontId="29" fillId="4" borderId="8" xfId="1" applyNumberFormat="1" applyFont="1" applyFill="1" applyBorder="1" applyAlignment="1">
      <alignment horizontal="center" vertical="center" wrapText="1"/>
    </xf>
    <xf numFmtId="1" fontId="29" fillId="4" borderId="13" xfId="1" applyNumberFormat="1" applyFont="1" applyFill="1" applyBorder="1" applyAlignment="1">
      <alignment horizontal="center" vertical="center" wrapText="1"/>
    </xf>
    <xf numFmtId="1" fontId="9" fillId="4" borderId="1" xfId="1" applyNumberFormat="1" applyFont="1" applyFill="1" applyBorder="1" applyAlignment="1">
      <alignment horizontal="center" vertical="center" wrapText="1"/>
    </xf>
    <xf numFmtId="1" fontId="9" fillId="4" borderId="7" xfId="1" applyNumberFormat="1" applyFont="1" applyFill="1" applyBorder="1" applyAlignment="1">
      <alignment horizontal="center" vertical="center" wrapText="1"/>
    </xf>
    <xf numFmtId="1" fontId="9" fillId="4" borderId="4" xfId="1" applyNumberFormat="1" applyFont="1" applyFill="1" applyBorder="1" applyAlignment="1">
      <alignment horizontal="center" vertical="center" wrapText="1"/>
    </xf>
    <xf numFmtId="1" fontId="9" fillId="4" borderId="9" xfId="1" applyNumberFormat="1" applyFont="1" applyFill="1" applyBorder="1" applyAlignment="1">
      <alignment horizontal="center" vertical="center" wrapText="1"/>
    </xf>
    <xf numFmtId="1" fontId="9" fillId="4" borderId="10" xfId="1" applyNumberFormat="1" applyFont="1" applyFill="1" applyBorder="1" applyAlignment="1">
      <alignment horizontal="center" vertical="center" wrapText="1"/>
    </xf>
    <xf numFmtId="1" fontId="9" fillId="4" borderId="0" xfId="1" applyNumberFormat="1" applyFont="1" applyFill="1" applyBorder="1" applyAlignment="1">
      <alignment horizontal="center" vertical="center" wrapText="1"/>
    </xf>
    <xf numFmtId="1" fontId="9" fillId="4" borderId="11" xfId="1" applyNumberFormat="1" applyFont="1" applyFill="1" applyBorder="1" applyAlignment="1">
      <alignment horizontal="center" vertical="center" wrapText="1"/>
    </xf>
    <xf numFmtId="1" fontId="9" fillId="4" borderId="12" xfId="1" applyNumberFormat="1" applyFont="1" applyFill="1" applyBorder="1" applyAlignment="1">
      <alignment horizontal="center" vertical="center" wrapText="1"/>
    </xf>
    <xf numFmtId="1" fontId="9" fillId="4" borderId="8" xfId="1" applyNumberFormat="1" applyFont="1" applyFill="1" applyBorder="1" applyAlignment="1">
      <alignment horizontal="center" vertical="center" wrapText="1"/>
    </xf>
    <xf numFmtId="1" fontId="9" fillId="4" borderId="13"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10" xfId="1" applyNumberFormat="1" applyFont="1" applyFill="1" applyBorder="1" applyAlignment="1">
      <alignment horizontal="center" vertical="center" wrapText="1"/>
    </xf>
    <xf numFmtId="1" fontId="6" fillId="4" borderId="0"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8"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0" fontId="4" fillId="4" borderId="1" xfId="0"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2" xfId="0" applyFont="1" applyFill="1" applyBorder="1" applyAlignment="1">
      <alignment horizontal="left" vertical="top" wrapText="1"/>
    </xf>
    <xf numFmtId="0" fontId="4" fillId="0" borderId="5" xfId="0" applyFont="1" applyFill="1" applyBorder="1" applyAlignment="1">
      <alignment horizontal="left" vertical="top" wrapText="1"/>
    </xf>
    <xf numFmtId="2" fontId="4" fillId="4" borderId="1" xfId="0" applyNumberFormat="1" applyFont="1" applyFill="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0" fontId="4" fillId="0" borderId="1" xfId="0" applyFont="1" applyBorder="1" applyAlignment="1">
      <alignment horizontal="left" vertical="top" wrapText="1"/>
    </xf>
    <xf numFmtId="14" fontId="4" fillId="4" borderId="1" xfId="0" applyNumberFormat="1" applyFont="1" applyFill="1" applyBorder="1" applyAlignment="1">
      <alignment horizontal="left" vertical="top" wrapText="1"/>
    </xf>
    <xf numFmtId="0" fontId="4" fillId="0" borderId="1" xfId="0" applyFont="1" applyFill="1" applyBorder="1" applyAlignment="1">
      <alignment horizontal="left" vertical="top" wrapText="1"/>
    </xf>
    <xf numFmtId="0" fontId="2" fillId="2" borderId="1" xfId="0" applyFont="1" applyFill="1" applyBorder="1" applyAlignment="1">
      <alignment horizontal="center" vertical="top"/>
    </xf>
    <xf numFmtId="0" fontId="27" fillId="4" borderId="1" xfId="2" applyFont="1" applyFill="1" applyBorder="1" applyAlignment="1">
      <alignment horizontal="center" vertical="top" wrapText="1"/>
    </xf>
    <xf numFmtId="0" fontId="28" fillId="4" borderId="1" xfId="0" applyFont="1" applyFill="1" applyBorder="1" applyAlignment="1">
      <alignment horizontal="center" vertical="top" wrapText="1"/>
    </xf>
    <xf numFmtId="17" fontId="4" fillId="4" borderId="1" xfId="0" applyNumberFormat="1"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left" vertical="top" wrapText="1"/>
    </xf>
    <xf numFmtId="0" fontId="2" fillId="4" borderId="1" xfId="0" applyFont="1" applyFill="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xf>
    <xf numFmtId="0" fontId="9"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2" fillId="2" borderId="1" xfId="0" applyFont="1" applyFill="1" applyBorder="1" applyAlignment="1">
      <alignment horizontal="center" vertical="top" wrapText="1"/>
    </xf>
    <xf numFmtId="9" fontId="2" fillId="4" borderId="1" xfId="1" applyNumberFormat="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center"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 fontId="4" fillId="4" borderId="7" xfId="1" applyNumberFormat="1" applyFont="1" applyFill="1" applyBorder="1" applyAlignment="1">
      <alignment horizontal="center" vertical="center" wrapText="1"/>
    </xf>
    <xf numFmtId="1" fontId="4" fillId="4" borderId="4" xfId="1" applyNumberFormat="1" applyFont="1" applyFill="1" applyBorder="1" applyAlignment="1">
      <alignment horizontal="center" vertical="center" wrapText="1"/>
    </xf>
    <xf numFmtId="1" fontId="4" fillId="4" borderId="9" xfId="1" applyNumberFormat="1" applyFont="1" applyFill="1" applyBorder="1" applyAlignment="1">
      <alignment horizontal="center" vertical="center" wrapText="1"/>
    </xf>
    <xf numFmtId="1" fontId="4" fillId="4" borderId="10" xfId="1" applyNumberFormat="1" applyFont="1" applyFill="1" applyBorder="1" applyAlignment="1">
      <alignment horizontal="center" vertical="center" wrapText="1"/>
    </xf>
    <xf numFmtId="1" fontId="4" fillId="4" borderId="0" xfId="1" applyNumberFormat="1" applyFont="1" applyFill="1" applyBorder="1" applyAlignment="1">
      <alignment horizontal="center" vertical="center" wrapText="1"/>
    </xf>
    <xf numFmtId="1" fontId="4" fillId="4" borderId="11" xfId="1" applyNumberFormat="1" applyFont="1" applyFill="1" applyBorder="1" applyAlignment="1">
      <alignment horizontal="center" vertical="center" wrapText="1"/>
    </xf>
    <xf numFmtId="1" fontId="4" fillId="4" borderId="12" xfId="1" applyNumberFormat="1" applyFont="1" applyFill="1" applyBorder="1" applyAlignment="1">
      <alignment horizontal="center" vertical="center" wrapText="1"/>
    </xf>
    <xf numFmtId="1" fontId="4" fillId="4" borderId="8" xfId="1" applyNumberFormat="1" applyFont="1" applyFill="1" applyBorder="1" applyAlignment="1">
      <alignment horizontal="center" vertical="center" wrapText="1"/>
    </xf>
    <xf numFmtId="1" fontId="4" fillId="4" borderId="13" xfId="1" applyNumberFormat="1" applyFont="1" applyFill="1" applyBorder="1" applyAlignment="1">
      <alignment horizontal="center" vertical="center" wrapText="1"/>
    </xf>
    <xf numFmtId="1" fontId="4" fillId="4" borderId="2" xfId="1" applyNumberFormat="1" applyFont="1" applyFill="1" applyBorder="1" applyAlignment="1">
      <alignment horizontal="center" vertical="center" wrapText="1"/>
    </xf>
    <xf numFmtId="1" fontId="4" fillId="4" borderId="3" xfId="1" applyNumberFormat="1" applyFont="1" applyFill="1" applyBorder="1" applyAlignment="1">
      <alignment horizontal="center" vertical="center" wrapText="1"/>
    </xf>
    <xf numFmtId="1" fontId="4" fillId="4" borderId="5" xfId="1" applyNumberFormat="1" applyFont="1" applyFill="1" applyBorder="1" applyAlignment="1">
      <alignment horizontal="center" vertical="center" wrapText="1"/>
    </xf>
    <xf numFmtId="1" fontId="9" fillId="4" borderId="2" xfId="1" applyNumberFormat="1" applyFont="1" applyFill="1" applyBorder="1" applyAlignment="1">
      <alignment horizontal="center" vertical="center" wrapText="1"/>
    </xf>
    <xf numFmtId="1" fontId="9" fillId="4" borderId="3" xfId="1" applyNumberFormat="1" applyFont="1" applyFill="1" applyBorder="1" applyAlignment="1">
      <alignment horizontal="center" vertical="center" wrapText="1"/>
    </xf>
    <xf numFmtId="1" fontId="9" fillId="4" borderId="5" xfId="1" applyNumberFormat="1" applyFont="1" applyFill="1" applyBorder="1" applyAlignment="1">
      <alignment horizontal="center" vertical="center" wrapText="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4">
    <cellStyle name="Excel Built-in Normal" xfId="3"/>
    <cellStyle name="Hyperlink" xfId="2" builtinId="8"/>
    <cellStyle name="Normal" xfId="0" builtinId="0"/>
    <cellStyle name="Normal 3" xfId="1"/>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1</xdr:col>
      <xdr:colOff>802820</xdr:colOff>
      <xdr:row>381</xdr:row>
      <xdr:rowOff>95251</xdr:rowOff>
    </xdr:from>
    <xdr:to>
      <xdr:col>6</xdr:col>
      <xdr:colOff>1170213</xdr:colOff>
      <xdr:row>410</xdr:row>
      <xdr:rowOff>54429</xdr:rowOff>
    </xdr:to>
    <xdr:grpSp>
      <xdr:nvGrpSpPr>
        <xdr:cNvPr id="3" name="Group 2"/>
        <xdr:cNvGrpSpPr/>
      </xdr:nvGrpSpPr>
      <xdr:grpSpPr>
        <a:xfrm>
          <a:off x="1979438" y="111806692"/>
          <a:ext cx="6250481" cy="7433502"/>
          <a:chOff x="729000" y="-599190"/>
          <a:chExt cx="5400000" cy="9520185"/>
        </a:xfrm>
      </xdr:grpSpPr>
      <xdr:pic>
        <xdr:nvPicPr>
          <xdr:cNvPr id="4" name="Picture 3"/>
          <xdr:cNvPicPr>
            <a:picLocks noChangeAspect="1"/>
          </xdr:cNvPicPr>
        </xdr:nvPicPr>
        <xdr:blipFill rotWithShape="1">
          <a:blip xmlns:r="http://schemas.openxmlformats.org/officeDocument/2006/relationships" r:embed="rId1"/>
          <a:srcRect l="50406" t="20433" r="18104" b="13702"/>
          <a:stretch/>
        </xdr:blipFill>
        <xdr:spPr>
          <a:xfrm>
            <a:off x="1453931" y="-599190"/>
            <a:ext cx="3979714" cy="4680000"/>
          </a:xfrm>
          <a:prstGeom prst="rect">
            <a:avLst/>
          </a:prstGeom>
          <a:ln>
            <a:solidFill>
              <a:schemeClr val="tx1"/>
            </a:solidFill>
          </a:ln>
        </xdr:spPr>
      </xdr:pic>
      <xdr:grpSp>
        <xdr:nvGrpSpPr>
          <xdr:cNvPr id="5" name="Group 4"/>
          <xdr:cNvGrpSpPr/>
        </xdr:nvGrpSpPr>
        <xdr:grpSpPr>
          <a:xfrm>
            <a:off x="729000" y="4240995"/>
            <a:ext cx="5400000" cy="4680000"/>
            <a:chOff x="540588" y="4897209"/>
            <a:chExt cx="5400000" cy="4680000"/>
          </a:xfrm>
        </xdr:grpSpPr>
        <xdr:pic>
          <xdr:nvPicPr>
            <xdr:cNvPr id="6" name="Picture 5"/>
            <xdr:cNvPicPr>
              <a:picLocks noChangeAspect="1"/>
            </xdr:cNvPicPr>
          </xdr:nvPicPr>
          <xdr:blipFill rotWithShape="1">
            <a:blip xmlns:r="http://schemas.openxmlformats.org/officeDocument/2006/relationships" r:embed="rId2"/>
            <a:srcRect l="27069" t="20032" r="32385" b="12420"/>
            <a:stretch/>
          </xdr:blipFill>
          <xdr:spPr>
            <a:xfrm>
              <a:off x="540588" y="4897209"/>
              <a:ext cx="5400000" cy="4680000"/>
            </a:xfrm>
            <a:prstGeom prst="rect">
              <a:avLst/>
            </a:prstGeom>
            <a:ln>
              <a:solidFill>
                <a:schemeClr val="tx1"/>
              </a:solidFill>
            </a:ln>
          </xdr:spPr>
        </xdr:pic>
        <xdr:sp macro="" textlink="">
          <xdr:nvSpPr>
            <xdr:cNvPr id="7" name="Rectangle 6"/>
            <xdr:cNvSpPr/>
          </xdr:nvSpPr>
          <xdr:spPr>
            <a:xfrm rot="1359039">
              <a:off x="2588686" y="6455368"/>
              <a:ext cx="1273880" cy="618423"/>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8" name="TextBox 11"/>
            <xdr:cNvSpPr txBox="1"/>
          </xdr:nvSpPr>
          <xdr:spPr>
            <a:xfrm>
              <a:off x="2865830" y="5768420"/>
              <a:ext cx="2466957" cy="36933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Sector B- Tower A and B</a:t>
              </a:r>
              <a:endParaRPr lang="en-IN" b="1">
                <a:solidFill>
                  <a:srgbClr val="FFFF00"/>
                </a:solidFill>
              </a:endParaRPr>
            </a:p>
          </xdr:txBody>
        </xdr:sp>
      </xdr:grpSp>
    </xdr:grpSp>
    <xdr:clientData/>
  </xdr:twoCellAnchor>
  <xdr:twoCellAnchor>
    <xdr:from>
      <xdr:col>0</xdr:col>
      <xdr:colOff>227609</xdr:colOff>
      <xdr:row>331</xdr:row>
      <xdr:rowOff>241218</xdr:rowOff>
    </xdr:from>
    <xdr:to>
      <xdr:col>7</xdr:col>
      <xdr:colOff>1016824</xdr:colOff>
      <xdr:row>379</xdr:row>
      <xdr:rowOff>121227</xdr:rowOff>
    </xdr:to>
    <xdr:grpSp>
      <xdr:nvGrpSpPr>
        <xdr:cNvPr id="9" name="Group 8"/>
        <xdr:cNvGrpSpPr/>
      </xdr:nvGrpSpPr>
      <xdr:grpSpPr>
        <a:xfrm>
          <a:off x="227609" y="99065894"/>
          <a:ext cx="9025539" cy="12251304"/>
          <a:chOff x="369000" y="-35170"/>
          <a:chExt cx="6120000" cy="8935000"/>
        </a:xfrm>
      </xdr:grpSpPr>
      <xdr:grpSp>
        <xdr:nvGrpSpPr>
          <xdr:cNvPr id="10" name="Group 9"/>
          <xdr:cNvGrpSpPr/>
        </xdr:nvGrpSpPr>
        <xdr:grpSpPr>
          <a:xfrm>
            <a:off x="369000" y="-35170"/>
            <a:ext cx="6120000" cy="5400000"/>
            <a:chOff x="-133350" y="0"/>
            <a:chExt cx="6858000" cy="5324060"/>
          </a:xfrm>
        </xdr:grpSpPr>
        <xdr:pic>
          <xdr:nvPicPr>
            <xdr:cNvPr id="12" name="Picture 1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350" y="0"/>
              <a:ext cx="6858000" cy="5324060"/>
            </a:xfrm>
            <a:prstGeom prst="rect">
              <a:avLst/>
            </a:prstGeom>
            <a:ln>
              <a:solidFill>
                <a:schemeClr val="tx1"/>
              </a:solidFill>
            </a:ln>
          </xdr:spPr>
        </xdr:pic>
        <xdr:pic>
          <xdr:nvPicPr>
            <xdr:cNvPr id="13" name="Picture 1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3012513">
              <a:off x="581045" y="4190156"/>
              <a:ext cx="1080000" cy="1080000"/>
            </a:xfrm>
            <a:prstGeom prst="rect">
              <a:avLst/>
            </a:prstGeom>
          </xdr:spPr>
        </xdr:pic>
        <xdr:sp macro="" textlink="">
          <xdr:nvSpPr>
            <xdr:cNvPr id="14" name="TextBox 20"/>
            <xdr:cNvSpPr txBox="1"/>
          </xdr:nvSpPr>
          <xdr:spPr>
            <a:xfrm>
              <a:off x="3102768" y="1593056"/>
              <a:ext cx="1077796" cy="24814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rgbClr val="FF0000"/>
                  </a:solidFill>
                </a:rPr>
                <a:t>Tower 2A</a:t>
              </a:r>
              <a:endParaRPr lang="en-IN" sz="1600" b="1">
                <a:solidFill>
                  <a:srgbClr val="FF0000"/>
                </a:solidFill>
              </a:endParaRPr>
            </a:p>
          </xdr:txBody>
        </xdr:sp>
        <xdr:sp macro="" textlink="">
          <xdr:nvSpPr>
            <xdr:cNvPr id="15" name="TextBox 21"/>
            <xdr:cNvSpPr txBox="1"/>
          </xdr:nvSpPr>
          <xdr:spPr>
            <a:xfrm>
              <a:off x="2921793" y="3784967"/>
              <a:ext cx="1068178" cy="24814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rgbClr val="FF0000"/>
                  </a:solidFill>
                </a:rPr>
                <a:t>Tower 2B</a:t>
              </a:r>
              <a:endParaRPr lang="en-IN" sz="1600" b="1">
                <a:solidFill>
                  <a:srgbClr val="FF0000"/>
                </a:solidFill>
              </a:endParaRPr>
            </a:p>
          </xdr:txBody>
        </xdr:sp>
      </xdr:grpSp>
      <xdr:pic>
        <xdr:nvPicPr>
          <xdr:cNvPr id="11" name="Picture 1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015106" y="5464226"/>
            <a:ext cx="3151351" cy="3435604"/>
          </a:xfrm>
          <a:prstGeom prst="rect">
            <a:avLst/>
          </a:prstGeom>
          <a:ln>
            <a:solidFill>
              <a:schemeClr val="tx1"/>
            </a:solidFill>
          </a:ln>
        </xdr:spPr>
      </xdr:pic>
    </xdr:grpSp>
    <xdr:clientData/>
  </xdr:twoCellAnchor>
  <xdr:twoCellAnchor editAs="oneCell">
    <xdr:from>
      <xdr:col>9</xdr:col>
      <xdr:colOff>204108</xdr:colOff>
      <xdr:row>104</xdr:row>
      <xdr:rowOff>190535</xdr:rowOff>
    </xdr:from>
    <xdr:to>
      <xdr:col>16</xdr:col>
      <xdr:colOff>342558</xdr:colOff>
      <xdr:row>108</xdr:row>
      <xdr:rowOff>78342</xdr:rowOff>
    </xdr:to>
    <xdr:pic>
      <xdr:nvPicPr>
        <xdr:cNvPr id="24" name="Picture 23"/>
        <xdr:cNvPicPr>
          <a:picLocks noChangeAspect="1"/>
        </xdr:cNvPicPr>
      </xdr:nvPicPr>
      <xdr:blipFill>
        <a:blip xmlns:r="http://schemas.openxmlformats.org/officeDocument/2006/relationships" r:embed="rId6"/>
        <a:stretch>
          <a:fillRect/>
        </a:stretch>
      </xdr:blipFill>
      <xdr:spPr>
        <a:xfrm>
          <a:off x="11824608" y="41801178"/>
          <a:ext cx="4615200" cy="921950"/>
        </a:xfrm>
        <a:prstGeom prst="rect">
          <a:avLst/>
        </a:prstGeom>
      </xdr:spPr>
    </xdr:pic>
    <xdr:clientData/>
  </xdr:twoCellAnchor>
  <xdr:twoCellAnchor editAs="oneCell">
    <xdr:from>
      <xdr:col>9</xdr:col>
      <xdr:colOff>204108</xdr:colOff>
      <xdr:row>108</xdr:row>
      <xdr:rowOff>108857</xdr:rowOff>
    </xdr:from>
    <xdr:to>
      <xdr:col>16</xdr:col>
      <xdr:colOff>342558</xdr:colOff>
      <xdr:row>110</xdr:row>
      <xdr:rowOff>409461</xdr:rowOff>
    </xdr:to>
    <xdr:pic>
      <xdr:nvPicPr>
        <xdr:cNvPr id="25" name="Picture 24"/>
        <xdr:cNvPicPr>
          <a:picLocks noChangeAspect="1"/>
        </xdr:cNvPicPr>
      </xdr:nvPicPr>
      <xdr:blipFill>
        <a:blip xmlns:r="http://schemas.openxmlformats.org/officeDocument/2006/relationships" r:embed="rId7"/>
        <a:stretch>
          <a:fillRect/>
        </a:stretch>
      </xdr:blipFill>
      <xdr:spPr>
        <a:xfrm>
          <a:off x="11824608" y="42753643"/>
          <a:ext cx="4615200" cy="817675"/>
        </a:xfrm>
        <a:prstGeom prst="rect">
          <a:avLst/>
        </a:prstGeom>
      </xdr:spPr>
    </xdr:pic>
    <xdr:clientData/>
  </xdr:twoCellAnchor>
  <xdr:twoCellAnchor editAs="oneCell">
    <xdr:from>
      <xdr:col>8</xdr:col>
      <xdr:colOff>2125187</xdr:colOff>
      <xdr:row>93</xdr:row>
      <xdr:rowOff>110095</xdr:rowOff>
    </xdr:from>
    <xdr:to>
      <xdr:col>26</xdr:col>
      <xdr:colOff>53319</xdr:colOff>
      <xdr:row>109</xdr:row>
      <xdr:rowOff>109787</xdr:rowOff>
    </xdr:to>
    <xdr:pic>
      <xdr:nvPicPr>
        <xdr:cNvPr id="26" name="Picture 25"/>
        <xdr:cNvPicPr>
          <a:picLocks noChangeAspect="1"/>
        </xdr:cNvPicPr>
      </xdr:nvPicPr>
      <xdr:blipFill>
        <a:blip xmlns:r="http://schemas.openxmlformats.org/officeDocument/2006/relationships" r:embed="rId8"/>
        <a:stretch>
          <a:fillRect/>
        </a:stretch>
      </xdr:blipFill>
      <xdr:spPr>
        <a:xfrm>
          <a:off x="11546278" y="38608413"/>
          <a:ext cx="8769314" cy="4450465"/>
        </a:xfrm>
        <a:prstGeom prst="rect">
          <a:avLst/>
        </a:prstGeom>
      </xdr:spPr>
    </xdr:pic>
    <xdr:clientData/>
  </xdr:twoCellAnchor>
  <xdr:twoCellAnchor editAs="oneCell">
    <xdr:from>
      <xdr:col>16</xdr:col>
      <xdr:colOff>122464</xdr:colOff>
      <xdr:row>116</xdr:row>
      <xdr:rowOff>217715</xdr:rowOff>
    </xdr:from>
    <xdr:to>
      <xdr:col>31</xdr:col>
      <xdr:colOff>46726</xdr:colOff>
      <xdr:row>134</xdr:row>
      <xdr:rowOff>49786</xdr:rowOff>
    </xdr:to>
    <xdr:pic>
      <xdr:nvPicPr>
        <xdr:cNvPr id="27" name="Picture 26"/>
        <xdr:cNvPicPr>
          <a:picLocks noChangeAspect="1"/>
        </xdr:cNvPicPr>
      </xdr:nvPicPr>
      <xdr:blipFill>
        <a:blip xmlns:r="http://schemas.openxmlformats.org/officeDocument/2006/relationships" r:embed="rId9"/>
        <a:stretch>
          <a:fillRect/>
        </a:stretch>
      </xdr:blipFill>
      <xdr:spPr>
        <a:xfrm>
          <a:off x="16219714" y="46482001"/>
          <a:ext cx="7190476" cy="4485714"/>
        </a:xfrm>
        <a:prstGeom prst="rect">
          <a:avLst/>
        </a:prstGeom>
      </xdr:spPr>
    </xdr:pic>
    <xdr:clientData/>
  </xdr:twoCellAnchor>
  <xdr:twoCellAnchor editAs="oneCell">
    <xdr:from>
      <xdr:col>17</xdr:col>
      <xdr:colOff>163286</xdr:colOff>
      <xdr:row>116</xdr:row>
      <xdr:rowOff>136071</xdr:rowOff>
    </xdr:from>
    <xdr:to>
      <xdr:col>30</xdr:col>
      <xdr:colOff>575916</xdr:colOff>
      <xdr:row>134</xdr:row>
      <xdr:rowOff>49787</xdr:rowOff>
    </xdr:to>
    <xdr:pic>
      <xdr:nvPicPr>
        <xdr:cNvPr id="28" name="Picture 27"/>
        <xdr:cNvPicPr>
          <a:picLocks noChangeAspect="1"/>
        </xdr:cNvPicPr>
      </xdr:nvPicPr>
      <xdr:blipFill>
        <a:blip xmlns:r="http://schemas.openxmlformats.org/officeDocument/2006/relationships" r:embed="rId10"/>
        <a:stretch>
          <a:fillRect/>
        </a:stretch>
      </xdr:blipFill>
      <xdr:spPr>
        <a:xfrm>
          <a:off x="16872857" y="46400357"/>
          <a:ext cx="6454202" cy="4567359"/>
        </a:xfrm>
        <a:prstGeom prst="rect">
          <a:avLst/>
        </a:prstGeom>
      </xdr:spPr>
    </xdr:pic>
    <xdr:clientData/>
  </xdr:twoCellAnchor>
  <xdr:twoCellAnchor editAs="oneCell">
    <xdr:from>
      <xdr:col>17</xdr:col>
      <xdr:colOff>1</xdr:colOff>
      <xdr:row>114</xdr:row>
      <xdr:rowOff>54430</xdr:rowOff>
    </xdr:from>
    <xdr:to>
      <xdr:col>33</xdr:col>
      <xdr:colOff>521465</xdr:colOff>
      <xdr:row>135</xdr:row>
      <xdr:rowOff>129942</xdr:rowOff>
    </xdr:to>
    <xdr:pic>
      <xdr:nvPicPr>
        <xdr:cNvPr id="29" name="Picture 28"/>
        <xdr:cNvPicPr>
          <a:picLocks noChangeAspect="1"/>
        </xdr:cNvPicPr>
      </xdr:nvPicPr>
      <xdr:blipFill>
        <a:blip xmlns:r="http://schemas.openxmlformats.org/officeDocument/2006/relationships" r:embed="rId11"/>
        <a:stretch>
          <a:fillRect/>
        </a:stretch>
      </xdr:blipFill>
      <xdr:spPr>
        <a:xfrm>
          <a:off x="16709572" y="45801644"/>
          <a:ext cx="8400000" cy="5504762"/>
        </a:xfrm>
        <a:prstGeom prst="rect">
          <a:avLst/>
        </a:prstGeom>
      </xdr:spPr>
    </xdr:pic>
    <xdr:clientData/>
  </xdr:twoCellAnchor>
  <xdr:twoCellAnchor editAs="oneCell">
    <xdr:from>
      <xdr:col>17</xdr:col>
      <xdr:colOff>204109</xdr:colOff>
      <xdr:row>115</xdr:row>
      <xdr:rowOff>176893</xdr:rowOff>
    </xdr:from>
    <xdr:to>
      <xdr:col>34</xdr:col>
      <xdr:colOff>275156</xdr:colOff>
      <xdr:row>138</xdr:row>
      <xdr:rowOff>249620</xdr:rowOff>
    </xdr:to>
    <xdr:pic>
      <xdr:nvPicPr>
        <xdr:cNvPr id="30" name="Picture 29"/>
        <xdr:cNvPicPr>
          <a:picLocks noChangeAspect="1"/>
        </xdr:cNvPicPr>
      </xdr:nvPicPr>
      <xdr:blipFill>
        <a:blip xmlns:r="http://schemas.openxmlformats.org/officeDocument/2006/relationships" r:embed="rId12"/>
        <a:stretch>
          <a:fillRect/>
        </a:stretch>
      </xdr:blipFill>
      <xdr:spPr>
        <a:xfrm>
          <a:off x="16913680" y="46182643"/>
          <a:ext cx="8561905" cy="6019048"/>
        </a:xfrm>
        <a:prstGeom prst="rect">
          <a:avLst/>
        </a:prstGeom>
      </xdr:spPr>
    </xdr:pic>
    <xdr:clientData/>
  </xdr:twoCellAnchor>
  <xdr:twoCellAnchor>
    <xdr:from>
      <xdr:col>0</xdr:col>
      <xdr:colOff>258535</xdr:colOff>
      <xdr:row>287</xdr:row>
      <xdr:rowOff>81643</xdr:rowOff>
    </xdr:from>
    <xdr:to>
      <xdr:col>7</xdr:col>
      <xdr:colOff>938893</xdr:colOff>
      <xdr:row>313</xdr:row>
      <xdr:rowOff>217039</xdr:rowOff>
    </xdr:to>
    <xdr:grpSp>
      <xdr:nvGrpSpPr>
        <xdr:cNvPr id="31" name="Group 30"/>
        <xdr:cNvGrpSpPr/>
      </xdr:nvGrpSpPr>
      <xdr:grpSpPr>
        <a:xfrm>
          <a:off x="258535" y="87565967"/>
          <a:ext cx="8916682" cy="6836513"/>
          <a:chOff x="108858" y="41532398"/>
          <a:chExt cx="9212037" cy="6857324"/>
        </a:xfrm>
      </xdr:grpSpPr>
      <xdr:pic>
        <xdr:nvPicPr>
          <xdr:cNvPr id="32" name="Picture 31" descr="https://vsjcllp.vsjadon.com/upload/insp-240684-1525.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6920503" y="45134892"/>
            <a:ext cx="2354984" cy="323850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3" name="Picture 32" descr="https://vsjcllp.vsjadon.com/upload/insp-240684-843.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171360" y="45146459"/>
            <a:ext cx="4187120" cy="323850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4" name="Picture 33" descr="https://vsjcllp.vsjadon.com/upload/insp-240684-849.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4762413" y="41532398"/>
            <a:ext cx="4558482" cy="34936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https://vsjcllp.vsjadon.com/upload/insp-240684-851.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108858" y="41548727"/>
            <a:ext cx="4558482" cy="34936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6" name="Picture 35" descr="https://vsjcllp.vsjadon.com/upload/insp-240684-925.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4473940" y="45151221"/>
            <a:ext cx="2354984" cy="323850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1004453</xdr:colOff>
      <xdr:row>45</xdr:row>
      <xdr:rowOff>242794</xdr:rowOff>
    </xdr:from>
    <xdr:to>
      <xdr:col>22</xdr:col>
      <xdr:colOff>538421</xdr:colOff>
      <xdr:row>52</xdr:row>
      <xdr:rowOff>478393</xdr:rowOff>
    </xdr:to>
    <xdr:pic>
      <xdr:nvPicPr>
        <xdr:cNvPr id="16" name="Picture 15"/>
        <xdr:cNvPicPr>
          <a:picLocks noChangeAspect="1"/>
        </xdr:cNvPicPr>
      </xdr:nvPicPr>
      <xdr:blipFill>
        <a:blip xmlns:r="http://schemas.openxmlformats.org/officeDocument/2006/relationships" r:embed="rId18"/>
        <a:stretch>
          <a:fillRect/>
        </a:stretch>
      </xdr:blipFill>
      <xdr:spPr>
        <a:xfrm>
          <a:off x="10425544" y="23224021"/>
          <a:ext cx="8037195" cy="35260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36</xdr:row>
      <xdr:rowOff>0</xdr:rowOff>
    </xdr:from>
    <xdr:to>
      <xdr:col>2</xdr:col>
      <xdr:colOff>6857143</xdr:colOff>
      <xdr:row>62</xdr:row>
      <xdr:rowOff>56524</xdr:rowOff>
    </xdr:to>
    <xdr:pic>
      <xdr:nvPicPr>
        <xdr:cNvPr id="2" name="Picture 1"/>
        <xdr:cNvPicPr>
          <a:picLocks noChangeAspect="1"/>
        </xdr:cNvPicPr>
      </xdr:nvPicPr>
      <xdr:blipFill>
        <a:blip xmlns:r="http://schemas.openxmlformats.org/officeDocument/2006/relationships" r:embed="rId1"/>
        <a:stretch>
          <a:fillRect/>
        </a:stretch>
      </xdr:blipFill>
      <xdr:spPr>
        <a:xfrm>
          <a:off x="809625" y="9334500"/>
          <a:ext cx="6857143" cy="50095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CvvpfRn9FnEeR9SF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422"/>
  <sheetViews>
    <sheetView tabSelected="1" view="pageBreakPreview" topLeftCell="A97" zoomScale="85" zoomScaleNormal="85" zoomScaleSheetLayoutView="85" zoomScalePageLayoutView="70" workbookViewId="0">
      <selection activeCell="I103" sqref="I103"/>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33" t="s">
        <v>38</v>
      </c>
      <c r="B1" s="134"/>
      <c r="C1" s="134"/>
      <c r="D1" s="134"/>
      <c r="E1" s="134"/>
      <c r="F1" s="134"/>
      <c r="G1" s="134"/>
      <c r="H1" s="135"/>
    </row>
    <row r="2" spans="1:11" ht="42" customHeight="1" x14ac:dyDescent="0.25">
      <c r="A2" s="151" t="s">
        <v>10</v>
      </c>
      <c r="B2" s="151"/>
      <c r="C2" s="127" t="s">
        <v>87</v>
      </c>
      <c r="D2" s="127"/>
      <c r="E2" s="151" t="s">
        <v>12</v>
      </c>
      <c r="F2" s="151"/>
      <c r="G2" s="152">
        <v>45852</v>
      </c>
      <c r="H2" s="152"/>
      <c r="J2" s="158"/>
      <c r="K2" s="159"/>
    </row>
    <row r="3" spans="1:11" ht="42.75" customHeight="1" x14ac:dyDescent="0.25">
      <c r="A3" s="162" t="s">
        <v>39</v>
      </c>
      <c r="B3" s="162"/>
      <c r="C3" s="163" t="s">
        <v>304</v>
      </c>
      <c r="D3" s="163"/>
      <c r="E3" s="151" t="s">
        <v>156</v>
      </c>
      <c r="F3" s="151"/>
      <c r="G3" s="152" t="s">
        <v>365</v>
      </c>
      <c r="H3" s="152"/>
    </row>
    <row r="4" spans="1:11" ht="43.5" customHeight="1" x14ac:dyDescent="0.25">
      <c r="A4" s="151" t="s">
        <v>36</v>
      </c>
      <c r="B4" s="151"/>
      <c r="C4" s="127" t="s">
        <v>366</v>
      </c>
      <c r="D4" s="127"/>
      <c r="E4" s="151" t="s">
        <v>33</v>
      </c>
      <c r="F4" s="151"/>
      <c r="G4" s="127" t="str">
        <f ca="1">TEXT(TODAY(),"DD/MM/YYYY")</f>
        <v>31/07/2025</v>
      </c>
      <c r="H4" s="127"/>
    </row>
    <row r="5" spans="1:11" ht="20.25" x14ac:dyDescent="0.25">
      <c r="A5" s="154" t="s">
        <v>40</v>
      </c>
      <c r="B5" s="154"/>
      <c r="C5" s="154"/>
      <c r="D5" s="154"/>
      <c r="E5" s="154"/>
      <c r="F5" s="154"/>
      <c r="G5" s="154"/>
      <c r="H5" s="154"/>
    </row>
    <row r="6" spans="1:11" ht="43.5" customHeight="1" x14ac:dyDescent="0.25">
      <c r="A6" s="151" t="s">
        <v>29</v>
      </c>
      <c r="B6" s="151"/>
      <c r="C6" s="127" t="s">
        <v>305</v>
      </c>
      <c r="D6" s="127"/>
      <c r="E6" s="151" t="s">
        <v>35</v>
      </c>
      <c r="F6" s="151"/>
      <c r="G6" s="127" t="s">
        <v>303</v>
      </c>
      <c r="H6" s="127"/>
    </row>
    <row r="7" spans="1:11" ht="42.75" customHeight="1" x14ac:dyDescent="0.25">
      <c r="A7" s="160" t="s">
        <v>42</v>
      </c>
      <c r="B7" s="160"/>
      <c r="C7" s="161" t="s">
        <v>306</v>
      </c>
      <c r="D7" s="161"/>
      <c r="E7" s="160" t="s">
        <v>43</v>
      </c>
      <c r="F7" s="160"/>
      <c r="G7" s="161" t="s">
        <v>306</v>
      </c>
      <c r="H7" s="161"/>
    </row>
    <row r="8" spans="1:11" ht="41.25" customHeight="1" x14ac:dyDescent="0.25">
      <c r="A8" s="151" t="s">
        <v>44</v>
      </c>
      <c r="B8" s="151"/>
      <c r="C8" s="127" t="s">
        <v>307</v>
      </c>
      <c r="D8" s="127"/>
      <c r="E8" s="127"/>
      <c r="F8" s="127"/>
      <c r="G8" s="127"/>
      <c r="H8" s="127"/>
    </row>
    <row r="9" spans="1:11" ht="148.5" customHeight="1" x14ac:dyDescent="0.25">
      <c r="A9" s="150" t="s">
        <v>147</v>
      </c>
      <c r="B9" s="34" t="s">
        <v>41</v>
      </c>
      <c r="C9" s="127" t="s">
        <v>308</v>
      </c>
      <c r="D9" s="127"/>
      <c r="E9" s="127"/>
      <c r="F9" s="127"/>
      <c r="G9" s="127"/>
      <c r="H9" s="127"/>
    </row>
    <row r="10" spans="1:11" ht="144.75" customHeight="1" x14ac:dyDescent="0.25">
      <c r="A10" s="150"/>
      <c r="B10" s="34" t="s">
        <v>11</v>
      </c>
      <c r="C10" s="127" t="s">
        <v>367</v>
      </c>
      <c r="D10" s="127"/>
      <c r="E10" s="127"/>
      <c r="F10" s="127"/>
      <c r="G10" s="127"/>
      <c r="H10" s="127"/>
    </row>
    <row r="11" spans="1:11" ht="45" customHeight="1" x14ac:dyDescent="0.25">
      <c r="A11" s="150"/>
      <c r="B11" s="34" t="s">
        <v>5</v>
      </c>
      <c r="C11" s="127" t="s">
        <v>368</v>
      </c>
      <c r="D11" s="127"/>
      <c r="E11" s="127"/>
      <c r="F11" s="127"/>
      <c r="G11" s="127"/>
      <c r="H11" s="127"/>
    </row>
    <row r="12" spans="1:11" ht="40.5" customHeight="1" x14ac:dyDescent="0.25">
      <c r="A12" s="151" t="s">
        <v>34</v>
      </c>
      <c r="B12" s="151"/>
      <c r="C12" s="127" t="s">
        <v>311</v>
      </c>
      <c r="D12" s="127"/>
      <c r="E12" s="127"/>
      <c r="F12" s="127"/>
      <c r="G12" s="127"/>
      <c r="H12" s="127"/>
    </row>
    <row r="13" spans="1:11" ht="20.100000000000001" customHeight="1" x14ac:dyDescent="0.25">
      <c r="A13" s="154" t="s">
        <v>45</v>
      </c>
      <c r="B13" s="154"/>
      <c r="C13" s="154"/>
      <c r="D13" s="154"/>
      <c r="E13" s="154"/>
      <c r="F13" s="154"/>
      <c r="G13" s="154"/>
      <c r="H13" s="154"/>
    </row>
    <row r="14" spans="1:11" ht="41.25" customHeight="1" x14ac:dyDescent="0.25">
      <c r="A14" s="151" t="s">
        <v>27</v>
      </c>
      <c r="B14" s="151" t="s">
        <v>4</v>
      </c>
      <c r="C14" s="127" t="s">
        <v>88</v>
      </c>
      <c r="D14" s="127"/>
      <c r="E14" s="151" t="s">
        <v>46</v>
      </c>
      <c r="F14" s="151" t="s">
        <v>4</v>
      </c>
      <c r="G14" s="127" t="s">
        <v>312</v>
      </c>
      <c r="H14" s="127"/>
    </row>
    <row r="15" spans="1:11" ht="41.25" customHeight="1" x14ac:dyDescent="0.25">
      <c r="A15" s="151" t="s">
        <v>47</v>
      </c>
      <c r="B15" s="151" t="s">
        <v>4</v>
      </c>
      <c r="C15" s="127" t="s">
        <v>313</v>
      </c>
      <c r="D15" s="127"/>
      <c r="E15" s="151" t="s">
        <v>48</v>
      </c>
      <c r="F15" s="151" t="s">
        <v>4</v>
      </c>
      <c r="G15" s="152">
        <v>48213</v>
      </c>
      <c r="H15" s="127"/>
    </row>
    <row r="16" spans="1:11" ht="41.25" customHeight="1" x14ac:dyDescent="0.25">
      <c r="A16" s="151" t="s">
        <v>49</v>
      </c>
      <c r="B16" s="151" t="s">
        <v>4</v>
      </c>
      <c r="C16" s="152">
        <v>45831</v>
      </c>
      <c r="D16" s="127"/>
      <c r="E16" s="151" t="s">
        <v>50</v>
      </c>
      <c r="F16" s="151" t="s">
        <v>4</v>
      </c>
      <c r="G16" s="157">
        <v>45839</v>
      </c>
      <c r="H16" s="127"/>
    </row>
    <row r="17" spans="1:8" ht="41.25" customHeight="1" x14ac:dyDescent="0.25">
      <c r="A17" s="151" t="s">
        <v>51</v>
      </c>
      <c r="B17" s="151" t="s">
        <v>4</v>
      </c>
      <c r="C17" s="152">
        <v>48213</v>
      </c>
      <c r="D17" s="127"/>
      <c r="E17" s="151" t="s">
        <v>52</v>
      </c>
      <c r="F17" s="151" t="s">
        <v>4</v>
      </c>
      <c r="G17" s="127" t="s">
        <v>314</v>
      </c>
      <c r="H17" s="127"/>
    </row>
    <row r="18" spans="1:8" ht="41.25" customHeight="1" x14ac:dyDescent="0.25">
      <c r="A18" s="151" t="s">
        <v>53</v>
      </c>
      <c r="B18" s="151" t="s">
        <v>4</v>
      </c>
      <c r="C18" s="127"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127"/>
      <c r="E18" s="151" t="s">
        <v>95</v>
      </c>
      <c r="F18" s="151" t="s">
        <v>4</v>
      </c>
      <c r="G18" s="138">
        <f>82660</f>
        <v>82660</v>
      </c>
      <c r="H18" s="138"/>
    </row>
    <row r="19" spans="1:8" ht="41.25" customHeight="1" x14ac:dyDescent="0.25">
      <c r="A19" s="151" t="s">
        <v>54</v>
      </c>
      <c r="B19" s="151" t="s">
        <v>4</v>
      </c>
      <c r="C19" s="138">
        <f>69894.002/G19</f>
        <v>1.0999999968523764</v>
      </c>
      <c r="D19" s="138"/>
      <c r="E19" s="151" t="s">
        <v>240</v>
      </c>
      <c r="F19" s="151" t="s">
        <v>4</v>
      </c>
      <c r="G19" s="127">
        <f>63540.002</f>
        <v>63540.002</v>
      </c>
      <c r="H19" s="127"/>
    </row>
    <row r="20" spans="1:8" ht="41.25" customHeight="1" x14ac:dyDescent="0.25">
      <c r="A20" s="151" t="s">
        <v>93</v>
      </c>
      <c r="B20" s="151" t="s">
        <v>4</v>
      </c>
      <c r="C20" s="127">
        <f>273759.537</f>
        <v>273759.53700000001</v>
      </c>
      <c r="D20" s="127"/>
      <c r="E20" s="151" t="s">
        <v>94</v>
      </c>
      <c r="F20" s="151" t="s">
        <v>4</v>
      </c>
      <c r="G20" s="127">
        <v>140578.72899999999</v>
      </c>
      <c r="H20" s="127"/>
    </row>
    <row r="21" spans="1:8" ht="41.25" customHeight="1" x14ac:dyDescent="0.25">
      <c r="A21" s="153" t="s">
        <v>56</v>
      </c>
      <c r="B21" s="153" t="s">
        <v>4</v>
      </c>
      <c r="C21" s="127" t="s">
        <v>375</v>
      </c>
      <c r="D21" s="127"/>
      <c r="E21" s="151" t="s">
        <v>55</v>
      </c>
      <c r="F21" s="151" t="s">
        <v>4</v>
      </c>
      <c r="G21" s="127" t="s">
        <v>369</v>
      </c>
      <c r="H21" s="127"/>
    </row>
    <row r="22" spans="1:8" ht="41.25" customHeight="1" x14ac:dyDescent="0.25">
      <c r="A22" s="151" t="s">
        <v>160</v>
      </c>
      <c r="B22" s="151" t="s">
        <v>4</v>
      </c>
      <c r="C22" s="127" t="s">
        <v>309</v>
      </c>
      <c r="D22" s="127"/>
      <c r="E22" s="151" t="s">
        <v>161</v>
      </c>
      <c r="F22" s="151" t="s">
        <v>4</v>
      </c>
      <c r="G22" s="127" t="s">
        <v>370</v>
      </c>
      <c r="H22" s="127"/>
    </row>
    <row r="23" spans="1:8" ht="38.25" customHeight="1" x14ac:dyDescent="0.25">
      <c r="A23" s="151" t="s">
        <v>158</v>
      </c>
      <c r="B23" s="151" t="s">
        <v>4</v>
      </c>
      <c r="C23" s="155" t="s">
        <v>310</v>
      </c>
      <c r="D23" s="156"/>
      <c r="E23" s="156"/>
      <c r="F23" s="156"/>
      <c r="G23" s="156"/>
      <c r="H23" s="156"/>
    </row>
    <row r="24" spans="1:8" ht="48" customHeight="1" x14ac:dyDescent="0.25">
      <c r="A24" s="151" t="s">
        <v>25</v>
      </c>
      <c r="B24" s="151" t="s">
        <v>4</v>
      </c>
      <c r="C24" s="127" t="s">
        <v>371</v>
      </c>
      <c r="D24" s="127"/>
      <c r="E24" s="127"/>
      <c r="F24" s="127"/>
      <c r="G24" s="127"/>
      <c r="H24" s="127"/>
    </row>
    <row r="25" spans="1:8" ht="24" customHeight="1" x14ac:dyDescent="0.25">
      <c r="A25" s="154" t="s">
        <v>20</v>
      </c>
      <c r="B25" s="154"/>
      <c r="C25" s="154"/>
      <c r="D25" s="154"/>
      <c r="E25" s="154"/>
      <c r="F25" s="154"/>
      <c r="G25" s="154"/>
      <c r="H25" s="154"/>
    </row>
    <row r="26" spans="1:8" ht="43.5" customHeight="1" x14ac:dyDescent="0.25">
      <c r="A26" s="151" t="s">
        <v>26</v>
      </c>
      <c r="B26" s="151" t="s">
        <v>4</v>
      </c>
      <c r="C26" s="127" t="str">
        <f>IF(AND(G26="Upper"),"Developed","Developing")</f>
        <v>Developing</v>
      </c>
      <c r="D26" s="127"/>
      <c r="E26" s="151" t="s">
        <v>13</v>
      </c>
      <c r="F26" s="151" t="s">
        <v>4</v>
      </c>
      <c r="G26" s="127" t="s">
        <v>315</v>
      </c>
      <c r="H26" s="127"/>
    </row>
    <row r="27" spans="1:8" ht="43.5" customHeight="1" x14ac:dyDescent="0.25">
      <c r="A27" s="151" t="s">
        <v>14</v>
      </c>
      <c r="B27" s="151" t="s">
        <v>4</v>
      </c>
      <c r="C27" s="127" t="s">
        <v>301</v>
      </c>
      <c r="D27" s="127"/>
      <c r="E27" s="151" t="s">
        <v>148</v>
      </c>
      <c r="F27" s="151" t="s">
        <v>4</v>
      </c>
      <c r="G27" s="127" t="s">
        <v>316</v>
      </c>
      <c r="H27" s="127"/>
    </row>
    <row r="28" spans="1:8" ht="43.5" customHeight="1" x14ac:dyDescent="0.25">
      <c r="A28" s="151" t="s">
        <v>23</v>
      </c>
      <c r="B28" s="151" t="s">
        <v>4</v>
      </c>
      <c r="C28" s="127" t="s">
        <v>97</v>
      </c>
      <c r="D28" s="127"/>
      <c r="E28" s="151" t="s">
        <v>16</v>
      </c>
      <c r="F28" s="151" t="s">
        <v>4</v>
      </c>
      <c r="G28" s="127" t="s">
        <v>317</v>
      </c>
      <c r="H28" s="127"/>
    </row>
    <row r="29" spans="1:8" ht="43.5" customHeight="1" x14ac:dyDescent="0.25">
      <c r="A29" s="151" t="s">
        <v>106</v>
      </c>
      <c r="B29" s="151" t="s">
        <v>4</v>
      </c>
      <c r="C29" s="127" t="s">
        <v>318</v>
      </c>
      <c r="D29" s="127"/>
      <c r="E29" s="151" t="s">
        <v>107</v>
      </c>
      <c r="F29" s="151" t="s">
        <v>4</v>
      </c>
      <c r="G29" s="127" t="s">
        <v>319</v>
      </c>
      <c r="H29" s="127"/>
    </row>
    <row r="30" spans="1:8" ht="84" customHeight="1" x14ac:dyDescent="0.25">
      <c r="A30" s="151" t="s">
        <v>17</v>
      </c>
      <c r="B30" s="151" t="s">
        <v>4</v>
      </c>
      <c r="C30" s="127" t="s">
        <v>372</v>
      </c>
      <c r="D30" s="127"/>
      <c r="E30" s="151" t="s">
        <v>15</v>
      </c>
      <c r="F30" s="151" t="s">
        <v>4</v>
      </c>
      <c r="G30" s="127" t="s">
        <v>320</v>
      </c>
      <c r="H30" s="127"/>
    </row>
    <row r="31" spans="1:8" ht="20.25" x14ac:dyDescent="0.25">
      <c r="A31" s="151" t="s">
        <v>112</v>
      </c>
      <c r="B31" s="151" t="s">
        <v>4</v>
      </c>
      <c r="C31" s="127" t="s">
        <v>113</v>
      </c>
      <c r="D31" s="127"/>
      <c r="E31" s="151" t="s">
        <v>114</v>
      </c>
      <c r="F31" s="151" t="s">
        <v>4</v>
      </c>
      <c r="G31" s="127" t="s">
        <v>113</v>
      </c>
      <c r="H31" s="127"/>
    </row>
    <row r="32" spans="1:8" ht="21.75" customHeight="1" x14ac:dyDescent="0.25">
      <c r="A32" s="151" t="s">
        <v>115</v>
      </c>
      <c r="B32" s="151" t="s">
        <v>4</v>
      </c>
      <c r="C32" s="127" t="s">
        <v>113</v>
      </c>
      <c r="D32" s="127"/>
      <c r="E32" s="127"/>
      <c r="F32" s="127"/>
      <c r="G32" s="127"/>
      <c r="H32" s="127"/>
    </row>
    <row r="33" spans="1:15" ht="20.25" x14ac:dyDescent="0.25">
      <c r="A33" s="194" t="s">
        <v>37</v>
      </c>
      <c r="B33" s="194"/>
      <c r="C33" s="194"/>
      <c r="D33" s="194"/>
      <c r="E33" s="194"/>
      <c r="F33" s="194"/>
      <c r="G33" s="194"/>
      <c r="H33" s="194"/>
    </row>
    <row r="34" spans="1:15" ht="43.5" customHeight="1" x14ac:dyDescent="0.25">
      <c r="A34" s="151" t="s">
        <v>18</v>
      </c>
      <c r="B34" s="151"/>
      <c r="C34" s="127" t="s">
        <v>98</v>
      </c>
      <c r="D34" s="127"/>
      <c r="E34" s="151" t="s">
        <v>19</v>
      </c>
      <c r="F34" s="151" t="s">
        <v>4</v>
      </c>
      <c r="G34" s="127" t="s">
        <v>99</v>
      </c>
      <c r="H34" s="127"/>
    </row>
    <row r="35" spans="1:15" ht="43.5" customHeight="1" x14ac:dyDescent="0.25">
      <c r="A35" s="151" t="s">
        <v>22</v>
      </c>
      <c r="B35" s="151"/>
      <c r="C35" s="127" t="s">
        <v>99</v>
      </c>
      <c r="D35" s="127"/>
      <c r="E35" s="151" t="s">
        <v>32</v>
      </c>
      <c r="F35" s="151" t="s">
        <v>4</v>
      </c>
      <c r="G35" s="127" t="s">
        <v>99</v>
      </c>
      <c r="H35" s="127"/>
    </row>
    <row r="36" spans="1:15" ht="20.25" x14ac:dyDescent="0.25">
      <c r="A36" s="151" t="s">
        <v>31</v>
      </c>
      <c r="B36" s="151"/>
      <c r="C36" s="127" t="s">
        <v>100</v>
      </c>
      <c r="D36" s="127"/>
      <c r="E36" s="151" t="s">
        <v>21</v>
      </c>
      <c r="F36" s="151" t="s">
        <v>4</v>
      </c>
      <c r="G36" s="127" t="s">
        <v>101</v>
      </c>
      <c r="H36" s="127"/>
    </row>
    <row r="37" spans="1:15" ht="20.25" x14ac:dyDescent="0.25">
      <c r="A37" s="154" t="s">
        <v>0</v>
      </c>
      <c r="B37" s="154"/>
      <c r="C37" s="154"/>
      <c r="D37" s="154"/>
      <c r="E37" s="154"/>
      <c r="F37" s="154"/>
      <c r="G37" s="154"/>
      <c r="H37" s="154"/>
    </row>
    <row r="38" spans="1:15" ht="20.25" x14ac:dyDescent="0.25">
      <c r="A38" s="148" t="s">
        <v>0</v>
      </c>
      <c r="B38" s="148"/>
      <c r="C38" s="148" t="s">
        <v>226</v>
      </c>
      <c r="D38" s="148"/>
      <c r="E38" s="148"/>
      <c r="F38" s="148" t="s">
        <v>7</v>
      </c>
      <c r="G38" s="148"/>
      <c r="H38" s="148"/>
      <c r="J38" s="146" t="s">
        <v>1</v>
      </c>
      <c r="K38" s="147"/>
      <c r="L38" s="2" t="s">
        <v>6</v>
      </c>
      <c r="M38" s="146" t="s">
        <v>2</v>
      </c>
      <c r="N38" s="147"/>
      <c r="O38" s="2" t="s">
        <v>3</v>
      </c>
    </row>
    <row r="39" spans="1:15" ht="20.25" x14ac:dyDescent="0.25">
      <c r="A39" s="150" t="s">
        <v>2</v>
      </c>
      <c r="B39" s="150"/>
      <c r="C39" s="149" t="s">
        <v>330</v>
      </c>
      <c r="D39" s="149"/>
      <c r="E39" s="149"/>
      <c r="F39" s="149" t="s">
        <v>332</v>
      </c>
      <c r="G39" s="149"/>
      <c r="H39" s="149"/>
    </row>
    <row r="40" spans="1:15" ht="20.25" x14ac:dyDescent="0.25">
      <c r="A40" s="150" t="s">
        <v>3</v>
      </c>
      <c r="B40" s="150"/>
      <c r="C40" s="149" t="s">
        <v>327</v>
      </c>
      <c r="D40" s="149"/>
      <c r="E40" s="149"/>
      <c r="F40" s="149" t="s">
        <v>331</v>
      </c>
      <c r="G40" s="149"/>
      <c r="H40" s="149"/>
    </row>
    <row r="41" spans="1:15" ht="20.25" x14ac:dyDescent="0.25">
      <c r="A41" s="150" t="s">
        <v>1</v>
      </c>
      <c r="B41" s="150"/>
      <c r="C41" s="149" t="s">
        <v>328</v>
      </c>
      <c r="D41" s="149"/>
      <c r="E41" s="149"/>
      <c r="F41" s="149" t="s">
        <v>332</v>
      </c>
      <c r="G41" s="149"/>
      <c r="H41" s="149"/>
    </row>
    <row r="42" spans="1:15" ht="20.25" x14ac:dyDescent="0.25">
      <c r="A42" s="150" t="s">
        <v>6</v>
      </c>
      <c r="B42" s="150"/>
      <c r="C42" s="149" t="s">
        <v>329</v>
      </c>
      <c r="D42" s="149"/>
      <c r="E42" s="149"/>
      <c r="F42" s="149" t="s">
        <v>332</v>
      </c>
      <c r="G42" s="149"/>
      <c r="H42" s="149"/>
    </row>
    <row r="43" spans="1:15" ht="43.5" customHeight="1" x14ac:dyDescent="0.25">
      <c r="A43" s="151" t="s">
        <v>227</v>
      </c>
      <c r="B43" s="151"/>
      <c r="C43" s="127" t="s">
        <v>97</v>
      </c>
      <c r="D43" s="127"/>
      <c r="E43" s="127"/>
      <c r="F43" s="127"/>
      <c r="G43" s="127"/>
      <c r="H43" s="127"/>
    </row>
    <row r="44" spans="1:15" ht="20.25" x14ac:dyDescent="0.25">
      <c r="A44" s="154" t="s">
        <v>57</v>
      </c>
      <c r="B44" s="154"/>
      <c r="C44" s="154"/>
      <c r="D44" s="154"/>
      <c r="E44" s="154"/>
      <c r="F44" s="154"/>
      <c r="G44" s="154"/>
      <c r="H44" s="154"/>
    </row>
    <row r="45" spans="1:15" ht="21" customHeight="1" x14ac:dyDescent="0.25">
      <c r="A45" s="148" t="s">
        <v>58</v>
      </c>
      <c r="B45" s="148"/>
      <c r="C45" s="2" t="s">
        <v>59</v>
      </c>
      <c r="D45" s="148" t="s">
        <v>146</v>
      </c>
      <c r="E45" s="148"/>
      <c r="F45" s="148"/>
      <c r="G45" s="148" t="s">
        <v>60</v>
      </c>
      <c r="H45" s="148"/>
    </row>
    <row r="46" spans="1:15" ht="40.5" customHeight="1" x14ac:dyDescent="0.25">
      <c r="A46" s="150" t="s">
        <v>321</v>
      </c>
      <c r="B46" s="150"/>
      <c r="C46" s="80" t="s">
        <v>89</v>
      </c>
      <c r="D46" s="178" t="s">
        <v>323</v>
      </c>
      <c r="E46" s="178"/>
      <c r="F46" s="178"/>
      <c r="G46" s="178" t="s">
        <v>323</v>
      </c>
      <c r="H46" s="178"/>
    </row>
    <row r="47" spans="1:15" ht="40.5" customHeight="1" x14ac:dyDescent="0.25">
      <c r="A47" s="150" t="s">
        <v>322</v>
      </c>
      <c r="B47" s="150"/>
      <c r="C47" s="80" t="s">
        <v>89</v>
      </c>
      <c r="D47" s="178" t="s">
        <v>324</v>
      </c>
      <c r="E47" s="178"/>
      <c r="F47" s="178"/>
      <c r="G47" s="178" t="s">
        <v>324</v>
      </c>
      <c r="H47" s="178"/>
    </row>
    <row r="48" spans="1:15" ht="20.25" x14ac:dyDescent="0.25">
      <c r="A48" s="154" t="s">
        <v>61</v>
      </c>
      <c r="B48" s="154"/>
      <c r="C48" s="154"/>
      <c r="D48" s="154"/>
      <c r="E48" s="154"/>
      <c r="F48" s="154"/>
      <c r="G48" s="154"/>
      <c r="H48" s="154"/>
    </row>
    <row r="49" spans="1:14" ht="42.75" customHeight="1" x14ac:dyDescent="0.25">
      <c r="A49" s="151" t="s">
        <v>62</v>
      </c>
      <c r="B49" s="151" t="s">
        <v>4</v>
      </c>
      <c r="C49" s="127" t="s">
        <v>97</v>
      </c>
      <c r="D49" s="127"/>
      <c r="E49" s="127"/>
      <c r="F49" s="127"/>
      <c r="G49" s="127"/>
      <c r="H49" s="127"/>
    </row>
    <row r="50" spans="1:14" ht="37.5" customHeight="1" x14ac:dyDescent="0.25">
      <c r="A50" s="151" t="s">
        <v>63</v>
      </c>
      <c r="B50" s="151" t="s">
        <v>4</v>
      </c>
      <c r="C50" s="127" t="s">
        <v>333</v>
      </c>
      <c r="D50" s="127"/>
      <c r="E50" s="127"/>
      <c r="F50" s="127"/>
      <c r="G50" s="50" t="s">
        <v>228</v>
      </c>
      <c r="H50" s="76">
        <v>45784</v>
      </c>
    </row>
    <row r="51" spans="1:14" ht="37.5" customHeight="1" x14ac:dyDescent="0.25">
      <c r="A51" s="151" t="s">
        <v>64</v>
      </c>
      <c r="B51" s="151" t="s">
        <v>4</v>
      </c>
      <c r="C51" s="127" t="s">
        <v>333</v>
      </c>
      <c r="D51" s="127"/>
      <c r="E51" s="127"/>
      <c r="F51" s="127"/>
      <c r="G51" s="50" t="s">
        <v>228</v>
      </c>
      <c r="H51" s="76">
        <v>45784</v>
      </c>
    </row>
    <row r="52" spans="1:14" ht="37.5" customHeight="1" x14ac:dyDescent="0.25">
      <c r="A52" s="151" t="s">
        <v>241</v>
      </c>
      <c r="B52" s="151"/>
      <c r="C52" s="127" t="s">
        <v>333</v>
      </c>
      <c r="D52" s="127"/>
      <c r="E52" s="127"/>
      <c r="F52" s="127"/>
      <c r="G52" s="50" t="s">
        <v>228</v>
      </c>
      <c r="H52" s="76">
        <v>45784</v>
      </c>
    </row>
    <row r="53" spans="1:14" ht="40.5" customHeight="1" x14ac:dyDescent="0.25">
      <c r="A53" s="151"/>
      <c r="B53" s="151"/>
      <c r="C53" s="141" t="s">
        <v>334</v>
      </c>
      <c r="D53" s="175"/>
      <c r="E53" s="175"/>
      <c r="F53" s="175"/>
      <c r="G53" s="175"/>
      <c r="H53" s="142"/>
    </row>
    <row r="54" spans="1:14" ht="46.5" hidden="1" customHeight="1" x14ac:dyDescent="0.25">
      <c r="A54" s="151" t="s">
        <v>65</v>
      </c>
      <c r="B54" s="151" t="s">
        <v>4</v>
      </c>
      <c r="C54" s="127"/>
      <c r="D54" s="127"/>
      <c r="E54" s="127"/>
      <c r="F54" s="127"/>
      <c r="G54" s="50" t="s">
        <v>229</v>
      </c>
      <c r="H54" s="35"/>
    </row>
    <row r="55" spans="1:14" ht="45" hidden="1" customHeight="1" x14ac:dyDescent="0.25">
      <c r="A55" s="151" t="s">
        <v>67</v>
      </c>
      <c r="B55" s="151" t="s">
        <v>4</v>
      </c>
      <c r="C55" s="127"/>
      <c r="D55" s="127"/>
      <c r="E55" s="127"/>
      <c r="F55" s="127"/>
      <c r="G55" s="50" t="s">
        <v>229</v>
      </c>
      <c r="H55" s="35"/>
    </row>
    <row r="56" spans="1:14" ht="46.5" hidden="1" customHeight="1" x14ac:dyDescent="0.25">
      <c r="A56" s="151" t="s">
        <v>66</v>
      </c>
      <c r="B56" s="151" t="s">
        <v>4</v>
      </c>
      <c r="C56" s="127"/>
      <c r="D56" s="127"/>
      <c r="E56" s="127"/>
      <c r="F56" s="127"/>
      <c r="G56" s="50" t="s">
        <v>229</v>
      </c>
      <c r="H56" s="35"/>
      <c r="N56" s="71" t="s">
        <v>302</v>
      </c>
    </row>
    <row r="57" spans="1:14" ht="45" hidden="1" customHeight="1" x14ac:dyDescent="0.25">
      <c r="A57" s="151" t="s">
        <v>68</v>
      </c>
      <c r="B57" s="151" t="s">
        <v>4</v>
      </c>
      <c r="C57" s="127"/>
      <c r="D57" s="127"/>
      <c r="E57" s="127"/>
      <c r="F57" s="127"/>
      <c r="G57" s="50" t="s">
        <v>229</v>
      </c>
      <c r="H57" s="35"/>
    </row>
    <row r="58" spans="1:14" ht="105.75" customHeight="1" x14ac:dyDescent="0.25">
      <c r="A58" s="151" t="s">
        <v>373</v>
      </c>
      <c r="B58" s="151" t="s">
        <v>4</v>
      </c>
      <c r="C58" s="127" t="s">
        <v>374</v>
      </c>
      <c r="D58" s="127"/>
      <c r="E58" s="127"/>
      <c r="F58" s="127"/>
      <c r="G58" s="50" t="s">
        <v>229</v>
      </c>
      <c r="H58" s="81">
        <v>45693</v>
      </c>
    </row>
    <row r="59" spans="1:14" ht="20.25" x14ac:dyDescent="0.25">
      <c r="A59" s="154" t="s">
        <v>69</v>
      </c>
      <c r="B59" s="154"/>
      <c r="C59" s="154"/>
      <c r="D59" s="154"/>
      <c r="E59" s="154"/>
      <c r="F59" s="154"/>
      <c r="G59" s="154"/>
      <c r="H59" s="154"/>
    </row>
    <row r="60" spans="1:14" ht="20.25" customHeight="1" x14ac:dyDescent="0.25">
      <c r="A60" s="195" t="str">
        <f>CONCATENATE((IF(OR(A46="",A46="NA"),"",A46)),"= ",(IF(OR(D46="",D46="NA"),"",D46)),".")</f>
        <v>Tower 2A= 2B + G + 6P + 1st to 46th Floor.</v>
      </c>
      <c r="B60" s="195"/>
      <c r="C60" s="195"/>
      <c r="D60" s="30" t="s">
        <v>116</v>
      </c>
      <c r="E60" s="196" t="s">
        <v>103</v>
      </c>
      <c r="F60" s="196"/>
      <c r="G60" s="30" t="s">
        <v>117</v>
      </c>
      <c r="H60" s="30" t="s">
        <v>118</v>
      </c>
    </row>
    <row r="61" spans="1:14" ht="21" thickBot="1" x14ac:dyDescent="0.3">
      <c r="A61" s="195"/>
      <c r="B61" s="195"/>
      <c r="C61" s="195"/>
      <c r="D61" s="72">
        <f>IF(AND(ISNUMBER(SEARCH("1B",A60))),1,IF(AND(ISNUMBER(SEARCH("2B",A60))),2,IF(AND(ISNUMBER(SEARCH("3B",A60))),3,IF(AND(ISNUMBER(SEARCH("4B",A60))),4,IF(ISNUMBER(SEARCH("5B",A60)),5,0)))))</f>
        <v>2</v>
      </c>
      <c r="E61" s="196">
        <v>1</v>
      </c>
      <c r="F61" s="196"/>
      <c r="G61" s="72">
        <v>6</v>
      </c>
      <c r="H61" s="30">
        <f ca="1">--TRIM(RIGHT(SUBSTITUTE(LEFT(A60,_xlfn.AGGREGATE(16,6,FIND({0,1,2,3,4,5,6,7,8,9},A60,ROW(INDIRECT("1:"&amp;LEN(A60)))),1))," ",REPT(" ",LEN(A60))),LEN(A60)))</f>
        <v>46</v>
      </c>
    </row>
    <row r="62" spans="1:14" ht="20.25" customHeight="1" x14ac:dyDescent="0.3">
      <c r="A62" s="199" t="s">
        <v>120</v>
      </c>
      <c r="B62" s="199"/>
      <c r="C62" s="28" t="s">
        <v>130</v>
      </c>
      <c r="D62" s="28" t="s">
        <v>131</v>
      </c>
      <c r="E62" s="199" t="s">
        <v>121</v>
      </c>
      <c r="F62" s="199"/>
      <c r="G62" s="29" t="s">
        <v>119</v>
      </c>
      <c r="H62" s="29"/>
      <c r="I62" s="16" t="str">
        <f ca="1">(IF(E63&gt;99%,"All work completed. Please provide OC.",IF(E63&gt;89.8%,"Plinth, RCC, Brick, Plaster, Flooring, Wooden, Plumbing, Electrification, etc., work Completed. Finishing work is in process.",IF(E63&lt;94%,(IF(C63=0,"Work not yet Started.",IF(D63=25%,"Piling work in process",IF(D63=50%,"Excavation work in process",IF(D63=100%,"Excavation work Completed. ","0")))&amp;(IF(C64=0%,"",IF(C64=J67,"Footing work is process",IF(C64=J68,"Footing work Completed",IF(C64=J69,"1st Basement Completed",IF(C64=J70,"1st &amp; 2nd Basement Completed",IF(C64=J71,"1st to 3rd Basement Completed",IF(C64=J72,"1st to 4th Basement Completed",IF(C64=J73,"Plinth work is process",IF(C64=J74,"Plinth work completed","0")))))))))))&amp;(IF(C65=(E61+G61+H61),", RCC Slab",IF(C65&gt;0,", RCC upto "&amp;C65&amp;" Slab",""))&amp;(IF(C66=H61,", Brickwork",IF(C66&gt;0,", Brickwork upto "&amp;C66&amp;" Floor",""))&amp;(IF(C67=H61,", Internal Plaster",IF(C67&gt;0,", Internal Plaster upto "&amp;C67&amp;" Floor",""))&amp;(IF(C68=H61,", External Plaster",IF(C68&gt;0,", External Plaster upto "&amp;C68&amp;" Floor",""))&amp;(IF(C69=H61,", External Plumbing, Elevation and Waterproofing",IF(C69&gt;0,", External Plumbing, Elevation and Waterproofing upto "&amp;C69&amp;" Floor",""))&amp;(IF(C70=H61,", Flooring &amp; Fitting",IF(C70&gt;0,", Flooring &amp; Fitting upto "&amp;C70&amp;" Floor",""))&amp;(IF(C71=H61,", Wooden Work",IF(C71&gt;0,", Wooden Work upto "&amp;C71&amp;" Floor",""))&amp;(IF(C72=H61,", Electrical &amp; Sanitary fittings",IF(C72&gt;0,", Electrical &amp; Sanitary fittings upto "&amp;C72&amp;" Floor",""))&amp;(IF(C73&gt;0,", Finishing upto "&amp;C73&amp;" Floor","")&amp;(IF(C65&gt;0.5," Completed",""))))))))))))))))</f>
        <v>Work not yet Started.</v>
      </c>
      <c r="J62" s="18"/>
    </row>
    <row r="63" spans="1:14" ht="20.25" customHeight="1" x14ac:dyDescent="0.3">
      <c r="A63" s="170" t="s">
        <v>133</v>
      </c>
      <c r="B63" s="170"/>
      <c r="C63" s="32">
        <f>J73</f>
        <v>0</v>
      </c>
      <c r="D63" s="5">
        <f ca="1">((100/H61)*C63)/100</f>
        <v>0</v>
      </c>
      <c r="E63" s="164">
        <f ca="1">(((C63/H61*10)+(C64/H61*15)+(25/(E61+G61+H61)*C65)+(5/(H61)*C66)+(2.5/(H61)*C67)+(2.5/(H61)*C68)+(5/H61*C69)+(10/H61*C70)+(2.5/H61*C71)+(2.5/H61*C72)+(10/H61*C73)+(10/H61*C74))/100)</f>
        <v>0</v>
      </c>
      <c r="F63" s="165"/>
      <c r="G63" s="170" t="str">
        <f ca="1">I62</f>
        <v>Work not yet Started.</v>
      </c>
      <c r="H63" s="170"/>
      <c r="I63" s="17" t="s">
        <v>122</v>
      </c>
      <c r="J63" s="18"/>
    </row>
    <row r="64" spans="1:14" ht="20.25" x14ac:dyDescent="0.3">
      <c r="A64" s="170" t="s">
        <v>104</v>
      </c>
      <c r="B64" s="170"/>
      <c r="C64" s="32">
        <f>J73</f>
        <v>0</v>
      </c>
      <c r="D64" s="5">
        <f ca="1">((100/H61)*C64)/100</f>
        <v>0</v>
      </c>
      <c r="E64" s="166"/>
      <c r="F64" s="167"/>
      <c r="G64" s="170"/>
      <c r="H64" s="170"/>
      <c r="I64" s="20" t="s">
        <v>132</v>
      </c>
      <c r="J64" s="19">
        <f ca="1">H61*25%</f>
        <v>11.5</v>
      </c>
    </row>
    <row r="65" spans="1:10" ht="21" customHeight="1" x14ac:dyDescent="0.3">
      <c r="A65" s="170" t="s">
        <v>134</v>
      </c>
      <c r="B65" s="170"/>
      <c r="C65" s="72">
        <v>0</v>
      </c>
      <c r="D65" s="5">
        <f ca="1">((100/(E61+G61+H61))*C65)/100</f>
        <v>0</v>
      </c>
      <c r="E65" s="166"/>
      <c r="F65" s="167"/>
      <c r="G65" s="170"/>
      <c r="H65" s="170"/>
      <c r="I65" s="20" t="s">
        <v>123</v>
      </c>
      <c r="J65" s="24">
        <f ca="1">H61*50%</f>
        <v>23</v>
      </c>
    </row>
    <row r="66" spans="1:10" ht="21" customHeight="1" x14ac:dyDescent="0.3">
      <c r="A66" s="170" t="s">
        <v>135</v>
      </c>
      <c r="B66" s="170"/>
      <c r="C66" s="72">
        <v>0</v>
      </c>
      <c r="D66" s="5">
        <f ca="1">((100/H61)*C66)/100</f>
        <v>0</v>
      </c>
      <c r="E66" s="166"/>
      <c r="F66" s="167"/>
      <c r="G66" s="170"/>
      <c r="H66" s="170"/>
      <c r="I66" s="20" t="s">
        <v>124</v>
      </c>
      <c r="J66" s="24">
        <f ca="1">H61</f>
        <v>46</v>
      </c>
    </row>
    <row r="67" spans="1:10" ht="21" customHeight="1" x14ac:dyDescent="0.35">
      <c r="A67" s="171" t="s">
        <v>136</v>
      </c>
      <c r="B67" s="172"/>
      <c r="C67" s="72">
        <v>0</v>
      </c>
      <c r="D67" s="5">
        <f ca="1">((100/H61)*C67)/100</f>
        <v>0</v>
      </c>
      <c r="E67" s="166"/>
      <c r="F67" s="167"/>
      <c r="G67" s="170"/>
      <c r="H67" s="170"/>
      <c r="I67" s="20" t="s">
        <v>125</v>
      </c>
      <c r="J67" s="25">
        <f ca="1">(IF(D61&gt;1,(H61/(D61+2)),H61*0.2))</f>
        <v>11.5</v>
      </c>
    </row>
    <row r="68" spans="1:10" ht="21" customHeight="1" x14ac:dyDescent="0.35">
      <c r="A68" s="171" t="s">
        <v>167</v>
      </c>
      <c r="B68" s="172"/>
      <c r="C68" s="72">
        <v>0</v>
      </c>
      <c r="D68" s="5">
        <f ca="1">((100/H61)*C68)/100</f>
        <v>0</v>
      </c>
      <c r="E68" s="166"/>
      <c r="F68" s="167"/>
      <c r="G68" s="170"/>
      <c r="H68" s="170"/>
      <c r="I68" s="20" t="s">
        <v>126</v>
      </c>
      <c r="J68" s="25">
        <f ca="1">(IF(D61&gt;1,(H61/(D61+2)+J67),H61*0.2+J67))</f>
        <v>23</v>
      </c>
    </row>
    <row r="69" spans="1:10" ht="49.5" customHeight="1" x14ac:dyDescent="0.35">
      <c r="A69" s="171" t="s">
        <v>164</v>
      </c>
      <c r="B69" s="172"/>
      <c r="C69" s="72">
        <v>0</v>
      </c>
      <c r="D69" s="5">
        <f ca="1">((100/(H61))*C69)/100</f>
        <v>0</v>
      </c>
      <c r="E69" s="166"/>
      <c r="F69" s="167"/>
      <c r="G69" s="170"/>
      <c r="H69" s="170"/>
      <c r="I69" s="20" t="s">
        <v>137</v>
      </c>
      <c r="J69" s="25">
        <f ca="1">(IF(D61&gt;1,(H61/(D61+2)+J68),0))</f>
        <v>34.5</v>
      </c>
    </row>
    <row r="70" spans="1:10" ht="21" x14ac:dyDescent="0.35">
      <c r="A70" s="170" t="s">
        <v>139</v>
      </c>
      <c r="B70" s="170"/>
      <c r="C70" s="72">
        <v>0</v>
      </c>
      <c r="D70" s="5">
        <f ca="1">((100/(H61))*C70)/100</f>
        <v>0</v>
      </c>
      <c r="E70" s="166"/>
      <c r="F70" s="167"/>
      <c r="G70" s="170"/>
      <c r="H70" s="170"/>
      <c r="I70" s="20" t="s">
        <v>138</v>
      </c>
      <c r="J70" s="25">
        <f>(IF(D61&gt;2,(H61/(D61+2)+J69),0))</f>
        <v>0</v>
      </c>
    </row>
    <row r="71" spans="1:10" ht="21" customHeight="1" x14ac:dyDescent="0.35">
      <c r="A71" s="170" t="s">
        <v>166</v>
      </c>
      <c r="B71" s="170"/>
      <c r="C71" s="72">
        <v>0</v>
      </c>
      <c r="D71" s="5">
        <f ca="1">((100/H61)*C71)/100</f>
        <v>0</v>
      </c>
      <c r="E71" s="166"/>
      <c r="F71" s="167"/>
      <c r="G71" s="170"/>
      <c r="H71" s="170"/>
      <c r="I71" s="20" t="s">
        <v>140</v>
      </c>
      <c r="J71" s="26">
        <f>(IF(D61&gt;3,(H61/(D61+2)+J70),0))</f>
        <v>0</v>
      </c>
    </row>
    <row r="72" spans="1:10" ht="21" x14ac:dyDescent="0.35">
      <c r="A72" s="170" t="s">
        <v>165</v>
      </c>
      <c r="B72" s="170"/>
      <c r="C72" s="30">
        <v>0</v>
      </c>
      <c r="D72" s="5">
        <f ca="1">((100/H61)*C72)/100</f>
        <v>0</v>
      </c>
      <c r="E72" s="166"/>
      <c r="F72" s="167"/>
      <c r="G72" s="170"/>
      <c r="H72" s="170"/>
      <c r="I72" s="20" t="s">
        <v>141</v>
      </c>
      <c r="J72" s="25">
        <f>(IF(D61&gt;4,(H61/(D61+2)+J71),0))</f>
        <v>0</v>
      </c>
    </row>
    <row r="73" spans="1:10" ht="21" x14ac:dyDescent="0.35">
      <c r="A73" s="170" t="s">
        <v>142</v>
      </c>
      <c r="B73" s="170"/>
      <c r="C73" s="30">
        <v>0</v>
      </c>
      <c r="D73" s="5">
        <f ca="1">((100/(H61))*C73)/100</f>
        <v>0</v>
      </c>
      <c r="E73" s="166"/>
      <c r="F73" s="167"/>
      <c r="G73" s="170"/>
      <c r="H73" s="170"/>
      <c r="I73" s="20" t="s">
        <v>127</v>
      </c>
      <c r="J73" s="25">
        <f>(IF(D61=1,(H61/(D61+3)+J68),IF(D61=0,(H61*0.3+J68),IF(D61&gt;1,0))))</f>
        <v>0</v>
      </c>
    </row>
    <row r="74" spans="1:10" ht="21.75" thickBot="1" x14ac:dyDescent="0.4">
      <c r="A74" s="170" t="s">
        <v>143</v>
      </c>
      <c r="B74" s="170"/>
      <c r="C74" s="30">
        <v>0</v>
      </c>
      <c r="D74" s="5">
        <f ca="1">((100/(H61))*C74)/100</f>
        <v>0</v>
      </c>
      <c r="E74" s="168"/>
      <c r="F74" s="169"/>
      <c r="G74" s="170"/>
      <c r="H74" s="170"/>
      <c r="I74" s="22" t="s">
        <v>128</v>
      </c>
      <c r="J74" s="27">
        <f ca="1">(IF(D61&gt;1.5,(H61/(D61+2)+J68+MAX(0,J69-J68)+MAX(0,J70-J69)+MAX(0,J71-J70)+MAX(0,J72-J71)+MAX(0,J73-J72)),IF(D61=1,(H61/(D61+3)+J73),IF(D61=0,H61*0.3+J73))))</f>
        <v>46</v>
      </c>
    </row>
    <row r="75" spans="1:10" ht="20.25" x14ac:dyDescent="0.25">
      <c r="A75" s="154" t="s">
        <v>69</v>
      </c>
      <c r="B75" s="154"/>
      <c r="C75" s="154"/>
      <c r="D75" s="154"/>
      <c r="E75" s="154"/>
      <c r="F75" s="154"/>
      <c r="G75" s="154"/>
      <c r="H75" s="154"/>
    </row>
    <row r="76" spans="1:10" ht="20.25" customHeight="1" x14ac:dyDescent="0.25">
      <c r="A76" s="195" t="str">
        <f>CONCATENATE((IF(OR(A47="",A47="NA"),"",A47)),"= ",(IF(OR(D47="",D47="NA"),"",D47)),".")</f>
        <v>Tower 2B= 2B + G + 6P + 1st to 43rd Floor.</v>
      </c>
      <c r="B76" s="195"/>
      <c r="C76" s="195"/>
      <c r="D76" s="30" t="s">
        <v>116</v>
      </c>
      <c r="E76" s="196" t="s">
        <v>103</v>
      </c>
      <c r="F76" s="196"/>
      <c r="G76" s="30" t="s">
        <v>117</v>
      </c>
      <c r="H76" s="30" t="s">
        <v>118</v>
      </c>
    </row>
    <row r="77" spans="1:10" ht="21" thickBot="1" x14ac:dyDescent="0.3">
      <c r="A77" s="195"/>
      <c r="B77" s="195"/>
      <c r="C77" s="195"/>
      <c r="D77" s="72">
        <f>IF(AND(ISNUMBER(SEARCH("1B",A76))),1,IF(AND(ISNUMBER(SEARCH("2B",A76))),2,IF(AND(ISNUMBER(SEARCH("3B",A76))),3,IF(AND(ISNUMBER(SEARCH("4B",A76))),4,IF(ISNUMBER(SEARCH("5B",A76)),5,0)))))</f>
        <v>2</v>
      </c>
      <c r="E77" s="196">
        <v>1</v>
      </c>
      <c r="F77" s="196"/>
      <c r="G77" s="72">
        <v>6</v>
      </c>
      <c r="H77" s="30">
        <f ca="1">--TRIM(RIGHT(SUBSTITUTE(LEFT(A76,_xlfn.AGGREGATE(16,6,FIND({0,1,2,3,4,5,6,7,8,9},A76,ROW(INDIRECT("1:"&amp;LEN(A76)))),1))," ",REPT(" ",LEN(A76))),LEN(A76)))</f>
        <v>43</v>
      </c>
    </row>
    <row r="78" spans="1:10" ht="20.25" customHeight="1" x14ac:dyDescent="0.3">
      <c r="A78" s="199" t="s">
        <v>120</v>
      </c>
      <c r="B78" s="199"/>
      <c r="C78" s="28" t="s">
        <v>130</v>
      </c>
      <c r="D78" s="28" t="s">
        <v>131</v>
      </c>
      <c r="E78" s="199" t="s">
        <v>121</v>
      </c>
      <c r="F78" s="199"/>
      <c r="G78" s="29" t="s">
        <v>119</v>
      </c>
      <c r="H78" s="29"/>
      <c r="I78" s="16" t="str">
        <f ca="1">(IF(E79&gt;99%,"All work completed. Please provide OC.",IF(E79&gt;89.8%,"Plinth, RCC, Brick, Plaster, Flooring, Wooden, Plumbing, Electrification, etc., work Completed. Finishing work is in process.",IF(E79&lt;94%,(IF(C79=0,"Work not yet Started.",IF(D79=25%,"Piling work in process",IF(D79=50%,"Excavation work in process",IF(D79=100%,"Excavation work Completed. ","0")))&amp;(IF(C80=0%,"",IF(C80=J83,"Footing work is process",IF(C80=J84,"Footing work Completed",IF(C80=J85,"1st Basement Completed",IF(C80=J86,"1st &amp; 2nd Basement Completed",IF(C80=J87,"1st to 3rd Basement Completed",IF(C80=J88,"1st to 4th Basement Completed",IF(C80=J89,"Plinth work is process",IF(C80=J90,"Plinth work completed","0")))))))))))&amp;(IF(C81=(E77+G77+H77),", RCC Slab",IF(C81&gt;0,", RCC upto "&amp;C81&amp;" Slab",""))&amp;(IF(C82=H77,", Brickwork",IF(C82&gt;0,", Brickwork upto "&amp;C82&amp;" Floor",""))&amp;(IF(C83=H77,", Internal Plaster",IF(C83&gt;0,", Internal Plaster upto "&amp;C83&amp;" Floor",""))&amp;(IF(C84=H77,", External Plaster",IF(C84&gt;0,", External Plaster upto "&amp;C84&amp;" Floor",""))&amp;(IF(C85=H77,", External Plumbing, Elevation and Waterproofing",IF(C85&gt;0,", External Plumbing, Elevation and Waterproofing upto "&amp;C85&amp;" Floor",""))&amp;(IF(C86=H77,", Flooring &amp; Fitting",IF(C86&gt;0,", Flooring &amp; Fitting upto "&amp;C86&amp;" Floor",""))&amp;(IF(C87=H77,", Wooden Work",IF(C87&gt;0,", Wooden Work upto "&amp;C87&amp;" Floor",""))&amp;(IF(C88=H77,", Electrical &amp; Sanitary fittings",IF(C88&gt;0,", Electrical &amp; Sanitary fittings upto "&amp;C88&amp;" Floor",""))&amp;(IF(C89&gt;0,", Finishing upto "&amp;C89&amp;" Floor","")&amp;(IF(C81&gt;0.5," Completed",""))))))))))))))))</f>
        <v>Work not yet Started.</v>
      </c>
      <c r="J78" s="18"/>
    </row>
    <row r="79" spans="1:10" ht="20.25" customHeight="1" x14ac:dyDescent="0.3">
      <c r="A79" s="170" t="s">
        <v>133</v>
      </c>
      <c r="B79" s="170"/>
      <c r="C79" s="74">
        <f>J89</f>
        <v>0</v>
      </c>
      <c r="D79" s="5">
        <f ca="1">((100/H77)*C79)/100</f>
        <v>0</v>
      </c>
      <c r="E79" s="164">
        <f ca="1">(((C79/H77*10)+(C80/H77*15)+(25/(E77+G77+H77)*C81)+(5/(H77)*C82)+(2.5/(H77)*C83)+(2.5/(H77)*C84)+(5/H77*C85)+(10/H77*C86)+(2.5/H77*C87)+(2.5/H77*C88)+(10/H77*C89)+(10/H77*C90))/100)</f>
        <v>0</v>
      </c>
      <c r="F79" s="165"/>
      <c r="G79" s="170" t="str">
        <f ca="1">I78</f>
        <v>Work not yet Started.</v>
      </c>
      <c r="H79" s="170"/>
      <c r="I79" s="17" t="s">
        <v>122</v>
      </c>
      <c r="J79" s="18"/>
    </row>
    <row r="80" spans="1:10" ht="20.25" x14ac:dyDescent="0.3">
      <c r="A80" s="170" t="s">
        <v>104</v>
      </c>
      <c r="B80" s="170"/>
      <c r="C80" s="74">
        <f>J89</f>
        <v>0</v>
      </c>
      <c r="D80" s="5">
        <f ca="1">((100/H77)*C80)/100</f>
        <v>0</v>
      </c>
      <c r="E80" s="166"/>
      <c r="F80" s="167"/>
      <c r="G80" s="170"/>
      <c r="H80" s="170"/>
      <c r="I80" s="20" t="s">
        <v>132</v>
      </c>
      <c r="J80" s="19">
        <f ca="1">H77*25%</f>
        <v>10.75</v>
      </c>
    </row>
    <row r="81" spans="1:11" ht="21" customHeight="1" x14ac:dyDescent="0.3">
      <c r="A81" s="170" t="s">
        <v>134</v>
      </c>
      <c r="B81" s="170"/>
      <c r="C81" s="72">
        <v>0</v>
      </c>
      <c r="D81" s="5">
        <f ca="1">((100/(E77+G77+H77))*C81)/100</f>
        <v>0</v>
      </c>
      <c r="E81" s="166"/>
      <c r="F81" s="167"/>
      <c r="G81" s="170"/>
      <c r="H81" s="170"/>
      <c r="I81" s="20" t="s">
        <v>123</v>
      </c>
      <c r="J81" s="24">
        <f ca="1">H77*50%</f>
        <v>21.5</v>
      </c>
    </row>
    <row r="82" spans="1:11" ht="21" customHeight="1" x14ac:dyDescent="0.3">
      <c r="A82" s="170" t="s">
        <v>135</v>
      </c>
      <c r="B82" s="170"/>
      <c r="C82" s="72">
        <v>0</v>
      </c>
      <c r="D82" s="5">
        <f ca="1">((100/H77)*C82)/100</f>
        <v>0</v>
      </c>
      <c r="E82" s="166"/>
      <c r="F82" s="167"/>
      <c r="G82" s="170"/>
      <c r="H82" s="170"/>
      <c r="I82" s="20" t="s">
        <v>124</v>
      </c>
      <c r="J82" s="24">
        <f ca="1">H77</f>
        <v>43</v>
      </c>
    </row>
    <row r="83" spans="1:11" ht="21" customHeight="1" x14ac:dyDescent="0.35">
      <c r="A83" s="171" t="s">
        <v>136</v>
      </c>
      <c r="B83" s="172"/>
      <c r="C83" s="72">
        <v>0</v>
      </c>
      <c r="D83" s="5">
        <f ca="1">((100/H77)*C83)/100</f>
        <v>0</v>
      </c>
      <c r="E83" s="166"/>
      <c r="F83" s="167"/>
      <c r="G83" s="170"/>
      <c r="H83" s="170"/>
      <c r="I83" s="20" t="s">
        <v>125</v>
      </c>
      <c r="J83" s="25">
        <f ca="1">(IF(D77&gt;1,(H77/(D77+2)),H77*0.2))</f>
        <v>10.75</v>
      </c>
    </row>
    <row r="84" spans="1:11" ht="21" customHeight="1" x14ac:dyDescent="0.35">
      <c r="A84" s="171" t="s">
        <v>167</v>
      </c>
      <c r="B84" s="172"/>
      <c r="C84" s="72">
        <v>0</v>
      </c>
      <c r="D84" s="5">
        <f ca="1">((100/H77)*C84)/100</f>
        <v>0</v>
      </c>
      <c r="E84" s="166"/>
      <c r="F84" s="167"/>
      <c r="G84" s="170"/>
      <c r="H84" s="170"/>
      <c r="I84" s="20" t="s">
        <v>126</v>
      </c>
      <c r="J84" s="25">
        <f ca="1">(IF(D77&gt;1,(H77/(D77+2)+J83),H77*0.2+J83))</f>
        <v>21.5</v>
      </c>
    </row>
    <row r="85" spans="1:11" ht="49.5" customHeight="1" x14ac:dyDescent="0.35">
      <c r="A85" s="171" t="s">
        <v>164</v>
      </c>
      <c r="B85" s="172"/>
      <c r="C85" s="72">
        <v>0</v>
      </c>
      <c r="D85" s="5">
        <f ca="1">((100/(H77))*C85)/100</f>
        <v>0</v>
      </c>
      <c r="E85" s="166"/>
      <c r="F85" s="167"/>
      <c r="G85" s="170"/>
      <c r="H85" s="170"/>
      <c r="I85" s="20" t="s">
        <v>137</v>
      </c>
      <c r="J85" s="25">
        <f ca="1">(IF(D77&gt;1,(H77/(D77+2)+J84),0))</f>
        <v>32.25</v>
      </c>
    </row>
    <row r="86" spans="1:11" ht="21" x14ac:dyDescent="0.35">
      <c r="A86" s="170" t="s">
        <v>139</v>
      </c>
      <c r="B86" s="170"/>
      <c r="C86" s="72">
        <v>0</v>
      </c>
      <c r="D86" s="5">
        <f ca="1">((100/(H77))*C86)/100</f>
        <v>0</v>
      </c>
      <c r="E86" s="166"/>
      <c r="F86" s="167"/>
      <c r="G86" s="170"/>
      <c r="H86" s="170"/>
      <c r="I86" s="20" t="s">
        <v>138</v>
      </c>
      <c r="J86" s="25">
        <f>(IF(D77&gt;2,(H77/(D77+2)+J85),0))</f>
        <v>0</v>
      </c>
    </row>
    <row r="87" spans="1:11" ht="21" customHeight="1" x14ac:dyDescent="0.35">
      <c r="A87" s="170" t="s">
        <v>166</v>
      </c>
      <c r="B87" s="170"/>
      <c r="C87" s="72">
        <v>0</v>
      </c>
      <c r="D87" s="5">
        <f ca="1">((100/H77)*C87)/100</f>
        <v>0</v>
      </c>
      <c r="E87" s="166"/>
      <c r="F87" s="167"/>
      <c r="G87" s="170"/>
      <c r="H87" s="170"/>
      <c r="I87" s="20" t="s">
        <v>140</v>
      </c>
      <c r="J87" s="26">
        <f>(IF(D77&gt;3,(H77/(D77+2)+J86),0))</f>
        <v>0</v>
      </c>
    </row>
    <row r="88" spans="1:11" ht="21" x14ac:dyDescent="0.35">
      <c r="A88" s="170" t="s">
        <v>165</v>
      </c>
      <c r="B88" s="170"/>
      <c r="C88" s="72">
        <v>0</v>
      </c>
      <c r="D88" s="5">
        <f ca="1">((100/H77)*C88)/100</f>
        <v>0</v>
      </c>
      <c r="E88" s="166"/>
      <c r="F88" s="167"/>
      <c r="G88" s="170"/>
      <c r="H88" s="170"/>
      <c r="I88" s="20" t="s">
        <v>141</v>
      </c>
      <c r="J88" s="25">
        <f>(IF(D77&gt;4,(H77/(D77+2)+J87),0))</f>
        <v>0</v>
      </c>
    </row>
    <row r="89" spans="1:11" ht="21" x14ac:dyDescent="0.35">
      <c r="A89" s="170" t="s">
        <v>142</v>
      </c>
      <c r="B89" s="170"/>
      <c r="C89" s="72">
        <v>0</v>
      </c>
      <c r="D89" s="5">
        <f ca="1">((100/(H77))*C89)/100</f>
        <v>0</v>
      </c>
      <c r="E89" s="166"/>
      <c r="F89" s="167"/>
      <c r="G89" s="170"/>
      <c r="H89" s="170"/>
      <c r="I89" s="20" t="s">
        <v>127</v>
      </c>
      <c r="J89" s="25">
        <f>(IF(D77=1,(H77/(D77+3)+J84),IF(D77=0,(H77*0.3+J84),IF(D77&gt;1,0))))</f>
        <v>0</v>
      </c>
    </row>
    <row r="90" spans="1:11" ht="21.75" thickBot="1" x14ac:dyDescent="0.4">
      <c r="A90" s="170" t="s">
        <v>143</v>
      </c>
      <c r="B90" s="170"/>
      <c r="C90" s="72">
        <v>0</v>
      </c>
      <c r="D90" s="5">
        <f ca="1">((100/(H77))*C90)/100</f>
        <v>0</v>
      </c>
      <c r="E90" s="168"/>
      <c r="F90" s="169"/>
      <c r="G90" s="170"/>
      <c r="H90" s="170"/>
      <c r="I90" s="22" t="s">
        <v>128</v>
      </c>
      <c r="J90" s="27">
        <f ca="1">(IF(D77&gt;1.5,(H77/(D77+2)+J84+MAX(0,J85-J84)+MAX(0,J86-J85)+MAX(0,J87-J86)+MAX(0,J88-J87)+MAX(0,J89-J88)),IF(D77=1,(H77/(D77+3)+J89),IF(D77=0,H77*0.3+J89))))</f>
        <v>43</v>
      </c>
    </row>
    <row r="91" spans="1:11" ht="36.75" customHeight="1" x14ac:dyDescent="0.3">
      <c r="A91" s="200" t="s">
        <v>129</v>
      </c>
      <c r="B91" s="201"/>
      <c r="C91" s="201"/>
      <c r="D91" s="201"/>
      <c r="E91" s="201"/>
      <c r="F91" s="201"/>
      <c r="G91" s="197">
        <f ca="1">AVERAGE(E63,E79)</f>
        <v>0</v>
      </c>
      <c r="H91" s="198"/>
      <c r="K91" s="21"/>
    </row>
    <row r="92" spans="1:11" ht="20.25" x14ac:dyDescent="0.25">
      <c r="A92" s="133" t="s">
        <v>73</v>
      </c>
      <c r="B92" s="134"/>
      <c r="C92" s="134"/>
      <c r="D92" s="134"/>
      <c r="E92" s="134"/>
      <c r="F92" s="134"/>
      <c r="G92" s="134"/>
      <c r="H92" s="135"/>
    </row>
    <row r="93" spans="1:11" ht="43.5" customHeight="1" x14ac:dyDescent="0.3">
      <c r="A93" s="136" t="s">
        <v>74</v>
      </c>
      <c r="B93" s="137"/>
      <c r="C93" s="139" t="s">
        <v>108</v>
      </c>
      <c r="D93" s="140"/>
      <c r="E93" s="136" t="s">
        <v>144</v>
      </c>
      <c r="F93" s="137" t="s">
        <v>4</v>
      </c>
      <c r="G93" s="173" t="s">
        <v>157</v>
      </c>
      <c r="H93" s="173"/>
      <c r="I93" s="20"/>
      <c r="J93" s="21"/>
    </row>
    <row r="94" spans="1:11" ht="44.25" customHeight="1" x14ac:dyDescent="0.25">
      <c r="A94" s="136" t="s">
        <v>154</v>
      </c>
      <c r="B94" s="137"/>
      <c r="C94" s="139" t="s">
        <v>393</v>
      </c>
      <c r="D94" s="140"/>
      <c r="E94" s="136" t="s">
        <v>155</v>
      </c>
      <c r="F94" s="137" t="s">
        <v>4</v>
      </c>
      <c r="G94" s="127" t="s">
        <v>145</v>
      </c>
      <c r="H94" s="127"/>
    </row>
    <row r="95" spans="1:11" ht="20.25" x14ac:dyDescent="0.25">
      <c r="A95" s="143" t="s">
        <v>75</v>
      </c>
      <c r="B95" s="145"/>
      <c r="C95" s="141">
        <v>700000</v>
      </c>
      <c r="D95" s="142"/>
      <c r="E95" s="136" t="s">
        <v>102</v>
      </c>
      <c r="F95" s="137" t="s">
        <v>4</v>
      </c>
      <c r="G95" s="139" t="s">
        <v>109</v>
      </c>
      <c r="H95" s="140"/>
    </row>
    <row r="96" spans="1:11" ht="20.25" x14ac:dyDescent="0.25">
      <c r="A96" s="133" t="s">
        <v>72</v>
      </c>
      <c r="B96" s="134"/>
      <c r="C96" s="134"/>
      <c r="D96" s="134"/>
      <c r="E96" s="134"/>
      <c r="F96" s="134"/>
      <c r="G96" s="134"/>
      <c r="H96" s="135"/>
    </row>
    <row r="97" spans="1:150 16226:16383" ht="20.25" customHeight="1" x14ac:dyDescent="0.25">
      <c r="A97" s="143" t="s">
        <v>8</v>
      </c>
      <c r="B97" s="144"/>
      <c r="C97" s="144"/>
      <c r="D97" s="144"/>
      <c r="E97" s="144"/>
      <c r="F97" s="145"/>
      <c r="G97" s="204">
        <f>33200/10.764</f>
        <v>3084.3552582683019</v>
      </c>
      <c r="H97" s="205"/>
    </row>
    <row r="98" spans="1:150 16226:16383" ht="20.25" customHeight="1" x14ac:dyDescent="0.25">
      <c r="A98" s="143" t="s">
        <v>28</v>
      </c>
      <c r="B98" s="144"/>
      <c r="C98" s="144"/>
      <c r="D98" s="144"/>
      <c r="E98" s="144"/>
      <c r="F98" s="145" t="s">
        <v>4</v>
      </c>
      <c r="G98" s="138">
        <f>103600/10.764</f>
        <v>9624.6748420661479</v>
      </c>
      <c r="H98" s="138"/>
    </row>
    <row r="99" spans="1:150 16226:16383" ht="20.25" customHeight="1" x14ac:dyDescent="0.25">
      <c r="A99" s="143" t="s">
        <v>110</v>
      </c>
      <c r="B99" s="144"/>
      <c r="C99" s="144"/>
      <c r="D99" s="144"/>
      <c r="E99" s="144"/>
      <c r="F99" s="145" t="s">
        <v>4</v>
      </c>
      <c r="G99" s="138">
        <f>G97*0.8</f>
        <v>2467.4842066146416</v>
      </c>
      <c r="H99" s="138"/>
    </row>
    <row r="100" spans="1:150 16226:16383" ht="20.25" x14ac:dyDescent="0.25">
      <c r="A100" s="128" t="s">
        <v>242</v>
      </c>
      <c r="B100" s="129"/>
      <c r="C100" s="129"/>
      <c r="D100" s="129"/>
      <c r="E100" s="129"/>
      <c r="F100" s="129"/>
      <c r="G100" s="129"/>
      <c r="H100" s="130"/>
    </row>
    <row r="101" spans="1:150 16226:16383" s="3" customFormat="1" ht="20.25" x14ac:dyDescent="0.25">
      <c r="A101" s="131" t="s">
        <v>151</v>
      </c>
      <c r="B101" s="132"/>
      <c r="C101" s="131" t="s">
        <v>152</v>
      </c>
      <c r="D101" s="132"/>
      <c r="E101" s="131" t="s">
        <v>150</v>
      </c>
      <c r="F101" s="132"/>
      <c r="G101" s="131" t="s">
        <v>162</v>
      </c>
      <c r="H101" s="132"/>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row>
    <row r="102" spans="1:150 16226:16383" s="3" customFormat="1" ht="20.25" x14ac:dyDescent="0.25">
      <c r="A102" s="176" t="s">
        <v>321</v>
      </c>
      <c r="B102" s="177"/>
      <c r="C102" s="131" t="s">
        <v>96</v>
      </c>
      <c r="D102" s="132"/>
      <c r="E102" s="176">
        <f>COUNT(F117:F118)+COUNT(F121)</f>
        <v>3</v>
      </c>
      <c r="F102" s="177"/>
      <c r="G102" s="176">
        <f>SUM(H117:H118)+SUM(H121)</f>
        <v>2790.1902599999999</v>
      </c>
      <c r="H102" s="177"/>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row>
    <row r="103" spans="1:150 16226:16383" s="3" customFormat="1" ht="20.25" x14ac:dyDescent="0.25">
      <c r="A103" s="131" t="s">
        <v>153</v>
      </c>
      <c r="B103" s="132"/>
      <c r="C103" s="131" t="s">
        <v>96</v>
      </c>
      <c r="D103" s="132"/>
      <c r="E103" s="131">
        <f>SUM(E102)</f>
        <v>3</v>
      </c>
      <c r="F103" s="132"/>
      <c r="G103" s="131">
        <f>SUM(G102)</f>
        <v>2790.1902599999999</v>
      </c>
      <c r="H103" s="132"/>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row>
    <row r="104" spans="1:150 16226:16383" ht="20.25" x14ac:dyDescent="0.25">
      <c r="A104" s="128" t="s">
        <v>230</v>
      </c>
      <c r="B104" s="129"/>
      <c r="C104" s="129"/>
      <c r="D104" s="129"/>
      <c r="E104" s="129"/>
      <c r="F104" s="129"/>
      <c r="G104" s="129"/>
      <c r="H104" s="130"/>
    </row>
    <row r="105" spans="1:150 16226:16383" s="3" customFormat="1" ht="20.25" x14ac:dyDescent="0.25">
      <c r="A105" s="131" t="s">
        <v>151</v>
      </c>
      <c r="B105" s="132"/>
      <c r="C105" s="131" t="s">
        <v>152</v>
      </c>
      <c r="D105" s="132"/>
      <c r="E105" s="131" t="s">
        <v>150</v>
      </c>
      <c r="F105" s="132"/>
      <c r="G105" s="131" t="s">
        <v>162</v>
      </c>
      <c r="H105" s="132"/>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row>
    <row r="106" spans="1:150 16226:16383" s="3" customFormat="1" ht="20.25" x14ac:dyDescent="0.25">
      <c r="A106" s="176" t="s">
        <v>321</v>
      </c>
      <c r="B106" s="177"/>
      <c r="C106" s="131" t="s">
        <v>96</v>
      </c>
      <c r="D106" s="132"/>
      <c r="E106" s="176">
        <f>COUNT(F126:F129)+COUNT(F134:F137)+COUNT(F143:F146)+COUNT(F149:F155)*33+COUNT(F157:F159,F161:F163)*9+COUNT(F165:F167,F171)*2+COUNT(F173:F174,F176:F179)+COUNT(F181:F186)</f>
        <v>315</v>
      </c>
      <c r="F106" s="177"/>
      <c r="G106" s="176">
        <f>SUM(H126:H129)+SUM(H134:H137)+SUM(H143:H146)+SUM(H149:H155)*33+SUM(H157:H159,H161:H163)*9+SUM(H165:H167,H171)*2+SUM(H173:H174,H176:H179)+SUM(H181:H186)</f>
        <v>305453.05268399999</v>
      </c>
      <c r="H106" s="177"/>
      <c r="I106" s="78" t="s">
        <v>354</v>
      </c>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row>
    <row r="107" spans="1:150 16226:16383" s="3" customFormat="1" ht="20.25" x14ac:dyDescent="0.25">
      <c r="A107" s="176" t="s">
        <v>322</v>
      </c>
      <c r="B107" s="177"/>
      <c r="C107" s="176" t="s">
        <v>96</v>
      </c>
      <c r="D107" s="177"/>
      <c r="E107" s="176">
        <f>COUNT(F196:F198)*2+COUNT(F212:F214)+COUNT(F220:F221)+COUNT(F226:F232)+COUNT(F234:F236,F238:F240)*8+COUNT(F242:F248)*30+COUNT(F250:F253,F256)*2+COUNT(F258:F259,F261:F263)+COUNT(F266:F271)</f>
        <v>296</v>
      </c>
      <c r="F107" s="177"/>
      <c r="G107" s="176">
        <f>SUM(H196:H198)*2+SUM(H212:H214)+SUM(H220:H221)+SUM(H226:H232)+SUM(H234:H236,H238:H240)*8+SUM(H242:H248)*30+SUM(H250:H253,H256)*2+SUM(H258:H259,H261:H263)+SUM(H266:H271)</f>
        <v>282057.01430400001</v>
      </c>
      <c r="H107" s="177"/>
      <c r="I107" s="78" t="s">
        <v>354</v>
      </c>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s="3" customFormat="1" ht="20.25" x14ac:dyDescent="0.25">
      <c r="A108" s="131" t="s">
        <v>153</v>
      </c>
      <c r="B108" s="132"/>
      <c r="C108" s="131" t="s">
        <v>96</v>
      </c>
      <c r="D108" s="132"/>
      <c r="E108" s="131">
        <f>SUM(E106:E107)</f>
        <v>611</v>
      </c>
      <c r="F108" s="132"/>
      <c r="G108" s="131">
        <f>SUM(G106:G107)</f>
        <v>587510.06698799995</v>
      </c>
      <c r="H108" s="132"/>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row>
    <row r="109" spans="1:150 16226:16383" s="3" customFormat="1" ht="20.25" x14ac:dyDescent="0.25">
      <c r="A109" s="131" t="s">
        <v>243</v>
      </c>
      <c r="B109" s="132"/>
      <c r="C109" s="131" t="s">
        <v>96</v>
      </c>
      <c r="D109" s="132"/>
      <c r="E109" s="131">
        <f>E103+E108</f>
        <v>614</v>
      </c>
      <c r="F109" s="132"/>
      <c r="G109" s="131">
        <f>G103+G108</f>
        <v>590300.25724799989</v>
      </c>
      <c r="H109" s="132"/>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ht="20.25" x14ac:dyDescent="0.25">
      <c r="A110" s="202" t="s">
        <v>149</v>
      </c>
      <c r="B110" s="203"/>
      <c r="C110" s="203"/>
      <c r="D110" s="203"/>
      <c r="E110" s="203"/>
      <c r="F110" s="203"/>
      <c r="G110" s="203"/>
      <c r="H110" s="130"/>
    </row>
    <row r="111" spans="1:150 16226:16383" ht="66" customHeight="1" x14ac:dyDescent="0.25">
      <c r="A111" s="51" t="s">
        <v>231</v>
      </c>
      <c r="B111" s="31" t="s">
        <v>232</v>
      </c>
      <c r="C111" s="33" t="s">
        <v>233</v>
      </c>
      <c r="D111" s="31" t="s">
        <v>90</v>
      </c>
      <c r="E111" s="31" t="s">
        <v>163</v>
      </c>
      <c r="F111" s="33" t="s">
        <v>342</v>
      </c>
      <c r="G111" s="31" t="s">
        <v>92</v>
      </c>
      <c r="H111" s="31" t="s">
        <v>91</v>
      </c>
      <c r="I111" s="79">
        <f>10.764</f>
        <v>10.763999999999999</v>
      </c>
    </row>
    <row r="112" spans="1:150 16226:16383" s="3" customFormat="1" ht="20.25" x14ac:dyDescent="0.25">
      <c r="A112" s="91" t="s">
        <v>376</v>
      </c>
      <c r="B112" s="92"/>
      <c r="C112" s="92"/>
      <c r="D112" s="92"/>
      <c r="E112" s="92"/>
      <c r="F112" s="92"/>
      <c r="G112" s="92"/>
      <c r="H112" s="93"/>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row>
    <row r="113" spans="1:150 16226:16383" s="3" customFormat="1" ht="20.25" hidden="1" x14ac:dyDescent="0.25">
      <c r="A113" s="91" t="s">
        <v>336</v>
      </c>
      <c r="B113" s="92"/>
      <c r="C113" s="92"/>
      <c r="D113" s="92"/>
      <c r="E113" s="92"/>
      <c r="F113" s="92"/>
      <c r="G113" s="92"/>
      <c r="H113" s="93"/>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row>
    <row r="114" spans="1:150 16226:16383" s="3" customFormat="1" ht="20.25" x14ac:dyDescent="0.25">
      <c r="A114" s="91" t="s">
        <v>353</v>
      </c>
      <c r="B114" s="92"/>
      <c r="C114" s="92"/>
      <c r="D114" s="92"/>
      <c r="E114" s="92"/>
      <c r="F114" s="92"/>
      <c r="G114" s="92"/>
      <c r="H114" s="93"/>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row>
    <row r="115" spans="1:150 16226:16383" s="3" customFormat="1" ht="20.25" x14ac:dyDescent="0.25">
      <c r="A115" s="91" t="s">
        <v>378</v>
      </c>
      <c r="B115" s="92"/>
      <c r="C115" s="92"/>
      <c r="D115" s="92"/>
      <c r="E115" s="92"/>
      <c r="F115" s="92"/>
      <c r="G115" s="92"/>
      <c r="H115" s="93"/>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row>
    <row r="116" spans="1:150 16226:16383" s="3" customFormat="1" ht="20.25" x14ac:dyDescent="0.25">
      <c r="A116" s="91" t="s">
        <v>377</v>
      </c>
      <c r="B116" s="92"/>
      <c r="C116" s="92"/>
      <c r="D116" s="92"/>
      <c r="E116" s="92"/>
      <c r="F116" s="92"/>
      <c r="G116" s="92"/>
      <c r="H116" s="93"/>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3" customFormat="1" ht="20.25" x14ac:dyDescent="0.25">
      <c r="A117" s="94">
        <v>1</v>
      </c>
      <c r="B117" s="94"/>
      <c r="C117" s="75" t="s">
        <v>339</v>
      </c>
      <c r="D117" s="75" t="s">
        <v>338</v>
      </c>
      <c r="E117" s="75">
        <f>(86.698)*(10.764)</f>
        <v>933.21727199999987</v>
      </c>
      <c r="F117" s="75">
        <v>0</v>
      </c>
      <c r="G117" s="75">
        <v>0</v>
      </c>
      <c r="H117" s="75">
        <f>E117+F117+(IF(G117&lt;101,G117,IF(G117&lt;201,G117/2,IF(G117&lt;=301,G117/3,G117/4))))</f>
        <v>933.21727199999987</v>
      </c>
      <c r="I117" s="1">
        <f>6.22*5.5+5.9*5.56+2.8*0.82+3.6*2.07+6.07*1.24</f>
        <v>84.288800000000009</v>
      </c>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3" customFormat="1" ht="20.25" x14ac:dyDescent="0.25">
      <c r="A118" s="88">
        <f>A117+1</f>
        <v>2</v>
      </c>
      <c r="B118" s="89"/>
      <c r="C118" s="75" t="s">
        <v>339</v>
      </c>
      <c r="D118" s="75" t="s">
        <v>338</v>
      </c>
      <c r="E118" s="75">
        <f>(78.897)*(10.764)</f>
        <v>849.24730799999998</v>
      </c>
      <c r="F118" s="75">
        <v>0</v>
      </c>
      <c r="G118" s="75">
        <v>0</v>
      </c>
      <c r="H118" s="75">
        <f t="shared" ref="H118" si="0">E118+F118+(IF(G118&lt;101,G118,IF(G118&lt;201,G118/2,IF(G118&lt;=301,G118/3,G118/4))))</f>
        <v>849.24730799999998</v>
      </c>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x14ac:dyDescent="0.25">
      <c r="A119" s="91" t="s">
        <v>337</v>
      </c>
      <c r="B119" s="92"/>
      <c r="C119" s="92"/>
      <c r="D119" s="92"/>
      <c r="E119" s="92"/>
      <c r="F119" s="92"/>
      <c r="G119" s="92"/>
      <c r="H119" s="93"/>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x14ac:dyDescent="0.25">
      <c r="A120" s="91" t="s">
        <v>396</v>
      </c>
      <c r="B120" s="92"/>
      <c r="C120" s="92"/>
      <c r="D120" s="92"/>
      <c r="E120" s="92"/>
      <c r="F120" s="92"/>
      <c r="G120" s="92"/>
      <c r="H120" s="93"/>
      <c r="I120" s="1">
        <f>1</f>
        <v>1</v>
      </c>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x14ac:dyDescent="0.25">
      <c r="A121" s="94">
        <v>3</v>
      </c>
      <c r="B121" s="94"/>
      <c r="C121" s="75" t="s">
        <v>339</v>
      </c>
      <c r="D121" s="75" t="s">
        <v>338</v>
      </c>
      <c r="E121" s="75">
        <f>(93.62)*(10.764)</f>
        <v>1007.72568</v>
      </c>
      <c r="F121" s="75">
        <v>0</v>
      </c>
      <c r="G121" s="75">
        <v>0</v>
      </c>
      <c r="H121" s="75">
        <f>E121+F121+(IF(G121&lt;101,G121,IF(G121&lt;201,G121/2,IF(G121&lt;=301,G121/3,G121/4))))</f>
        <v>1007.72568</v>
      </c>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x14ac:dyDescent="0.25">
      <c r="A122" s="91" t="s">
        <v>395</v>
      </c>
      <c r="B122" s="92"/>
      <c r="C122" s="92"/>
      <c r="D122" s="92"/>
      <c r="E122" s="92"/>
      <c r="F122" s="92"/>
      <c r="G122" s="92"/>
      <c r="H122" s="93"/>
      <c r="I122" s="1">
        <f>1</f>
        <v>1</v>
      </c>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25" customHeight="1" x14ac:dyDescent="0.25">
      <c r="A123" s="88" t="s">
        <v>96</v>
      </c>
      <c r="B123" s="89"/>
      <c r="C123" s="75" t="s">
        <v>339</v>
      </c>
      <c r="D123" s="124" t="s">
        <v>343</v>
      </c>
      <c r="E123" s="125"/>
      <c r="F123" s="125"/>
      <c r="G123" s="125"/>
      <c r="H123" s="126"/>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customHeight="1" x14ac:dyDescent="0.25">
      <c r="A124" s="88" t="s">
        <v>96</v>
      </c>
      <c r="B124" s="89"/>
      <c r="C124" s="75" t="s">
        <v>339</v>
      </c>
      <c r="D124" s="124" t="s">
        <v>344</v>
      </c>
      <c r="E124" s="125"/>
      <c r="F124" s="125"/>
      <c r="G124" s="125"/>
      <c r="H124" s="126"/>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x14ac:dyDescent="0.25">
      <c r="A125" s="88" t="s">
        <v>96</v>
      </c>
      <c r="B125" s="89"/>
      <c r="C125" s="75" t="s">
        <v>339</v>
      </c>
      <c r="D125" s="124" t="s">
        <v>345</v>
      </c>
      <c r="E125" s="125"/>
      <c r="F125" s="125"/>
      <c r="G125" s="125"/>
      <c r="H125" s="126"/>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customHeight="1" x14ac:dyDescent="0.25">
      <c r="A126" s="88">
        <v>4</v>
      </c>
      <c r="B126" s="89"/>
      <c r="C126" s="75" t="s">
        <v>339</v>
      </c>
      <c r="D126" s="52" t="s">
        <v>340</v>
      </c>
      <c r="E126" s="86">
        <f>(65.172)*(10.764)</f>
        <v>701.51140799999996</v>
      </c>
      <c r="F126" s="86">
        <f>(3.2*1.23+0.6*(2.7+2.43+2.7))*(10.764)</f>
        <v>92.936375999999996</v>
      </c>
      <c r="G126" s="75">
        <v>0</v>
      </c>
      <c r="H126" s="6">
        <f t="shared" ref="H126:H129" si="1">E126+F126+(IF(G126&lt;101,G126,IF(G126&lt;201,G126/2,IF(G126&lt;=301,G126/3,G126/4))))</f>
        <v>794.44778399999996</v>
      </c>
      <c r="I126" s="1">
        <f>3.2*5.77+2.28*2.82+3.05*4.24+3.05*3.82+1.38*2.5+2.45*1.38+0.6*1.48+0.05*1.18+0.1*1+2.48*1+2.4*0.05+1.55*1.08+2.75*0.15</f>
        <v>62.041099999999993</v>
      </c>
      <c r="J126" s="1">
        <f>3.2*1.23+0.6*(2.7+2.43+2.7)</f>
        <v>8.6340000000000003</v>
      </c>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customHeight="1" x14ac:dyDescent="0.25">
      <c r="A127" s="88">
        <f t="shared" ref="A127:A129" si="2">A126+1</f>
        <v>5</v>
      </c>
      <c r="B127" s="89"/>
      <c r="C127" s="75" t="s">
        <v>339</v>
      </c>
      <c r="D127" s="52" t="s">
        <v>340</v>
      </c>
      <c r="E127" s="86">
        <f>(65.214)*(10.764)</f>
        <v>701.96349599999996</v>
      </c>
      <c r="F127" s="86">
        <f>(3.2*1.23+0.6*(2.95+2.23+3.3))*(10.764)</f>
        <v>97.134336000000005</v>
      </c>
      <c r="G127" s="75">
        <v>0</v>
      </c>
      <c r="H127" s="6">
        <f t="shared" si="1"/>
        <v>799.09783199999993</v>
      </c>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customHeight="1" x14ac:dyDescent="0.25">
      <c r="A128" s="88">
        <f t="shared" si="2"/>
        <v>6</v>
      </c>
      <c r="B128" s="89"/>
      <c r="C128" s="75" t="s">
        <v>339</v>
      </c>
      <c r="D128" s="52" t="s">
        <v>340</v>
      </c>
      <c r="E128" s="86">
        <f>(64.735)*(10.764)</f>
        <v>696.8075399999999</v>
      </c>
      <c r="F128" s="86">
        <f>(3.2*1.23+0.6*(2.7+2.43+2.7))*(10.764)</f>
        <v>92.936375999999996</v>
      </c>
      <c r="G128" s="75">
        <v>0</v>
      </c>
      <c r="H128" s="6">
        <f t="shared" si="1"/>
        <v>789.7439159999999</v>
      </c>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customHeight="1" x14ac:dyDescent="0.25">
      <c r="A129" s="88">
        <f t="shared" si="2"/>
        <v>7</v>
      </c>
      <c r="B129" s="89"/>
      <c r="C129" s="75" t="s">
        <v>339</v>
      </c>
      <c r="D129" s="52" t="s">
        <v>341</v>
      </c>
      <c r="E129" s="86">
        <f>(83.515)*(10.764)</f>
        <v>898.9554599999999</v>
      </c>
      <c r="F129" s="86">
        <f>(3.2*1.33+2.4*1+0.6*5.43+0.6*3)*(10.764)</f>
        <v>126.08949599999998</v>
      </c>
      <c r="G129" s="75">
        <v>0</v>
      </c>
      <c r="H129" s="6">
        <f t="shared" si="1"/>
        <v>1025.044956</v>
      </c>
      <c r="I129" s="1">
        <f>3.2*5.95+2.28*2.23+1.63*1.07+3.05*3.35+3.05*3.9+2.4*0.05+3.05*3.59+2.85*0.05+1.38*2.45+2.45*1.38+1.53*2.2+1.12*1.38+2.1*0.6+1.8*1+3.93*1+0.6*2.43+0.05*1.22+3.1*0.05</f>
        <v>79.530599999999993</v>
      </c>
      <c r="J129" s="1">
        <f>3.2*1.33+2.4*1+0.6*5.43+0.6*3</f>
        <v>11.713999999999999</v>
      </c>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x14ac:dyDescent="0.25">
      <c r="A130" s="91" t="s">
        <v>379</v>
      </c>
      <c r="B130" s="92"/>
      <c r="C130" s="92"/>
      <c r="D130" s="92"/>
      <c r="E130" s="92"/>
      <c r="F130" s="92"/>
      <c r="G130" s="92"/>
      <c r="H130" s="93"/>
      <c r="I130" s="1">
        <f>1</f>
        <v>1</v>
      </c>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customHeight="1" x14ac:dyDescent="0.25">
      <c r="A131" s="88">
        <v>1</v>
      </c>
      <c r="B131" s="89"/>
      <c r="C131" s="75" t="s">
        <v>339</v>
      </c>
      <c r="D131" s="124" t="s">
        <v>380</v>
      </c>
      <c r="E131" s="125"/>
      <c r="F131" s="125"/>
      <c r="G131" s="125"/>
      <c r="H131" s="126"/>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customHeight="1" x14ac:dyDescent="0.25">
      <c r="A132" s="88">
        <v>2</v>
      </c>
      <c r="B132" s="89"/>
      <c r="C132" s="75" t="s">
        <v>339</v>
      </c>
      <c r="D132" s="124" t="s">
        <v>344</v>
      </c>
      <c r="E132" s="125"/>
      <c r="F132" s="125"/>
      <c r="G132" s="125"/>
      <c r="H132" s="126"/>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x14ac:dyDescent="0.25">
      <c r="A133" s="88">
        <v>3</v>
      </c>
      <c r="B133" s="89"/>
      <c r="C133" s="75" t="s">
        <v>339</v>
      </c>
      <c r="D133" s="124" t="s">
        <v>345</v>
      </c>
      <c r="E133" s="125"/>
      <c r="F133" s="125"/>
      <c r="G133" s="125"/>
      <c r="H133" s="126"/>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customHeight="1" x14ac:dyDescent="0.25">
      <c r="A134" s="88">
        <v>4</v>
      </c>
      <c r="B134" s="89"/>
      <c r="C134" s="75" t="s">
        <v>339</v>
      </c>
      <c r="D134" s="52" t="s">
        <v>340</v>
      </c>
      <c r="E134" s="86">
        <f>(64.82)*(10.764)</f>
        <v>697.7224799999999</v>
      </c>
      <c r="F134" s="86">
        <f>(3.2*1.23+0.6*(2.7+2.43+2.7))*(10.764)</f>
        <v>92.936375999999996</v>
      </c>
      <c r="G134" s="75">
        <v>0</v>
      </c>
      <c r="H134" s="75">
        <f t="shared" ref="H134:H137" si="3">E134+F134+(IF(G134&lt;101,G134,IF(G134&lt;201,G134/2,IF(G134&lt;=301,G134/3,G134/4))))</f>
        <v>790.6588559999999</v>
      </c>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customHeight="1" x14ac:dyDescent="0.25">
      <c r="A135" s="88">
        <f t="shared" ref="A135:A137" si="4">A134+1</f>
        <v>5</v>
      </c>
      <c r="B135" s="89"/>
      <c r="C135" s="75" t="s">
        <v>339</v>
      </c>
      <c r="D135" s="52" t="s">
        <v>340</v>
      </c>
      <c r="E135" s="86">
        <f>(64.89)*(10.764)</f>
        <v>698.47595999999999</v>
      </c>
      <c r="F135" s="86">
        <f>(3.2*1.23+0.6*(2.95+2.23+3.3))*(10.764)</f>
        <v>97.134336000000005</v>
      </c>
      <c r="G135" s="75">
        <v>0</v>
      </c>
      <c r="H135" s="75">
        <f t="shared" si="3"/>
        <v>795.61029599999995</v>
      </c>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customHeight="1" x14ac:dyDescent="0.25">
      <c r="A136" s="88">
        <f t="shared" si="4"/>
        <v>6</v>
      </c>
      <c r="B136" s="89"/>
      <c r="C136" s="75" t="s">
        <v>339</v>
      </c>
      <c r="D136" s="52" t="s">
        <v>340</v>
      </c>
      <c r="E136" s="86">
        <f>(64.708)*(10.764)</f>
        <v>696.51691199999993</v>
      </c>
      <c r="F136" s="86">
        <f>(3.2*1.23+0.6*(2.7+2.43+2.7))*(10.764)</f>
        <v>92.936375999999996</v>
      </c>
      <c r="G136" s="75">
        <v>0</v>
      </c>
      <c r="H136" s="75">
        <f t="shared" si="3"/>
        <v>789.45328799999993</v>
      </c>
      <c r="I136" s="1"/>
      <c r="J136" s="1"/>
      <c r="K136" s="1">
        <f>12300000/H136</f>
        <v>15580.402522815259</v>
      </c>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customHeight="1" x14ac:dyDescent="0.25">
      <c r="A137" s="88">
        <f t="shared" si="4"/>
        <v>7</v>
      </c>
      <c r="B137" s="89"/>
      <c r="C137" s="75" t="s">
        <v>339</v>
      </c>
      <c r="D137" s="52" t="s">
        <v>341</v>
      </c>
      <c r="E137" s="86">
        <f>(69.309)*(10.764)</f>
        <v>746.04207599999995</v>
      </c>
      <c r="F137" s="86">
        <f>(3.2*1.33+2.4*1+0.6*5.43+0.6*3)*(10.764)</f>
        <v>126.08949599999998</v>
      </c>
      <c r="G137" s="75">
        <v>0</v>
      </c>
      <c r="H137" s="75">
        <f t="shared" si="3"/>
        <v>872.13157199999989</v>
      </c>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x14ac:dyDescent="0.25">
      <c r="A138" s="95" t="s">
        <v>381</v>
      </c>
      <c r="B138" s="96"/>
      <c r="C138" s="96"/>
      <c r="D138" s="96"/>
      <c r="E138" s="96"/>
      <c r="F138" s="96"/>
      <c r="G138" s="96"/>
      <c r="H138" s="97"/>
      <c r="I138" s="1">
        <f>1</f>
        <v>1</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x14ac:dyDescent="0.25">
      <c r="A139" s="112" t="s">
        <v>346</v>
      </c>
      <c r="B139" s="113"/>
      <c r="C139" s="113"/>
      <c r="D139" s="113"/>
      <c r="E139" s="113"/>
      <c r="F139" s="113"/>
      <c r="G139" s="113"/>
      <c r="H139" s="114"/>
      <c r="I139" s="1">
        <f>1</f>
        <v>1</v>
      </c>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25">
      <c r="A140" s="88">
        <v>1</v>
      </c>
      <c r="B140" s="89"/>
      <c r="C140" s="75" t="s">
        <v>339</v>
      </c>
      <c r="D140" s="124" t="s">
        <v>382</v>
      </c>
      <c r="E140" s="125"/>
      <c r="F140" s="125"/>
      <c r="G140" s="125"/>
      <c r="H140" s="126"/>
      <c r="I140" s="1"/>
      <c r="J140" s="1"/>
      <c r="K140" s="1"/>
      <c r="L140" s="1"/>
      <c r="M140" s="1"/>
      <c r="N140" s="1"/>
      <c r="O140" s="1"/>
      <c r="P140" s="1"/>
      <c r="Q140" s="1"/>
      <c r="R140" s="1"/>
      <c r="S140" s="1"/>
      <c r="T140" s="23" t="e">
        <f t="shared" ref="T140:T146" ca="1" si="5">U140&amp;""&amp;",..,"&amp;""&amp;V140</f>
        <v>#REF!</v>
      </c>
      <c r="U140" s="23" t="e">
        <f ca="1">(SUMPRODUCT(MID(0&amp;(LEFT(#REF!,SUM(LEN(#REF!)-LEN(SUBSTITUTE(#REF!,{"0","1","2","3"},""))))), LARGE(INDEX(ISNUMBER(--MID((LEFT(#REF!,SUM(LEN(#REF!)-LEN(SUBSTITUTE(#REF!,{"0","1","2","3"},""))))), ROW(INDIRECT("1:"&amp;LEN((LEFT(#REF!,SUM(LEN(#REF!)-LEN(SUBSTITUTE(#REF!,{"0","1","2","3"},"")))))))), 1)) * ROW(INDIRECT("1:"&amp;LEN((LEFT(#REF!,SUM(LEN(#REF!)-LEN(SUBSTITUTE(#REF!,{"0","1","2","3"},"")))))))), 0), ROW(INDIRECT("1:"&amp;LEN((LEFT(#REF!,SUM(LEN(#REF!)-LEN(SUBSTITUTE(#REF!,{"0","1","2","3"},"")))))))))+1, 1) * 10^ROW(INDIRECT("1:"&amp;LEN((LEFT(#REF!,SUM(LEN(#REF!)-LEN(SUBSTITUTE(#REF!,{"0","1","2","3"},""))))))))/10))*100+1</f>
        <v>#REF!</v>
      </c>
      <c r="V140" s="23" t="e">
        <f ca="1">(SUMPRODUCT(MID(0&amp;(--TRIM(RIGHT(SUBSTITUTE(LEFT(#REF!,_xlfn.AGGREGATE(16,6,FIND({0,1,2,3,4,5,6,7,8,9},#REF!,ROW(INDIRECT("1:"&amp;LEN(#REF!)))),1))," ",REPT(" ",LEN(#REF!))),LEN(#REF!)))), LARGE(INDEX(ISNUMBER(--MID((--TRIM(RIGHT(SUBSTITUTE(LEFT(#REF!,_xlfn.AGGREGATE(16,6,FIND({0,1,2,3,4,5,6,7,8,9},#REF!,ROW(INDIRECT("1:"&amp;LEN(#REF!)))),1))," ",REPT(" ",LEN(#REF!))),LEN(#REF!)))), ROW(INDIRECT("1:"&amp;LEN((--TRIM(RIGHT(SUBSTITUTE(LEFT(#REF!,_xlfn.AGGREGATE(16,6,FIND({0,1,2,3,4,5,6,7,8,9},#REF!,ROW(INDIRECT("1:"&amp;LEN(#REF!)))),1))," ",REPT(" ",LEN(#REF!))),LEN(#REF!))))))), 1)) * ROW(INDIRECT("1:"&amp;LEN((--TRIM(RIGHT(SUBSTITUTE(LEFT(#REF!,_xlfn.AGGREGATE(16,6,FIND({0,1,2,3,4,5,6,7,8,9},#REF!,ROW(INDIRECT("1:"&amp;LEN(#REF!)))),1))," ",REPT(" ",LEN(#REF!))),LEN(#REF!))))))), 0), ROW(INDIRECT("1:"&amp;LEN((--TRIM(RIGHT(SUBSTITUTE(LEFT(#REF!,_xlfn.AGGREGATE(16,6,FIND({0,1,2,3,4,5,6,7,8,9},#REF!,ROW(INDIRECT("1:"&amp;LEN(#REF!)))),1))," ",REPT(" ",LEN(#REF!))),LEN(#REF!))))))))+1, 1) * 10^ROW(INDIRECT("1:"&amp;LEN((--TRIM(RIGHT(SUBSTITUTE(LEFT(#REF!,_xlfn.AGGREGATE(16,6,FIND({0,1,2,3,4,5,6,7,8,9},#REF!,ROW(INDIRECT("1:"&amp;LEN(#REF!)))),1))," ",REPT(" ",LEN(#REF!))),LEN(#REF!)))))))/10))*100+1</f>
        <v>#REF!</v>
      </c>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25">
      <c r="A141" s="88">
        <v>2</v>
      </c>
      <c r="B141" s="89"/>
      <c r="C141" s="75" t="s">
        <v>339</v>
      </c>
      <c r="D141" s="124" t="s">
        <v>344</v>
      </c>
      <c r="E141" s="125"/>
      <c r="F141" s="125"/>
      <c r="G141" s="125"/>
      <c r="H141" s="126"/>
      <c r="I141" s="1"/>
      <c r="J141" s="1"/>
      <c r="K141" s="1"/>
      <c r="L141" s="1"/>
      <c r="M141" s="1"/>
      <c r="N141" s="1"/>
      <c r="O141" s="1"/>
      <c r="P141" s="1"/>
      <c r="Q141" s="1"/>
      <c r="R141" s="1"/>
      <c r="S141" s="1"/>
      <c r="T141" s="23" t="e">
        <f t="shared" ca="1" si="5"/>
        <v>#REF!</v>
      </c>
      <c r="U141" s="23" t="e">
        <f ca="1">U140+1</f>
        <v>#REF!</v>
      </c>
      <c r="V141" s="23" t="e">
        <f ca="1">V140+1</f>
        <v>#REF!</v>
      </c>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25">
      <c r="A142" s="88">
        <v>3</v>
      </c>
      <c r="B142" s="89"/>
      <c r="C142" s="75" t="s">
        <v>339</v>
      </c>
      <c r="D142" s="124" t="s">
        <v>383</v>
      </c>
      <c r="E142" s="125"/>
      <c r="F142" s="125"/>
      <c r="G142" s="125"/>
      <c r="H142" s="126"/>
      <c r="I142" s="1"/>
      <c r="J142" s="1"/>
      <c r="K142" s="1"/>
      <c r="L142" s="1"/>
      <c r="M142" s="1"/>
      <c r="N142" s="1"/>
      <c r="O142" s="1"/>
      <c r="P142" s="1"/>
      <c r="Q142" s="1"/>
      <c r="R142" s="1"/>
      <c r="S142" s="1"/>
      <c r="T142" s="23" t="e">
        <f t="shared" ca="1" si="5"/>
        <v>#REF!</v>
      </c>
      <c r="U142" s="23" t="e">
        <f t="shared" ref="U142:U146" ca="1" si="6">U141+1</f>
        <v>#REF!</v>
      </c>
      <c r="V142" s="23" t="e">
        <f t="shared" ref="V142:V146" ca="1" si="7">V141+1</f>
        <v>#REF!</v>
      </c>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25">
      <c r="A143" s="88">
        <v>4</v>
      </c>
      <c r="B143" s="89"/>
      <c r="C143" s="75" t="s">
        <v>339</v>
      </c>
      <c r="D143" s="52" t="s">
        <v>340</v>
      </c>
      <c r="E143" s="86">
        <f>(65.248)*(10.764)</f>
        <v>702.32947200000001</v>
      </c>
      <c r="F143" s="86">
        <f>(3.2*1.23+0.6*(2.7+2.43+2.7))*(10.764)</f>
        <v>92.936375999999996</v>
      </c>
      <c r="G143" s="75">
        <v>0</v>
      </c>
      <c r="H143" s="75">
        <f t="shared" ref="H143:H146" si="8">E143+F143+(IF(G143&lt;101,G143,IF(G143&lt;201,G143/2,IF(G143&lt;=301,G143/3,G143/4))))</f>
        <v>795.26584800000001</v>
      </c>
      <c r="I143" s="1"/>
      <c r="J143" s="1"/>
      <c r="K143" s="1"/>
      <c r="L143" s="1"/>
      <c r="M143" s="1"/>
      <c r="N143" s="1"/>
      <c r="O143" s="1"/>
      <c r="P143" s="1"/>
      <c r="Q143" s="1"/>
      <c r="R143" s="1"/>
      <c r="S143" s="1"/>
      <c r="T143" s="23" t="e">
        <f t="shared" ca="1" si="5"/>
        <v>#REF!</v>
      </c>
      <c r="U143" s="23" t="e">
        <f t="shared" ca="1" si="6"/>
        <v>#REF!</v>
      </c>
      <c r="V143" s="23" t="e">
        <f t="shared" ca="1" si="7"/>
        <v>#REF!</v>
      </c>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customHeight="1" x14ac:dyDescent="0.25">
      <c r="A144" s="88">
        <f t="shared" ref="A144:A146" si="9">A143+1</f>
        <v>5</v>
      </c>
      <c r="B144" s="89"/>
      <c r="C144" s="75" t="s">
        <v>339</v>
      </c>
      <c r="D144" s="52" t="s">
        <v>340</v>
      </c>
      <c r="E144" s="86">
        <f>(64.89)*(10.764)</f>
        <v>698.47595999999999</v>
      </c>
      <c r="F144" s="86">
        <f>(3.2*1.23+0.6*(2.95+2.23+3.3))*(10.764)</f>
        <v>97.134336000000005</v>
      </c>
      <c r="G144" s="75">
        <v>0</v>
      </c>
      <c r="H144" s="75">
        <f t="shared" si="8"/>
        <v>795.61029599999995</v>
      </c>
      <c r="I144" s="1"/>
      <c r="J144" s="1"/>
      <c r="K144" s="1"/>
      <c r="L144" s="1"/>
      <c r="M144" s="1"/>
      <c r="N144" s="1"/>
      <c r="O144" s="1"/>
      <c r="P144" s="1"/>
      <c r="Q144" s="1"/>
      <c r="R144" s="1"/>
      <c r="S144" s="1"/>
      <c r="T144" s="23" t="e">
        <f t="shared" ca="1" si="5"/>
        <v>#REF!</v>
      </c>
      <c r="U144" s="23" t="e">
        <f t="shared" ca="1" si="6"/>
        <v>#REF!</v>
      </c>
      <c r="V144" s="23" t="e">
        <f t="shared" ca="1" si="7"/>
        <v>#REF!</v>
      </c>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customHeight="1" x14ac:dyDescent="0.25">
      <c r="A145" s="88">
        <f t="shared" si="9"/>
        <v>6</v>
      </c>
      <c r="B145" s="89"/>
      <c r="C145" s="75" t="s">
        <v>339</v>
      </c>
      <c r="D145" s="52" t="s">
        <v>340</v>
      </c>
      <c r="E145" s="86">
        <f>(64.708)*(10.764)</f>
        <v>696.51691199999993</v>
      </c>
      <c r="F145" s="86">
        <f>(3.2*1.23+0.6*(2.7+2.43+2.7))*(10.764)</f>
        <v>92.936375999999996</v>
      </c>
      <c r="G145" s="75">
        <v>0</v>
      </c>
      <c r="H145" s="75">
        <f t="shared" si="8"/>
        <v>789.45328799999993</v>
      </c>
      <c r="I145" s="1"/>
      <c r="J145" s="1"/>
      <c r="K145" s="1"/>
      <c r="L145" s="1"/>
      <c r="M145" s="1"/>
      <c r="N145" s="1"/>
      <c r="O145" s="1"/>
      <c r="P145" s="1"/>
      <c r="Q145" s="1"/>
      <c r="R145" s="1"/>
      <c r="S145" s="1"/>
      <c r="T145" s="23" t="e">
        <f t="shared" ca="1" si="5"/>
        <v>#REF!</v>
      </c>
      <c r="U145" s="23" t="e">
        <f t="shared" ca="1" si="6"/>
        <v>#REF!</v>
      </c>
      <c r="V145" s="23" t="e">
        <f t="shared" ca="1" si="7"/>
        <v>#REF!</v>
      </c>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customHeight="1" x14ac:dyDescent="0.25">
      <c r="A146" s="88">
        <f t="shared" si="9"/>
        <v>7</v>
      </c>
      <c r="B146" s="89"/>
      <c r="C146" s="75" t="s">
        <v>339</v>
      </c>
      <c r="D146" s="52" t="s">
        <v>341</v>
      </c>
      <c r="E146" s="86">
        <f>(69.428)*(10.764)</f>
        <v>747.32299199999989</v>
      </c>
      <c r="F146" s="86">
        <f>(3.2*1.33+2.4*1+0.6*5.43+0.6*3)*(10.764)</f>
        <v>126.08949599999998</v>
      </c>
      <c r="G146" s="75">
        <v>0</v>
      </c>
      <c r="H146" s="75">
        <f t="shared" si="8"/>
        <v>873.41248799999983</v>
      </c>
      <c r="I146" s="1"/>
      <c r="J146" s="1"/>
      <c r="K146" s="1"/>
      <c r="L146" s="1"/>
      <c r="M146" s="1"/>
      <c r="N146" s="1"/>
      <c r="O146" s="1"/>
      <c r="P146" s="1"/>
      <c r="Q146" s="1"/>
      <c r="R146" s="1"/>
      <c r="S146" s="1"/>
      <c r="T146" s="23" t="e">
        <f t="shared" ca="1" si="5"/>
        <v>#REF!</v>
      </c>
      <c r="U146" s="23" t="e">
        <f t="shared" ca="1" si="6"/>
        <v>#REF!</v>
      </c>
      <c r="V146" s="23" t="e">
        <f t="shared" ca="1" si="7"/>
        <v>#REF!</v>
      </c>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x14ac:dyDescent="0.25">
      <c r="A147" s="112" t="s">
        <v>347</v>
      </c>
      <c r="B147" s="113"/>
      <c r="C147" s="113"/>
      <c r="D147" s="113"/>
      <c r="E147" s="113"/>
      <c r="F147" s="113"/>
      <c r="G147" s="113"/>
      <c r="H147" s="114"/>
      <c r="I147" s="4">
        <f>1</f>
        <v>1</v>
      </c>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42" customHeight="1" x14ac:dyDescent="0.25">
      <c r="A148" s="112" t="s">
        <v>384</v>
      </c>
      <c r="B148" s="113"/>
      <c r="C148" s="113"/>
      <c r="D148" s="113"/>
      <c r="E148" s="113"/>
      <c r="F148" s="113"/>
      <c r="G148" s="113"/>
      <c r="H148" s="114"/>
      <c r="I148" s="4">
        <f>1+4+4+2+1+4+4+4+3+4+2</f>
        <v>33</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customHeight="1" x14ac:dyDescent="0.25">
      <c r="A149" s="94">
        <v>1</v>
      </c>
      <c r="B149" s="94"/>
      <c r="C149" s="75" t="s">
        <v>339</v>
      </c>
      <c r="D149" s="75" t="s">
        <v>341</v>
      </c>
      <c r="E149" s="86">
        <f>(97.6)*(10.764)</f>
        <v>1050.5663999999999</v>
      </c>
      <c r="F149" s="86">
        <f>(3.2*1.53+0.6*(2.85+2.95+2.37+1.46))*(10.764)</f>
        <v>114.89493600000003</v>
      </c>
      <c r="G149" s="6">
        <v>0</v>
      </c>
      <c r="H149" s="6">
        <f>E149+F149+(IF(G149&lt;101,G149,IF(G149&lt;201,G149/2,IF(G149&lt;=301,G149/3,G149/4))))</f>
        <v>1165.4613359999998</v>
      </c>
      <c r="I149" s="1">
        <f>3.2*6.74+2.35*3.05+1.7*0.55+0.2*0.99+1.1*2.5+3.05*3.6+2.295*0.05+3.05*3.93+2.85*0.05+1.35*1+1.8*0.6+3.32*3.49+1.46*0.05+1.61*0.65+1.38*2.45+1.38*2.45+2.45*1.53+1.51*3.8+1.74*1.53</f>
        <v>89.88924999999999</v>
      </c>
      <c r="J149" s="1">
        <f>3.2*1.53+0.6*(2.85+2.95+2.37+1.46)</f>
        <v>10.674000000000003</v>
      </c>
      <c r="K149" s="1"/>
      <c r="L149" s="1"/>
      <c r="M149" s="1"/>
      <c r="N149" s="1"/>
      <c r="O149" s="1"/>
      <c r="P149" s="1"/>
      <c r="Q149" s="1"/>
      <c r="R149" s="1"/>
      <c r="S149" s="1"/>
      <c r="T149" s="23" t="str">
        <f ca="1">U149&amp;""&amp;" to "&amp;""&amp;V149</f>
        <v>136801 to 4401</v>
      </c>
      <c r="U149" s="23">
        <f ca="1">(SUMPRODUCT(MID(0&amp;(LEFT(A148,SUM(LEN(A148)-LEN(SUBSTITUTE(A148,{"0","1","2","3"},""))))), LARGE(INDEX(ISNUMBER(--MID((LEFT(A148,SUM(LEN(A148)-LEN(SUBSTITUTE(A148,{"0","1","2","3"},""))))), ROW(INDIRECT("1:"&amp;LEN((LEFT(A148,SUM(LEN(A148)-LEN(SUBSTITUTE(A148,{"0","1","2","3"},"")))))))), 1)) * ROW(INDIRECT("1:"&amp;LEN((LEFT(A148,SUM(LEN(A148)-LEN(SUBSTITUTE(A148,{"0","1","2","3"},"")))))))), 0), ROW(INDIRECT("1:"&amp;LEN((LEFT(A148,SUM(LEN(A148)-LEN(SUBSTITUTE(A148,{"0","1","2","3"},"")))))))))+1, 1) * 10^ROW(INDIRECT("1:"&amp;LEN((LEFT(A148,SUM(LEN(A148)-LEN(SUBSTITUTE(A148,{"0","1","2","3"},""))))))))/10))*100+1</f>
        <v>136801</v>
      </c>
      <c r="V149" s="23">
        <f ca="1">(SUMPRODUCT(MID(0&amp;(--TRIM(RIGHT(SUBSTITUTE(LEFT(A148,_xlfn.AGGREGATE(16,6,FIND({0,1,2,3,4,5,6,7,8,9},A148,ROW(INDIRECT("1:"&amp;LEN(A148)))),1))," ",REPT(" ",LEN(A148))),LEN(A148)))), LARGE(INDEX(ISNUMBER(--MID((--TRIM(RIGHT(SUBSTITUTE(LEFT(A148,_xlfn.AGGREGATE(16,6,FIND({0,1,2,3,4,5,6,7,8,9},A148,ROW(INDIRECT("1:"&amp;LEN(A148)))),1))," ",REPT(" ",LEN(A148))),LEN(A148)))), ROW(INDIRECT("1:"&amp;LEN((--TRIM(RIGHT(SUBSTITUTE(LEFT(A148,_xlfn.AGGREGATE(16,6,FIND({0,1,2,3,4,5,6,7,8,9},A148,ROW(INDIRECT("1:"&amp;LEN(A148)))),1))," ",REPT(" ",LEN(A148))),LEN(A148))))))), 1)) * ROW(INDIRECT("1:"&amp;LEN((--TRIM(RIGHT(SUBSTITUTE(LEFT(A148,_xlfn.AGGREGATE(16,6,FIND({0,1,2,3,4,5,6,7,8,9},A148,ROW(INDIRECT("1:"&amp;LEN(A148)))),1))," ",REPT(" ",LEN(A148))),LEN(A148))))))), 0), ROW(INDIRECT("1:"&amp;LEN((--TRIM(RIGHT(SUBSTITUTE(LEFT(A148,_xlfn.AGGREGATE(16,6,FIND({0,1,2,3,4,5,6,7,8,9},A148,ROW(INDIRECT("1:"&amp;LEN(A148)))),1))," ",REPT(" ",LEN(A148))),LEN(A148))))))))+1, 1) * 10^ROW(INDIRECT("1:"&amp;LEN((--TRIM(RIGHT(SUBSTITUTE(LEFT(A148,_xlfn.AGGREGATE(16,6,FIND({0,1,2,3,4,5,6,7,8,9},A148,ROW(INDIRECT("1:"&amp;LEN(A148)))),1))," ",REPT(" ",LEN(A148))),LEN(A148)))))))/10))*100+1</f>
        <v>4401</v>
      </c>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customHeight="1" x14ac:dyDescent="0.25">
      <c r="A150" s="94">
        <v>2</v>
      </c>
      <c r="B150" s="94"/>
      <c r="C150" s="75" t="s">
        <v>339</v>
      </c>
      <c r="D150" s="75" t="s">
        <v>341</v>
      </c>
      <c r="E150" s="86">
        <f>(96.254)*(10.764)</f>
        <v>1036.0780560000001</v>
      </c>
      <c r="F150" s="86">
        <f>(3.2*1.53+0.6*(2.85+2.95+2.37+1.46))*(10.764)</f>
        <v>114.89493600000003</v>
      </c>
      <c r="G150" s="75">
        <v>0</v>
      </c>
      <c r="H150" s="6">
        <f t="shared" ref="H150:H155" si="10">E150+F150+(IF(G150&lt;101,G150,IF(G150&lt;201,G150/2,IF(G150&lt;=301,G150/3,G150/4))))</f>
        <v>1150.972992</v>
      </c>
      <c r="I150" s="1"/>
      <c r="J150" s="1"/>
      <c r="K150" s="1"/>
      <c r="L150" s="1"/>
      <c r="M150" s="1"/>
      <c r="N150" s="1"/>
      <c r="O150" s="1"/>
      <c r="P150" s="1"/>
      <c r="Q150" s="1"/>
      <c r="R150" s="1"/>
      <c r="S150" s="1"/>
      <c r="T150" s="23" t="str">
        <f t="shared" ref="T150:T155" ca="1" si="11">U150&amp;""&amp;" to "&amp;""&amp;V150</f>
        <v>136802 to 4402</v>
      </c>
      <c r="U150" s="23">
        <f ca="1">U149+1</f>
        <v>136802</v>
      </c>
      <c r="V150" s="23">
        <f ca="1">V149+1</f>
        <v>4402</v>
      </c>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25">
      <c r="A151" s="94">
        <v>3</v>
      </c>
      <c r="B151" s="94"/>
      <c r="C151" s="75" t="s">
        <v>339</v>
      </c>
      <c r="D151" s="75" t="s">
        <v>341</v>
      </c>
      <c r="E151" s="86">
        <f>(84.693)*(10.764)</f>
        <v>911.63545199999987</v>
      </c>
      <c r="F151" s="86">
        <f>(3.2*1.33+2.4*1+0.6*5.43+0.6*3)*(10.764)</f>
        <v>126.08949599999998</v>
      </c>
      <c r="G151" s="75">
        <v>0</v>
      </c>
      <c r="H151" s="6">
        <f t="shared" si="10"/>
        <v>1037.7249479999998</v>
      </c>
      <c r="I151" s="1"/>
      <c r="J151" s="1"/>
      <c r="K151" s="1"/>
      <c r="L151" s="1"/>
      <c r="M151" s="1"/>
      <c r="N151" s="1"/>
      <c r="O151" s="1"/>
      <c r="P151" s="1"/>
      <c r="Q151" s="1"/>
      <c r="R151" s="1"/>
      <c r="S151" s="1"/>
      <c r="T151" s="23" t="str">
        <f t="shared" ca="1" si="11"/>
        <v>136803 to 4403</v>
      </c>
      <c r="U151" s="23">
        <f t="shared" ref="U151:U155" ca="1" si="12">U150+1</f>
        <v>136803</v>
      </c>
      <c r="V151" s="23">
        <f t="shared" ref="V151:V155" ca="1" si="13">V150+1</f>
        <v>4403</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25">
      <c r="A152" s="94">
        <v>4</v>
      </c>
      <c r="B152" s="94"/>
      <c r="C152" s="75" t="s">
        <v>339</v>
      </c>
      <c r="D152" s="75" t="s">
        <v>340</v>
      </c>
      <c r="E152" s="86">
        <f>(65.247)*(10.764)</f>
        <v>702.3187079999999</v>
      </c>
      <c r="F152" s="86">
        <f>(3.2*1.23+0.6*(2.7+2.43+2.7))*(10.764)</f>
        <v>92.936375999999996</v>
      </c>
      <c r="G152" s="75">
        <v>0</v>
      </c>
      <c r="H152" s="6">
        <f t="shared" si="10"/>
        <v>795.2550839999999</v>
      </c>
      <c r="I152" s="1"/>
      <c r="J152" s="1"/>
      <c r="K152" s="1"/>
      <c r="L152" s="1"/>
      <c r="M152" s="1"/>
      <c r="N152" s="1"/>
      <c r="O152" s="1"/>
      <c r="P152" s="1"/>
      <c r="Q152" s="1"/>
      <c r="R152" s="1"/>
      <c r="S152" s="1"/>
      <c r="T152" s="23" t="str">
        <f t="shared" ca="1" si="11"/>
        <v>136804 to 4404</v>
      </c>
      <c r="U152" s="23">
        <f t="shared" ca="1" si="12"/>
        <v>136804</v>
      </c>
      <c r="V152" s="23">
        <f t="shared" ca="1" si="13"/>
        <v>4404</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25">
      <c r="A153" s="94">
        <v>5</v>
      </c>
      <c r="B153" s="94"/>
      <c r="C153" s="75" t="s">
        <v>339</v>
      </c>
      <c r="D153" s="75" t="s">
        <v>340</v>
      </c>
      <c r="E153" s="86">
        <f>(65.211)*(10.764)</f>
        <v>701.93120399999998</v>
      </c>
      <c r="F153" s="86">
        <f>(3.2*1.23+0.6*(2.95+2.23+3.3))*(10.764)</f>
        <v>97.134336000000005</v>
      </c>
      <c r="G153" s="75">
        <v>0</v>
      </c>
      <c r="H153" s="6">
        <f t="shared" si="10"/>
        <v>799.06553999999994</v>
      </c>
      <c r="I153" s="1"/>
      <c r="J153" s="1"/>
      <c r="K153" s="1"/>
      <c r="L153" s="1"/>
      <c r="M153" s="1"/>
      <c r="N153" s="1"/>
      <c r="O153" s="1"/>
      <c r="P153" s="1"/>
      <c r="Q153" s="1"/>
      <c r="R153" s="1"/>
      <c r="S153" s="1"/>
      <c r="T153" s="23" t="str">
        <f t="shared" ca="1" si="11"/>
        <v>136805 to 4405</v>
      </c>
      <c r="U153" s="23">
        <f t="shared" ca="1" si="12"/>
        <v>136805</v>
      </c>
      <c r="V153" s="23">
        <f t="shared" ca="1" si="13"/>
        <v>4405</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25">
      <c r="A154" s="94">
        <v>6</v>
      </c>
      <c r="B154" s="94"/>
      <c r="C154" s="75" t="s">
        <v>339</v>
      </c>
      <c r="D154" s="75" t="s">
        <v>340</v>
      </c>
      <c r="E154" s="86">
        <f>(65.252)*(10.764)</f>
        <v>702.37252799999987</v>
      </c>
      <c r="F154" s="86">
        <f>(3.2*1.23+0.6*(2.7+2.43+2.7))*(10.764)</f>
        <v>92.936375999999996</v>
      </c>
      <c r="G154" s="75">
        <v>0</v>
      </c>
      <c r="H154" s="6">
        <f t="shared" si="10"/>
        <v>795.30890399999987</v>
      </c>
      <c r="I154" s="1"/>
      <c r="J154" s="1"/>
      <c r="K154" s="1"/>
      <c r="L154" s="1"/>
      <c r="M154" s="1"/>
      <c r="N154" s="1"/>
      <c r="O154" s="1"/>
      <c r="P154" s="1"/>
      <c r="Q154" s="1"/>
      <c r="R154" s="1"/>
      <c r="S154" s="1"/>
      <c r="T154" s="23" t="str">
        <f t="shared" ca="1" si="11"/>
        <v>136806 to 4406</v>
      </c>
      <c r="U154" s="23">
        <f t="shared" ca="1" si="12"/>
        <v>136806</v>
      </c>
      <c r="V154" s="23">
        <f t="shared" ca="1" si="13"/>
        <v>4406</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25">
      <c r="A155" s="94">
        <v>7</v>
      </c>
      <c r="B155" s="94"/>
      <c r="C155" s="75" t="s">
        <v>339</v>
      </c>
      <c r="D155" s="75" t="s">
        <v>341</v>
      </c>
      <c r="E155" s="86">
        <f>(84.023)*(10.764)</f>
        <v>904.42357199999992</v>
      </c>
      <c r="F155" s="86">
        <f>(3.2*1.33+2.4*1+0.6*5.43+0.6*3)*(10.764)</f>
        <v>126.08949599999998</v>
      </c>
      <c r="G155" s="75">
        <v>0</v>
      </c>
      <c r="H155" s="6">
        <f t="shared" si="10"/>
        <v>1030.513068</v>
      </c>
      <c r="I155" s="1"/>
      <c r="J155" s="1"/>
      <c r="K155" s="1">
        <f>16800000/H155</f>
        <v>16302.558911363558</v>
      </c>
      <c r="L155" s="1"/>
      <c r="M155" s="1"/>
      <c r="N155" s="1"/>
      <c r="O155" s="1"/>
      <c r="P155" s="1"/>
      <c r="Q155" s="1"/>
      <c r="R155" s="1"/>
      <c r="S155" s="1"/>
      <c r="T155" s="23" t="str">
        <f t="shared" ca="1" si="11"/>
        <v>136807 to 4407</v>
      </c>
      <c r="U155" s="23">
        <f t="shared" ca="1" si="12"/>
        <v>136807</v>
      </c>
      <c r="V155" s="23">
        <f t="shared" ca="1" si="13"/>
        <v>4407</v>
      </c>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x14ac:dyDescent="0.25">
      <c r="A156" s="112" t="s">
        <v>348</v>
      </c>
      <c r="B156" s="113"/>
      <c r="C156" s="113"/>
      <c r="D156" s="113"/>
      <c r="E156" s="113"/>
      <c r="F156" s="113"/>
      <c r="G156" s="113"/>
      <c r="H156" s="114"/>
      <c r="I156" s="4">
        <f>9</f>
        <v>9</v>
      </c>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25">
      <c r="A157" s="94">
        <v>1</v>
      </c>
      <c r="B157" s="94"/>
      <c r="C157" s="75" t="s">
        <v>339</v>
      </c>
      <c r="D157" s="86" t="s">
        <v>341</v>
      </c>
      <c r="E157" s="86">
        <f>(97.597)*(10.764)</f>
        <v>1050.5341079999998</v>
      </c>
      <c r="F157" s="86">
        <f>(3.2*1.53+0.6*(2.85+2.95+2.37+1.46))*(10.764)</f>
        <v>114.89493600000003</v>
      </c>
      <c r="G157" s="86">
        <v>0</v>
      </c>
      <c r="H157" s="86">
        <f>E157+F157+(IF(G157&lt;101,G157,IF(G157&lt;201,G157/2,IF(G157&lt;=301,G157/3,G157/4))))</f>
        <v>1165.429044</v>
      </c>
      <c r="I157" s="1"/>
      <c r="J157" s="1"/>
      <c r="K157" s="1"/>
      <c r="L157" s="1"/>
      <c r="M157" s="1"/>
      <c r="N157" s="1"/>
      <c r="O157" s="1"/>
      <c r="P157" s="1"/>
      <c r="Q157" s="1"/>
      <c r="R157" s="1"/>
      <c r="S157" s="1"/>
      <c r="T157" s="23" t="e">
        <f ca="1">U157&amp;""&amp;" &amp; "&amp;""&amp;V157</f>
        <v>#REF!</v>
      </c>
      <c r="U157" s="23" t="e">
        <f ca="1">(SUMPRODUCT(MID(0&amp;(LEFT(#REF!,SUM(LEN(#REF!)-LEN(SUBSTITUTE(#REF!,{"0","1","2","3"},""))))), LARGE(INDEX(ISNUMBER(--MID((LEFT(#REF!,SUM(LEN(#REF!)-LEN(SUBSTITUTE(#REF!,{"0","1","2","3"},""))))), ROW(INDIRECT("1:"&amp;LEN((LEFT(#REF!,SUM(LEN(#REF!)-LEN(SUBSTITUTE(#REF!,{"0","1","2","3"},"")))))))), 1)) * ROW(INDIRECT("1:"&amp;LEN((LEFT(#REF!,SUM(LEN(#REF!)-LEN(SUBSTITUTE(#REF!,{"0","1","2","3"},"")))))))), 0), ROW(INDIRECT("1:"&amp;LEN((LEFT(#REF!,SUM(LEN(#REF!)-LEN(SUBSTITUTE(#REF!,{"0","1","2","3"},"")))))))))+1, 1) * 10^ROW(INDIRECT("1:"&amp;LEN((LEFT(#REF!,SUM(LEN(#REF!)-LEN(SUBSTITUTE(#REF!,{"0","1","2","3"},""))))))))/10))*100+1</f>
        <v>#REF!</v>
      </c>
      <c r="V157" s="23" t="e">
        <f ca="1">(SUMPRODUCT(MID(0&amp;(--TRIM(RIGHT(SUBSTITUTE(LEFT(#REF!,_xlfn.AGGREGATE(16,6,FIND({0,1,2,3,4,5,6,7,8,9},#REF!,ROW(INDIRECT("1:"&amp;LEN(#REF!)))),1))," ",REPT(" ",LEN(#REF!))),LEN(#REF!)))), LARGE(INDEX(ISNUMBER(--MID((--TRIM(RIGHT(SUBSTITUTE(LEFT(#REF!,_xlfn.AGGREGATE(16,6,FIND({0,1,2,3,4,5,6,7,8,9},#REF!,ROW(INDIRECT("1:"&amp;LEN(#REF!)))),1))," ",REPT(" ",LEN(#REF!))),LEN(#REF!)))), ROW(INDIRECT("1:"&amp;LEN((--TRIM(RIGHT(SUBSTITUTE(LEFT(#REF!,_xlfn.AGGREGATE(16,6,FIND({0,1,2,3,4,5,6,7,8,9},#REF!,ROW(INDIRECT("1:"&amp;LEN(#REF!)))),1))," ",REPT(" ",LEN(#REF!))),LEN(#REF!))))))), 1)) * ROW(INDIRECT("1:"&amp;LEN((--TRIM(RIGHT(SUBSTITUTE(LEFT(#REF!,_xlfn.AGGREGATE(16,6,FIND({0,1,2,3,4,5,6,7,8,9},#REF!,ROW(INDIRECT("1:"&amp;LEN(#REF!)))),1))," ",REPT(" ",LEN(#REF!))),LEN(#REF!))))))), 0), ROW(INDIRECT("1:"&amp;LEN((--TRIM(RIGHT(SUBSTITUTE(LEFT(#REF!,_xlfn.AGGREGATE(16,6,FIND({0,1,2,3,4,5,6,7,8,9},#REF!,ROW(INDIRECT("1:"&amp;LEN(#REF!)))),1))," ",REPT(" ",LEN(#REF!))),LEN(#REF!))))))))+1, 1) * 10^ROW(INDIRECT("1:"&amp;LEN((--TRIM(RIGHT(SUBSTITUTE(LEFT(#REF!,_xlfn.AGGREGATE(16,6,FIND({0,1,2,3,4,5,6,7,8,9},#REF!,ROW(INDIRECT("1:"&amp;LEN(#REF!)))),1))," ",REPT(" ",LEN(#REF!))),LEN(#REF!)))))))/10))*100+1</f>
        <v>#REF!</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25">
      <c r="A158" s="94">
        <v>2</v>
      </c>
      <c r="B158" s="94"/>
      <c r="C158" s="75" t="s">
        <v>339</v>
      </c>
      <c r="D158" s="86" t="s">
        <v>341</v>
      </c>
      <c r="E158" s="86">
        <f>(96.311)*(10.764)</f>
        <v>1036.6916040000001</v>
      </c>
      <c r="F158" s="86">
        <f>(3.2*1.53+0.6*(2.85+2.95+2.37+1.46))*(10.764)</f>
        <v>114.89493600000003</v>
      </c>
      <c r="G158" s="86">
        <v>0</v>
      </c>
      <c r="H158" s="86">
        <f t="shared" ref="H158:H163" si="14">E158+F158+(IF(G158&lt;101,G158,IF(G158&lt;201,G158/2,IF(G158&lt;=301,G158/3,G158/4))))</f>
        <v>1151.5865400000002</v>
      </c>
      <c r="I158" s="1"/>
      <c r="J158" s="1"/>
      <c r="K158" s="1"/>
      <c r="L158" s="1"/>
      <c r="M158" s="1"/>
      <c r="N158" s="1"/>
      <c r="O158" s="1"/>
      <c r="P158" s="1"/>
      <c r="Q158" s="1"/>
      <c r="R158" s="1"/>
      <c r="S158" s="1"/>
      <c r="T158" s="23" t="e">
        <f t="shared" ref="T158:T163" ca="1" si="15">U158&amp;""&amp;" &amp; "&amp;""&amp;V158</f>
        <v>#REF!</v>
      </c>
      <c r="U158" s="23" t="e">
        <f ca="1">U157+1</f>
        <v>#REF!</v>
      </c>
      <c r="V158" s="23" t="e">
        <f ca="1">V157+1</f>
        <v>#REF!</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25">
      <c r="A159" s="94">
        <v>3</v>
      </c>
      <c r="B159" s="94"/>
      <c r="C159" s="75" t="s">
        <v>339</v>
      </c>
      <c r="D159" s="86" t="s">
        <v>341</v>
      </c>
      <c r="E159" s="86">
        <f>(84.668)*(10.764)</f>
        <v>911.36635200000001</v>
      </c>
      <c r="F159" s="86">
        <f>(3.2*1.33+2.4*1+0.6*5.43+0.6*3)*(10.764)</f>
        <v>126.08949599999998</v>
      </c>
      <c r="G159" s="86">
        <v>0</v>
      </c>
      <c r="H159" s="86">
        <f t="shared" si="14"/>
        <v>1037.4558480000001</v>
      </c>
      <c r="I159" s="1"/>
      <c r="J159" s="1"/>
      <c r="K159" s="1"/>
      <c r="L159" s="1"/>
      <c r="M159" s="1"/>
      <c r="N159" s="1"/>
      <c r="O159" s="1"/>
      <c r="P159" s="1"/>
      <c r="Q159" s="1"/>
      <c r="R159" s="1"/>
      <c r="S159" s="1"/>
      <c r="T159" s="23" t="e">
        <f t="shared" ca="1" si="15"/>
        <v>#REF!</v>
      </c>
      <c r="U159" s="23" t="e">
        <f t="shared" ref="U159:U163" ca="1" si="16">U158+1</f>
        <v>#REF!</v>
      </c>
      <c r="V159" s="23" t="e">
        <f t="shared" ref="V159:V163" ca="1" si="17">V158+1</f>
        <v>#REF!</v>
      </c>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25">
      <c r="A160" s="94">
        <v>4</v>
      </c>
      <c r="B160" s="94"/>
      <c r="C160" s="75" t="s">
        <v>339</v>
      </c>
      <c r="D160" s="88" t="s">
        <v>349</v>
      </c>
      <c r="E160" s="90"/>
      <c r="F160" s="90"/>
      <c r="G160" s="90"/>
      <c r="H160" s="89"/>
      <c r="I160" s="1"/>
      <c r="J160" s="1"/>
      <c r="K160" s="1"/>
      <c r="L160" s="1"/>
      <c r="M160" s="1"/>
      <c r="N160" s="1"/>
      <c r="O160" s="1"/>
      <c r="P160" s="1"/>
      <c r="Q160" s="1"/>
      <c r="R160" s="1"/>
      <c r="S160" s="1"/>
      <c r="T160" s="23" t="e">
        <f t="shared" ca="1" si="15"/>
        <v>#REF!</v>
      </c>
      <c r="U160" s="23" t="e">
        <f t="shared" ca="1" si="16"/>
        <v>#REF!</v>
      </c>
      <c r="V160" s="23" t="e">
        <f t="shared" ca="1" si="17"/>
        <v>#REF!</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25">
      <c r="A161" s="94">
        <v>5</v>
      </c>
      <c r="B161" s="94"/>
      <c r="C161" s="75" t="s">
        <v>339</v>
      </c>
      <c r="D161" s="86" t="s">
        <v>340</v>
      </c>
      <c r="E161" s="86">
        <f>(65.222)*(10.764)</f>
        <v>702.04960799999992</v>
      </c>
      <c r="F161" s="86">
        <f>(3.2*1.23+0.6*(2.95+2.23+3.3))*(10.764)</f>
        <v>97.134336000000005</v>
      </c>
      <c r="G161" s="86">
        <v>0</v>
      </c>
      <c r="H161" s="86">
        <f t="shared" si="14"/>
        <v>799.18394399999988</v>
      </c>
      <c r="I161" s="1"/>
      <c r="J161" s="1"/>
      <c r="K161" s="1"/>
      <c r="L161" s="1"/>
      <c r="M161" s="1"/>
      <c r="N161" s="1"/>
      <c r="O161" s="1"/>
      <c r="P161" s="1"/>
      <c r="Q161" s="1"/>
      <c r="R161" s="1"/>
      <c r="S161" s="1"/>
      <c r="T161" s="23" t="e">
        <f t="shared" ca="1" si="15"/>
        <v>#REF!</v>
      </c>
      <c r="U161" s="23" t="e">
        <f t="shared" ca="1" si="16"/>
        <v>#REF!</v>
      </c>
      <c r="V161" s="23" t="e">
        <f t="shared" ca="1" si="17"/>
        <v>#REF!</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25">
      <c r="A162" s="94">
        <v>6</v>
      </c>
      <c r="B162" s="94"/>
      <c r="C162" s="75" t="s">
        <v>339</v>
      </c>
      <c r="D162" s="86" t="s">
        <v>340</v>
      </c>
      <c r="E162" s="86">
        <f>(65.254)*(10.764)</f>
        <v>702.39405599999998</v>
      </c>
      <c r="F162" s="86">
        <f>(3.2*1.23+0.6*(2.7+2.43+2.7))*(10.764)</f>
        <v>92.936375999999996</v>
      </c>
      <c r="G162" s="86">
        <v>0</v>
      </c>
      <c r="H162" s="86">
        <f t="shared" si="14"/>
        <v>795.33043199999997</v>
      </c>
      <c r="I162" s="1"/>
      <c r="J162" s="1"/>
      <c r="K162" s="1"/>
      <c r="L162" s="1"/>
      <c r="M162" s="1"/>
      <c r="N162" s="1"/>
      <c r="O162" s="1"/>
      <c r="P162" s="1"/>
      <c r="Q162" s="1"/>
      <c r="R162" s="1"/>
      <c r="S162" s="1"/>
      <c r="T162" s="23" t="e">
        <f t="shared" ca="1" si="15"/>
        <v>#REF!</v>
      </c>
      <c r="U162" s="23" t="e">
        <f t="shared" ca="1" si="16"/>
        <v>#REF!</v>
      </c>
      <c r="V162" s="23" t="e">
        <f t="shared" ca="1" si="17"/>
        <v>#REF!</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25">
      <c r="A163" s="94">
        <v>7</v>
      </c>
      <c r="B163" s="94"/>
      <c r="C163" s="75" t="s">
        <v>339</v>
      </c>
      <c r="D163" s="86" t="s">
        <v>341</v>
      </c>
      <c r="E163" s="86">
        <f>(84.023)*(10.764)</f>
        <v>904.42357199999992</v>
      </c>
      <c r="F163" s="86">
        <f>(3.2*1.33+2.4*1+0.6*5.43+0.6*3)*(10.764)</f>
        <v>126.08949599999998</v>
      </c>
      <c r="G163" s="86">
        <v>0</v>
      </c>
      <c r="H163" s="86">
        <f t="shared" si="14"/>
        <v>1030.513068</v>
      </c>
      <c r="I163" s="1"/>
      <c r="J163" s="1"/>
      <c r="K163" s="1"/>
      <c r="L163" s="1"/>
      <c r="M163" s="1"/>
      <c r="N163" s="1"/>
      <c r="O163" s="1"/>
      <c r="P163" s="1"/>
      <c r="Q163" s="1"/>
      <c r="R163" s="1"/>
      <c r="S163" s="1"/>
      <c r="T163" s="23" t="e">
        <f t="shared" ca="1" si="15"/>
        <v>#REF!</v>
      </c>
      <c r="U163" s="23" t="e">
        <f t="shared" ca="1" si="16"/>
        <v>#REF!</v>
      </c>
      <c r="V163" s="23" t="e">
        <f t="shared" ca="1" si="17"/>
        <v>#REF!</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x14ac:dyDescent="0.25">
      <c r="A164" s="112" t="s">
        <v>385</v>
      </c>
      <c r="B164" s="113"/>
      <c r="C164" s="113"/>
      <c r="D164" s="113"/>
      <c r="E164" s="113"/>
      <c r="F164" s="113"/>
      <c r="G164" s="113"/>
      <c r="H164" s="114"/>
      <c r="I164" s="4">
        <f>2</f>
        <v>2</v>
      </c>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customHeight="1" x14ac:dyDescent="0.25">
      <c r="A165" s="94">
        <v>1</v>
      </c>
      <c r="B165" s="94"/>
      <c r="C165" s="75" t="s">
        <v>339</v>
      </c>
      <c r="D165" s="75" t="s">
        <v>341</v>
      </c>
      <c r="E165" s="86">
        <f>(97.597)*(10.764)</f>
        <v>1050.5341079999998</v>
      </c>
      <c r="F165" s="86">
        <f>(3.2*1.53+0.6*(2.85+2.95+2.37+1.46))*(10.764)</f>
        <v>114.89493600000003</v>
      </c>
      <c r="G165" s="75">
        <v>0</v>
      </c>
      <c r="H165" s="75">
        <f>E165+F165+(IF(G165&lt;101,G165,IF(G165&lt;201,G165/2,IF(G165&lt;=301,G165/3,G165/4))))</f>
        <v>1165.429044</v>
      </c>
      <c r="I165" s="1"/>
      <c r="J165" s="1"/>
      <c r="K165" s="1"/>
      <c r="L165" s="1"/>
      <c r="M165" s="1"/>
      <c r="N165" s="1"/>
      <c r="O165" s="1"/>
      <c r="P165" s="1"/>
      <c r="Q165" s="1"/>
      <c r="R165" s="1"/>
      <c r="S165" s="1"/>
      <c r="T165" s="23" t="str">
        <f ca="1">U165&amp;""&amp;" to "&amp;""&amp;V165</f>
        <v>1501 to 3601</v>
      </c>
      <c r="U165" s="23">
        <f ca="1">(SUMPRODUCT(MID(0&amp;(LEFT(A164,SUM(LEN(A164)-LEN(SUBSTITUTE(A164,{"0","1","2","3"},""))))), LARGE(INDEX(ISNUMBER(--MID((LEFT(A164,SUM(LEN(A164)-LEN(SUBSTITUTE(A164,{"0","1","2","3"},""))))), ROW(INDIRECT("1:"&amp;LEN((LEFT(A164,SUM(LEN(A164)-LEN(SUBSTITUTE(A164,{"0","1","2","3"},"")))))))), 1)) * ROW(INDIRECT("1:"&amp;LEN((LEFT(A164,SUM(LEN(A164)-LEN(SUBSTITUTE(A164,{"0","1","2","3"},"")))))))), 0), ROW(INDIRECT("1:"&amp;LEN((LEFT(A164,SUM(LEN(A164)-LEN(SUBSTITUTE(A164,{"0","1","2","3"},"")))))))))+1, 1) * 10^ROW(INDIRECT("1:"&amp;LEN((LEFT(A164,SUM(LEN(A164)-LEN(SUBSTITUTE(A164,{"0","1","2","3"},""))))))))/10))*100+1</f>
        <v>1501</v>
      </c>
      <c r="V165" s="23">
        <f ca="1">(SUMPRODUCT(MID(0&amp;(--TRIM(RIGHT(SUBSTITUTE(LEFT(A164,_xlfn.AGGREGATE(16,6,FIND({0,1,2,3,4,5,6,7,8,9},A164,ROW(INDIRECT("1:"&amp;LEN(A164)))),1))," ",REPT(" ",LEN(A164))),LEN(A164)))), LARGE(INDEX(ISNUMBER(--MID((--TRIM(RIGHT(SUBSTITUTE(LEFT(A164,_xlfn.AGGREGATE(16,6,FIND({0,1,2,3,4,5,6,7,8,9},A164,ROW(INDIRECT("1:"&amp;LEN(A164)))),1))," ",REPT(" ",LEN(A164))),LEN(A164)))), ROW(INDIRECT("1:"&amp;LEN((--TRIM(RIGHT(SUBSTITUTE(LEFT(A164,_xlfn.AGGREGATE(16,6,FIND({0,1,2,3,4,5,6,7,8,9},A164,ROW(INDIRECT("1:"&amp;LEN(A164)))),1))," ",REPT(" ",LEN(A164))),LEN(A164))))))), 1)) * ROW(INDIRECT("1:"&amp;LEN((--TRIM(RIGHT(SUBSTITUTE(LEFT(A164,_xlfn.AGGREGATE(16,6,FIND({0,1,2,3,4,5,6,7,8,9},A164,ROW(INDIRECT("1:"&amp;LEN(A164)))),1))," ",REPT(" ",LEN(A164))),LEN(A164))))))), 0), ROW(INDIRECT("1:"&amp;LEN((--TRIM(RIGHT(SUBSTITUTE(LEFT(A164,_xlfn.AGGREGATE(16,6,FIND({0,1,2,3,4,5,6,7,8,9},A164,ROW(INDIRECT("1:"&amp;LEN(A164)))),1))," ",REPT(" ",LEN(A164))),LEN(A164))))))))+1, 1) * 10^ROW(INDIRECT("1:"&amp;LEN((--TRIM(RIGHT(SUBSTITUTE(LEFT(A164,_xlfn.AGGREGATE(16,6,FIND({0,1,2,3,4,5,6,7,8,9},A164,ROW(INDIRECT("1:"&amp;LEN(A164)))),1))," ",REPT(" ",LEN(A164))),LEN(A164)))))))/10))*100+1</f>
        <v>3601</v>
      </c>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25">
      <c r="A166" s="94">
        <v>2</v>
      </c>
      <c r="B166" s="94"/>
      <c r="C166" s="75" t="s">
        <v>339</v>
      </c>
      <c r="D166" s="75" t="s">
        <v>341</v>
      </c>
      <c r="E166" s="86">
        <f>(96.311)*(10.764)</f>
        <v>1036.6916040000001</v>
      </c>
      <c r="F166" s="86">
        <f>(3.2*1.53+0.6*(2.85+2.95+2.37+1.46))*(10.764)</f>
        <v>114.89493600000003</v>
      </c>
      <c r="G166" s="75">
        <v>0</v>
      </c>
      <c r="H166" s="75">
        <f t="shared" ref="H166:H171" si="18">E166+F166+(IF(G166&lt;101,G166,IF(G166&lt;201,G166/2,IF(G166&lt;=301,G166/3,G166/4))))</f>
        <v>1151.5865400000002</v>
      </c>
      <c r="I166" s="1"/>
      <c r="J166" s="1"/>
      <c r="K166" s="1"/>
      <c r="L166" s="1"/>
      <c r="M166" s="1"/>
      <c r="N166" s="1"/>
      <c r="O166" s="1"/>
      <c r="P166" s="1"/>
      <c r="Q166" s="1"/>
      <c r="R166" s="1"/>
      <c r="S166" s="1"/>
      <c r="T166" s="23" t="str">
        <f t="shared" ref="T166:T171" ca="1" si="19">U166&amp;""&amp;" to "&amp;""&amp;V166</f>
        <v>1502 to 3602</v>
      </c>
      <c r="U166" s="23">
        <f ca="1">U165+1</f>
        <v>1502</v>
      </c>
      <c r="V166" s="23">
        <f ca="1">V165+1</f>
        <v>3602</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25">
      <c r="A167" s="94">
        <v>3</v>
      </c>
      <c r="B167" s="94"/>
      <c r="C167" s="75" t="s">
        <v>339</v>
      </c>
      <c r="D167" s="75" t="s">
        <v>341</v>
      </c>
      <c r="E167" s="86">
        <f>(84.668)*(10.764)</f>
        <v>911.36635200000001</v>
      </c>
      <c r="F167" s="86">
        <f>(3.2*1.33+2.4*1+0.6*5.43+0.6*3)*(10.764)</f>
        <v>126.08949599999998</v>
      </c>
      <c r="G167" s="75">
        <v>0</v>
      </c>
      <c r="H167" s="75">
        <f t="shared" si="18"/>
        <v>1037.4558480000001</v>
      </c>
      <c r="I167" s="1"/>
      <c r="J167" s="1"/>
      <c r="K167" s="1"/>
      <c r="L167" s="1"/>
      <c r="M167" s="1"/>
      <c r="N167" s="1"/>
      <c r="O167" s="1"/>
      <c r="P167" s="1"/>
      <c r="Q167" s="1"/>
      <c r="R167" s="1"/>
      <c r="S167" s="1"/>
      <c r="T167" s="23" t="str">
        <f t="shared" ca="1" si="19"/>
        <v>1503 to 3603</v>
      </c>
      <c r="U167" s="23">
        <f t="shared" ref="U167:V171" ca="1" si="20">U166+1</f>
        <v>1503</v>
      </c>
      <c r="V167" s="23">
        <f t="shared" ca="1" si="20"/>
        <v>3603</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customHeight="1" x14ac:dyDescent="0.25">
      <c r="A168" s="88" t="s">
        <v>339</v>
      </c>
      <c r="B168" s="89"/>
      <c r="C168" s="75" t="s">
        <v>339</v>
      </c>
      <c r="D168" s="115" t="s">
        <v>386</v>
      </c>
      <c r="E168" s="116"/>
      <c r="F168" s="116"/>
      <c r="G168" s="116"/>
      <c r="H168" s="117"/>
      <c r="I168" s="1"/>
      <c r="J168" s="1"/>
      <c r="K168" s="1"/>
      <c r="L168" s="1"/>
      <c r="M168" s="1"/>
      <c r="N168" s="1"/>
      <c r="O168" s="1"/>
      <c r="P168" s="1"/>
      <c r="Q168" s="1"/>
      <c r="R168" s="1"/>
      <c r="S168" s="1"/>
      <c r="T168" s="23" t="str">
        <f t="shared" ca="1" si="19"/>
        <v>1504 to 3604</v>
      </c>
      <c r="U168" s="23">
        <f t="shared" ca="1" si="20"/>
        <v>1504</v>
      </c>
      <c r="V168" s="23">
        <f t="shared" ca="1" si="20"/>
        <v>3604</v>
      </c>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customHeight="1" x14ac:dyDescent="0.25">
      <c r="A169" s="88" t="s">
        <v>339</v>
      </c>
      <c r="B169" s="89"/>
      <c r="C169" s="75" t="s">
        <v>339</v>
      </c>
      <c r="D169" s="118"/>
      <c r="E169" s="119"/>
      <c r="F169" s="119"/>
      <c r="G169" s="119"/>
      <c r="H169" s="120"/>
      <c r="I169" s="1"/>
      <c r="J169" s="1"/>
      <c r="K169" s="1"/>
      <c r="L169" s="1"/>
      <c r="M169" s="1"/>
      <c r="N169" s="1"/>
      <c r="O169" s="1"/>
      <c r="P169" s="1"/>
      <c r="Q169" s="1"/>
      <c r="R169" s="1"/>
      <c r="S169" s="1"/>
      <c r="T169" s="23" t="str">
        <f t="shared" ca="1" si="19"/>
        <v>1505 to 3605</v>
      </c>
      <c r="U169" s="23">
        <f t="shared" ca="1" si="20"/>
        <v>1505</v>
      </c>
      <c r="V169" s="23">
        <f t="shared" ca="1" si="20"/>
        <v>3605</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customHeight="1" x14ac:dyDescent="0.25">
      <c r="A170" s="88" t="s">
        <v>339</v>
      </c>
      <c r="B170" s="89"/>
      <c r="C170" s="75" t="s">
        <v>339</v>
      </c>
      <c r="D170" s="121"/>
      <c r="E170" s="122"/>
      <c r="F170" s="122"/>
      <c r="G170" s="122"/>
      <c r="H170" s="123"/>
      <c r="I170" s="1"/>
      <c r="J170" s="1"/>
      <c r="K170" s="1"/>
      <c r="L170" s="1"/>
      <c r="M170" s="1"/>
      <c r="N170" s="1"/>
      <c r="O170" s="1"/>
      <c r="P170" s="1"/>
      <c r="Q170" s="1"/>
      <c r="R170" s="1"/>
      <c r="S170" s="1"/>
      <c r="T170" s="23" t="str">
        <f t="shared" ca="1" si="19"/>
        <v>1506 to 3606</v>
      </c>
      <c r="U170" s="23">
        <f t="shared" ca="1" si="20"/>
        <v>1506</v>
      </c>
      <c r="V170" s="23">
        <f t="shared" ca="1" si="20"/>
        <v>3606</v>
      </c>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customHeight="1" x14ac:dyDescent="0.25">
      <c r="A171" s="94">
        <v>7</v>
      </c>
      <c r="B171" s="94"/>
      <c r="C171" s="75" t="s">
        <v>339</v>
      </c>
      <c r="D171" s="75" t="s">
        <v>341</v>
      </c>
      <c r="E171" s="77">
        <f>(84.021)*(10.764)</f>
        <v>904.40204399999993</v>
      </c>
      <c r="F171" s="75">
        <f>(3.2*1.33+2.4*1+0.6*5.43+0.6*3)*(10.764)</f>
        <v>126.08949599999998</v>
      </c>
      <c r="G171" s="75">
        <v>0</v>
      </c>
      <c r="H171" s="75">
        <f t="shared" si="18"/>
        <v>1030.49154</v>
      </c>
      <c r="I171" s="1"/>
      <c r="J171" s="1"/>
      <c r="K171" s="1"/>
      <c r="L171" s="1"/>
      <c r="M171" s="1"/>
      <c r="N171" s="1"/>
      <c r="O171" s="1"/>
      <c r="P171" s="1"/>
      <c r="Q171" s="1"/>
      <c r="R171" s="1"/>
      <c r="S171" s="1"/>
      <c r="T171" s="23" t="str">
        <f t="shared" ca="1" si="19"/>
        <v>1507 to 3607</v>
      </c>
      <c r="U171" s="23">
        <f t="shared" ca="1" si="20"/>
        <v>1507</v>
      </c>
      <c r="V171" s="23">
        <f t="shared" ca="1" si="20"/>
        <v>3607</v>
      </c>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x14ac:dyDescent="0.25">
      <c r="A172" s="112" t="s">
        <v>350</v>
      </c>
      <c r="B172" s="113"/>
      <c r="C172" s="113"/>
      <c r="D172" s="113"/>
      <c r="E172" s="113"/>
      <c r="F172" s="113"/>
      <c r="G172" s="113"/>
      <c r="H172" s="114"/>
      <c r="I172" s="4">
        <f>1</f>
        <v>1</v>
      </c>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customHeight="1" x14ac:dyDescent="0.25">
      <c r="A173" s="94">
        <v>1</v>
      </c>
      <c r="B173" s="94"/>
      <c r="C173" s="75" t="s">
        <v>339</v>
      </c>
      <c r="D173" s="75" t="s">
        <v>341</v>
      </c>
      <c r="E173" s="86">
        <f>(97.597)*(10.764)</f>
        <v>1050.5341079999998</v>
      </c>
      <c r="F173" s="86">
        <f>(3.2*1.53+0.6*(2.85+2.95+2.37+1.46))*(10.764)</f>
        <v>114.89493600000003</v>
      </c>
      <c r="G173" s="75">
        <v>0</v>
      </c>
      <c r="H173" s="75">
        <f>E173+F173+(IF(G173&lt;101,G173,IF(G173&lt;201,G173/2,IF(G173&lt;=301,G173/3,G173/4))))</f>
        <v>1165.429044</v>
      </c>
      <c r="I173" s="1"/>
      <c r="J173" s="1"/>
      <c r="K173" s="1"/>
      <c r="L173" s="1"/>
      <c r="M173" s="1"/>
      <c r="N173" s="1"/>
      <c r="O173" s="1"/>
      <c r="P173" s="1"/>
      <c r="Q173" s="1"/>
      <c r="R173" s="1"/>
      <c r="S173" s="1"/>
      <c r="T173" s="23" t="e">
        <f ca="1">U173&amp;""&amp;" to "&amp;""&amp;V173</f>
        <v>#REF!</v>
      </c>
      <c r="U173" s="23" t="e">
        <f ca="1">(SUMPRODUCT(MID(0&amp;(LEFT(A172,SUM(LEN(A172)-LEN(SUBSTITUTE(A172,{"0","1","2","3"},""))))), LARGE(INDEX(ISNUMBER(--MID((LEFT(A172,SUM(LEN(A172)-LEN(SUBSTITUTE(A172,{"0","1","2","3"},""))))), ROW(INDIRECT("1:"&amp;LEN((LEFT(A172,SUM(LEN(A172)-LEN(SUBSTITUTE(A172,{"0","1","2","3"},"")))))))), 1)) * ROW(INDIRECT("1:"&amp;LEN((LEFT(A172,SUM(LEN(A172)-LEN(SUBSTITUTE(A172,{"0","1","2","3"},"")))))))), 0), ROW(INDIRECT("1:"&amp;LEN((LEFT(A172,SUM(LEN(A172)-LEN(SUBSTITUTE(A172,{"0","1","2","3"},"")))))))))+1, 1) * 10^ROW(INDIRECT("1:"&amp;LEN((LEFT(A172,SUM(LEN(A172)-LEN(SUBSTITUTE(A172,{"0","1","2","3"},""))))))))/10))*100+1</f>
        <v>#REF!</v>
      </c>
      <c r="V173" s="23">
        <f ca="1">(SUMPRODUCT(MID(0&amp;(--TRIM(RIGHT(SUBSTITUTE(LEFT(A172,_xlfn.AGGREGATE(16,6,FIND({0,1,2,3,4,5,6,7,8,9},A172,ROW(INDIRECT("1:"&amp;LEN(A172)))),1))," ",REPT(" ",LEN(A172))),LEN(A172)))), LARGE(INDEX(ISNUMBER(--MID((--TRIM(RIGHT(SUBSTITUTE(LEFT(A172,_xlfn.AGGREGATE(16,6,FIND({0,1,2,3,4,5,6,7,8,9},A172,ROW(INDIRECT("1:"&amp;LEN(A172)))),1))," ",REPT(" ",LEN(A172))),LEN(A172)))), ROW(INDIRECT("1:"&amp;LEN((--TRIM(RIGHT(SUBSTITUTE(LEFT(A172,_xlfn.AGGREGATE(16,6,FIND({0,1,2,3,4,5,6,7,8,9},A172,ROW(INDIRECT("1:"&amp;LEN(A172)))),1))," ",REPT(" ",LEN(A172))),LEN(A172))))))), 1)) * ROW(INDIRECT("1:"&amp;LEN((--TRIM(RIGHT(SUBSTITUTE(LEFT(A172,_xlfn.AGGREGATE(16,6,FIND({0,1,2,3,4,5,6,7,8,9},A172,ROW(INDIRECT("1:"&amp;LEN(A172)))),1))," ",REPT(" ",LEN(A172))),LEN(A172))))))), 0), ROW(INDIRECT("1:"&amp;LEN((--TRIM(RIGHT(SUBSTITUTE(LEFT(A172,_xlfn.AGGREGATE(16,6,FIND({0,1,2,3,4,5,6,7,8,9},A172,ROW(INDIRECT("1:"&amp;LEN(A172)))),1))," ",REPT(" ",LEN(A172))),LEN(A172))))))))+1, 1) * 10^ROW(INDIRECT("1:"&amp;LEN((--TRIM(RIGHT(SUBSTITUTE(LEFT(A172,_xlfn.AGGREGATE(16,6,FIND({0,1,2,3,4,5,6,7,8,9},A172,ROW(INDIRECT("1:"&amp;LEN(A172)))),1))," ",REPT(" ",LEN(A172))),LEN(A172)))))))/10))*100+1</f>
        <v>4501</v>
      </c>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25">
      <c r="A174" s="94">
        <v>2</v>
      </c>
      <c r="B174" s="94"/>
      <c r="C174" s="75" t="s">
        <v>339</v>
      </c>
      <c r="D174" s="75" t="s">
        <v>341</v>
      </c>
      <c r="E174" s="86">
        <f>(96.311)*(10.764)</f>
        <v>1036.6916040000001</v>
      </c>
      <c r="F174" s="86">
        <f>(3.2*1.53+0.6*(2.85+2.95+2.37+1.46))*(10.764)</f>
        <v>114.89493600000003</v>
      </c>
      <c r="G174" s="75">
        <v>0</v>
      </c>
      <c r="H174" s="75">
        <f t="shared" ref="H174:H178" si="21">E174+F174+(IF(G174&lt;101,G174,IF(G174&lt;201,G174/2,IF(G174&lt;=301,G174/3,G174/4))))</f>
        <v>1151.5865400000002</v>
      </c>
      <c r="I174" s="1"/>
      <c r="J174" s="1"/>
      <c r="K174" s="1"/>
      <c r="L174" s="1"/>
      <c r="M174" s="1"/>
      <c r="N174" s="1"/>
      <c r="O174" s="1"/>
      <c r="P174" s="1"/>
      <c r="Q174" s="1"/>
      <c r="R174" s="1"/>
      <c r="S174" s="1"/>
      <c r="T174" s="23" t="e">
        <f t="shared" ref="T174:T179" ca="1" si="22">U174&amp;""&amp;" to "&amp;""&amp;V174</f>
        <v>#REF!</v>
      </c>
      <c r="U174" s="23" t="e">
        <f ca="1">U173+1</f>
        <v>#REF!</v>
      </c>
      <c r="V174" s="23">
        <f ca="1">V173+1</f>
        <v>4502</v>
      </c>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customHeight="1" x14ac:dyDescent="0.25">
      <c r="A175" s="88">
        <v>3</v>
      </c>
      <c r="B175" s="89"/>
      <c r="C175" s="75" t="s">
        <v>339</v>
      </c>
      <c r="D175" s="88" t="s">
        <v>351</v>
      </c>
      <c r="E175" s="90"/>
      <c r="F175" s="90"/>
      <c r="G175" s="90"/>
      <c r="H175" s="89"/>
      <c r="I175" s="1"/>
      <c r="J175" s="1"/>
      <c r="K175" s="1"/>
      <c r="L175" s="1"/>
      <c r="M175" s="1"/>
      <c r="N175" s="1"/>
      <c r="O175" s="1"/>
      <c r="P175" s="1"/>
      <c r="Q175" s="1"/>
      <c r="R175" s="1"/>
      <c r="S175" s="1"/>
      <c r="T175" s="23" t="e">
        <f t="shared" ca="1" si="22"/>
        <v>#REF!</v>
      </c>
      <c r="U175" s="23" t="e">
        <f t="shared" ref="U175:V179" ca="1" si="23">U174+1</f>
        <v>#REF!</v>
      </c>
      <c r="V175" s="23">
        <f t="shared" ca="1" si="23"/>
        <v>4503</v>
      </c>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customHeight="1" x14ac:dyDescent="0.25">
      <c r="A176" s="94">
        <v>4</v>
      </c>
      <c r="B176" s="94"/>
      <c r="C176" s="75" t="s">
        <v>339</v>
      </c>
      <c r="D176" s="75" t="s">
        <v>340</v>
      </c>
      <c r="E176" s="86">
        <f>(65.247)*(10.764)</f>
        <v>702.3187079999999</v>
      </c>
      <c r="F176" s="86">
        <f>(3.2*1.23+0.6*(2.7+2.43+2.7))*(10.764)</f>
        <v>92.936375999999996</v>
      </c>
      <c r="G176" s="75">
        <v>0</v>
      </c>
      <c r="H176" s="75">
        <f t="shared" si="21"/>
        <v>795.2550839999999</v>
      </c>
      <c r="I176" s="1"/>
      <c r="J176" s="1"/>
      <c r="K176" s="1"/>
      <c r="L176" s="1"/>
      <c r="M176" s="1"/>
      <c r="N176" s="1"/>
      <c r="O176" s="1"/>
      <c r="P176" s="1"/>
      <c r="Q176" s="1"/>
      <c r="R176" s="1"/>
      <c r="S176" s="1"/>
      <c r="T176" s="23" t="e">
        <f t="shared" ca="1" si="22"/>
        <v>#REF!</v>
      </c>
      <c r="U176" s="23" t="e">
        <f t="shared" ca="1" si="23"/>
        <v>#REF!</v>
      </c>
      <c r="V176" s="23">
        <f t="shared" ca="1" si="23"/>
        <v>4504</v>
      </c>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customHeight="1" x14ac:dyDescent="0.25">
      <c r="A177" s="94">
        <v>5</v>
      </c>
      <c r="B177" s="94"/>
      <c r="C177" s="75" t="s">
        <v>339</v>
      </c>
      <c r="D177" s="75" t="s">
        <v>340</v>
      </c>
      <c r="E177" s="86">
        <f>(64.89)*(10.764)</f>
        <v>698.47595999999999</v>
      </c>
      <c r="F177" s="86">
        <f>(3.2*1.23+0.6*(2.95+2.23+3.3))*(10.764)</f>
        <v>97.134336000000005</v>
      </c>
      <c r="G177" s="75">
        <v>0</v>
      </c>
      <c r="H177" s="75">
        <f t="shared" si="21"/>
        <v>795.61029599999995</v>
      </c>
      <c r="I177" s="1"/>
      <c r="J177" s="1"/>
      <c r="K177" s="1"/>
      <c r="L177" s="1"/>
      <c r="M177" s="1"/>
      <c r="N177" s="1"/>
      <c r="O177" s="1"/>
      <c r="P177" s="1"/>
      <c r="Q177" s="1"/>
      <c r="R177" s="1"/>
      <c r="S177" s="1"/>
      <c r="T177" s="23" t="e">
        <f t="shared" ca="1" si="22"/>
        <v>#REF!</v>
      </c>
      <c r="U177" s="23" t="e">
        <f t="shared" ca="1" si="23"/>
        <v>#REF!</v>
      </c>
      <c r="V177" s="23">
        <f t="shared" ca="1" si="23"/>
        <v>4505</v>
      </c>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customHeight="1" x14ac:dyDescent="0.25">
      <c r="A178" s="94">
        <v>6</v>
      </c>
      <c r="B178" s="94"/>
      <c r="C178" s="75" t="s">
        <v>339</v>
      </c>
      <c r="D178" s="75" t="s">
        <v>340</v>
      </c>
      <c r="E178" s="86">
        <f>(65.255)*(10.764)</f>
        <v>702.40481999999986</v>
      </c>
      <c r="F178" s="86">
        <f>(3.2*1.23+0.6*(2.7+2.43+2.7))*(10.764)</f>
        <v>92.936375999999996</v>
      </c>
      <c r="G178" s="75">
        <v>0</v>
      </c>
      <c r="H178" s="75">
        <f t="shared" si="21"/>
        <v>795.34119599999985</v>
      </c>
      <c r="I178" s="1"/>
      <c r="J178" s="1"/>
      <c r="K178" s="1"/>
      <c r="L178" s="1"/>
      <c r="M178" s="1"/>
      <c r="N178" s="1"/>
      <c r="O178" s="1"/>
      <c r="P178" s="1"/>
      <c r="Q178" s="1"/>
      <c r="R178" s="1"/>
      <c r="S178" s="1"/>
      <c r="T178" s="23" t="e">
        <f t="shared" ca="1" si="22"/>
        <v>#REF!</v>
      </c>
      <c r="U178" s="23" t="e">
        <f t="shared" ca="1" si="23"/>
        <v>#REF!</v>
      </c>
      <c r="V178" s="23">
        <f t="shared" ca="1" si="23"/>
        <v>4506</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customHeight="1" x14ac:dyDescent="0.25">
      <c r="A179" s="88">
        <v>7</v>
      </c>
      <c r="B179" s="89"/>
      <c r="C179" s="75" t="s">
        <v>339</v>
      </c>
      <c r="D179" s="88" t="s">
        <v>351</v>
      </c>
      <c r="E179" s="90"/>
      <c r="F179" s="90"/>
      <c r="G179" s="90"/>
      <c r="H179" s="89"/>
      <c r="I179" s="1"/>
      <c r="J179" s="1"/>
      <c r="K179" s="1"/>
      <c r="L179" s="1"/>
      <c r="M179" s="1"/>
      <c r="N179" s="1"/>
      <c r="O179" s="1"/>
      <c r="P179" s="1"/>
      <c r="Q179" s="1"/>
      <c r="R179" s="1"/>
      <c r="S179" s="1"/>
      <c r="T179" s="23" t="e">
        <f t="shared" ca="1" si="22"/>
        <v>#REF!</v>
      </c>
      <c r="U179" s="23" t="e">
        <f t="shared" ca="1" si="23"/>
        <v>#REF!</v>
      </c>
      <c r="V179" s="23">
        <f t="shared" ca="1" si="23"/>
        <v>4507</v>
      </c>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x14ac:dyDescent="0.25">
      <c r="A180" s="112" t="s">
        <v>352</v>
      </c>
      <c r="B180" s="113"/>
      <c r="C180" s="113"/>
      <c r="D180" s="113"/>
      <c r="E180" s="113"/>
      <c r="F180" s="113"/>
      <c r="G180" s="113"/>
      <c r="H180" s="114"/>
      <c r="I180" s="4">
        <f>1</f>
        <v>1</v>
      </c>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customHeight="1" x14ac:dyDescent="0.25">
      <c r="A181" s="94">
        <v>1</v>
      </c>
      <c r="B181" s="94"/>
      <c r="C181" s="75" t="s">
        <v>339</v>
      </c>
      <c r="D181" s="75" t="s">
        <v>341</v>
      </c>
      <c r="E181" s="86">
        <f>(97.531)*(10.764)</f>
        <v>1049.823684</v>
      </c>
      <c r="F181" s="86">
        <f>(3.2*1.53+0.6*(2.85+2.95+2.37+1.46))*(10.764)</f>
        <v>114.89493600000003</v>
      </c>
      <c r="G181" s="75">
        <v>0</v>
      </c>
      <c r="H181" s="75">
        <f>E181+F181+(IF(G181&lt;101,G181,IF(G181&lt;201,G181/2,IF(G181&lt;=301,G181/3,G181/4))))</f>
        <v>1164.7186200000001</v>
      </c>
      <c r="I181" s="1"/>
      <c r="J181" s="1"/>
      <c r="K181" s="1"/>
      <c r="L181" s="1"/>
      <c r="M181" s="1"/>
      <c r="N181" s="1"/>
      <c r="O181" s="1"/>
      <c r="P181" s="1"/>
      <c r="Q181" s="1"/>
      <c r="R181" s="1"/>
      <c r="S181" s="1"/>
      <c r="T181" s="23" t="e">
        <f ca="1">U181&amp;""&amp;" to "&amp;""&amp;V181</f>
        <v>#REF!</v>
      </c>
      <c r="U181" s="23" t="e">
        <f ca="1">(SUMPRODUCT(MID(0&amp;(LEFT(A180,SUM(LEN(A180)-LEN(SUBSTITUTE(A180,{"0","1","2","3"},""))))), LARGE(INDEX(ISNUMBER(--MID((LEFT(A180,SUM(LEN(A180)-LEN(SUBSTITUTE(A180,{"0","1","2","3"},""))))), ROW(INDIRECT("1:"&amp;LEN((LEFT(A180,SUM(LEN(A180)-LEN(SUBSTITUTE(A180,{"0","1","2","3"},"")))))))), 1)) * ROW(INDIRECT("1:"&amp;LEN((LEFT(A180,SUM(LEN(A180)-LEN(SUBSTITUTE(A180,{"0","1","2","3"},"")))))))), 0), ROW(INDIRECT("1:"&amp;LEN((LEFT(A180,SUM(LEN(A180)-LEN(SUBSTITUTE(A180,{"0","1","2","3"},"")))))))))+1, 1) * 10^ROW(INDIRECT("1:"&amp;LEN((LEFT(A180,SUM(LEN(A180)-LEN(SUBSTITUTE(A180,{"0","1","2","3"},""))))))))/10))*100+1</f>
        <v>#REF!</v>
      </c>
      <c r="V181" s="23">
        <f ca="1">(SUMPRODUCT(MID(0&amp;(--TRIM(RIGHT(SUBSTITUTE(LEFT(A180,_xlfn.AGGREGATE(16,6,FIND({0,1,2,3,4,5,6,7,8,9},A180,ROW(INDIRECT("1:"&amp;LEN(A180)))),1))," ",REPT(" ",LEN(A180))),LEN(A180)))), LARGE(INDEX(ISNUMBER(--MID((--TRIM(RIGHT(SUBSTITUTE(LEFT(A180,_xlfn.AGGREGATE(16,6,FIND({0,1,2,3,4,5,6,7,8,9},A180,ROW(INDIRECT("1:"&amp;LEN(A180)))),1))," ",REPT(" ",LEN(A180))),LEN(A180)))), ROW(INDIRECT("1:"&amp;LEN((--TRIM(RIGHT(SUBSTITUTE(LEFT(A180,_xlfn.AGGREGATE(16,6,FIND({0,1,2,3,4,5,6,7,8,9},A180,ROW(INDIRECT("1:"&amp;LEN(A180)))),1))," ",REPT(" ",LEN(A180))),LEN(A180))))))), 1)) * ROW(INDIRECT("1:"&amp;LEN((--TRIM(RIGHT(SUBSTITUTE(LEFT(A180,_xlfn.AGGREGATE(16,6,FIND({0,1,2,3,4,5,6,7,8,9},A180,ROW(INDIRECT("1:"&amp;LEN(A180)))),1))," ",REPT(" ",LEN(A180))),LEN(A180))))))), 0), ROW(INDIRECT("1:"&amp;LEN((--TRIM(RIGHT(SUBSTITUTE(LEFT(A180,_xlfn.AGGREGATE(16,6,FIND({0,1,2,3,4,5,6,7,8,9},A180,ROW(INDIRECT("1:"&amp;LEN(A180)))),1))," ",REPT(" ",LEN(A180))),LEN(A180))))))))+1, 1) * 10^ROW(INDIRECT("1:"&amp;LEN((--TRIM(RIGHT(SUBSTITUTE(LEFT(A180,_xlfn.AGGREGATE(16,6,FIND({0,1,2,3,4,5,6,7,8,9},A180,ROW(INDIRECT("1:"&amp;LEN(A180)))),1))," ",REPT(" ",LEN(A180))),LEN(A180)))))))/10))*100+1</f>
        <v>4601</v>
      </c>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customHeight="1" x14ac:dyDescent="0.25">
      <c r="A182" s="94">
        <v>2</v>
      </c>
      <c r="B182" s="94"/>
      <c r="C182" s="75" t="s">
        <v>339</v>
      </c>
      <c r="D182" s="75" t="s">
        <v>341</v>
      </c>
      <c r="E182" s="86">
        <f>(96.311)*(10.764)</f>
        <v>1036.6916040000001</v>
      </c>
      <c r="F182" s="86">
        <f>(3.2*1.53+0.6*(2.85+2.95+2.37+1.46))*(10.764)</f>
        <v>114.89493600000003</v>
      </c>
      <c r="G182" s="75">
        <v>0</v>
      </c>
      <c r="H182" s="75">
        <f t="shared" ref="H182" si="24">E182+F182+(IF(G182&lt;101,G182,IF(G182&lt;201,G182/2,IF(G182&lt;=301,G182/3,G182/4))))</f>
        <v>1151.5865400000002</v>
      </c>
      <c r="I182" s="1"/>
      <c r="J182" s="1"/>
      <c r="K182" s="1"/>
      <c r="L182" s="1"/>
      <c r="M182" s="1"/>
      <c r="N182" s="1"/>
      <c r="O182" s="1"/>
      <c r="P182" s="1"/>
      <c r="Q182" s="1"/>
      <c r="R182" s="1"/>
      <c r="S182" s="1"/>
      <c r="T182" s="23" t="e">
        <f t="shared" ref="T182:T186" ca="1" si="25">U182&amp;""&amp;" to "&amp;""&amp;V182</f>
        <v>#REF!</v>
      </c>
      <c r="U182" s="23" t="e">
        <f ca="1">U181+1</f>
        <v>#REF!</v>
      </c>
      <c r="V182" s="23">
        <f ca="1">V181+1</f>
        <v>4602</v>
      </c>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customHeight="1" x14ac:dyDescent="0.25">
      <c r="A183" s="88">
        <v>3</v>
      </c>
      <c r="B183" s="89"/>
      <c r="C183" s="82" t="s">
        <v>339</v>
      </c>
      <c r="D183" s="88" t="s">
        <v>387</v>
      </c>
      <c r="E183" s="90"/>
      <c r="F183" s="90"/>
      <c r="G183" s="90"/>
      <c r="H183" s="89"/>
      <c r="I183" s="1"/>
      <c r="J183" s="1"/>
      <c r="K183" s="1"/>
      <c r="L183" s="1"/>
      <c r="M183" s="1"/>
      <c r="N183" s="1"/>
      <c r="O183" s="1"/>
      <c r="P183" s="1"/>
      <c r="Q183" s="1"/>
      <c r="R183" s="1"/>
      <c r="S183" s="1"/>
      <c r="T183" s="23" t="e">
        <f t="shared" ca="1" si="25"/>
        <v>#REF!</v>
      </c>
      <c r="U183" s="23" t="e">
        <f t="shared" ref="U183:V183" ca="1" si="26">U182+1</f>
        <v>#REF!</v>
      </c>
      <c r="V183" s="23">
        <f t="shared" ca="1" si="26"/>
        <v>4603</v>
      </c>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customHeight="1" x14ac:dyDescent="0.25">
      <c r="A184" s="94">
        <v>4</v>
      </c>
      <c r="B184" s="94"/>
      <c r="C184" s="75" t="s">
        <v>339</v>
      </c>
      <c r="D184" s="75" t="s">
        <v>340</v>
      </c>
      <c r="E184" s="86">
        <f>(65.248)*(10.764)</f>
        <v>702.32947200000001</v>
      </c>
      <c r="F184" s="86">
        <f>(3.2*1.23+0.6*(2.7+2.43+2.7))*(10.764)</f>
        <v>92.936375999999996</v>
      </c>
      <c r="G184" s="75">
        <v>0</v>
      </c>
      <c r="H184" s="75">
        <f t="shared" ref="H184:H186" si="27">E184+F184+(IF(G184&lt;101,G184,IF(G184&lt;201,G184/2,IF(G184&lt;=301,G184/3,G184/4))))</f>
        <v>795.26584800000001</v>
      </c>
      <c r="I184" s="1"/>
      <c r="J184" s="1"/>
      <c r="K184" s="1"/>
      <c r="L184" s="1"/>
      <c r="M184" s="1"/>
      <c r="N184" s="1"/>
      <c r="O184" s="1"/>
      <c r="P184" s="1"/>
      <c r="Q184" s="1"/>
      <c r="R184" s="1"/>
      <c r="S184" s="1"/>
      <c r="T184" s="23" t="e">
        <f t="shared" si="25"/>
        <v>#REF!</v>
      </c>
      <c r="U184" s="23" t="e">
        <f>#REF!+1</f>
        <v>#REF!</v>
      </c>
      <c r="V184" s="23" t="e">
        <f>#REF!+1</f>
        <v>#REF!</v>
      </c>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customHeight="1" x14ac:dyDescent="0.25">
      <c r="A185" s="94">
        <v>5</v>
      </c>
      <c r="B185" s="94"/>
      <c r="C185" s="75" t="s">
        <v>339</v>
      </c>
      <c r="D185" s="75" t="s">
        <v>340</v>
      </c>
      <c r="E185" s="86">
        <f>(64.89)*(10.764)</f>
        <v>698.47595999999999</v>
      </c>
      <c r="F185" s="86">
        <f>(3.2*1.23+0.6*(2.95+2.23+3.3))*(10.764)</f>
        <v>97.134336000000005</v>
      </c>
      <c r="G185" s="75">
        <v>0</v>
      </c>
      <c r="H185" s="75">
        <f t="shared" si="27"/>
        <v>795.61029599999995</v>
      </c>
      <c r="I185" s="1"/>
      <c r="J185" s="1"/>
      <c r="K185" s="1"/>
      <c r="L185" s="1"/>
      <c r="M185" s="1"/>
      <c r="N185" s="1"/>
      <c r="O185" s="1"/>
      <c r="P185" s="1"/>
      <c r="Q185" s="1"/>
      <c r="R185" s="1"/>
      <c r="S185" s="1"/>
      <c r="T185" s="23" t="e">
        <f t="shared" si="25"/>
        <v>#REF!</v>
      </c>
      <c r="U185" s="23" t="e">
        <f t="shared" ref="U185:V185" si="28">U184+1</f>
        <v>#REF!</v>
      </c>
      <c r="V185" s="23" t="e">
        <f t="shared" si="28"/>
        <v>#REF!</v>
      </c>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customHeight="1" x14ac:dyDescent="0.25">
      <c r="A186" s="94">
        <v>6</v>
      </c>
      <c r="B186" s="94"/>
      <c r="C186" s="75" t="s">
        <v>339</v>
      </c>
      <c r="D186" s="75" t="s">
        <v>340</v>
      </c>
      <c r="E186" s="86">
        <f>(65.255)*(10.764)</f>
        <v>702.40481999999986</v>
      </c>
      <c r="F186" s="86">
        <f>(3.2*1.23+0.6*(2.7+2.43+2.7))*(10.764)</f>
        <v>92.936375999999996</v>
      </c>
      <c r="G186" s="75">
        <v>0</v>
      </c>
      <c r="H186" s="75">
        <f t="shared" si="27"/>
        <v>795.34119599999985</v>
      </c>
      <c r="I186" s="1"/>
      <c r="J186" s="1"/>
      <c r="K186" s="1"/>
      <c r="L186" s="1"/>
      <c r="M186" s="1"/>
      <c r="N186" s="1"/>
      <c r="O186" s="1"/>
      <c r="P186" s="1"/>
      <c r="Q186" s="1"/>
      <c r="R186" s="1"/>
      <c r="S186" s="1"/>
      <c r="T186" s="23" t="e">
        <f t="shared" si="25"/>
        <v>#REF!</v>
      </c>
      <c r="U186" s="23" t="e">
        <f t="shared" ref="U186:V187" si="29">U185+1</f>
        <v>#REF!</v>
      </c>
      <c r="V186" s="23" t="e">
        <f t="shared" si="29"/>
        <v>#REF!</v>
      </c>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customHeight="1" x14ac:dyDescent="0.25">
      <c r="A187" s="88">
        <v>7</v>
      </c>
      <c r="B187" s="89"/>
      <c r="C187" s="82" t="s">
        <v>339</v>
      </c>
      <c r="D187" s="88" t="s">
        <v>387</v>
      </c>
      <c r="E187" s="90"/>
      <c r="F187" s="90"/>
      <c r="G187" s="90"/>
      <c r="H187" s="89"/>
      <c r="I187" s="1"/>
      <c r="J187" s="1"/>
      <c r="K187" s="1"/>
      <c r="L187" s="1"/>
      <c r="M187" s="1"/>
      <c r="N187" s="1"/>
      <c r="O187" s="1"/>
      <c r="P187" s="1"/>
      <c r="Q187" s="1"/>
      <c r="R187" s="1"/>
      <c r="S187" s="1"/>
      <c r="T187" s="23" t="e">
        <f t="shared" ref="T187" si="30">U187&amp;""&amp;" to "&amp;""&amp;V187</f>
        <v>#REF!</v>
      </c>
      <c r="U187" s="23" t="e">
        <f t="shared" si="29"/>
        <v>#REF!</v>
      </c>
      <c r="V187" s="23" t="e">
        <f t="shared" si="29"/>
        <v>#REF!</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x14ac:dyDescent="0.25">
      <c r="A188" s="91" t="s">
        <v>322</v>
      </c>
      <c r="B188" s="92"/>
      <c r="C188" s="92"/>
      <c r="D188" s="92"/>
      <c r="E188" s="92"/>
      <c r="F188" s="92"/>
      <c r="G188" s="92"/>
      <c r="H188" s="93"/>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x14ac:dyDescent="0.25">
      <c r="A189" s="91" t="s">
        <v>378</v>
      </c>
      <c r="B189" s="92"/>
      <c r="C189" s="92"/>
      <c r="D189" s="92"/>
      <c r="E189" s="92"/>
      <c r="F189" s="92"/>
      <c r="G189" s="92"/>
      <c r="H189" s="93"/>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x14ac:dyDescent="0.25">
      <c r="A190" s="95" t="s">
        <v>390</v>
      </c>
      <c r="B190" s="96"/>
      <c r="C190" s="96"/>
      <c r="D190" s="96"/>
      <c r="E190" s="96"/>
      <c r="F190" s="96"/>
      <c r="G190" s="96"/>
      <c r="H190" s="97"/>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42" customHeight="1" x14ac:dyDescent="0.25">
      <c r="A191" s="95" t="s">
        <v>391</v>
      </c>
      <c r="B191" s="96"/>
      <c r="C191" s="96"/>
      <c r="D191" s="96"/>
      <c r="E191" s="96"/>
      <c r="F191" s="96"/>
      <c r="G191" s="96"/>
      <c r="H191" s="97"/>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x14ac:dyDescent="0.25">
      <c r="A192" s="95" t="s">
        <v>392</v>
      </c>
      <c r="B192" s="96"/>
      <c r="C192" s="96"/>
      <c r="D192" s="96"/>
      <c r="E192" s="96"/>
      <c r="F192" s="96"/>
      <c r="G192" s="96"/>
      <c r="H192" s="97"/>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customHeight="1" x14ac:dyDescent="0.25">
      <c r="A193" s="98">
        <v>1</v>
      </c>
      <c r="B193" s="98"/>
      <c r="C193" s="84" t="s">
        <v>339</v>
      </c>
      <c r="D193" s="206" t="s">
        <v>345</v>
      </c>
      <c r="E193" s="207"/>
      <c r="F193" s="207"/>
      <c r="G193" s="207"/>
      <c r="H193" s="208"/>
      <c r="I193" s="1"/>
      <c r="J193" s="1"/>
      <c r="K193" s="1"/>
      <c r="L193" s="1"/>
      <c r="M193" s="1"/>
      <c r="N193" s="1"/>
      <c r="O193" s="1"/>
      <c r="P193" s="1"/>
      <c r="Q193" s="1"/>
      <c r="R193" s="1"/>
      <c r="S193" s="1"/>
      <c r="T193" s="23" t="str">
        <f ca="1">U193&amp;""&amp;" to "&amp;""&amp;V193</f>
        <v>201 to 301</v>
      </c>
      <c r="U193" s="23">
        <f ca="1">(SUMPRODUCT(MID(0&amp;(LEFT(A192,SUM(LEN(A192)-LEN(SUBSTITUTE(A192,{"0","1","2","3"},""))))), LARGE(INDEX(ISNUMBER(--MID((LEFT(A192,SUM(LEN(A192)-LEN(SUBSTITUTE(A192,{"0","1","2","3"},""))))), ROW(INDIRECT("1:"&amp;LEN((LEFT(A192,SUM(LEN(A192)-LEN(SUBSTITUTE(A192,{"0","1","2","3"},"")))))))), 1)) * ROW(INDIRECT("1:"&amp;LEN((LEFT(A192,SUM(LEN(A192)-LEN(SUBSTITUTE(A192,{"0","1","2","3"},"")))))))), 0), ROW(INDIRECT("1:"&amp;LEN((LEFT(A192,SUM(LEN(A192)-LEN(SUBSTITUTE(A192,{"0","1","2","3"},"")))))))))+1, 1) * 10^ROW(INDIRECT("1:"&amp;LEN((LEFT(A192,SUM(LEN(A192)-LEN(SUBSTITUTE(A192,{"0","1","2","3"},""))))))))/10))*100+1</f>
        <v>201</v>
      </c>
      <c r="V193" s="23">
        <f ca="1">(SUMPRODUCT(MID(0&amp;(--TRIM(RIGHT(SUBSTITUTE(LEFT(A192,_xlfn.AGGREGATE(16,6,FIND({0,1,2,3,4,5,6,7,8,9},A192,ROW(INDIRECT("1:"&amp;LEN(A192)))),1))," ",REPT(" ",LEN(A192))),LEN(A192)))), LARGE(INDEX(ISNUMBER(--MID((--TRIM(RIGHT(SUBSTITUTE(LEFT(A192,_xlfn.AGGREGATE(16,6,FIND({0,1,2,3,4,5,6,7,8,9},A192,ROW(INDIRECT("1:"&amp;LEN(A192)))),1))," ",REPT(" ",LEN(A192))),LEN(A192)))), ROW(INDIRECT("1:"&amp;LEN((--TRIM(RIGHT(SUBSTITUTE(LEFT(A192,_xlfn.AGGREGATE(16,6,FIND({0,1,2,3,4,5,6,7,8,9},A192,ROW(INDIRECT("1:"&amp;LEN(A192)))),1))," ",REPT(" ",LEN(A192))),LEN(A192))))))), 1)) * ROW(INDIRECT("1:"&amp;LEN((--TRIM(RIGHT(SUBSTITUTE(LEFT(A192,_xlfn.AGGREGATE(16,6,FIND({0,1,2,3,4,5,6,7,8,9},A192,ROW(INDIRECT("1:"&amp;LEN(A192)))),1))," ",REPT(" ",LEN(A192))),LEN(A192))))))), 0), ROW(INDIRECT("1:"&amp;LEN((--TRIM(RIGHT(SUBSTITUTE(LEFT(A192,_xlfn.AGGREGATE(16,6,FIND({0,1,2,3,4,5,6,7,8,9},A192,ROW(INDIRECT("1:"&amp;LEN(A192)))),1))," ",REPT(" ",LEN(A192))),LEN(A192))))))))+1, 1) * 10^ROW(INDIRECT("1:"&amp;LEN((--TRIM(RIGHT(SUBSTITUTE(LEFT(A192,_xlfn.AGGREGATE(16,6,FIND({0,1,2,3,4,5,6,7,8,9},A192,ROW(INDIRECT("1:"&amp;LEN(A192)))),1))," ",REPT(" ",LEN(A192))),LEN(A192)))))))/10))*100+1</f>
        <v>301</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customHeight="1" x14ac:dyDescent="0.25">
      <c r="A194" s="98">
        <v>2</v>
      </c>
      <c r="B194" s="98"/>
      <c r="C194" s="84" t="s">
        <v>339</v>
      </c>
      <c r="D194" s="209"/>
      <c r="E194" s="210"/>
      <c r="F194" s="210"/>
      <c r="G194" s="210"/>
      <c r="H194" s="211"/>
      <c r="I194" s="1"/>
      <c r="J194" s="1"/>
      <c r="K194" s="1"/>
      <c r="L194" s="1"/>
      <c r="M194" s="1"/>
      <c r="N194" s="1"/>
      <c r="O194" s="1"/>
      <c r="P194" s="1"/>
      <c r="Q194" s="1"/>
      <c r="R194" s="1"/>
      <c r="S194" s="1"/>
      <c r="T194" s="23" t="str">
        <f t="shared" ref="T194:T199" ca="1" si="31">U194&amp;""&amp;" to "&amp;""&amp;V194</f>
        <v>202 to 302</v>
      </c>
      <c r="U194" s="23">
        <f ca="1">U193+1</f>
        <v>202</v>
      </c>
      <c r="V194" s="23">
        <f ca="1">V193+1</f>
        <v>302</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customHeight="1" x14ac:dyDescent="0.25">
      <c r="A195" s="98">
        <v>3</v>
      </c>
      <c r="B195" s="98"/>
      <c r="C195" s="84" t="s">
        <v>339</v>
      </c>
      <c r="D195" s="212"/>
      <c r="E195" s="213"/>
      <c r="F195" s="213"/>
      <c r="G195" s="213"/>
      <c r="H195" s="214"/>
      <c r="I195" s="1"/>
      <c r="J195" s="1"/>
      <c r="K195" s="1"/>
      <c r="L195" s="1"/>
      <c r="M195" s="1"/>
      <c r="N195" s="1"/>
      <c r="O195" s="1"/>
      <c r="P195" s="1"/>
      <c r="Q195" s="1"/>
      <c r="R195" s="1"/>
      <c r="S195" s="1"/>
      <c r="T195" s="23" t="str">
        <f t="shared" ca="1" si="31"/>
        <v>203 to 303</v>
      </c>
      <c r="U195" s="23">
        <f t="shared" ref="U195:V199" ca="1" si="32">U194+1</f>
        <v>203</v>
      </c>
      <c r="V195" s="23">
        <f t="shared" ca="1" si="32"/>
        <v>303</v>
      </c>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customHeight="1" x14ac:dyDescent="0.25">
      <c r="A196" s="98">
        <v>4</v>
      </c>
      <c r="B196" s="98"/>
      <c r="C196" s="84" t="s">
        <v>339</v>
      </c>
      <c r="D196" s="84" t="s">
        <v>340</v>
      </c>
      <c r="E196" s="87">
        <f>(65.292)*(10.764)</f>
        <v>702.803088</v>
      </c>
      <c r="F196" s="87">
        <f>(3.2*1.23+0.6*(2.7+2.43+2.55))*(10.764)</f>
        <v>91.967616000000007</v>
      </c>
      <c r="G196" s="84">
        <v>0</v>
      </c>
      <c r="H196" s="84">
        <f t="shared" ref="H196:H198" si="33">E196+F196+(IF(G196&lt;101,G196,IF(G196&lt;201,G196/2,IF(G196&lt;=301,G196/3,G196/4))))</f>
        <v>794.77070400000002</v>
      </c>
      <c r="I196" s="1">
        <f>3.2*5.77+2.28*2.82+3.05*4.24+3.05*3.82+1.38*2.5+2.45*1.38+0.6*1.48+0.05*1.18+0.1*1+2.48*1+2.4*0.05+1.55*1.08+2.75*0.15</f>
        <v>62.041099999999993</v>
      </c>
      <c r="J196" s="1"/>
      <c r="K196" s="1"/>
      <c r="L196" s="1"/>
      <c r="M196" s="1"/>
      <c r="N196" s="1"/>
      <c r="O196" s="1"/>
      <c r="P196" s="1"/>
      <c r="Q196" s="1"/>
      <c r="R196" s="1"/>
      <c r="S196" s="1"/>
      <c r="T196" s="23" t="str">
        <f t="shared" ca="1" si="31"/>
        <v>204 to 304</v>
      </c>
      <c r="U196" s="23">
        <f t="shared" ca="1" si="32"/>
        <v>204</v>
      </c>
      <c r="V196" s="23">
        <f t="shared" ca="1" si="32"/>
        <v>304</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customHeight="1" x14ac:dyDescent="0.25">
      <c r="A197" s="98">
        <v>5</v>
      </c>
      <c r="B197" s="98"/>
      <c r="C197" s="84" t="s">
        <v>339</v>
      </c>
      <c r="D197" s="84" t="s">
        <v>340</v>
      </c>
      <c r="E197" s="87">
        <f>(64.963)*(10.764)</f>
        <v>699.26173199999994</v>
      </c>
      <c r="F197" s="87">
        <f>(3.2*1.23+0.6*(2.95+2.23+3))*(10.764)</f>
        <v>95.196815999999984</v>
      </c>
      <c r="G197" s="84">
        <v>0</v>
      </c>
      <c r="H197" s="84">
        <f t="shared" si="33"/>
        <v>794.45854799999995</v>
      </c>
      <c r="I197" s="1"/>
      <c r="J197" s="1"/>
      <c r="K197" s="1"/>
      <c r="L197" s="1"/>
      <c r="M197" s="1"/>
      <c r="N197" s="1"/>
      <c r="O197" s="1"/>
      <c r="P197" s="1"/>
      <c r="Q197" s="1"/>
      <c r="R197" s="1"/>
      <c r="S197" s="1"/>
      <c r="T197" s="23" t="str">
        <f t="shared" ca="1" si="31"/>
        <v>205 to 305</v>
      </c>
      <c r="U197" s="23">
        <f t="shared" ca="1" si="32"/>
        <v>205</v>
      </c>
      <c r="V197" s="23">
        <f t="shared" ca="1" si="32"/>
        <v>305</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customHeight="1" x14ac:dyDescent="0.25">
      <c r="A198" s="98">
        <v>6</v>
      </c>
      <c r="B198" s="98"/>
      <c r="C198" s="84" t="s">
        <v>339</v>
      </c>
      <c r="D198" s="84" t="s">
        <v>341</v>
      </c>
      <c r="E198" s="87">
        <f>(84.444)*(10.764)</f>
        <v>908.95521599999995</v>
      </c>
      <c r="F198" s="87">
        <f>(3.2*1.33+0.6*(6.18+2.85)+2.45*1)*(10.764)</f>
        <v>130.50273599999997</v>
      </c>
      <c r="G198" s="84">
        <v>0</v>
      </c>
      <c r="H198" s="84">
        <f t="shared" si="33"/>
        <v>1039.457952</v>
      </c>
      <c r="I198" s="1"/>
      <c r="J198" s="1"/>
      <c r="K198" s="1"/>
      <c r="L198" s="1"/>
      <c r="M198" s="1"/>
      <c r="N198" s="1"/>
      <c r="O198" s="1"/>
      <c r="P198" s="1"/>
      <c r="Q198" s="1"/>
      <c r="R198" s="1"/>
      <c r="S198" s="1"/>
      <c r="T198" s="23" t="str">
        <f t="shared" ca="1" si="31"/>
        <v>206 to 306</v>
      </c>
      <c r="U198" s="23">
        <f t="shared" ca="1" si="32"/>
        <v>206</v>
      </c>
      <c r="V198" s="23">
        <f t="shared" ca="1" si="32"/>
        <v>306</v>
      </c>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customHeight="1" x14ac:dyDescent="0.25">
      <c r="A199" s="98">
        <v>7</v>
      </c>
      <c r="B199" s="98"/>
      <c r="C199" s="84" t="s">
        <v>339</v>
      </c>
      <c r="D199" s="215" t="s">
        <v>345</v>
      </c>
      <c r="E199" s="216"/>
      <c r="F199" s="216"/>
      <c r="G199" s="216"/>
      <c r="H199" s="217"/>
      <c r="I199" s="1"/>
      <c r="J199" s="1"/>
      <c r="K199" s="1"/>
      <c r="L199" s="1"/>
      <c r="M199" s="1"/>
      <c r="N199" s="1"/>
      <c r="O199" s="1"/>
      <c r="P199" s="1"/>
      <c r="Q199" s="1"/>
      <c r="R199" s="1"/>
      <c r="S199" s="1"/>
      <c r="T199" s="23" t="str">
        <f t="shared" ca="1" si="31"/>
        <v>207 to 307</v>
      </c>
      <c r="U199" s="23">
        <f t="shared" ca="1" si="32"/>
        <v>207</v>
      </c>
      <c r="V199" s="23">
        <f t="shared" ca="1" si="32"/>
        <v>307</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hidden="1" x14ac:dyDescent="0.25">
      <c r="A200" s="99" t="s">
        <v>355</v>
      </c>
      <c r="B200" s="100"/>
      <c r="C200" s="100"/>
      <c r="D200" s="100"/>
      <c r="E200" s="100"/>
      <c r="F200" s="100"/>
      <c r="G200" s="100"/>
      <c r="H200" s="10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hidden="1" customHeight="1" x14ac:dyDescent="0.25">
      <c r="A201" s="102" t="s">
        <v>339</v>
      </c>
      <c r="B201" s="102"/>
      <c r="C201" s="83" t="s">
        <v>339</v>
      </c>
      <c r="D201" s="103" t="s">
        <v>345</v>
      </c>
      <c r="E201" s="104"/>
      <c r="F201" s="104"/>
      <c r="G201" s="104"/>
      <c r="H201" s="105"/>
      <c r="I201" s="1"/>
      <c r="J201" s="1"/>
      <c r="K201" s="1"/>
      <c r="L201" s="1"/>
      <c r="M201" s="1"/>
      <c r="N201" s="1"/>
      <c r="O201" s="1"/>
      <c r="P201" s="1"/>
      <c r="Q201" s="1"/>
      <c r="R201" s="1"/>
      <c r="S201" s="1"/>
      <c r="T201" s="23" t="str">
        <f ca="1">U201&amp;""&amp;" to "&amp;""&amp;V201</f>
        <v>301 to 301</v>
      </c>
      <c r="U201" s="23">
        <f ca="1">(SUMPRODUCT(MID(0&amp;(LEFT(A200,SUM(LEN(A200)-LEN(SUBSTITUTE(A200,{"0","1","2","3"},""))))), LARGE(INDEX(ISNUMBER(--MID((LEFT(A200,SUM(LEN(A200)-LEN(SUBSTITUTE(A200,{"0","1","2","3"},""))))), ROW(INDIRECT("1:"&amp;LEN((LEFT(A200,SUM(LEN(A200)-LEN(SUBSTITUTE(A200,{"0","1","2","3"},"")))))))), 1)) * ROW(INDIRECT("1:"&amp;LEN((LEFT(A200,SUM(LEN(A200)-LEN(SUBSTITUTE(A200,{"0","1","2","3"},"")))))))), 0), ROW(INDIRECT("1:"&amp;LEN((LEFT(A200,SUM(LEN(A200)-LEN(SUBSTITUTE(A200,{"0","1","2","3"},"")))))))))+1, 1) * 10^ROW(INDIRECT("1:"&amp;LEN((LEFT(A200,SUM(LEN(A200)-LEN(SUBSTITUTE(A200,{"0","1","2","3"},""))))))))/10))*100+1</f>
        <v>301</v>
      </c>
      <c r="V201" s="23">
        <f ca="1">(SUMPRODUCT(MID(0&amp;(--TRIM(RIGHT(SUBSTITUTE(LEFT(A200,_xlfn.AGGREGATE(16,6,FIND({0,1,2,3,4,5,6,7,8,9},A200,ROW(INDIRECT("1:"&amp;LEN(A200)))),1))," ",REPT(" ",LEN(A200))),LEN(A200)))), LARGE(INDEX(ISNUMBER(--MID((--TRIM(RIGHT(SUBSTITUTE(LEFT(A200,_xlfn.AGGREGATE(16,6,FIND({0,1,2,3,4,5,6,7,8,9},A200,ROW(INDIRECT("1:"&amp;LEN(A200)))),1))," ",REPT(" ",LEN(A200))),LEN(A200)))), ROW(INDIRECT("1:"&amp;LEN((--TRIM(RIGHT(SUBSTITUTE(LEFT(A200,_xlfn.AGGREGATE(16,6,FIND({0,1,2,3,4,5,6,7,8,9},A200,ROW(INDIRECT("1:"&amp;LEN(A200)))),1))," ",REPT(" ",LEN(A200))),LEN(A200))))))), 1)) * ROW(INDIRECT("1:"&amp;LEN((--TRIM(RIGHT(SUBSTITUTE(LEFT(A200,_xlfn.AGGREGATE(16,6,FIND({0,1,2,3,4,5,6,7,8,9},A200,ROW(INDIRECT("1:"&amp;LEN(A200)))),1))," ",REPT(" ",LEN(A200))),LEN(A200))))))), 0), ROW(INDIRECT("1:"&amp;LEN((--TRIM(RIGHT(SUBSTITUTE(LEFT(A200,_xlfn.AGGREGATE(16,6,FIND({0,1,2,3,4,5,6,7,8,9},A200,ROW(INDIRECT("1:"&amp;LEN(A200)))),1))," ",REPT(" ",LEN(A200))),LEN(A200))))))))+1, 1) * 10^ROW(INDIRECT("1:"&amp;LEN((--TRIM(RIGHT(SUBSTITUTE(LEFT(A200,_xlfn.AGGREGATE(16,6,FIND({0,1,2,3,4,5,6,7,8,9},A200,ROW(INDIRECT("1:"&amp;LEN(A200)))),1))," ",REPT(" ",LEN(A200))),LEN(A200)))))))/10))*100+1</f>
        <v>301</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hidden="1" customHeight="1" x14ac:dyDescent="0.25">
      <c r="A202" s="102" t="s">
        <v>339</v>
      </c>
      <c r="B202" s="102"/>
      <c r="C202" s="83" t="s">
        <v>339</v>
      </c>
      <c r="D202" s="106"/>
      <c r="E202" s="107"/>
      <c r="F202" s="107"/>
      <c r="G202" s="107"/>
      <c r="H202" s="108"/>
      <c r="I202" s="1"/>
      <c r="J202" s="1"/>
      <c r="K202" s="1"/>
      <c r="L202" s="1"/>
      <c r="M202" s="1"/>
      <c r="N202" s="1"/>
      <c r="O202" s="1"/>
      <c r="P202" s="1"/>
      <c r="Q202" s="1"/>
      <c r="R202" s="1"/>
      <c r="S202" s="1"/>
      <c r="T202" s="23" t="str">
        <f t="shared" ref="T202:T207" ca="1" si="34">U202&amp;""&amp;" to "&amp;""&amp;V202</f>
        <v>302 to 302</v>
      </c>
      <c r="U202" s="23">
        <f ca="1">U201+1</f>
        <v>302</v>
      </c>
      <c r="V202" s="23">
        <f ca="1">V201+1</f>
        <v>302</v>
      </c>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hidden="1" customHeight="1" x14ac:dyDescent="0.25">
      <c r="A203" s="102" t="s">
        <v>339</v>
      </c>
      <c r="B203" s="102"/>
      <c r="C203" s="83" t="s">
        <v>339</v>
      </c>
      <c r="D203" s="109"/>
      <c r="E203" s="110"/>
      <c r="F203" s="110"/>
      <c r="G203" s="110"/>
      <c r="H203" s="111"/>
      <c r="I203" s="1"/>
      <c r="J203" s="1"/>
      <c r="K203" s="1"/>
      <c r="L203" s="1"/>
      <c r="M203" s="1"/>
      <c r="N203" s="1"/>
      <c r="O203" s="1"/>
      <c r="P203" s="1"/>
      <c r="Q203" s="1"/>
      <c r="R203" s="1"/>
      <c r="S203" s="1"/>
      <c r="T203" s="23" t="str">
        <f t="shared" ca="1" si="34"/>
        <v>303 to 303</v>
      </c>
      <c r="U203" s="23">
        <f t="shared" ref="U203:V203" ca="1" si="35">U202+1</f>
        <v>303</v>
      </c>
      <c r="V203" s="23">
        <f t="shared" ca="1" si="35"/>
        <v>303</v>
      </c>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hidden="1" customHeight="1" x14ac:dyDescent="0.25">
      <c r="A204" s="102">
        <v>4</v>
      </c>
      <c r="B204" s="102"/>
      <c r="C204" s="83" t="s">
        <v>339</v>
      </c>
      <c r="D204" s="83" t="s">
        <v>340</v>
      </c>
      <c r="E204" s="83">
        <f>(65.292)*(10.764)</f>
        <v>702.803088</v>
      </c>
      <c r="F204" s="83">
        <f>(3.2*1.23+0.6*(2.7+2.43+2.55))*(10.764)</f>
        <v>91.967616000000007</v>
      </c>
      <c r="G204" s="83">
        <v>0</v>
      </c>
      <c r="H204" s="83">
        <f t="shared" ref="H204:H206" si="36">E204+F204+(IF(G204&lt;101,G204,IF(G204&lt;201,G204/2,IF(G204&lt;=301,G204/3,G204/4))))</f>
        <v>794.77070400000002</v>
      </c>
      <c r="I204" s="1"/>
      <c r="J204" s="1"/>
      <c r="K204" s="1"/>
      <c r="L204" s="1"/>
      <c r="M204" s="1"/>
      <c r="N204" s="1"/>
      <c r="O204" s="1"/>
      <c r="P204" s="1"/>
      <c r="Q204" s="1"/>
      <c r="R204" s="1"/>
      <c r="S204" s="1"/>
      <c r="T204" s="23" t="str">
        <f t="shared" ca="1" si="34"/>
        <v>304 to 304</v>
      </c>
      <c r="U204" s="23">
        <f t="shared" ref="U204:V204" ca="1" si="37">U203+1</f>
        <v>304</v>
      </c>
      <c r="V204" s="23">
        <f t="shared" ca="1" si="37"/>
        <v>304</v>
      </c>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hidden="1" customHeight="1" x14ac:dyDescent="0.25">
      <c r="A205" s="102">
        <v>5</v>
      </c>
      <c r="B205" s="102"/>
      <c r="C205" s="83" t="s">
        <v>339</v>
      </c>
      <c r="D205" s="83" t="s">
        <v>340</v>
      </c>
      <c r="E205" s="83">
        <f>(64.963)*(10.764)</f>
        <v>699.26173199999994</v>
      </c>
      <c r="F205" s="83">
        <f>(3.2*1.23+0.6*(2.95+2.23+3))*(10.764)</f>
        <v>95.196815999999984</v>
      </c>
      <c r="G205" s="83">
        <v>0</v>
      </c>
      <c r="H205" s="83">
        <f t="shared" si="36"/>
        <v>794.45854799999995</v>
      </c>
      <c r="I205" s="1"/>
      <c r="J205" s="1"/>
      <c r="K205" s="1"/>
      <c r="L205" s="1"/>
      <c r="M205" s="1"/>
      <c r="N205" s="1"/>
      <c r="O205" s="1"/>
      <c r="P205" s="1"/>
      <c r="Q205" s="1"/>
      <c r="R205" s="1"/>
      <c r="S205" s="1"/>
      <c r="T205" s="23" t="str">
        <f t="shared" ca="1" si="34"/>
        <v>305 to 305</v>
      </c>
      <c r="U205" s="23">
        <f t="shared" ref="U205:V205" ca="1" si="38">U204+1</f>
        <v>305</v>
      </c>
      <c r="V205" s="23">
        <f t="shared" ca="1" si="38"/>
        <v>305</v>
      </c>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hidden="1" customHeight="1" x14ac:dyDescent="0.25">
      <c r="A206" s="102">
        <v>6</v>
      </c>
      <c r="B206" s="102"/>
      <c r="C206" s="83" t="s">
        <v>339</v>
      </c>
      <c r="D206" s="83" t="s">
        <v>341</v>
      </c>
      <c r="E206" s="83">
        <f>(84.444)*(10.764)</f>
        <v>908.95521599999995</v>
      </c>
      <c r="F206" s="83">
        <f>(3.2*1.23+0.6*(6.18+2.85)+2.45*1)*(10.764)</f>
        <v>127.05825599999997</v>
      </c>
      <c r="G206" s="83">
        <v>0</v>
      </c>
      <c r="H206" s="83">
        <f t="shared" si="36"/>
        <v>1036.0134719999999</v>
      </c>
      <c r="I206" s="1"/>
      <c r="J206" s="1"/>
      <c r="K206" s="1"/>
      <c r="L206" s="1"/>
      <c r="M206" s="1"/>
      <c r="N206" s="1"/>
      <c r="O206" s="1"/>
      <c r="P206" s="1"/>
      <c r="Q206" s="1"/>
      <c r="R206" s="1"/>
      <c r="S206" s="1"/>
      <c r="T206" s="23" t="str">
        <f t="shared" ca="1" si="34"/>
        <v>306 to 306</v>
      </c>
      <c r="U206" s="23">
        <f t="shared" ref="U206:V206" ca="1" si="39">U205+1</f>
        <v>306</v>
      </c>
      <c r="V206" s="23">
        <f t="shared" ca="1" si="39"/>
        <v>306</v>
      </c>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hidden="1" customHeight="1" x14ac:dyDescent="0.25">
      <c r="A207" s="102" t="s">
        <v>339</v>
      </c>
      <c r="B207" s="102"/>
      <c r="C207" s="83" t="s">
        <v>339</v>
      </c>
      <c r="D207" s="218" t="s">
        <v>345</v>
      </c>
      <c r="E207" s="219"/>
      <c r="F207" s="219"/>
      <c r="G207" s="219"/>
      <c r="H207" s="220"/>
      <c r="I207" s="1"/>
      <c r="J207" s="1"/>
      <c r="K207" s="1"/>
      <c r="L207" s="1"/>
      <c r="M207" s="1"/>
      <c r="N207" s="1"/>
      <c r="O207" s="1"/>
      <c r="P207" s="1"/>
      <c r="Q207" s="1"/>
      <c r="R207" s="1"/>
      <c r="S207" s="1"/>
      <c r="T207" s="23" t="str">
        <f t="shared" ca="1" si="34"/>
        <v>307 to 307</v>
      </c>
      <c r="U207" s="23">
        <f t="shared" ref="U207:V207" ca="1" si="40">U206+1</f>
        <v>307</v>
      </c>
      <c r="V207" s="23">
        <f t="shared" ca="1" si="40"/>
        <v>307</v>
      </c>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x14ac:dyDescent="0.25">
      <c r="A208" s="95" t="s">
        <v>356</v>
      </c>
      <c r="B208" s="96"/>
      <c r="C208" s="96"/>
      <c r="D208" s="96"/>
      <c r="E208" s="96"/>
      <c r="F208" s="96"/>
      <c r="G208" s="96"/>
      <c r="H208" s="97"/>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0.25" customHeight="1" x14ac:dyDescent="0.25">
      <c r="A209" s="98">
        <v>1</v>
      </c>
      <c r="B209" s="98"/>
      <c r="C209" s="84" t="s">
        <v>339</v>
      </c>
      <c r="D209" s="206" t="s">
        <v>345</v>
      </c>
      <c r="E209" s="207"/>
      <c r="F209" s="207"/>
      <c r="G209" s="207"/>
      <c r="H209" s="208"/>
      <c r="I209" s="1"/>
      <c r="J209" s="1"/>
      <c r="K209" s="1"/>
      <c r="L209" s="1"/>
      <c r="M209" s="1"/>
      <c r="N209" s="1"/>
      <c r="O209" s="1"/>
      <c r="P209" s="1"/>
      <c r="Q209" s="1"/>
      <c r="R209" s="1"/>
      <c r="S209" s="1"/>
      <c r="T209" s="23" t="e">
        <f ca="1">U209&amp;""&amp;" to "&amp;""&amp;V209</f>
        <v>#REF!</v>
      </c>
      <c r="U209" s="23" t="e">
        <f ca="1">(SUMPRODUCT(MID(0&amp;(LEFT(A208,SUM(LEN(A208)-LEN(SUBSTITUTE(A208,{"0","1","2","3"},""))))), LARGE(INDEX(ISNUMBER(--MID((LEFT(A208,SUM(LEN(A208)-LEN(SUBSTITUTE(A208,{"0","1","2","3"},""))))), ROW(INDIRECT("1:"&amp;LEN((LEFT(A208,SUM(LEN(A208)-LEN(SUBSTITUTE(A208,{"0","1","2","3"},"")))))))), 1)) * ROW(INDIRECT("1:"&amp;LEN((LEFT(A208,SUM(LEN(A208)-LEN(SUBSTITUTE(A208,{"0","1","2","3"},"")))))))), 0), ROW(INDIRECT("1:"&amp;LEN((LEFT(A208,SUM(LEN(A208)-LEN(SUBSTITUTE(A208,{"0","1","2","3"},"")))))))))+1, 1) * 10^ROW(INDIRECT("1:"&amp;LEN((LEFT(A208,SUM(LEN(A208)-LEN(SUBSTITUTE(A208,{"0","1","2","3"},""))))))))/10))*100+1</f>
        <v>#REF!</v>
      </c>
      <c r="V209" s="23">
        <f ca="1">(SUMPRODUCT(MID(0&amp;(--TRIM(RIGHT(SUBSTITUTE(LEFT(A208,_xlfn.AGGREGATE(16,6,FIND({0,1,2,3,4,5,6,7,8,9},A208,ROW(INDIRECT("1:"&amp;LEN(A208)))),1))," ",REPT(" ",LEN(A208))),LEN(A208)))), LARGE(INDEX(ISNUMBER(--MID((--TRIM(RIGHT(SUBSTITUTE(LEFT(A208,_xlfn.AGGREGATE(16,6,FIND({0,1,2,3,4,5,6,7,8,9},A208,ROW(INDIRECT("1:"&amp;LEN(A208)))),1))," ",REPT(" ",LEN(A208))),LEN(A208)))), ROW(INDIRECT("1:"&amp;LEN((--TRIM(RIGHT(SUBSTITUTE(LEFT(A208,_xlfn.AGGREGATE(16,6,FIND({0,1,2,3,4,5,6,7,8,9},A208,ROW(INDIRECT("1:"&amp;LEN(A208)))),1))," ",REPT(" ",LEN(A208))),LEN(A208))))))), 1)) * ROW(INDIRECT("1:"&amp;LEN((--TRIM(RIGHT(SUBSTITUTE(LEFT(A208,_xlfn.AGGREGATE(16,6,FIND({0,1,2,3,4,5,6,7,8,9},A208,ROW(INDIRECT("1:"&amp;LEN(A208)))),1))," ",REPT(" ",LEN(A208))),LEN(A208))))))), 0), ROW(INDIRECT("1:"&amp;LEN((--TRIM(RIGHT(SUBSTITUTE(LEFT(A208,_xlfn.AGGREGATE(16,6,FIND({0,1,2,3,4,5,6,7,8,9},A208,ROW(INDIRECT("1:"&amp;LEN(A208)))),1))," ",REPT(" ",LEN(A208))),LEN(A208))))))))+1, 1) * 10^ROW(INDIRECT("1:"&amp;LEN((--TRIM(RIGHT(SUBSTITUTE(LEFT(A208,_xlfn.AGGREGATE(16,6,FIND({0,1,2,3,4,5,6,7,8,9},A208,ROW(INDIRECT("1:"&amp;LEN(A208)))),1))," ",REPT(" ",LEN(A208))),LEN(A208)))))))/10))*100+1</f>
        <v>401</v>
      </c>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0.25" customHeight="1" x14ac:dyDescent="0.25">
      <c r="A210" s="98">
        <v>2</v>
      </c>
      <c r="B210" s="98"/>
      <c r="C210" s="84" t="s">
        <v>339</v>
      </c>
      <c r="D210" s="209"/>
      <c r="E210" s="210"/>
      <c r="F210" s="210"/>
      <c r="G210" s="210"/>
      <c r="H210" s="211"/>
      <c r="I210" s="1"/>
      <c r="J210" s="1"/>
      <c r="K210" s="1"/>
      <c r="L210" s="1"/>
      <c r="M210" s="1"/>
      <c r="N210" s="1"/>
      <c r="O210" s="1"/>
      <c r="P210" s="1"/>
      <c r="Q210" s="1"/>
      <c r="R210" s="1"/>
      <c r="S210" s="1"/>
      <c r="T210" s="23" t="e">
        <f t="shared" ref="T210:T215" ca="1" si="41">U210&amp;""&amp;" to "&amp;""&amp;V210</f>
        <v>#REF!</v>
      </c>
      <c r="U210" s="23" t="e">
        <f ca="1">U209+1</f>
        <v>#REF!</v>
      </c>
      <c r="V210" s="23">
        <f ca="1">V209+1</f>
        <v>402</v>
      </c>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20.25" customHeight="1" x14ac:dyDescent="0.25">
      <c r="A211" s="98">
        <v>3</v>
      </c>
      <c r="B211" s="98"/>
      <c r="C211" s="84" t="s">
        <v>339</v>
      </c>
      <c r="D211" s="212"/>
      <c r="E211" s="213"/>
      <c r="F211" s="213"/>
      <c r="G211" s="213"/>
      <c r="H211" s="214"/>
      <c r="I211" s="1"/>
      <c r="J211" s="1"/>
      <c r="K211" s="1"/>
      <c r="L211" s="1"/>
      <c r="M211" s="1"/>
      <c r="N211" s="1"/>
      <c r="O211" s="1"/>
      <c r="P211" s="1"/>
      <c r="Q211" s="1"/>
      <c r="R211" s="1"/>
      <c r="S211" s="1"/>
      <c r="T211" s="23" t="e">
        <f t="shared" ca="1" si="41"/>
        <v>#REF!</v>
      </c>
      <c r="U211" s="23" t="e">
        <f t="shared" ref="U211:V211" ca="1" si="42">U210+1</f>
        <v>#REF!</v>
      </c>
      <c r="V211" s="23">
        <f t="shared" ca="1" si="42"/>
        <v>403</v>
      </c>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customHeight="1" x14ac:dyDescent="0.25">
      <c r="A212" s="98">
        <v>4</v>
      </c>
      <c r="B212" s="98"/>
      <c r="C212" s="84" t="s">
        <v>339</v>
      </c>
      <c r="D212" s="84" t="s">
        <v>340</v>
      </c>
      <c r="E212" s="87">
        <f>(65.292)*(10.764)</f>
        <v>702.803088</v>
      </c>
      <c r="F212" s="87">
        <f>(3.2*1.23+0.6*(2.7+2.43+2.55))*(10.764)</f>
        <v>91.967616000000007</v>
      </c>
      <c r="G212" s="84">
        <v>0</v>
      </c>
      <c r="H212" s="84">
        <f t="shared" ref="H212:H214" si="43">E212+F212+(IF(G212&lt;101,G212,IF(G212&lt;201,G212/2,IF(G212&lt;=301,G212/3,G212/4))))</f>
        <v>794.77070400000002</v>
      </c>
      <c r="I212" s="1"/>
      <c r="J212" s="1"/>
      <c r="K212" s="1"/>
      <c r="L212" s="1"/>
      <c r="M212" s="1"/>
      <c r="N212" s="1"/>
      <c r="O212" s="1"/>
      <c r="P212" s="1"/>
      <c r="Q212" s="1"/>
      <c r="R212" s="1"/>
      <c r="S212" s="1"/>
      <c r="T212" s="23" t="e">
        <f t="shared" ca="1" si="41"/>
        <v>#REF!</v>
      </c>
      <c r="U212" s="23" t="e">
        <f t="shared" ref="U212:V212" ca="1" si="44">U211+1</f>
        <v>#REF!</v>
      </c>
      <c r="V212" s="23">
        <f t="shared" ca="1" si="44"/>
        <v>404</v>
      </c>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customHeight="1" x14ac:dyDescent="0.25">
      <c r="A213" s="98">
        <v>5</v>
      </c>
      <c r="B213" s="98"/>
      <c r="C213" s="84" t="s">
        <v>339</v>
      </c>
      <c r="D213" s="84" t="s">
        <v>340</v>
      </c>
      <c r="E213" s="87">
        <f>(64.963)*(10.764)</f>
        <v>699.26173199999994</v>
      </c>
      <c r="F213" s="87">
        <f>(3.2*1.23+0.6*(2.95+2.23+3))*(10.764)</f>
        <v>95.196815999999984</v>
      </c>
      <c r="G213" s="84">
        <v>0</v>
      </c>
      <c r="H213" s="84">
        <f t="shared" si="43"/>
        <v>794.45854799999995</v>
      </c>
      <c r="I213" s="1"/>
      <c r="J213" s="1"/>
      <c r="K213" s="1"/>
      <c r="L213" s="1"/>
      <c r="M213" s="1"/>
      <c r="N213" s="1"/>
      <c r="O213" s="1"/>
      <c r="P213" s="1"/>
      <c r="Q213" s="1"/>
      <c r="R213" s="1"/>
      <c r="S213" s="1"/>
      <c r="T213" s="23" t="e">
        <f t="shared" ca="1" si="41"/>
        <v>#REF!</v>
      </c>
      <c r="U213" s="23" t="e">
        <f t="shared" ref="U213:V213" ca="1" si="45">U212+1</f>
        <v>#REF!</v>
      </c>
      <c r="V213" s="23">
        <f t="shared" ca="1" si="45"/>
        <v>405</v>
      </c>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customHeight="1" x14ac:dyDescent="0.25">
      <c r="A214" s="98">
        <v>6</v>
      </c>
      <c r="B214" s="98"/>
      <c r="C214" s="84" t="s">
        <v>339</v>
      </c>
      <c r="D214" s="84" t="s">
        <v>341</v>
      </c>
      <c r="E214" s="87">
        <f>(84.444)*(10.764)</f>
        <v>908.95521599999995</v>
      </c>
      <c r="F214" s="87">
        <f>(3.2*1.33+0.6*(6.18+2.85)+2.45*1)*(10.764)</f>
        <v>130.50273599999997</v>
      </c>
      <c r="G214" s="84">
        <v>0</v>
      </c>
      <c r="H214" s="84">
        <f t="shared" si="43"/>
        <v>1039.457952</v>
      </c>
      <c r="I214" s="1"/>
      <c r="J214" s="1"/>
      <c r="K214" s="1"/>
      <c r="L214" s="1"/>
      <c r="M214" s="1"/>
      <c r="N214" s="1"/>
      <c r="O214" s="1"/>
      <c r="P214" s="1"/>
      <c r="Q214" s="1"/>
      <c r="R214" s="1"/>
      <c r="S214" s="1"/>
      <c r="T214" s="23" t="e">
        <f t="shared" ca="1" si="41"/>
        <v>#REF!</v>
      </c>
      <c r="U214" s="23" t="e">
        <f t="shared" ref="U214:V214" ca="1" si="46">U213+1</f>
        <v>#REF!</v>
      </c>
      <c r="V214" s="23">
        <f t="shared" ca="1" si="46"/>
        <v>406</v>
      </c>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customHeight="1" x14ac:dyDescent="0.25">
      <c r="A215" s="98">
        <v>7</v>
      </c>
      <c r="B215" s="98"/>
      <c r="C215" s="84" t="s">
        <v>339</v>
      </c>
      <c r="D215" s="215" t="s">
        <v>345</v>
      </c>
      <c r="E215" s="216"/>
      <c r="F215" s="216"/>
      <c r="G215" s="216"/>
      <c r="H215" s="217"/>
      <c r="I215" s="1"/>
      <c r="J215" s="1"/>
      <c r="K215" s="1"/>
      <c r="L215" s="1"/>
      <c r="M215" s="1"/>
      <c r="N215" s="1"/>
      <c r="O215" s="1"/>
      <c r="P215" s="1"/>
      <c r="Q215" s="1"/>
      <c r="R215" s="1"/>
      <c r="S215" s="1"/>
      <c r="T215" s="23" t="e">
        <f t="shared" ca="1" si="41"/>
        <v>#REF!</v>
      </c>
      <c r="U215" s="23" t="e">
        <f t="shared" ref="U215:V215" ca="1" si="47">U214+1</f>
        <v>#REF!</v>
      </c>
      <c r="V215" s="23">
        <f t="shared" ca="1" si="47"/>
        <v>407</v>
      </c>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x14ac:dyDescent="0.25">
      <c r="A216" s="95" t="s">
        <v>357</v>
      </c>
      <c r="B216" s="96"/>
      <c r="C216" s="96"/>
      <c r="D216" s="96"/>
      <c r="E216" s="96"/>
      <c r="F216" s="96"/>
      <c r="G216" s="96"/>
      <c r="H216" s="97"/>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customHeight="1" x14ac:dyDescent="0.25">
      <c r="A217" s="98" t="s">
        <v>339</v>
      </c>
      <c r="B217" s="98"/>
      <c r="C217" s="84" t="s">
        <v>339</v>
      </c>
      <c r="D217" s="215" t="s">
        <v>358</v>
      </c>
      <c r="E217" s="216"/>
      <c r="F217" s="216"/>
      <c r="G217" s="216"/>
      <c r="H217" s="217"/>
      <c r="I217" s="1"/>
      <c r="J217" s="1"/>
      <c r="K217" s="1"/>
      <c r="L217" s="1"/>
      <c r="M217" s="1"/>
      <c r="N217" s="1"/>
      <c r="O217" s="1"/>
      <c r="P217" s="1"/>
      <c r="Q217" s="1"/>
      <c r="R217" s="1"/>
      <c r="S217" s="1"/>
      <c r="T217" s="23" t="e">
        <f ca="1">U217&amp;""&amp;" to "&amp;""&amp;V217</f>
        <v>#REF!</v>
      </c>
      <c r="U217" s="23" t="e">
        <f ca="1">(SUMPRODUCT(MID(0&amp;(LEFT(A216,SUM(LEN(A216)-LEN(SUBSTITUTE(A216,{"0","1","2","3"},""))))), LARGE(INDEX(ISNUMBER(--MID((LEFT(A216,SUM(LEN(A216)-LEN(SUBSTITUTE(A216,{"0","1","2","3"},""))))), ROW(INDIRECT("1:"&amp;LEN((LEFT(A216,SUM(LEN(A216)-LEN(SUBSTITUTE(A216,{"0","1","2","3"},"")))))))), 1)) * ROW(INDIRECT("1:"&amp;LEN((LEFT(A216,SUM(LEN(A216)-LEN(SUBSTITUTE(A216,{"0","1","2","3"},"")))))))), 0), ROW(INDIRECT("1:"&amp;LEN((LEFT(A216,SUM(LEN(A216)-LEN(SUBSTITUTE(A216,{"0","1","2","3"},"")))))))))+1, 1) * 10^ROW(INDIRECT("1:"&amp;LEN((LEFT(A216,SUM(LEN(A216)-LEN(SUBSTITUTE(A216,{"0","1","2","3"},""))))))))/10))*100+1</f>
        <v>#REF!</v>
      </c>
      <c r="V217" s="23">
        <f ca="1">(SUMPRODUCT(MID(0&amp;(--TRIM(RIGHT(SUBSTITUTE(LEFT(A216,_xlfn.AGGREGATE(16,6,FIND({0,1,2,3,4,5,6,7,8,9},A216,ROW(INDIRECT("1:"&amp;LEN(A216)))),1))," ",REPT(" ",LEN(A216))),LEN(A216)))), LARGE(INDEX(ISNUMBER(--MID((--TRIM(RIGHT(SUBSTITUTE(LEFT(A216,_xlfn.AGGREGATE(16,6,FIND({0,1,2,3,4,5,6,7,8,9},A216,ROW(INDIRECT("1:"&amp;LEN(A216)))),1))," ",REPT(" ",LEN(A216))),LEN(A216)))), ROW(INDIRECT("1:"&amp;LEN((--TRIM(RIGHT(SUBSTITUTE(LEFT(A216,_xlfn.AGGREGATE(16,6,FIND({0,1,2,3,4,5,6,7,8,9},A216,ROW(INDIRECT("1:"&amp;LEN(A216)))),1))," ",REPT(" ",LEN(A216))),LEN(A216))))))), 1)) * ROW(INDIRECT("1:"&amp;LEN((--TRIM(RIGHT(SUBSTITUTE(LEFT(A216,_xlfn.AGGREGATE(16,6,FIND({0,1,2,3,4,5,6,7,8,9},A216,ROW(INDIRECT("1:"&amp;LEN(A216)))),1))," ",REPT(" ",LEN(A216))),LEN(A216))))))), 0), ROW(INDIRECT("1:"&amp;LEN((--TRIM(RIGHT(SUBSTITUTE(LEFT(A216,_xlfn.AGGREGATE(16,6,FIND({0,1,2,3,4,5,6,7,8,9},A216,ROW(INDIRECT("1:"&amp;LEN(A216)))),1))," ",REPT(" ",LEN(A216))),LEN(A216))))))))+1, 1) * 10^ROW(INDIRECT("1:"&amp;LEN((--TRIM(RIGHT(SUBSTITUTE(LEFT(A216,_xlfn.AGGREGATE(16,6,FIND({0,1,2,3,4,5,6,7,8,9},A216,ROW(INDIRECT("1:"&amp;LEN(A216)))),1))," ",REPT(" ",LEN(A216))),LEN(A216)))))))/10))*100+1</f>
        <v>501</v>
      </c>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customHeight="1" x14ac:dyDescent="0.25">
      <c r="A218" s="98" t="s">
        <v>339</v>
      </c>
      <c r="B218" s="98"/>
      <c r="C218" s="84" t="s">
        <v>339</v>
      </c>
      <c r="D218" s="215" t="s">
        <v>359</v>
      </c>
      <c r="E218" s="216"/>
      <c r="F218" s="216"/>
      <c r="G218" s="216"/>
      <c r="H218" s="217"/>
      <c r="I218" s="1"/>
      <c r="J218" s="1"/>
      <c r="K218" s="1"/>
      <c r="L218" s="1"/>
      <c r="M218" s="1"/>
      <c r="N218" s="1"/>
      <c r="O218" s="1"/>
      <c r="P218" s="1"/>
      <c r="Q218" s="1"/>
      <c r="R218" s="1"/>
      <c r="S218" s="1"/>
      <c r="T218" s="23" t="e">
        <f t="shared" ref="T218:T223" ca="1" si="48">U218&amp;""&amp;" to "&amp;""&amp;V218</f>
        <v>#REF!</v>
      </c>
      <c r="U218" s="23" t="e">
        <f ca="1">U217+1</f>
        <v>#REF!</v>
      </c>
      <c r="V218" s="23">
        <f ca="1">V217+1</f>
        <v>502</v>
      </c>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customHeight="1" x14ac:dyDescent="0.25">
      <c r="A219" s="98" t="s">
        <v>339</v>
      </c>
      <c r="B219" s="98"/>
      <c r="C219" s="84" t="s">
        <v>339</v>
      </c>
      <c r="D219" s="215" t="s">
        <v>358</v>
      </c>
      <c r="E219" s="216"/>
      <c r="F219" s="216"/>
      <c r="G219" s="216"/>
      <c r="H219" s="217"/>
      <c r="I219" s="1"/>
      <c r="J219" s="1"/>
      <c r="K219" s="1"/>
      <c r="L219" s="1"/>
      <c r="M219" s="1"/>
      <c r="N219" s="1"/>
      <c r="O219" s="1"/>
      <c r="P219" s="1"/>
      <c r="Q219" s="1"/>
      <c r="R219" s="1"/>
      <c r="S219" s="1"/>
      <c r="T219" s="23" t="e">
        <f t="shared" ca="1" si="48"/>
        <v>#REF!</v>
      </c>
      <c r="U219" s="23" t="e">
        <f t="shared" ref="U219:V219" ca="1" si="49">U218+1</f>
        <v>#REF!</v>
      </c>
      <c r="V219" s="23">
        <f t="shared" ca="1" si="49"/>
        <v>503</v>
      </c>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0.25" customHeight="1" x14ac:dyDescent="0.25">
      <c r="A220" s="98">
        <v>4</v>
      </c>
      <c r="B220" s="98"/>
      <c r="C220" s="84" t="s">
        <v>339</v>
      </c>
      <c r="D220" s="84" t="s">
        <v>340</v>
      </c>
      <c r="E220" s="87">
        <f>(65.29)*(10.764)</f>
        <v>702.78156000000001</v>
      </c>
      <c r="F220" s="87">
        <f>(3.2*1.23+0.6*(2.7+2.43+2.55))*(10.764)</f>
        <v>91.967616000000007</v>
      </c>
      <c r="G220" s="84">
        <v>0</v>
      </c>
      <c r="H220" s="84">
        <f t="shared" ref="H220:H221" si="50">E220+F220+(IF(G220&lt;101,G220,IF(G220&lt;201,G220/2,IF(G220&lt;=301,G220/3,G220/4))))</f>
        <v>794.74917600000003</v>
      </c>
      <c r="I220" s="1"/>
      <c r="J220" s="1"/>
      <c r="K220" s="1"/>
      <c r="L220" s="1"/>
      <c r="M220" s="1"/>
      <c r="N220" s="1"/>
      <c r="O220" s="1"/>
      <c r="P220" s="1"/>
      <c r="Q220" s="1"/>
      <c r="R220" s="1"/>
      <c r="S220" s="1"/>
      <c r="T220" s="23" t="e">
        <f t="shared" ca="1" si="48"/>
        <v>#REF!</v>
      </c>
      <c r="U220" s="23" t="e">
        <f t="shared" ref="U220:V220" ca="1" si="51">U219+1</f>
        <v>#REF!</v>
      </c>
      <c r="V220" s="23">
        <f t="shared" ca="1" si="51"/>
        <v>504</v>
      </c>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customHeight="1" x14ac:dyDescent="0.25">
      <c r="A221" s="98">
        <v>5</v>
      </c>
      <c r="B221" s="98"/>
      <c r="C221" s="84" t="s">
        <v>339</v>
      </c>
      <c r="D221" s="84" t="s">
        <v>340</v>
      </c>
      <c r="E221" s="87">
        <f>(64.96)*(10.764)</f>
        <v>699.22943999999984</v>
      </c>
      <c r="F221" s="87">
        <f>(3.2*1.23+0.6*(2.95+2.23+3.3))*(10.764)</f>
        <v>97.134336000000005</v>
      </c>
      <c r="G221" s="84">
        <v>0</v>
      </c>
      <c r="H221" s="84">
        <f t="shared" si="50"/>
        <v>796.3637759999998</v>
      </c>
      <c r="I221" s="1"/>
      <c r="J221" s="1"/>
      <c r="K221" s="1"/>
      <c r="L221" s="1"/>
      <c r="M221" s="1"/>
      <c r="N221" s="1"/>
      <c r="O221" s="1"/>
      <c r="P221" s="1"/>
      <c r="Q221" s="1"/>
      <c r="R221" s="1"/>
      <c r="S221" s="1"/>
      <c r="T221" s="23" t="e">
        <f t="shared" ca="1" si="48"/>
        <v>#REF!</v>
      </c>
      <c r="U221" s="23" t="e">
        <f t="shared" ref="U221:V221" ca="1" si="52">U220+1</f>
        <v>#REF!</v>
      </c>
      <c r="V221" s="23">
        <f t="shared" ca="1" si="52"/>
        <v>505</v>
      </c>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customHeight="1" x14ac:dyDescent="0.25">
      <c r="A222" s="98">
        <v>6</v>
      </c>
      <c r="B222" s="98"/>
      <c r="C222" s="84" t="s">
        <v>339</v>
      </c>
      <c r="D222" s="206" t="s">
        <v>358</v>
      </c>
      <c r="E222" s="207"/>
      <c r="F222" s="207"/>
      <c r="G222" s="207"/>
      <c r="H222" s="208"/>
      <c r="I222" s="1"/>
      <c r="J222" s="1"/>
      <c r="K222" s="1"/>
      <c r="L222" s="1"/>
      <c r="M222" s="1"/>
      <c r="N222" s="1"/>
      <c r="O222" s="1"/>
      <c r="P222" s="1"/>
      <c r="Q222" s="1"/>
      <c r="R222" s="1"/>
      <c r="S222" s="1"/>
      <c r="T222" s="23" t="e">
        <f t="shared" ca="1" si="48"/>
        <v>#REF!</v>
      </c>
      <c r="U222" s="23" t="e">
        <f t="shared" ref="U222:V222" ca="1" si="53">U221+1</f>
        <v>#REF!</v>
      </c>
      <c r="V222" s="23">
        <f t="shared" ca="1" si="53"/>
        <v>506</v>
      </c>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customHeight="1" x14ac:dyDescent="0.25">
      <c r="A223" s="98" t="s">
        <v>339</v>
      </c>
      <c r="B223" s="98"/>
      <c r="C223" s="84" t="s">
        <v>339</v>
      </c>
      <c r="D223" s="212"/>
      <c r="E223" s="213"/>
      <c r="F223" s="213"/>
      <c r="G223" s="213"/>
      <c r="H223" s="214"/>
      <c r="I223" s="1"/>
      <c r="J223" s="1"/>
      <c r="K223" s="1"/>
      <c r="L223" s="1"/>
      <c r="M223" s="1"/>
      <c r="N223" s="1"/>
      <c r="O223" s="1"/>
      <c r="P223" s="1"/>
      <c r="Q223" s="1"/>
      <c r="R223" s="1"/>
      <c r="S223" s="1"/>
      <c r="T223" s="23" t="e">
        <f t="shared" ca="1" si="48"/>
        <v>#REF!</v>
      </c>
      <c r="U223" s="23" t="e">
        <f t="shared" ref="U223:V223" ca="1" si="54">U222+1</f>
        <v>#REF!</v>
      </c>
      <c r="V223" s="23">
        <f t="shared" ca="1" si="54"/>
        <v>507</v>
      </c>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x14ac:dyDescent="0.25">
      <c r="A224" s="95" t="s">
        <v>389</v>
      </c>
      <c r="B224" s="96"/>
      <c r="C224" s="96"/>
      <c r="D224" s="96"/>
      <c r="E224" s="96"/>
      <c r="F224" s="96"/>
      <c r="G224" s="96"/>
      <c r="H224" s="97"/>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x14ac:dyDescent="0.25">
      <c r="A225" s="91" t="s">
        <v>360</v>
      </c>
      <c r="B225" s="92"/>
      <c r="C225" s="92"/>
      <c r="D225" s="92"/>
      <c r="E225" s="92"/>
      <c r="F225" s="92"/>
      <c r="G225" s="92"/>
      <c r="H225" s="93"/>
      <c r="I225" s="1">
        <f>1</f>
        <v>1</v>
      </c>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customHeight="1" x14ac:dyDescent="0.25">
      <c r="A226" s="94">
        <v>1</v>
      </c>
      <c r="B226" s="94"/>
      <c r="C226" s="77" t="s">
        <v>339</v>
      </c>
      <c r="D226" s="77" t="s">
        <v>341</v>
      </c>
      <c r="E226" s="86">
        <f>(96.749)*(10.764)</f>
        <v>1041.4062359999998</v>
      </c>
      <c r="F226" s="86">
        <f>(3.2*1.53+0.6*(2.85+2.95+1.46))*(10.764)</f>
        <v>99.588527999999997</v>
      </c>
      <c r="G226" s="77">
        <v>0</v>
      </c>
      <c r="H226" s="77">
        <f t="shared" ref="H226:H228" si="55">E226+F226+(IF(G226&lt;101,G226,IF(G226&lt;201,G226/2,IF(G226&lt;=301,G226/3,G226/4))))</f>
        <v>1140.9947639999998</v>
      </c>
      <c r="I226" s="1"/>
      <c r="J226" s="1"/>
      <c r="K226" s="1"/>
      <c r="L226" s="1"/>
      <c r="M226" s="1"/>
      <c r="N226" s="1"/>
      <c r="O226" s="1"/>
      <c r="P226" s="1"/>
      <c r="Q226" s="1"/>
      <c r="R226" s="1"/>
      <c r="S226" s="1"/>
      <c r="T226" s="23" t="e">
        <f ca="1">U226&amp;""&amp;" to "&amp;""&amp;V226</f>
        <v>#REF!</v>
      </c>
      <c r="U226" s="23" t="e">
        <f ca="1">(SUMPRODUCT(MID(0&amp;(LEFT(A224,SUM(LEN(A224)-LEN(SUBSTITUTE(A224,{"0","1","2","3"},""))))), LARGE(INDEX(ISNUMBER(--MID((LEFT(A224,SUM(LEN(A224)-LEN(SUBSTITUTE(A224,{"0","1","2","3"},""))))), ROW(INDIRECT("1:"&amp;LEN((LEFT(A224,SUM(LEN(A224)-LEN(SUBSTITUTE(A224,{"0","1","2","3"},"")))))))), 1)) * ROW(INDIRECT("1:"&amp;LEN((LEFT(A224,SUM(LEN(A224)-LEN(SUBSTITUTE(A224,{"0","1","2","3"},"")))))))), 0), ROW(INDIRECT("1:"&amp;LEN((LEFT(A224,SUM(LEN(A224)-LEN(SUBSTITUTE(A224,{"0","1","2","3"},"")))))))))+1, 1) * 10^ROW(INDIRECT("1:"&amp;LEN((LEFT(A224,SUM(LEN(A224)-LEN(SUBSTITUTE(A224,{"0","1","2","3"},""))))))))/10))*100+1</f>
        <v>#REF!</v>
      </c>
      <c r="V226" s="23">
        <f ca="1">(SUMPRODUCT(MID(0&amp;(--TRIM(RIGHT(SUBSTITUTE(LEFT(A224,_xlfn.AGGREGATE(16,6,FIND({0,1,2,3,4,5,6,7,8,9},A224,ROW(INDIRECT("1:"&amp;LEN(A224)))),1))," ",REPT(" ",LEN(A224))),LEN(A224)))), LARGE(INDEX(ISNUMBER(--MID((--TRIM(RIGHT(SUBSTITUTE(LEFT(A224,_xlfn.AGGREGATE(16,6,FIND({0,1,2,3,4,5,6,7,8,9},A224,ROW(INDIRECT("1:"&amp;LEN(A224)))),1))," ",REPT(" ",LEN(A224))),LEN(A224)))), ROW(INDIRECT("1:"&amp;LEN((--TRIM(RIGHT(SUBSTITUTE(LEFT(A224,_xlfn.AGGREGATE(16,6,FIND({0,1,2,3,4,5,6,7,8,9},A224,ROW(INDIRECT("1:"&amp;LEN(A224)))),1))," ",REPT(" ",LEN(A224))),LEN(A224))))))), 1)) * ROW(INDIRECT("1:"&amp;LEN((--TRIM(RIGHT(SUBSTITUTE(LEFT(A224,_xlfn.AGGREGATE(16,6,FIND({0,1,2,3,4,5,6,7,8,9},A224,ROW(INDIRECT("1:"&amp;LEN(A224)))),1))," ",REPT(" ",LEN(A224))),LEN(A224))))))), 0), ROW(INDIRECT("1:"&amp;LEN((--TRIM(RIGHT(SUBSTITUTE(LEFT(A224,_xlfn.AGGREGATE(16,6,FIND({0,1,2,3,4,5,6,7,8,9},A224,ROW(INDIRECT("1:"&amp;LEN(A224)))),1))," ",REPT(" ",LEN(A224))),LEN(A224))))))))+1, 1) * 10^ROW(INDIRECT("1:"&amp;LEN((--TRIM(RIGHT(SUBSTITUTE(LEFT(A224,_xlfn.AGGREGATE(16,6,FIND({0,1,2,3,4,5,6,7,8,9},A224,ROW(INDIRECT("1:"&amp;LEN(A224)))),1))," ",REPT(" ",LEN(A224))),LEN(A224)))))))/10))*100+1</f>
        <v>601</v>
      </c>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customHeight="1" x14ac:dyDescent="0.25">
      <c r="A227" s="94">
        <v>2</v>
      </c>
      <c r="B227" s="94"/>
      <c r="C227" s="77" t="s">
        <v>339</v>
      </c>
      <c r="D227" s="77" t="s">
        <v>341</v>
      </c>
      <c r="E227" s="86">
        <f>(96.31)*(10.764)</f>
        <v>1036.68084</v>
      </c>
      <c r="F227" s="86">
        <f>(3.2*1.53+0.6*(2.85+2.95+1.46))*(10.764)</f>
        <v>99.588527999999997</v>
      </c>
      <c r="G227" s="77">
        <v>0</v>
      </c>
      <c r="H227" s="77">
        <f t="shared" si="55"/>
        <v>1136.269368</v>
      </c>
      <c r="I227" s="1"/>
      <c r="J227" s="1"/>
      <c r="K227" s="1"/>
      <c r="L227" s="1"/>
      <c r="M227" s="1"/>
      <c r="N227" s="1"/>
      <c r="O227" s="1"/>
      <c r="P227" s="1"/>
      <c r="Q227" s="1"/>
      <c r="R227" s="1"/>
      <c r="S227" s="1"/>
      <c r="T227" s="23" t="e">
        <f t="shared" ref="T227:T232" ca="1" si="56">U227&amp;""&amp;" to "&amp;""&amp;V227</f>
        <v>#REF!</v>
      </c>
      <c r="U227" s="23" t="e">
        <f ca="1">U226+1</f>
        <v>#REF!</v>
      </c>
      <c r="V227" s="23">
        <f ca="1">V226+1</f>
        <v>602</v>
      </c>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customHeight="1" x14ac:dyDescent="0.25">
      <c r="A228" s="94">
        <v>3</v>
      </c>
      <c r="B228" s="94"/>
      <c r="C228" s="77" t="s">
        <v>339</v>
      </c>
      <c r="D228" s="77" t="s">
        <v>340</v>
      </c>
      <c r="E228" s="86">
        <f>(64.755)*(10.764)</f>
        <v>697.02281999999991</v>
      </c>
      <c r="F228" s="86">
        <f>(3.2*1.23+0.6*(2.55+1.55+2.75))*(10.764)</f>
        <v>86.607143999999991</v>
      </c>
      <c r="G228" s="77">
        <v>0</v>
      </c>
      <c r="H228" s="77">
        <f t="shared" si="55"/>
        <v>783.62996399999986</v>
      </c>
      <c r="I228" s="1"/>
      <c r="J228" s="1"/>
      <c r="K228" s="1"/>
      <c r="L228" s="1"/>
      <c r="M228" s="1"/>
      <c r="N228" s="1"/>
      <c r="O228" s="1"/>
      <c r="P228" s="1"/>
      <c r="Q228" s="1"/>
      <c r="R228" s="1"/>
      <c r="S228" s="1"/>
      <c r="T228" s="23" t="e">
        <f t="shared" ca="1" si="56"/>
        <v>#REF!</v>
      </c>
      <c r="U228" s="23" t="e">
        <f t="shared" ref="U228:V228" ca="1" si="57">U227+1</f>
        <v>#REF!</v>
      </c>
      <c r="V228" s="23">
        <f t="shared" ca="1" si="57"/>
        <v>603</v>
      </c>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0.25" customHeight="1" x14ac:dyDescent="0.25">
      <c r="A229" s="94">
        <v>4</v>
      </c>
      <c r="B229" s="94"/>
      <c r="C229" s="77" t="s">
        <v>339</v>
      </c>
      <c r="D229" s="77" t="s">
        <v>340</v>
      </c>
      <c r="E229" s="86">
        <f>(64.812)*(10.764)</f>
        <v>697.63636799999995</v>
      </c>
      <c r="F229" s="86">
        <f>(3.2*1.23+0.6*(2.7+2.43+2.7))*(10.764)</f>
        <v>92.936375999999996</v>
      </c>
      <c r="G229" s="77">
        <v>0</v>
      </c>
      <c r="H229" s="77">
        <f t="shared" ref="H229:H232" si="58">E229+F229+(IF(G229&lt;101,G229,IF(G229&lt;201,G229/2,IF(G229&lt;=301,G229/3,G229/4))))</f>
        <v>790.57274399999994</v>
      </c>
      <c r="I229" s="1"/>
      <c r="J229" s="1"/>
      <c r="K229" s="1"/>
      <c r="L229" s="1"/>
      <c r="M229" s="1"/>
      <c r="N229" s="1"/>
      <c r="O229" s="1"/>
      <c r="P229" s="1"/>
      <c r="Q229" s="1"/>
      <c r="R229" s="1"/>
      <c r="S229" s="1"/>
      <c r="T229" s="23" t="e">
        <f t="shared" ca="1" si="56"/>
        <v>#REF!</v>
      </c>
      <c r="U229" s="23" t="e">
        <f t="shared" ref="U229:V229" ca="1" si="59">U228+1</f>
        <v>#REF!</v>
      </c>
      <c r="V229" s="23">
        <f t="shared" ca="1" si="59"/>
        <v>604</v>
      </c>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0.25" customHeight="1" x14ac:dyDescent="0.25">
      <c r="A230" s="94">
        <v>5</v>
      </c>
      <c r="B230" s="94"/>
      <c r="C230" s="77" t="s">
        <v>339</v>
      </c>
      <c r="D230" s="77" t="s">
        <v>340</v>
      </c>
      <c r="E230" s="86">
        <f>(64.483)*(10.764)</f>
        <v>694.095012</v>
      </c>
      <c r="F230" s="86">
        <f>(3.2*1.23+0.6*(2.95+2.23+3.3))*(10.764)</f>
        <v>97.134336000000005</v>
      </c>
      <c r="G230" s="77">
        <v>0</v>
      </c>
      <c r="H230" s="77">
        <f t="shared" si="58"/>
        <v>791.22934799999996</v>
      </c>
      <c r="I230" s="1"/>
      <c r="J230" s="1"/>
      <c r="K230" s="1"/>
      <c r="L230" s="1"/>
      <c r="M230" s="1"/>
      <c r="N230" s="1"/>
      <c r="O230" s="1"/>
      <c r="P230" s="1"/>
      <c r="Q230" s="1"/>
      <c r="R230" s="1"/>
      <c r="S230" s="1"/>
      <c r="T230" s="23" t="e">
        <f t="shared" ca="1" si="56"/>
        <v>#REF!</v>
      </c>
      <c r="U230" s="23" t="e">
        <f t="shared" ref="U230:V230" ca="1" si="60">U229+1</f>
        <v>#REF!</v>
      </c>
      <c r="V230" s="23">
        <f t="shared" ca="1" si="60"/>
        <v>605</v>
      </c>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20.25" customHeight="1" x14ac:dyDescent="0.25">
      <c r="A231" s="94">
        <v>6</v>
      </c>
      <c r="B231" s="94"/>
      <c r="C231" s="77" t="s">
        <v>339</v>
      </c>
      <c r="D231" s="77" t="s">
        <v>341</v>
      </c>
      <c r="E231" s="86">
        <f>(84.444)*(10.764)</f>
        <v>908.95521599999995</v>
      </c>
      <c r="F231" s="86">
        <f>(3.2*1.33+0.6*(2.7+2.43+2.7))*(10.764)</f>
        <v>96.380855999999994</v>
      </c>
      <c r="G231" s="77">
        <v>0</v>
      </c>
      <c r="H231" s="77">
        <f t="shared" si="58"/>
        <v>1005.3360719999999</v>
      </c>
      <c r="I231" s="1"/>
      <c r="J231" s="1"/>
      <c r="K231" s="1"/>
      <c r="L231" s="1"/>
      <c r="M231" s="1"/>
      <c r="N231" s="1"/>
      <c r="O231" s="1"/>
      <c r="P231" s="1"/>
      <c r="Q231" s="1"/>
      <c r="R231" s="1"/>
      <c r="S231" s="1"/>
      <c r="T231" s="23" t="e">
        <f t="shared" ca="1" si="56"/>
        <v>#REF!</v>
      </c>
      <c r="U231" s="23" t="e">
        <f t="shared" ref="U231:V231" ca="1" si="61">U230+1</f>
        <v>#REF!</v>
      </c>
      <c r="V231" s="23">
        <f t="shared" ca="1" si="61"/>
        <v>606</v>
      </c>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customHeight="1" x14ac:dyDescent="0.25">
      <c r="A232" s="94">
        <v>7</v>
      </c>
      <c r="B232" s="94"/>
      <c r="C232" s="77" t="s">
        <v>339</v>
      </c>
      <c r="D232" s="77" t="s">
        <v>341</v>
      </c>
      <c r="E232" s="86">
        <f>(84.39)*(10.764)</f>
        <v>908.3739599999999</v>
      </c>
      <c r="F232" s="86">
        <f>(3.2*1.33+0.6*(2.7+2.43+2.7))*(10.764)</f>
        <v>96.380855999999994</v>
      </c>
      <c r="G232" s="77">
        <v>0</v>
      </c>
      <c r="H232" s="77">
        <f t="shared" si="58"/>
        <v>1004.7548159999999</v>
      </c>
      <c r="I232" s="1"/>
      <c r="J232" s="1"/>
      <c r="K232" s="1"/>
      <c r="L232" s="1"/>
      <c r="M232" s="1"/>
      <c r="N232" s="1"/>
      <c r="O232" s="1"/>
      <c r="P232" s="1"/>
      <c r="Q232" s="1"/>
      <c r="R232" s="1"/>
      <c r="S232" s="1"/>
      <c r="T232" s="23" t="e">
        <f t="shared" ca="1" si="56"/>
        <v>#REF!</v>
      </c>
      <c r="U232" s="23" t="e">
        <f t="shared" ref="U232:V232" ca="1" si="62">U231+1</f>
        <v>#REF!</v>
      </c>
      <c r="V232" s="23">
        <f t="shared" ca="1" si="62"/>
        <v>607</v>
      </c>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x14ac:dyDescent="0.25">
      <c r="A233" s="91" t="s">
        <v>361</v>
      </c>
      <c r="B233" s="92"/>
      <c r="C233" s="92"/>
      <c r="D233" s="92"/>
      <c r="E233" s="92"/>
      <c r="F233" s="92"/>
      <c r="G233" s="92"/>
      <c r="H233" s="93"/>
      <c r="I233" s="1">
        <f>8</f>
        <v>8</v>
      </c>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20.25" customHeight="1" x14ac:dyDescent="0.25">
      <c r="A234" s="94">
        <v>1</v>
      </c>
      <c r="B234" s="94"/>
      <c r="C234" s="77" t="s">
        <v>339</v>
      </c>
      <c r="D234" s="77" t="s">
        <v>341</v>
      </c>
      <c r="E234" s="86">
        <f>(96.749)*(10.764)</f>
        <v>1041.4062359999998</v>
      </c>
      <c r="F234" s="86">
        <f>(3.2*1.53+0.6*(2.85+2.95+1.46))*(10.764)</f>
        <v>99.588527999999997</v>
      </c>
      <c r="G234" s="77">
        <v>0</v>
      </c>
      <c r="H234" s="77">
        <f t="shared" ref="H234:H240" si="63">E234+F234+(IF(G234&lt;101,G234,IF(G234&lt;201,G234/2,IF(G234&lt;=301,G234/3,G234/4))))</f>
        <v>1140.9947639999998</v>
      </c>
      <c r="I234" s="1"/>
      <c r="J234" s="1"/>
      <c r="K234" s="1"/>
      <c r="L234" s="1"/>
      <c r="M234" s="1"/>
      <c r="N234" s="1"/>
      <c r="O234" s="1"/>
      <c r="P234" s="1"/>
      <c r="Q234" s="1"/>
      <c r="R234" s="1"/>
      <c r="S234" s="1"/>
      <c r="T234" s="23" t="e">
        <f ca="1">U234&amp;""&amp;" to "&amp;""&amp;V234</f>
        <v>#REF!</v>
      </c>
      <c r="U234" s="23" t="e">
        <f ca="1">(SUMPRODUCT(MID(0&amp;(LEFT(A232,SUM(LEN(A232)-LEN(SUBSTITUTE(A232,{"0","1","2","3"},""))))), LARGE(INDEX(ISNUMBER(--MID((LEFT(A232,SUM(LEN(A232)-LEN(SUBSTITUTE(A232,{"0","1","2","3"},""))))), ROW(INDIRECT("1:"&amp;LEN((LEFT(A232,SUM(LEN(A232)-LEN(SUBSTITUTE(A232,{"0","1","2","3"},"")))))))), 1)) * ROW(INDIRECT("1:"&amp;LEN((LEFT(A232,SUM(LEN(A232)-LEN(SUBSTITUTE(A232,{"0","1","2","3"},"")))))))), 0), ROW(INDIRECT("1:"&amp;LEN((LEFT(A232,SUM(LEN(A232)-LEN(SUBSTITUTE(A232,{"0","1","2","3"},"")))))))))+1, 1) * 10^ROW(INDIRECT("1:"&amp;LEN((LEFT(A232,SUM(LEN(A232)-LEN(SUBSTITUTE(A232,{"0","1","2","3"},""))))))))/10))*100+1</f>
        <v>#REF!</v>
      </c>
      <c r="V234" s="23">
        <f ca="1">(SUMPRODUCT(MID(0&amp;(--TRIM(RIGHT(SUBSTITUTE(LEFT(A232,_xlfn.AGGREGATE(16,6,FIND({0,1,2,3,4,5,6,7,8,9},A232,ROW(INDIRECT("1:"&amp;LEN(A232)))),1))," ",REPT(" ",LEN(A232))),LEN(A232)))), LARGE(INDEX(ISNUMBER(--MID((--TRIM(RIGHT(SUBSTITUTE(LEFT(A232,_xlfn.AGGREGATE(16,6,FIND({0,1,2,3,4,5,6,7,8,9},A232,ROW(INDIRECT("1:"&amp;LEN(A232)))),1))," ",REPT(" ",LEN(A232))),LEN(A232)))), ROW(INDIRECT("1:"&amp;LEN((--TRIM(RIGHT(SUBSTITUTE(LEFT(A232,_xlfn.AGGREGATE(16,6,FIND({0,1,2,3,4,5,6,7,8,9},A232,ROW(INDIRECT("1:"&amp;LEN(A232)))),1))," ",REPT(" ",LEN(A232))),LEN(A232))))))), 1)) * ROW(INDIRECT("1:"&amp;LEN((--TRIM(RIGHT(SUBSTITUTE(LEFT(A232,_xlfn.AGGREGATE(16,6,FIND({0,1,2,3,4,5,6,7,8,9},A232,ROW(INDIRECT("1:"&amp;LEN(A232)))),1))," ",REPT(" ",LEN(A232))),LEN(A232))))))), 0), ROW(INDIRECT("1:"&amp;LEN((--TRIM(RIGHT(SUBSTITUTE(LEFT(A232,_xlfn.AGGREGATE(16,6,FIND({0,1,2,3,4,5,6,7,8,9},A232,ROW(INDIRECT("1:"&amp;LEN(A232)))),1))," ",REPT(" ",LEN(A232))),LEN(A232))))))))+1, 1) * 10^ROW(INDIRECT("1:"&amp;LEN((--TRIM(RIGHT(SUBSTITUTE(LEFT(A232,_xlfn.AGGREGATE(16,6,FIND({0,1,2,3,4,5,6,7,8,9},A232,ROW(INDIRECT("1:"&amp;LEN(A232)))),1))," ",REPT(" ",LEN(A232))),LEN(A232)))))))/10))*100+1</f>
        <v>701</v>
      </c>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3" customFormat="1" ht="20.25" customHeight="1" x14ac:dyDescent="0.25">
      <c r="A235" s="94">
        <v>2</v>
      </c>
      <c r="B235" s="94"/>
      <c r="C235" s="77" t="s">
        <v>339</v>
      </c>
      <c r="D235" s="77" t="s">
        <v>341</v>
      </c>
      <c r="E235" s="86">
        <f>(96.31)*(10.764)</f>
        <v>1036.68084</v>
      </c>
      <c r="F235" s="86">
        <f>(3.2*1.53+0.6*(2.85+2.95+1.46))*(10.764)</f>
        <v>99.588527999999997</v>
      </c>
      <c r="G235" s="77">
        <v>0</v>
      </c>
      <c r="H235" s="77">
        <f t="shared" si="63"/>
        <v>1136.269368</v>
      </c>
      <c r="I235" s="1"/>
      <c r="J235" s="1"/>
      <c r="K235" s="1"/>
      <c r="L235" s="1"/>
      <c r="M235" s="1"/>
      <c r="N235" s="1"/>
      <c r="O235" s="1"/>
      <c r="P235" s="1"/>
      <c r="Q235" s="1"/>
      <c r="R235" s="1"/>
      <c r="S235" s="1"/>
      <c r="T235" s="23" t="e">
        <f t="shared" ref="T235:T240" ca="1" si="64">U235&amp;""&amp;" to "&amp;""&amp;V235</f>
        <v>#REF!</v>
      </c>
      <c r="U235" s="23" t="e">
        <f ca="1">U234+1</f>
        <v>#REF!</v>
      </c>
      <c r="V235" s="23">
        <f ca="1">V234+1</f>
        <v>702</v>
      </c>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3" customFormat="1" ht="20.25" customHeight="1" x14ac:dyDescent="0.25">
      <c r="A236" s="94">
        <v>3</v>
      </c>
      <c r="B236" s="94"/>
      <c r="C236" s="77" t="s">
        <v>339</v>
      </c>
      <c r="D236" s="77" t="s">
        <v>340</v>
      </c>
      <c r="E236" s="86">
        <f>(64.755)*(10.764)</f>
        <v>697.02281999999991</v>
      </c>
      <c r="F236" s="86">
        <f>(3.2*1.23+0.6*(2.55+1.55+2.75))*(10.764)</f>
        <v>86.607143999999991</v>
      </c>
      <c r="G236" s="77">
        <v>0</v>
      </c>
      <c r="H236" s="77">
        <f t="shared" si="63"/>
        <v>783.62996399999986</v>
      </c>
      <c r="I236" s="1"/>
      <c r="J236" s="1"/>
      <c r="K236" s="1"/>
      <c r="L236" s="1"/>
      <c r="M236" s="1"/>
      <c r="N236" s="1"/>
      <c r="O236" s="1"/>
      <c r="P236" s="1"/>
      <c r="Q236" s="1"/>
      <c r="R236" s="1"/>
      <c r="S236" s="1"/>
      <c r="T236" s="23" t="e">
        <f t="shared" ca="1" si="64"/>
        <v>#REF!</v>
      </c>
      <c r="U236" s="23" t="e">
        <f t="shared" ref="U236:V236" ca="1" si="65">U235+1</f>
        <v>#REF!</v>
      </c>
      <c r="V236" s="23">
        <f t="shared" ca="1" si="65"/>
        <v>703</v>
      </c>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3" customFormat="1" ht="20.25" customHeight="1" x14ac:dyDescent="0.25">
      <c r="A237" s="94">
        <v>4</v>
      </c>
      <c r="B237" s="94"/>
      <c r="C237" s="77" t="s">
        <v>339</v>
      </c>
      <c r="D237" s="88" t="s">
        <v>349</v>
      </c>
      <c r="E237" s="90"/>
      <c r="F237" s="90"/>
      <c r="G237" s="90"/>
      <c r="H237" s="89"/>
      <c r="I237" s="1"/>
      <c r="J237" s="1"/>
      <c r="K237" s="1"/>
      <c r="L237" s="1"/>
      <c r="M237" s="1"/>
      <c r="N237" s="1"/>
      <c r="O237" s="1"/>
      <c r="P237" s="1"/>
      <c r="Q237" s="1"/>
      <c r="R237" s="1"/>
      <c r="S237" s="1"/>
      <c r="T237" s="23" t="e">
        <f t="shared" ca="1" si="64"/>
        <v>#REF!</v>
      </c>
      <c r="U237" s="23" t="e">
        <f t="shared" ref="U237:V237" ca="1" si="66">U236+1</f>
        <v>#REF!</v>
      </c>
      <c r="V237" s="23">
        <f t="shared" ca="1" si="66"/>
        <v>704</v>
      </c>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3" customFormat="1" ht="20.25" customHeight="1" x14ac:dyDescent="0.25">
      <c r="A238" s="94">
        <v>5</v>
      </c>
      <c r="B238" s="94"/>
      <c r="C238" s="77" t="s">
        <v>339</v>
      </c>
      <c r="D238" s="77" t="s">
        <v>340</v>
      </c>
      <c r="E238" s="86">
        <f>(64.483)*(10.764)</f>
        <v>694.095012</v>
      </c>
      <c r="F238" s="86">
        <f>(3.2*1.23+0.6*(2.95+2.23+3.3))*(10.764)</f>
        <v>97.134336000000005</v>
      </c>
      <c r="G238" s="77">
        <v>0</v>
      </c>
      <c r="H238" s="77">
        <f t="shared" si="63"/>
        <v>791.22934799999996</v>
      </c>
      <c r="I238" s="1"/>
      <c r="J238" s="1"/>
      <c r="K238" s="1"/>
      <c r="L238" s="1"/>
      <c r="M238" s="1"/>
      <c r="N238" s="1"/>
      <c r="O238" s="1"/>
      <c r="P238" s="1"/>
      <c r="Q238" s="1"/>
      <c r="R238" s="1"/>
      <c r="S238" s="1"/>
      <c r="T238" s="23" t="e">
        <f t="shared" ca="1" si="64"/>
        <v>#REF!</v>
      </c>
      <c r="U238" s="23" t="e">
        <f t="shared" ref="U238:V238" ca="1" si="67">U237+1</f>
        <v>#REF!</v>
      </c>
      <c r="V238" s="23">
        <f t="shared" ca="1" si="67"/>
        <v>705</v>
      </c>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3" customFormat="1" ht="20.25" customHeight="1" x14ac:dyDescent="0.25">
      <c r="A239" s="94">
        <v>6</v>
      </c>
      <c r="B239" s="94"/>
      <c r="C239" s="77" t="s">
        <v>339</v>
      </c>
      <c r="D239" s="77" t="s">
        <v>341</v>
      </c>
      <c r="E239" s="86">
        <f>(84.444)*(10.764)</f>
        <v>908.95521599999995</v>
      </c>
      <c r="F239" s="86">
        <f>(3.2*1.33+0.6*(2.7+2.43+2.7))*(10.764)</f>
        <v>96.380855999999994</v>
      </c>
      <c r="G239" s="77">
        <v>0</v>
      </c>
      <c r="H239" s="77">
        <f t="shared" si="63"/>
        <v>1005.3360719999999</v>
      </c>
      <c r="I239" s="1"/>
      <c r="J239" s="1"/>
      <c r="K239" s="1"/>
      <c r="L239" s="1"/>
      <c r="M239" s="1"/>
      <c r="N239" s="1"/>
      <c r="O239" s="1"/>
      <c r="P239" s="1"/>
      <c r="Q239" s="1"/>
      <c r="R239" s="1"/>
      <c r="S239" s="1"/>
      <c r="T239" s="23" t="e">
        <f t="shared" ca="1" si="64"/>
        <v>#REF!</v>
      </c>
      <c r="U239" s="23" t="e">
        <f t="shared" ref="U239:V239" ca="1" si="68">U238+1</f>
        <v>#REF!</v>
      </c>
      <c r="V239" s="23">
        <f t="shared" ca="1" si="68"/>
        <v>706</v>
      </c>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3" customFormat="1" ht="20.25" customHeight="1" x14ac:dyDescent="0.25">
      <c r="A240" s="94">
        <v>7</v>
      </c>
      <c r="B240" s="94"/>
      <c r="C240" s="77" t="s">
        <v>339</v>
      </c>
      <c r="D240" s="77" t="s">
        <v>341</v>
      </c>
      <c r="E240" s="86">
        <f>(84.39)*(10.764)</f>
        <v>908.3739599999999</v>
      </c>
      <c r="F240" s="86">
        <f>(3.2*1.33+0.6*(2.7+2.43+2.7))*(10.764)</f>
        <v>96.380855999999994</v>
      </c>
      <c r="G240" s="77">
        <v>0</v>
      </c>
      <c r="H240" s="77">
        <f t="shared" si="63"/>
        <v>1004.7548159999999</v>
      </c>
      <c r="I240" s="1"/>
      <c r="J240" s="1"/>
      <c r="K240" s="1"/>
      <c r="L240" s="1"/>
      <c r="M240" s="1"/>
      <c r="N240" s="1"/>
      <c r="O240" s="1"/>
      <c r="P240" s="1"/>
      <c r="Q240" s="1"/>
      <c r="R240" s="1"/>
      <c r="S240" s="1"/>
      <c r="T240" s="23" t="e">
        <f t="shared" ca="1" si="64"/>
        <v>#REF!</v>
      </c>
      <c r="U240" s="23" t="e">
        <f t="shared" ref="U240:V240" ca="1" si="69">U239+1</f>
        <v>#REF!</v>
      </c>
      <c r="V240" s="23">
        <f t="shared" ca="1" si="69"/>
        <v>707</v>
      </c>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3" customFormat="1" ht="40.5" customHeight="1" x14ac:dyDescent="0.25">
      <c r="A241" s="91" t="s">
        <v>388</v>
      </c>
      <c r="B241" s="92"/>
      <c r="C241" s="92"/>
      <c r="D241" s="92"/>
      <c r="E241" s="92"/>
      <c r="F241" s="92"/>
      <c r="G241" s="92"/>
      <c r="H241" s="93"/>
      <c r="I241" s="1">
        <f>30</f>
        <v>30</v>
      </c>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3" customFormat="1" ht="20.25" customHeight="1" x14ac:dyDescent="0.25">
      <c r="A242" s="94">
        <v>1</v>
      </c>
      <c r="B242" s="94"/>
      <c r="C242" s="77" t="s">
        <v>339</v>
      </c>
      <c r="D242" s="77" t="s">
        <v>341</v>
      </c>
      <c r="E242" s="86">
        <f>(96.749)*(10.764)</f>
        <v>1041.4062359999998</v>
      </c>
      <c r="F242" s="86">
        <f>(3.2*1.53+0.6*(2.85+2.95+1.46))*(10.764)</f>
        <v>99.588527999999997</v>
      </c>
      <c r="G242" s="77">
        <v>0</v>
      </c>
      <c r="H242" s="77">
        <f t="shared" ref="H242:H248" si="70">E242+F242+(IF(G242&lt;101,G242,IF(G242&lt;201,G242/2,IF(G242&lt;=301,G242/3,G242/4))))</f>
        <v>1140.9947639999998</v>
      </c>
      <c r="I242" s="1"/>
      <c r="J242" s="1"/>
      <c r="K242" s="1"/>
      <c r="L242" s="1"/>
      <c r="M242" s="1"/>
      <c r="N242" s="1"/>
      <c r="O242" s="1"/>
      <c r="P242" s="1"/>
      <c r="Q242" s="1"/>
      <c r="R242" s="1"/>
      <c r="S242" s="1"/>
      <c r="T242" s="23" t="e">
        <f ca="1">U242&amp;""&amp;" to "&amp;""&amp;V242</f>
        <v>#REF!</v>
      </c>
      <c r="U242" s="23" t="e">
        <f ca="1">(SUMPRODUCT(MID(0&amp;(LEFT(A240,SUM(LEN(A240)-LEN(SUBSTITUTE(A240,{"0","1","2","3"},""))))), LARGE(INDEX(ISNUMBER(--MID((LEFT(A240,SUM(LEN(A240)-LEN(SUBSTITUTE(A240,{"0","1","2","3"},""))))), ROW(INDIRECT("1:"&amp;LEN((LEFT(A240,SUM(LEN(A240)-LEN(SUBSTITUTE(A240,{"0","1","2","3"},"")))))))), 1)) * ROW(INDIRECT("1:"&amp;LEN((LEFT(A240,SUM(LEN(A240)-LEN(SUBSTITUTE(A240,{"0","1","2","3"},"")))))))), 0), ROW(INDIRECT("1:"&amp;LEN((LEFT(A240,SUM(LEN(A240)-LEN(SUBSTITUTE(A240,{"0","1","2","3"},"")))))))))+1, 1) * 10^ROW(INDIRECT("1:"&amp;LEN((LEFT(A240,SUM(LEN(A240)-LEN(SUBSTITUTE(A240,{"0","1","2","3"},""))))))))/10))*100+1</f>
        <v>#REF!</v>
      </c>
      <c r="V242" s="23">
        <f ca="1">(SUMPRODUCT(MID(0&amp;(--TRIM(RIGHT(SUBSTITUTE(LEFT(A240,_xlfn.AGGREGATE(16,6,FIND({0,1,2,3,4,5,6,7,8,9},A240,ROW(INDIRECT("1:"&amp;LEN(A240)))),1))," ",REPT(" ",LEN(A240))),LEN(A240)))), LARGE(INDEX(ISNUMBER(--MID((--TRIM(RIGHT(SUBSTITUTE(LEFT(A240,_xlfn.AGGREGATE(16,6,FIND({0,1,2,3,4,5,6,7,8,9},A240,ROW(INDIRECT("1:"&amp;LEN(A240)))),1))," ",REPT(" ",LEN(A240))),LEN(A240)))), ROW(INDIRECT("1:"&amp;LEN((--TRIM(RIGHT(SUBSTITUTE(LEFT(A240,_xlfn.AGGREGATE(16,6,FIND({0,1,2,3,4,5,6,7,8,9},A240,ROW(INDIRECT("1:"&amp;LEN(A240)))),1))," ",REPT(" ",LEN(A240))),LEN(A240))))))), 1)) * ROW(INDIRECT("1:"&amp;LEN((--TRIM(RIGHT(SUBSTITUTE(LEFT(A240,_xlfn.AGGREGATE(16,6,FIND({0,1,2,3,4,5,6,7,8,9},A240,ROW(INDIRECT("1:"&amp;LEN(A240)))),1))," ",REPT(" ",LEN(A240))),LEN(A240))))))), 0), ROW(INDIRECT("1:"&amp;LEN((--TRIM(RIGHT(SUBSTITUTE(LEFT(A240,_xlfn.AGGREGATE(16,6,FIND({0,1,2,3,4,5,6,7,8,9},A240,ROW(INDIRECT("1:"&amp;LEN(A240)))),1))," ",REPT(" ",LEN(A240))),LEN(A240))))))))+1, 1) * 10^ROW(INDIRECT("1:"&amp;LEN((--TRIM(RIGHT(SUBSTITUTE(LEFT(A240,_xlfn.AGGREGATE(16,6,FIND({0,1,2,3,4,5,6,7,8,9},A240,ROW(INDIRECT("1:"&amp;LEN(A240)))),1))," ",REPT(" ",LEN(A240))),LEN(A240)))))))/10))*100+1</f>
        <v>701</v>
      </c>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3" customFormat="1" ht="20.25" customHeight="1" x14ac:dyDescent="0.25">
      <c r="A243" s="94">
        <v>2</v>
      </c>
      <c r="B243" s="94"/>
      <c r="C243" s="77" t="s">
        <v>339</v>
      </c>
      <c r="D243" s="77" t="s">
        <v>341</v>
      </c>
      <c r="E243" s="86">
        <f>(96.31)*(10.764)</f>
        <v>1036.68084</v>
      </c>
      <c r="F243" s="86">
        <f>(3.2*1.53+0.6*(2.85+2.95+1.46))*(10.764)</f>
        <v>99.588527999999997</v>
      </c>
      <c r="G243" s="77">
        <v>0</v>
      </c>
      <c r="H243" s="77">
        <f t="shared" si="70"/>
        <v>1136.269368</v>
      </c>
      <c r="I243" s="1"/>
      <c r="J243" s="1"/>
      <c r="K243" s="1"/>
      <c r="L243" s="1"/>
      <c r="M243" s="1"/>
      <c r="N243" s="1"/>
      <c r="O243" s="1"/>
      <c r="P243" s="1"/>
      <c r="Q243" s="1"/>
      <c r="R243" s="1"/>
      <c r="S243" s="1"/>
      <c r="T243" s="23" t="e">
        <f t="shared" ref="T243:T248" ca="1" si="71">U243&amp;""&amp;" to "&amp;""&amp;V243</f>
        <v>#REF!</v>
      </c>
      <c r="U243" s="23" t="e">
        <f ca="1">U242+1</f>
        <v>#REF!</v>
      </c>
      <c r="V243" s="23">
        <f ca="1">V242+1</f>
        <v>702</v>
      </c>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3" customFormat="1" ht="20.25" customHeight="1" x14ac:dyDescent="0.25">
      <c r="A244" s="94">
        <v>3</v>
      </c>
      <c r="B244" s="94"/>
      <c r="C244" s="77" t="s">
        <v>339</v>
      </c>
      <c r="D244" s="77" t="s">
        <v>340</v>
      </c>
      <c r="E244" s="86">
        <f>(64.755)*(10.764)</f>
        <v>697.02281999999991</v>
      </c>
      <c r="F244" s="86">
        <f>(3.2*1.23+0.6*(2.55+1.55+2.75))*(10.764)</f>
        <v>86.607143999999991</v>
      </c>
      <c r="G244" s="77">
        <v>0</v>
      </c>
      <c r="H244" s="77">
        <f t="shared" si="70"/>
        <v>783.62996399999986</v>
      </c>
      <c r="I244" s="1"/>
      <c r="J244" s="1"/>
      <c r="K244" s="1"/>
      <c r="L244" s="1"/>
      <c r="M244" s="1"/>
      <c r="N244" s="1"/>
      <c r="O244" s="1"/>
      <c r="P244" s="1"/>
      <c r="Q244" s="1"/>
      <c r="R244" s="1"/>
      <c r="S244" s="1"/>
      <c r="T244" s="23" t="e">
        <f t="shared" ca="1" si="71"/>
        <v>#REF!</v>
      </c>
      <c r="U244" s="23" t="e">
        <f t="shared" ref="U244:V244" ca="1" si="72">U243+1</f>
        <v>#REF!</v>
      </c>
      <c r="V244" s="23">
        <f t="shared" ca="1" si="72"/>
        <v>703</v>
      </c>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3" customFormat="1" ht="20.25" customHeight="1" x14ac:dyDescent="0.25">
      <c r="A245" s="94">
        <v>4</v>
      </c>
      <c r="B245" s="94"/>
      <c r="C245" s="77" t="s">
        <v>339</v>
      </c>
      <c r="D245" s="77" t="s">
        <v>340</v>
      </c>
      <c r="E245" s="86">
        <f>(64.81)*(10.764)</f>
        <v>697.61483999999996</v>
      </c>
      <c r="F245" s="86">
        <f>(3.2*1.23+0.6*(2.7+2.43+2.7))*(10.764)</f>
        <v>92.936375999999996</v>
      </c>
      <c r="G245" s="77">
        <v>0</v>
      </c>
      <c r="H245" s="77">
        <f t="shared" si="70"/>
        <v>790.55121599999995</v>
      </c>
      <c r="I245" s="1"/>
      <c r="J245" s="1"/>
      <c r="K245" s="1"/>
      <c r="L245" s="1"/>
      <c r="M245" s="1"/>
      <c r="N245" s="1"/>
      <c r="O245" s="1"/>
      <c r="P245" s="1"/>
      <c r="Q245" s="1"/>
      <c r="R245" s="1"/>
      <c r="S245" s="1"/>
      <c r="T245" s="23" t="e">
        <f t="shared" ca="1" si="71"/>
        <v>#REF!</v>
      </c>
      <c r="U245" s="23" t="e">
        <f t="shared" ref="U245:V245" ca="1" si="73">U244+1</f>
        <v>#REF!</v>
      </c>
      <c r="V245" s="23">
        <f t="shared" ca="1" si="73"/>
        <v>704</v>
      </c>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3" customFormat="1" ht="20.25" customHeight="1" x14ac:dyDescent="0.25">
      <c r="A246" s="94">
        <v>5</v>
      </c>
      <c r="B246" s="94"/>
      <c r="C246" s="77" t="s">
        <v>339</v>
      </c>
      <c r="D246" s="77" t="s">
        <v>340</v>
      </c>
      <c r="E246" s="86">
        <f>(64.483)*(10.764)</f>
        <v>694.095012</v>
      </c>
      <c r="F246" s="86">
        <f>(3.2*1.23+0.6*(2.95+2.23+3.3))*(10.764)</f>
        <v>97.134336000000005</v>
      </c>
      <c r="G246" s="77">
        <v>0</v>
      </c>
      <c r="H246" s="77">
        <f t="shared" si="70"/>
        <v>791.22934799999996</v>
      </c>
      <c r="I246" s="1"/>
      <c r="J246" s="1"/>
      <c r="K246" s="1"/>
      <c r="L246" s="1"/>
      <c r="M246" s="1"/>
      <c r="N246" s="1"/>
      <c r="O246" s="1"/>
      <c r="P246" s="1"/>
      <c r="Q246" s="1"/>
      <c r="R246" s="1"/>
      <c r="S246" s="1"/>
      <c r="T246" s="23" t="e">
        <f t="shared" ca="1" si="71"/>
        <v>#REF!</v>
      </c>
      <c r="U246" s="23" t="e">
        <f t="shared" ref="U246:V246" ca="1" si="74">U245+1</f>
        <v>#REF!</v>
      </c>
      <c r="V246" s="23">
        <f t="shared" ca="1" si="74"/>
        <v>705</v>
      </c>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3" customFormat="1" ht="20.25" customHeight="1" x14ac:dyDescent="0.25">
      <c r="A247" s="94">
        <v>6</v>
      </c>
      <c r="B247" s="94"/>
      <c r="C247" s="77" t="s">
        <v>339</v>
      </c>
      <c r="D247" s="77" t="s">
        <v>341</v>
      </c>
      <c r="E247" s="86">
        <f>(84.444)*(10.764)</f>
        <v>908.95521599999995</v>
      </c>
      <c r="F247" s="86">
        <f>(3.2*1.33+0.6*(2.7+2.43+2.7))*(10.764)</f>
        <v>96.380855999999994</v>
      </c>
      <c r="G247" s="77">
        <v>0</v>
      </c>
      <c r="H247" s="77">
        <f t="shared" si="70"/>
        <v>1005.3360719999999</v>
      </c>
      <c r="I247" s="1"/>
      <c r="J247" s="1"/>
      <c r="K247" s="1"/>
      <c r="L247" s="1"/>
      <c r="M247" s="1"/>
      <c r="N247" s="1"/>
      <c r="O247" s="1"/>
      <c r="P247" s="1"/>
      <c r="Q247" s="1"/>
      <c r="R247" s="1"/>
      <c r="S247" s="1"/>
      <c r="T247" s="23" t="e">
        <f t="shared" ca="1" si="71"/>
        <v>#REF!</v>
      </c>
      <c r="U247" s="23" t="e">
        <f t="shared" ref="U247:V247" ca="1" si="75">U246+1</f>
        <v>#REF!</v>
      </c>
      <c r="V247" s="23">
        <f t="shared" ca="1" si="75"/>
        <v>706</v>
      </c>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3" customFormat="1" ht="20.25" customHeight="1" x14ac:dyDescent="0.25">
      <c r="A248" s="94">
        <v>7</v>
      </c>
      <c r="B248" s="94"/>
      <c r="C248" s="77" t="s">
        <v>339</v>
      </c>
      <c r="D248" s="77" t="s">
        <v>341</v>
      </c>
      <c r="E248" s="86">
        <f>(84.39)*(10.764)</f>
        <v>908.3739599999999</v>
      </c>
      <c r="F248" s="86">
        <f>(3.2*1.33+0.6*(2.7+2.43+2.7))*(10.764)</f>
        <v>96.380855999999994</v>
      </c>
      <c r="G248" s="77">
        <v>0</v>
      </c>
      <c r="H248" s="77">
        <f t="shared" si="70"/>
        <v>1004.7548159999999</v>
      </c>
      <c r="I248" s="1"/>
      <c r="J248" s="1"/>
      <c r="K248" s="1"/>
      <c r="L248" s="1"/>
      <c r="M248" s="1"/>
      <c r="N248" s="1"/>
      <c r="O248" s="1"/>
      <c r="P248" s="1"/>
      <c r="Q248" s="1"/>
      <c r="R248" s="1"/>
      <c r="S248" s="1"/>
      <c r="T248" s="23" t="e">
        <f t="shared" ca="1" si="71"/>
        <v>#REF!</v>
      </c>
      <c r="U248" s="23" t="e">
        <f t="shared" ref="U248:V248" ca="1" si="76">U247+1</f>
        <v>#REF!</v>
      </c>
      <c r="V248" s="23">
        <f t="shared" ca="1" si="76"/>
        <v>707</v>
      </c>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s="3" customFormat="1" ht="20.25" x14ac:dyDescent="0.25">
      <c r="A249" s="91" t="s">
        <v>385</v>
      </c>
      <c r="B249" s="92"/>
      <c r="C249" s="92"/>
      <c r="D249" s="92"/>
      <c r="E249" s="92"/>
      <c r="F249" s="92"/>
      <c r="G249" s="92"/>
      <c r="H249" s="93"/>
      <c r="I249" s="1">
        <f>2</f>
        <v>2</v>
      </c>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row>
    <row r="250" spans="1:150 16226:16383" s="3" customFormat="1" ht="20.25" customHeight="1" x14ac:dyDescent="0.25">
      <c r="A250" s="94">
        <v>1</v>
      </c>
      <c r="B250" s="94"/>
      <c r="C250" s="77" t="s">
        <v>339</v>
      </c>
      <c r="D250" s="77" t="s">
        <v>341</v>
      </c>
      <c r="E250" s="86">
        <f>(96.749)*(10.764)</f>
        <v>1041.4062359999998</v>
      </c>
      <c r="F250" s="86">
        <f>(3.2*1.53+0.6*(2.85+2.95+1.46))*(10.764)</f>
        <v>99.588527999999997</v>
      </c>
      <c r="G250" s="77">
        <v>0</v>
      </c>
      <c r="H250" s="77">
        <f t="shared" ref="H250:H256" si="77">E250+F250+(IF(G250&lt;101,G250,IF(G250&lt;201,G250/2,IF(G250&lt;=301,G250/3,G250/4))))</f>
        <v>1140.9947639999998</v>
      </c>
      <c r="I250" s="1"/>
      <c r="J250" s="1"/>
      <c r="K250" s="1"/>
      <c r="L250" s="1"/>
      <c r="M250" s="1"/>
      <c r="N250" s="1"/>
      <c r="O250" s="1"/>
      <c r="P250" s="1"/>
      <c r="Q250" s="1"/>
      <c r="R250" s="1"/>
      <c r="S250" s="1"/>
      <c r="T250" s="23" t="e">
        <f ca="1">U250&amp;""&amp;" to "&amp;""&amp;V250</f>
        <v>#REF!</v>
      </c>
      <c r="U250" s="23" t="e">
        <f ca="1">(SUMPRODUCT(MID(0&amp;(LEFT(A248,SUM(LEN(A248)-LEN(SUBSTITUTE(A248,{"0","1","2","3"},""))))), LARGE(INDEX(ISNUMBER(--MID((LEFT(A248,SUM(LEN(A248)-LEN(SUBSTITUTE(A248,{"0","1","2","3"},""))))), ROW(INDIRECT("1:"&amp;LEN((LEFT(A248,SUM(LEN(A248)-LEN(SUBSTITUTE(A248,{"0","1","2","3"},"")))))))), 1)) * ROW(INDIRECT("1:"&amp;LEN((LEFT(A248,SUM(LEN(A248)-LEN(SUBSTITUTE(A248,{"0","1","2","3"},"")))))))), 0), ROW(INDIRECT("1:"&amp;LEN((LEFT(A248,SUM(LEN(A248)-LEN(SUBSTITUTE(A248,{"0","1","2","3"},"")))))))))+1, 1) * 10^ROW(INDIRECT("1:"&amp;LEN((LEFT(A248,SUM(LEN(A248)-LEN(SUBSTITUTE(A248,{"0","1","2","3"},""))))))))/10))*100+1</f>
        <v>#REF!</v>
      </c>
      <c r="V250" s="23">
        <f ca="1">(SUMPRODUCT(MID(0&amp;(--TRIM(RIGHT(SUBSTITUTE(LEFT(A248,_xlfn.AGGREGATE(16,6,FIND({0,1,2,3,4,5,6,7,8,9},A248,ROW(INDIRECT("1:"&amp;LEN(A248)))),1))," ",REPT(" ",LEN(A248))),LEN(A248)))), LARGE(INDEX(ISNUMBER(--MID((--TRIM(RIGHT(SUBSTITUTE(LEFT(A248,_xlfn.AGGREGATE(16,6,FIND({0,1,2,3,4,5,6,7,8,9},A248,ROW(INDIRECT("1:"&amp;LEN(A248)))),1))," ",REPT(" ",LEN(A248))),LEN(A248)))), ROW(INDIRECT("1:"&amp;LEN((--TRIM(RIGHT(SUBSTITUTE(LEFT(A248,_xlfn.AGGREGATE(16,6,FIND({0,1,2,3,4,5,6,7,8,9},A248,ROW(INDIRECT("1:"&amp;LEN(A248)))),1))," ",REPT(" ",LEN(A248))),LEN(A248))))))), 1)) * ROW(INDIRECT("1:"&amp;LEN((--TRIM(RIGHT(SUBSTITUTE(LEFT(A248,_xlfn.AGGREGATE(16,6,FIND({0,1,2,3,4,5,6,7,8,9},A248,ROW(INDIRECT("1:"&amp;LEN(A248)))),1))," ",REPT(" ",LEN(A248))),LEN(A248))))))), 0), ROW(INDIRECT("1:"&amp;LEN((--TRIM(RIGHT(SUBSTITUTE(LEFT(A248,_xlfn.AGGREGATE(16,6,FIND({0,1,2,3,4,5,6,7,8,9},A248,ROW(INDIRECT("1:"&amp;LEN(A248)))),1))," ",REPT(" ",LEN(A248))),LEN(A248))))))))+1, 1) * 10^ROW(INDIRECT("1:"&amp;LEN((--TRIM(RIGHT(SUBSTITUTE(LEFT(A248,_xlfn.AGGREGATE(16,6,FIND({0,1,2,3,4,5,6,7,8,9},A248,ROW(INDIRECT("1:"&amp;LEN(A248)))),1))," ",REPT(" ",LEN(A248))),LEN(A248)))))))/10))*100+1</f>
        <v>701</v>
      </c>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row>
    <row r="251" spans="1:150 16226:16383" s="3" customFormat="1" ht="20.25" customHeight="1" x14ac:dyDescent="0.25">
      <c r="A251" s="94">
        <v>2</v>
      </c>
      <c r="B251" s="94"/>
      <c r="C251" s="77" t="s">
        <v>339</v>
      </c>
      <c r="D251" s="77" t="s">
        <v>341</v>
      </c>
      <c r="E251" s="86">
        <f>(96.31)*(10.764)</f>
        <v>1036.68084</v>
      </c>
      <c r="F251" s="86">
        <f>(3.2*1.53+0.6*(2.85+2.95+1.46))*(10.764)</f>
        <v>99.588527999999997</v>
      </c>
      <c r="G251" s="77">
        <v>0</v>
      </c>
      <c r="H251" s="77">
        <f t="shared" si="77"/>
        <v>1136.269368</v>
      </c>
      <c r="I251" s="1"/>
      <c r="J251" s="1"/>
      <c r="K251" s="1"/>
      <c r="L251" s="1"/>
      <c r="M251" s="1"/>
      <c r="N251" s="1"/>
      <c r="O251" s="1"/>
      <c r="P251" s="1"/>
      <c r="Q251" s="1"/>
      <c r="R251" s="1"/>
      <c r="S251" s="1"/>
      <c r="T251" s="23" t="e">
        <f t="shared" ref="T251:T256" ca="1" si="78">U251&amp;""&amp;" to "&amp;""&amp;V251</f>
        <v>#REF!</v>
      </c>
      <c r="U251" s="23" t="e">
        <f ca="1">U250+1</f>
        <v>#REF!</v>
      </c>
      <c r="V251" s="23">
        <f ca="1">V250+1</f>
        <v>702</v>
      </c>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row>
    <row r="252" spans="1:150 16226:16383" s="3" customFormat="1" ht="20.25" customHeight="1" x14ac:dyDescent="0.25">
      <c r="A252" s="94">
        <v>3</v>
      </c>
      <c r="B252" s="94"/>
      <c r="C252" s="77" t="s">
        <v>339</v>
      </c>
      <c r="D252" s="77" t="s">
        <v>340</v>
      </c>
      <c r="E252" s="86">
        <f>(64.755)*(10.764)</f>
        <v>697.02281999999991</v>
      </c>
      <c r="F252" s="86">
        <f>(3.2*1.23+0.6*(2.55+1.55+2.75))*(10.764)</f>
        <v>86.607143999999991</v>
      </c>
      <c r="G252" s="77">
        <v>0</v>
      </c>
      <c r="H252" s="77">
        <f t="shared" si="77"/>
        <v>783.62996399999986</v>
      </c>
      <c r="I252" s="1"/>
      <c r="J252" s="1"/>
      <c r="K252" s="1"/>
      <c r="L252" s="1"/>
      <c r="M252" s="1"/>
      <c r="N252" s="1"/>
      <c r="O252" s="1"/>
      <c r="P252" s="1"/>
      <c r="Q252" s="1"/>
      <c r="R252" s="1"/>
      <c r="S252" s="1"/>
      <c r="T252" s="23" t="e">
        <f t="shared" ca="1" si="78"/>
        <v>#REF!</v>
      </c>
      <c r="U252" s="23" t="e">
        <f t="shared" ref="U252:V252" ca="1" si="79">U251+1</f>
        <v>#REF!</v>
      </c>
      <c r="V252" s="23">
        <f t="shared" ca="1" si="79"/>
        <v>703</v>
      </c>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row>
    <row r="253" spans="1:150 16226:16383" s="3" customFormat="1" ht="20.25" customHeight="1" x14ac:dyDescent="0.25">
      <c r="A253" s="94">
        <v>4</v>
      </c>
      <c r="B253" s="94"/>
      <c r="C253" s="77" t="s">
        <v>339</v>
      </c>
      <c r="D253" s="77" t="s">
        <v>340</v>
      </c>
      <c r="E253" s="86">
        <f>(64.81)*(10.764)</f>
        <v>697.61483999999996</v>
      </c>
      <c r="F253" s="86">
        <f>(3.2*1.23+0.6*(2.7+2.43+2.7))*(10.764)</f>
        <v>92.936375999999996</v>
      </c>
      <c r="G253" s="77">
        <v>0</v>
      </c>
      <c r="H253" s="77">
        <f t="shared" si="77"/>
        <v>790.55121599999995</v>
      </c>
      <c r="I253" s="1"/>
      <c r="J253" s="1"/>
      <c r="K253" s="1"/>
      <c r="L253" s="1"/>
      <c r="M253" s="1"/>
      <c r="N253" s="1"/>
      <c r="O253" s="1"/>
      <c r="P253" s="1"/>
      <c r="Q253" s="1"/>
      <c r="R253" s="1"/>
      <c r="S253" s="1"/>
      <c r="T253" s="23" t="e">
        <f t="shared" ca="1" si="78"/>
        <v>#REF!</v>
      </c>
      <c r="U253" s="23" t="e">
        <f t="shared" ref="U253:V253" ca="1" si="80">U252+1</f>
        <v>#REF!</v>
      </c>
      <c r="V253" s="23">
        <f t="shared" ca="1" si="80"/>
        <v>704</v>
      </c>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row>
    <row r="254" spans="1:150 16226:16383" s="3" customFormat="1" ht="20.25" customHeight="1" x14ac:dyDescent="0.25">
      <c r="A254" s="94">
        <v>5</v>
      </c>
      <c r="B254" s="94"/>
      <c r="C254" s="77" t="s">
        <v>339</v>
      </c>
      <c r="D254" s="115" t="s">
        <v>386</v>
      </c>
      <c r="E254" s="116"/>
      <c r="F254" s="116"/>
      <c r="G254" s="116"/>
      <c r="H254" s="117"/>
      <c r="I254" s="1"/>
      <c r="J254" s="1"/>
      <c r="K254" s="1"/>
      <c r="L254" s="1"/>
      <c r="M254" s="1"/>
      <c r="N254" s="1"/>
      <c r="O254" s="1"/>
      <c r="P254" s="1"/>
      <c r="Q254" s="1"/>
      <c r="R254" s="1"/>
      <c r="S254" s="1"/>
      <c r="T254" s="23" t="e">
        <f t="shared" ca="1" si="78"/>
        <v>#REF!</v>
      </c>
      <c r="U254" s="23" t="e">
        <f t="shared" ref="U254:V254" ca="1" si="81">U253+1</f>
        <v>#REF!</v>
      </c>
      <c r="V254" s="23">
        <f t="shared" ca="1" si="81"/>
        <v>705</v>
      </c>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row>
    <row r="255" spans="1:150 16226:16383" s="3" customFormat="1" ht="20.25" customHeight="1" x14ac:dyDescent="0.25">
      <c r="A255" s="94">
        <v>6</v>
      </c>
      <c r="B255" s="94"/>
      <c r="C255" s="77" t="s">
        <v>339</v>
      </c>
      <c r="D255" s="121"/>
      <c r="E255" s="122"/>
      <c r="F255" s="122"/>
      <c r="G255" s="122"/>
      <c r="H255" s="123"/>
      <c r="I255" s="1"/>
      <c r="J255" s="1"/>
      <c r="K255" s="1"/>
      <c r="L255" s="1"/>
      <c r="M255" s="1"/>
      <c r="N255" s="1"/>
      <c r="O255" s="1"/>
      <c r="P255" s="1"/>
      <c r="Q255" s="1"/>
      <c r="R255" s="1"/>
      <c r="S255" s="1"/>
      <c r="T255" s="23" t="e">
        <f t="shared" ca="1" si="78"/>
        <v>#REF!</v>
      </c>
      <c r="U255" s="23" t="e">
        <f t="shared" ref="U255:V255" ca="1" si="82">U254+1</f>
        <v>#REF!</v>
      </c>
      <c r="V255" s="23">
        <f t="shared" ca="1" si="82"/>
        <v>706</v>
      </c>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row>
    <row r="256" spans="1:150 16226:16383" s="3" customFormat="1" ht="20.25" customHeight="1" x14ac:dyDescent="0.25">
      <c r="A256" s="94">
        <v>7</v>
      </c>
      <c r="B256" s="94"/>
      <c r="C256" s="77" t="s">
        <v>339</v>
      </c>
      <c r="D256" s="77" t="s">
        <v>341</v>
      </c>
      <c r="E256" s="77">
        <f>(84.39)*(10.764)</f>
        <v>908.3739599999999</v>
      </c>
      <c r="F256" s="77">
        <f>(3.2*1.33+0.6*(2.7+2.43+2.7))*(10.764)</f>
        <v>96.380855999999994</v>
      </c>
      <c r="G256" s="77">
        <v>0</v>
      </c>
      <c r="H256" s="77">
        <f t="shared" si="77"/>
        <v>1004.7548159999999</v>
      </c>
      <c r="I256" s="1"/>
      <c r="J256" s="1"/>
      <c r="K256" s="1"/>
      <c r="L256" s="1"/>
      <c r="M256" s="1"/>
      <c r="N256" s="1"/>
      <c r="O256" s="1"/>
      <c r="P256" s="1"/>
      <c r="Q256" s="1"/>
      <c r="R256" s="1"/>
      <c r="S256" s="1"/>
      <c r="T256" s="23" t="e">
        <f t="shared" ca="1" si="78"/>
        <v>#REF!</v>
      </c>
      <c r="U256" s="23" t="e">
        <f t="shared" ref="U256:V256" ca="1" si="83">U255+1</f>
        <v>#REF!</v>
      </c>
      <c r="V256" s="23">
        <f t="shared" ca="1" si="83"/>
        <v>707</v>
      </c>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row>
    <row r="257" spans="1:150 16226:16383" s="3" customFormat="1" ht="20.25" x14ac:dyDescent="0.25">
      <c r="A257" s="91" t="s">
        <v>362</v>
      </c>
      <c r="B257" s="92"/>
      <c r="C257" s="92"/>
      <c r="D257" s="92"/>
      <c r="E257" s="92"/>
      <c r="F257" s="92"/>
      <c r="G257" s="92"/>
      <c r="H257" s="93"/>
      <c r="I257" s="1">
        <f>1</f>
        <v>1</v>
      </c>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row>
    <row r="258" spans="1:150 16226:16383" s="3" customFormat="1" ht="20.25" customHeight="1" x14ac:dyDescent="0.25">
      <c r="A258" s="94">
        <v>1</v>
      </c>
      <c r="B258" s="94"/>
      <c r="C258" s="77" t="s">
        <v>339</v>
      </c>
      <c r="D258" s="77" t="s">
        <v>341</v>
      </c>
      <c r="E258" s="77">
        <f>(96.749)*(10.764)</f>
        <v>1041.4062359999998</v>
      </c>
      <c r="F258" s="77">
        <f>(3.2*1.53+0.6*(2.85+2.95+1.46))*(10.764)</f>
        <v>99.588527999999997</v>
      </c>
      <c r="G258" s="77">
        <v>0</v>
      </c>
      <c r="H258" s="77">
        <f t="shared" ref="H258:H263" si="84">E258+F258+(IF(G258&lt;101,G258,IF(G258&lt;201,G258/2,IF(G258&lt;=301,G258/3,G258/4))))</f>
        <v>1140.9947639999998</v>
      </c>
      <c r="I258" s="1"/>
      <c r="J258" s="1"/>
      <c r="K258" s="1"/>
      <c r="L258" s="1"/>
      <c r="M258" s="1"/>
      <c r="N258" s="1"/>
      <c r="O258" s="1"/>
      <c r="P258" s="1"/>
      <c r="Q258" s="1"/>
      <c r="R258" s="1"/>
      <c r="S258" s="1"/>
      <c r="T258" s="23" t="e">
        <f ca="1">U258&amp;""&amp;" to "&amp;""&amp;V258</f>
        <v>#REF!</v>
      </c>
      <c r="U258" s="23" t="e">
        <f ca="1">(SUMPRODUCT(MID(0&amp;(LEFT(A256,SUM(LEN(A256)-LEN(SUBSTITUTE(A256,{"0","1","2","3"},""))))), LARGE(INDEX(ISNUMBER(--MID((LEFT(A256,SUM(LEN(A256)-LEN(SUBSTITUTE(A256,{"0","1","2","3"},""))))), ROW(INDIRECT("1:"&amp;LEN((LEFT(A256,SUM(LEN(A256)-LEN(SUBSTITUTE(A256,{"0","1","2","3"},"")))))))), 1)) * ROW(INDIRECT("1:"&amp;LEN((LEFT(A256,SUM(LEN(A256)-LEN(SUBSTITUTE(A256,{"0","1","2","3"},"")))))))), 0), ROW(INDIRECT("1:"&amp;LEN((LEFT(A256,SUM(LEN(A256)-LEN(SUBSTITUTE(A256,{"0","1","2","3"},"")))))))))+1, 1) * 10^ROW(INDIRECT("1:"&amp;LEN((LEFT(A256,SUM(LEN(A256)-LEN(SUBSTITUTE(A256,{"0","1","2","3"},""))))))))/10))*100+1</f>
        <v>#REF!</v>
      </c>
      <c r="V258" s="23">
        <f ca="1">(SUMPRODUCT(MID(0&amp;(--TRIM(RIGHT(SUBSTITUTE(LEFT(A256,_xlfn.AGGREGATE(16,6,FIND({0,1,2,3,4,5,6,7,8,9},A256,ROW(INDIRECT("1:"&amp;LEN(A256)))),1))," ",REPT(" ",LEN(A256))),LEN(A256)))), LARGE(INDEX(ISNUMBER(--MID((--TRIM(RIGHT(SUBSTITUTE(LEFT(A256,_xlfn.AGGREGATE(16,6,FIND({0,1,2,3,4,5,6,7,8,9},A256,ROW(INDIRECT("1:"&amp;LEN(A256)))),1))," ",REPT(" ",LEN(A256))),LEN(A256)))), ROW(INDIRECT("1:"&amp;LEN((--TRIM(RIGHT(SUBSTITUTE(LEFT(A256,_xlfn.AGGREGATE(16,6,FIND({0,1,2,3,4,5,6,7,8,9},A256,ROW(INDIRECT("1:"&amp;LEN(A256)))),1))," ",REPT(" ",LEN(A256))),LEN(A256))))))), 1)) * ROW(INDIRECT("1:"&amp;LEN((--TRIM(RIGHT(SUBSTITUTE(LEFT(A256,_xlfn.AGGREGATE(16,6,FIND({0,1,2,3,4,5,6,7,8,9},A256,ROW(INDIRECT("1:"&amp;LEN(A256)))),1))," ",REPT(" ",LEN(A256))),LEN(A256))))))), 0), ROW(INDIRECT("1:"&amp;LEN((--TRIM(RIGHT(SUBSTITUTE(LEFT(A256,_xlfn.AGGREGATE(16,6,FIND({0,1,2,3,4,5,6,7,8,9},A256,ROW(INDIRECT("1:"&amp;LEN(A256)))),1))," ",REPT(" ",LEN(A256))),LEN(A256))))))))+1, 1) * 10^ROW(INDIRECT("1:"&amp;LEN((--TRIM(RIGHT(SUBSTITUTE(LEFT(A256,_xlfn.AGGREGATE(16,6,FIND({0,1,2,3,4,5,6,7,8,9},A256,ROW(INDIRECT("1:"&amp;LEN(A256)))),1))," ",REPT(" ",LEN(A256))),LEN(A256)))))))/10))*100+1</f>
        <v>701</v>
      </c>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row>
    <row r="259" spans="1:150 16226:16383" s="3" customFormat="1" ht="20.25" customHeight="1" x14ac:dyDescent="0.25">
      <c r="A259" s="94">
        <v>2</v>
      </c>
      <c r="B259" s="94"/>
      <c r="C259" s="77" t="s">
        <v>339</v>
      </c>
      <c r="D259" s="77" t="s">
        <v>341</v>
      </c>
      <c r="E259" s="77">
        <f>(96.31)*(10.764)</f>
        <v>1036.68084</v>
      </c>
      <c r="F259" s="77">
        <f>(3.2*1.53+0.6*(2.85+2.95+1.46))*(10.764)</f>
        <v>99.588527999999997</v>
      </c>
      <c r="G259" s="77">
        <v>0</v>
      </c>
      <c r="H259" s="77">
        <f t="shared" si="84"/>
        <v>1136.269368</v>
      </c>
      <c r="I259" s="1"/>
      <c r="J259" s="1"/>
      <c r="K259" s="1"/>
      <c r="L259" s="1"/>
      <c r="M259" s="1"/>
      <c r="N259" s="1"/>
      <c r="O259" s="1"/>
      <c r="P259" s="1"/>
      <c r="Q259" s="1"/>
      <c r="R259" s="1"/>
      <c r="S259" s="1"/>
      <c r="T259" s="23" t="e">
        <f t="shared" ref="T259:T264" ca="1" si="85">U259&amp;""&amp;" to "&amp;""&amp;V259</f>
        <v>#REF!</v>
      </c>
      <c r="U259" s="23" t="e">
        <f ca="1">U258+1</f>
        <v>#REF!</v>
      </c>
      <c r="V259" s="23">
        <f ca="1">V258+1</f>
        <v>702</v>
      </c>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row>
    <row r="260" spans="1:150 16226:16383" s="3" customFormat="1" ht="20.25" customHeight="1" x14ac:dyDescent="0.25">
      <c r="A260" s="94">
        <v>3</v>
      </c>
      <c r="B260" s="94"/>
      <c r="C260" s="77" t="s">
        <v>339</v>
      </c>
      <c r="D260" s="88" t="s">
        <v>351</v>
      </c>
      <c r="E260" s="90"/>
      <c r="F260" s="90"/>
      <c r="G260" s="90"/>
      <c r="H260" s="89"/>
      <c r="I260" s="1"/>
      <c r="J260" s="1"/>
      <c r="K260" s="1"/>
      <c r="L260" s="1"/>
      <c r="M260" s="1"/>
      <c r="N260" s="1"/>
      <c r="O260" s="1"/>
      <c r="P260" s="1"/>
      <c r="Q260" s="1"/>
      <c r="R260" s="1"/>
      <c r="S260" s="1"/>
      <c r="T260" s="23" t="e">
        <f t="shared" ca="1" si="85"/>
        <v>#REF!</v>
      </c>
      <c r="U260" s="23" t="e">
        <f t="shared" ref="U260:V260" ca="1" si="86">U259+1</f>
        <v>#REF!</v>
      </c>
      <c r="V260" s="23">
        <f t="shared" ca="1" si="86"/>
        <v>703</v>
      </c>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WZB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row>
    <row r="261" spans="1:150 16226:16383" s="3" customFormat="1" ht="20.25" customHeight="1" x14ac:dyDescent="0.25">
      <c r="A261" s="94">
        <v>4</v>
      </c>
      <c r="B261" s="94"/>
      <c r="C261" s="77" t="s">
        <v>339</v>
      </c>
      <c r="D261" s="77" t="s">
        <v>340</v>
      </c>
      <c r="E261" s="77">
        <f>(64.812)*(10.764)</f>
        <v>697.63636799999995</v>
      </c>
      <c r="F261" s="77">
        <f>(3.2*1.23+0.6*(2.7+2.43+2.7))*(10.764)</f>
        <v>92.936375999999996</v>
      </c>
      <c r="G261" s="77">
        <v>0</v>
      </c>
      <c r="H261" s="77">
        <f t="shared" si="84"/>
        <v>790.57274399999994</v>
      </c>
      <c r="I261" s="1"/>
      <c r="J261" s="1"/>
      <c r="K261" s="1"/>
      <c r="L261" s="1"/>
      <c r="M261" s="1"/>
      <c r="N261" s="1"/>
      <c r="O261" s="1"/>
      <c r="P261" s="1"/>
      <c r="Q261" s="1"/>
      <c r="R261" s="1"/>
      <c r="S261" s="1"/>
      <c r="T261" s="23" t="e">
        <f t="shared" ca="1" si="85"/>
        <v>#REF!</v>
      </c>
      <c r="U261" s="23" t="e">
        <f t="shared" ref="U261:V261" ca="1" si="87">U260+1</f>
        <v>#REF!</v>
      </c>
      <c r="V261" s="23">
        <f t="shared" ca="1" si="87"/>
        <v>704</v>
      </c>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WZB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row>
    <row r="262" spans="1:150 16226:16383" s="3" customFormat="1" ht="20.25" customHeight="1" x14ac:dyDescent="0.25">
      <c r="A262" s="94">
        <v>5</v>
      </c>
      <c r="B262" s="94"/>
      <c r="C262" s="77" t="s">
        <v>339</v>
      </c>
      <c r="D262" s="77" t="s">
        <v>340</v>
      </c>
      <c r="E262" s="77">
        <f>(64.963)*(10.764)</f>
        <v>699.26173199999994</v>
      </c>
      <c r="F262" s="77">
        <f>(3.2*1.23+0.6*(2.95+2.23+3.3))*(10.764)</f>
        <v>97.134336000000005</v>
      </c>
      <c r="G262" s="77">
        <v>0</v>
      </c>
      <c r="H262" s="77">
        <f t="shared" si="84"/>
        <v>796.3960679999999</v>
      </c>
      <c r="I262" s="1"/>
      <c r="J262" s="1"/>
      <c r="K262" s="1"/>
      <c r="L262" s="1"/>
      <c r="M262" s="1"/>
      <c r="N262" s="1"/>
      <c r="O262" s="1"/>
      <c r="P262" s="1"/>
      <c r="Q262" s="1"/>
      <c r="R262" s="1"/>
      <c r="S262" s="1"/>
      <c r="T262" s="23" t="e">
        <f t="shared" ca="1" si="85"/>
        <v>#REF!</v>
      </c>
      <c r="U262" s="23" t="e">
        <f t="shared" ref="U262:V262" ca="1" si="88">U261+1</f>
        <v>#REF!</v>
      </c>
      <c r="V262" s="23">
        <f t="shared" ca="1" si="88"/>
        <v>705</v>
      </c>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WZB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row>
    <row r="263" spans="1:150 16226:16383" s="3" customFormat="1" ht="20.25" customHeight="1" x14ac:dyDescent="0.25">
      <c r="A263" s="94">
        <v>6</v>
      </c>
      <c r="B263" s="94"/>
      <c r="C263" s="77" t="s">
        <v>339</v>
      </c>
      <c r="D263" s="77" t="s">
        <v>341</v>
      </c>
      <c r="E263" s="77">
        <f>(84.444)*(10.764)</f>
        <v>908.95521599999995</v>
      </c>
      <c r="F263" s="77">
        <f>(3.2*1.33+0.6*(2.7+2.43+2.7))*(10.764)</f>
        <v>96.380855999999994</v>
      </c>
      <c r="G263" s="77">
        <v>0</v>
      </c>
      <c r="H263" s="77">
        <f t="shared" si="84"/>
        <v>1005.3360719999999</v>
      </c>
      <c r="I263" s="1"/>
      <c r="J263" s="1"/>
      <c r="K263" s="1"/>
      <c r="L263" s="1"/>
      <c r="M263" s="1"/>
      <c r="N263" s="1"/>
      <c r="O263" s="1"/>
      <c r="P263" s="1"/>
      <c r="Q263" s="1"/>
      <c r="R263" s="1"/>
      <c r="S263" s="1"/>
      <c r="T263" s="23" t="e">
        <f t="shared" ca="1" si="85"/>
        <v>#REF!</v>
      </c>
      <c r="U263" s="23" t="e">
        <f t="shared" ref="U263:V263" ca="1" si="89">U262+1</f>
        <v>#REF!</v>
      </c>
      <c r="V263" s="23">
        <f t="shared" ca="1" si="89"/>
        <v>706</v>
      </c>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WZB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row>
    <row r="264" spans="1:150 16226:16383" s="3" customFormat="1" ht="20.25" customHeight="1" x14ac:dyDescent="0.25">
      <c r="A264" s="94">
        <v>7</v>
      </c>
      <c r="B264" s="94"/>
      <c r="C264" s="77" t="s">
        <v>339</v>
      </c>
      <c r="D264" s="88" t="s">
        <v>351</v>
      </c>
      <c r="E264" s="90"/>
      <c r="F264" s="90"/>
      <c r="G264" s="90"/>
      <c r="H264" s="89"/>
      <c r="I264" s="1"/>
      <c r="J264" s="1"/>
      <c r="K264" s="1"/>
      <c r="L264" s="1"/>
      <c r="M264" s="1"/>
      <c r="N264" s="1"/>
      <c r="O264" s="1"/>
      <c r="P264" s="1"/>
      <c r="Q264" s="1"/>
      <c r="R264" s="1"/>
      <c r="S264" s="1"/>
      <c r="T264" s="23" t="e">
        <f t="shared" ca="1" si="85"/>
        <v>#REF!</v>
      </c>
      <c r="U264" s="23" t="e">
        <f t="shared" ref="U264:V264" ca="1" si="90">U263+1</f>
        <v>#REF!</v>
      </c>
      <c r="V264" s="23">
        <f t="shared" ca="1" si="90"/>
        <v>707</v>
      </c>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WZB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row>
    <row r="265" spans="1:150 16226:16383" s="3" customFormat="1" ht="20.25" x14ac:dyDescent="0.25">
      <c r="A265" s="91" t="s">
        <v>363</v>
      </c>
      <c r="B265" s="92"/>
      <c r="C265" s="92"/>
      <c r="D265" s="92"/>
      <c r="E265" s="92"/>
      <c r="F265" s="92"/>
      <c r="G265" s="92"/>
      <c r="H265" s="93"/>
      <c r="I265" s="1">
        <f>1</f>
        <v>1</v>
      </c>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WZB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row>
    <row r="266" spans="1:150 16226:16383" s="3" customFormat="1" ht="20.25" customHeight="1" x14ac:dyDescent="0.25">
      <c r="A266" s="94">
        <v>1</v>
      </c>
      <c r="B266" s="94"/>
      <c r="C266" s="77" t="s">
        <v>339</v>
      </c>
      <c r="D266" s="77" t="s">
        <v>341</v>
      </c>
      <c r="E266" s="77">
        <f>(96.749)*(10.764)</f>
        <v>1041.4062359999998</v>
      </c>
      <c r="F266" s="77">
        <f>(3.2*1.53+0.6*(2.85+2.95+1.46))*(10.764)</f>
        <v>99.588527999999997</v>
      </c>
      <c r="G266" s="77">
        <v>0</v>
      </c>
      <c r="H266" s="77">
        <f t="shared" ref="H266:H267" si="91">E266+F266+(IF(G266&lt;101,G266,IF(G266&lt;201,G266/2,IF(G266&lt;=301,G266/3,G266/4))))</f>
        <v>1140.9947639999998</v>
      </c>
      <c r="I266" s="1"/>
      <c r="J266" s="1"/>
      <c r="K266" s="1"/>
      <c r="L266" s="1"/>
      <c r="M266" s="1"/>
      <c r="N266" s="1"/>
      <c r="O266" s="1"/>
      <c r="P266" s="1"/>
      <c r="Q266" s="1"/>
      <c r="R266" s="1"/>
      <c r="S266" s="1"/>
      <c r="T266" s="23" t="e">
        <f ca="1">U266&amp;""&amp;" to "&amp;""&amp;V266</f>
        <v>#REF!</v>
      </c>
      <c r="U266" s="23" t="e">
        <f ca="1">(SUMPRODUCT(MID(0&amp;(LEFT(A264,SUM(LEN(A264)-LEN(SUBSTITUTE(A264,{"0","1","2","3"},""))))), LARGE(INDEX(ISNUMBER(--MID((LEFT(A264,SUM(LEN(A264)-LEN(SUBSTITUTE(A264,{"0","1","2","3"},""))))), ROW(INDIRECT("1:"&amp;LEN((LEFT(A264,SUM(LEN(A264)-LEN(SUBSTITUTE(A264,{"0","1","2","3"},"")))))))), 1)) * ROW(INDIRECT("1:"&amp;LEN((LEFT(A264,SUM(LEN(A264)-LEN(SUBSTITUTE(A264,{"0","1","2","3"},"")))))))), 0), ROW(INDIRECT("1:"&amp;LEN((LEFT(A264,SUM(LEN(A264)-LEN(SUBSTITUTE(A264,{"0","1","2","3"},"")))))))))+1, 1) * 10^ROW(INDIRECT("1:"&amp;LEN((LEFT(A264,SUM(LEN(A264)-LEN(SUBSTITUTE(A264,{"0","1","2","3"},""))))))))/10))*100+1</f>
        <v>#REF!</v>
      </c>
      <c r="V266" s="23">
        <f ca="1">(SUMPRODUCT(MID(0&amp;(--TRIM(RIGHT(SUBSTITUTE(LEFT(A264,_xlfn.AGGREGATE(16,6,FIND({0,1,2,3,4,5,6,7,8,9},A264,ROW(INDIRECT("1:"&amp;LEN(A264)))),1))," ",REPT(" ",LEN(A264))),LEN(A264)))), LARGE(INDEX(ISNUMBER(--MID((--TRIM(RIGHT(SUBSTITUTE(LEFT(A264,_xlfn.AGGREGATE(16,6,FIND({0,1,2,3,4,5,6,7,8,9},A264,ROW(INDIRECT("1:"&amp;LEN(A264)))),1))," ",REPT(" ",LEN(A264))),LEN(A264)))), ROW(INDIRECT("1:"&amp;LEN((--TRIM(RIGHT(SUBSTITUTE(LEFT(A264,_xlfn.AGGREGATE(16,6,FIND({0,1,2,3,4,5,6,7,8,9},A264,ROW(INDIRECT("1:"&amp;LEN(A264)))),1))," ",REPT(" ",LEN(A264))),LEN(A264))))))), 1)) * ROW(INDIRECT("1:"&amp;LEN((--TRIM(RIGHT(SUBSTITUTE(LEFT(A264,_xlfn.AGGREGATE(16,6,FIND({0,1,2,3,4,5,6,7,8,9},A264,ROW(INDIRECT("1:"&amp;LEN(A264)))),1))," ",REPT(" ",LEN(A264))),LEN(A264))))))), 0), ROW(INDIRECT("1:"&amp;LEN((--TRIM(RIGHT(SUBSTITUTE(LEFT(A264,_xlfn.AGGREGATE(16,6,FIND({0,1,2,3,4,5,6,7,8,9},A264,ROW(INDIRECT("1:"&amp;LEN(A264)))),1))," ",REPT(" ",LEN(A264))),LEN(A264))))))))+1, 1) * 10^ROW(INDIRECT("1:"&amp;LEN((--TRIM(RIGHT(SUBSTITUTE(LEFT(A264,_xlfn.AGGREGATE(16,6,FIND({0,1,2,3,4,5,6,7,8,9},A264,ROW(INDIRECT("1:"&amp;LEN(A264)))),1))," ",REPT(" ",LEN(A264))),LEN(A264)))))))/10))*100+1</f>
        <v>701</v>
      </c>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WZB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row>
    <row r="267" spans="1:150 16226:16383" s="3" customFormat="1" ht="20.25" customHeight="1" x14ac:dyDescent="0.25">
      <c r="A267" s="94">
        <v>2</v>
      </c>
      <c r="B267" s="94"/>
      <c r="C267" s="77" t="s">
        <v>339</v>
      </c>
      <c r="D267" s="77" t="s">
        <v>341</v>
      </c>
      <c r="E267" s="77">
        <f>(96.31)*(10.764)</f>
        <v>1036.68084</v>
      </c>
      <c r="F267" s="77">
        <f>(3.2*1.53+0.6*(2.85+2.95+1.46))*(10.764)</f>
        <v>99.588527999999997</v>
      </c>
      <c r="G267" s="77">
        <v>0</v>
      </c>
      <c r="H267" s="77">
        <f t="shared" si="91"/>
        <v>1136.269368</v>
      </c>
      <c r="I267" s="1"/>
      <c r="J267" s="1"/>
      <c r="K267" s="1"/>
      <c r="L267" s="1"/>
      <c r="M267" s="1"/>
      <c r="N267" s="1"/>
      <c r="O267" s="1"/>
      <c r="P267" s="1"/>
      <c r="Q267" s="1"/>
      <c r="R267" s="1"/>
      <c r="S267" s="1"/>
      <c r="T267" s="23" t="e">
        <f t="shared" ref="T267:T271" ca="1" si="92">U267&amp;""&amp;" to "&amp;""&amp;V267</f>
        <v>#REF!</v>
      </c>
      <c r="U267" s="23" t="e">
        <f ca="1">U266+1</f>
        <v>#REF!</v>
      </c>
      <c r="V267" s="23">
        <f ca="1">V266+1</f>
        <v>702</v>
      </c>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WZB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row>
    <row r="268" spans="1:150 16226:16383" s="3" customFormat="1" ht="20.25" customHeight="1" x14ac:dyDescent="0.25">
      <c r="A268" s="88">
        <v>3</v>
      </c>
      <c r="B268" s="89"/>
      <c r="C268" s="82" t="s">
        <v>339</v>
      </c>
      <c r="D268" s="88" t="s">
        <v>387</v>
      </c>
      <c r="E268" s="90"/>
      <c r="F268" s="90"/>
      <c r="G268" s="90"/>
      <c r="H268" s="89"/>
      <c r="I268" s="1"/>
      <c r="J268" s="1"/>
      <c r="K268" s="1"/>
      <c r="L268" s="1"/>
      <c r="M268" s="1"/>
      <c r="N268" s="1"/>
      <c r="O268" s="1"/>
      <c r="P268" s="1"/>
      <c r="Q268" s="1"/>
      <c r="R268" s="1"/>
      <c r="S268" s="1"/>
      <c r="T268" s="23" t="e">
        <f t="shared" ca="1" si="92"/>
        <v>#REF!</v>
      </c>
      <c r="U268" s="23" t="e">
        <f t="shared" ref="U268:V268" ca="1" si="93">U267+1</f>
        <v>#REF!</v>
      </c>
      <c r="V268" s="23">
        <f t="shared" ca="1" si="93"/>
        <v>703</v>
      </c>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WZB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row>
    <row r="269" spans="1:150 16226:16383" s="3" customFormat="1" ht="20.25" customHeight="1" x14ac:dyDescent="0.25">
      <c r="A269" s="88">
        <v>4</v>
      </c>
      <c r="B269" s="89"/>
      <c r="C269" s="77" t="s">
        <v>339</v>
      </c>
      <c r="D269" s="77" t="s">
        <v>340</v>
      </c>
      <c r="E269" s="77">
        <f>(64.812)*(10.764)</f>
        <v>697.63636799999995</v>
      </c>
      <c r="F269" s="77">
        <f>(3.2*1.23+0.6*(2.7+2.43+2.7))*(10.764)</f>
        <v>92.936375999999996</v>
      </c>
      <c r="G269" s="77">
        <v>0</v>
      </c>
      <c r="H269" s="77">
        <f t="shared" ref="H269:H271" si="94">E269+F269+(IF(G269&lt;101,G269,IF(G269&lt;201,G269/2,IF(G269&lt;=301,G269/3,G269/4))))</f>
        <v>790.57274399999994</v>
      </c>
      <c r="I269" s="1"/>
      <c r="J269" s="1"/>
      <c r="K269" s="1"/>
      <c r="L269" s="1"/>
      <c r="M269" s="1"/>
      <c r="N269" s="1"/>
      <c r="O269" s="1"/>
      <c r="P269" s="1"/>
      <c r="Q269" s="1"/>
      <c r="R269" s="1"/>
      <c r="S269" s="1"/>
      <c r="T269" s="23" t="e">
        <f t="shared" si="92"/>
        <v>#REF!</v>
      </c>
      <c r="U269" s="23" t="e">
        <f>#REF!+1</f>
        <v>#REF!</v>
      </c>
      <c r="V269" s="23" t="e">
        <f>#REF!+1</f>
        <v>#REF!</v>
      </c>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WZB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row>
    <row r="270" spans="1:150 16226:16383" s="3" customFormat="1" ht="20.25" customHeight="1" x14ac:dyDescent="0.25">
      <c r="A270" s="94">
        <v>5</v>
      </c>
      <c r="B270" s="94"/>
      <c r="C270" s="77" t="s">
        <v>339</v>
      </c>
      <c r="D270" s="77" t="s">
        <v>340</v>
      </c>
      <c r="E270" s="77">
        <f>(64.483)*(10.764)</f>
        <v>694.095012</v>
      </c>
      <c r="F270" s="77">
        <f>(3.2*1.23+0.6*(2.95+2.23+3.3))*(10.764)</f>
        <v>97.134336000000005</v>
      </c>
      <c r="G270" s="77">
        <v>0</v>
      </c>
      <c r="H270" s="77">
        <f t="shared" si="94"/>
        <v>791.22934799999996</v>
      </c>
      <c r="I270" s="1"/>
      <c r="J270" s="1"/>
      <c r="K270" s="1"/>
      <c r="L270" s="1"/>
      <c r="M270" s="1"/>
      <c r="N270" s="1"/>
      <c r="O270" s="1"/>
      <c r="P270" s="1"/>
      <c r="Q270" s="1"/>
      <c r="R270" s="1"/>
      <c r="S270" s="1"/>
      <c r="T270" s="23" t="e">
        <f t="shared" si="92"/>
        <v>#REF!</v>
      </c>
      <c r="U270" s="23" t="e">
        <f>U269+1</f>
        <v>#REF!</v>
      </c>
      <c r="V270" s="23" t="e">
        <f>V269+1</f>
        <v>#REF!</v>
      </c>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WZB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row>
    <row r="271" spans="1:150 16226:16383" s="3" customFormat="1" ht="20.25" customHeight="1" x14ac:dyDescent="0.25">
      <c r="A271" s="94">
        <v>6</v>
      </c>
      <c r="B271" s="94"/>
      <c r="C271" s="77" t="s">
        <v>339</v>
      </c>
      <c r="D271" s="77" t="s">
        <v>341</v>
      </c>
      <c r="E271" s="77">
        <f>(84.444)*(10.764)</f>
        <v>908.95521599999995</v>
      </c>
      <c r="F271" s="77">
        <f>(3.2*1.33+0.6*(2.7+2.43+2.7))*(10.764)</f>
        <v>96.380855999999994</v>
      </c>
      <c r="G271" s="77">
        <v>0</v>
      </c>
      <c r="H271" s="77">
        <f t="shared" si="94"/>
        <v>1005.3360719999999</v>
      </c>
      <c r="I271" s="1"/>
      <c r="J271" s="1"/>
      <c r="K271" s="1"/>
      <c r="L271" s="1"/>
      <c r="M271" s="1"/>
      <c r="N271" s="1"/>
      <c r="O271" s="1"/>
      <c r="P271" s="1"/>
      <c r="Q271" s="1"/>
      <c r="R271" s="1"/>
      <c r="S271" s="1"/>
      <c r="T271" s="23" t="e">
        <f t="shared" si="92"/>
        <v>#REF!</v>
      </c>
      <c r="U271" s="23" t="e">
        <f t="shared" ref="U271:V272" si="95">U270+1</f>
        <v>#REF!</v>
      </c>
      <c r="V271" s="23" t="e">
        <f t="shared" si="95"/>
        <v>#REF!</v>
      </c>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WZB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row>
    <row r="272" spans="1:150 16226:16383" s="3" customFormat="1" ht="20.25" customHeight="1" x14ac:dyDescent="0.25">
      <c r="A272" s="88">
        <v>3</v>
      </c>
      <c r="B272" s="89"/>
      <c r="C272" s="82" t="s">
        <v>339</v>
      </c>
      <c r="D272" s="88" t="s">
        <v>387</v>
      </c>
      <c r="E272" s="90"/>
      <c r="F272" s="90"/>
      <c r="G272" s="90"/>
      <c r="H272" s="89"/>
      <c r="I272" s="1"/>
      <c r="J272" s="1"/>
      <c r="K272" s="1"/>
      <c r="L272" s="1"/>
      <c r="M272" s="1"/>
      <c r="N272" s="1"/>
      <c r="O272" s="1"/>
      <c r="P272" s="1"/>
      <c r="Q272" s="1"/>
      <c r="R272" s="1"/>
      <c r="S272" s="1"/>
      <c r="T272" s="23" t="e">
        <f t="shared" ref="T272" si="96">U272&amp;""&amp;" to "&amp;""&amp;V272</f>
        <v>#REF!</v>
      </c>
      <c r="U272" s="23" t="e">
        <f t="shared" si="95"/>
        <v>#REF!</v>
      </c>
      <c r="V272" s="23" t="e">
        <f t="shared" si="95"/>
        <v>#REF!</v>
      </c>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WZB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row>
    <row r="273" spans="1:8" ht="20.25" x14ac:dyDescent="0.25">
      <c r="A273" s="154" t="s">
        <v>70</v>
      </c>
      <c r="B273" s="154"/>
      <c r="C273" s="154"/>
      <c r="D273" s="154"/>
      <c r="E273" s="154"/>
      <c r="F273" s="154"/>
      <c r="G273" s="154"/>
      <c r="H273" s="154"/>
    </row>
    <row r="274" spans="1:8" ht="20.25" hidden="1" x14ac:dyDescent="0.25">
      <c r="A274" s="73" t="s">
        <v>234</v>
      </c>
      <c r="B274" s="141" t="s">
        <v>325</v>
      </c>
      <c r="C274" s="175"/>
      <c r="D274" s="175"/>
      <c r="E274" s="175"/>
      <c r="F274" s="175"/>
      <c r="G274" s="175"/>
      <c r="H274" s="142"/>
    </row>
    <row r="275" spans="1:8" ht="20.25" x14ac:dyDescent="0.25">
      <c r="A275" s="2" t="s">
        <v>234</v>
      </c>
      <c r="B275" s="141" t="s">
        <v>326</v>
      </c>
      <c r="C275" s="175"/>
      <c r="D275" s="175"/>
      <c r="E275" s="175"/>
      <c r="F275" s="175"/>
      <c r="G275" s="175"/>
      <c r="H275" s="142"/>
    </row>
    <row r="276" spans="1:8" ht="20.25" x14ac:dyDescent="0.25">
      <c r="A276" s="2" t="s">
        <v>234</v>
      </c>
      <c r="B276" s="141" t="s">
        <v>235</v>
      </c>
      <c r="C276" s="175"/>
      <c r="D276" s="175"/>
      <c r="E276" s="175"/>
      <c r="F276" s="175"/>
      <c r="G276" s="175"/>
      <c r="H276" s="142"/>
    </row>
    <row r="277" spans="1:8" ht="20.25" x14ac:dyDescent="0.25">
      <c r="A277" s="2" t="s">
        <v>234</v>
      </c>
      <c r="B277" s="141" t="s">
        <v>364</v>
      </c>
      <c r="C277" s="175"/>
      <c r="D277" s="175"/>
      <c r="E277" s="175"/>
      <c r="F277" s="175"/>
      <c r="G277" s="175"/>
      <c r="H277" s="142"/>
    </row>
    <row r="278" spans="1:8" ht="20.25" x14ac:dyDescent="0.25">
      <c r="A278" s="2" t="s">
        <v>234</v>
      </c>
      <c r="B278" s="141" t="s">
        <v>236</v>
      </c>
      <c r="C278" s="175"/>
      <c r="D278" s="175"/>
      <c r="E278" s="175"/>
      <c r="F278" s="175"/>
      <c r="G278" s="175"/>
      <c r="H278" s="142"/>
    </row>
    <row r="279" spans="1:8" ht="20.25" x14ac:dyDescent="0.25">
      <c r="A279" s="2" t="s">
        <v>234</v>
      </c>
      <c r="B279" s="141" t="s">
        <v>237</v>
      </c>
      <c r="C279" s="175"/>
      <c r="D279" s="175"/>
      <c r="E279" s="175"/>
      <c r="F279" s="175"/>
      <c r="G279" s="175"/>
      <c r="H279" s="142"/>
    </row>
    <row r="280" spans="1:8" ht="20.25" x14ac:dyDescent="0.25">
      <c r="A280" s="2" t="s">
        <v>234</v>
      </c>
      <c r="B280" s="141" t="s">
        <v>394</v>
      </c>
      <c r="C280" s="175"/>
      <c r="D280" s="175"/>
      <c r="E280" s="175"/>
      <c r="F280" s="175"/>
      <c r="G280" s="175"/>
      <c r="H280" s="142"/>
    </row>
    <row r="281" spans="1:8" ht="24.75" hidden="1" customHeight="1" x14ac:dyDescent="0.25">
      <c r="A281" s="2" t="s">
        <v>234</v>
      </c>
      <c r="B281" s="174" t="s">
        <v>239</v>
      </c>
      <c r="C281" s="175"/>
      <c r="D281" s="175"/>
      <c r="E281" s="175"/>
      <c r="F281" s="175"/>
      <c r="G281" s="175"/>
      <c r="H281" s="142"/>
    </row>
    <row r="282" spans="1:8" ht="46.5" hidden="1" customHeight="1" x14ac:dyDescent="0.25">
      <c r="A282" s="2" t="s">
        <v>234</v>
      </c>
      <c r="B282" s="174" t="s">
        <v>238</v>
      </c>
      <c r="C282" s="175"/>
      <c r="D282" s="175"/>
      <c r="E282" s="175"/>
      <c r="F282" s="175"/>
      <c r="G282" s="175"/>
      <c r="H282" s="142"/>
    </row>
    <row r="283" spans="1:8" ht="20.25" x14ac:dyDescent="0.25">
      <c r="A283" s="179" t="s">
        <v>76</v>
      </c>
      <c r="B283" s="179"/>
      <c r="C283" s="179"/>
      <c r="D283" s="179"/>
      <c r="E283" s="179"/>
      <c r="F283" s="179"/>
      <c r="G283" s="179"/>
      <c r="H283" s="179"/>
    </row>
    <row r="284" spans="1:8" ht="20.25" x14ac:dyDescent="0.25">
      <c r="A284" s="151" t="s">
        <v>71</v>
      </c>
      <c r="B284" s="151"/>
      <c r="C284" s="151"/>
      <c r="D284" s="141" t="str">
        <f>C3</f>
        <v>Sector B- Tower A and B</v>
      </c>
      <c r="E284" s="175"/>
      <c r="F284" s="175"/>
      <c r="G284" s="175"/>
      <c r="H284" s="142"/>
    </row>
    <row r="285" spans="1:8" ht="40.5" customHeight="1" x14ac:dyDescent="0.25">
      <c r="A285" s="151" t="s">
        <v>105</v>
      </c>
      <c r="B285" s="151"/>
      <c r="C285" s="151"/>
      <c r="D285" s="141" t="str">
        <f>C9</f>
        <v>Sub Plot B, New S.No. 19/1B, 19/2, 19/3, 19/4, 19/5, 19/6(pt.), 19/7, 19/9 to 19/12, 19/13/A, 19/13/B, 19/14, 19/15, 19/16A, 19/16B, 19/17 to 19/19, 19/20/A, 19/20/B, 19/21, 19/22, 19/24, 19/25/A, 19/25/B, 19/26, 19/27/A, 19/27/B, 19/28, 19/34/B, 19/34/C, 19/35, 19/36, 19/39/A, 19/39/B, 19/41/A, 19/41/B, 19/44, 19/46, 20/1 to 20/3, 80/2/B, 80/2/C, 82, 83/2/B/2, 83/4/1/B, 83/4/2/A, 83/4/2B, 83/6/B, 83/7/A, 83/7/B, 83/7/C, 83/11/B, 83/12, 85/3, 85/4, 86/1/B, 86/2/B, 86/3/B, 87/1/C &amp; 81 , Sector 5, Village Balkum, Thane (W) at Thane (M Corp.), Thane, Thane, 400607</v>
      </c>
      <c r="E285" s="175"/>
      <c r="F285" s="175"/>
      <c r="G285" s="175"/>
      <c r="H285" s="142"/>
    </row>
    <row r="286" spans="1:8" ht="20.25" customHeight="1" x14ac:dyDescent="0.25">
      <c r="A286" s="189" t="s">
        <v>111</v>
      </c>
      <c r="B286" s="189"/>
      <c r="C286" s="189"/>
      <c r="D286" s="141" t="str">
        <f>G3</f>
        <v>15/07/2025 at 12:23 PM</v>
      </c>
      <c r="E286" s="175"/>
      <c r="F286" s="175"/>
      <c r="G286" s="175"/>
      <c r="H286" s="142"/>
    </row>
    <row r="287" spans="1:8" ht="20.25" x14ac:dyDescent="0.25">
      <c r="A287" s="10"/>
      <c r="B287" s="11"/>
      <c r="C287" s="11"/>
      <c r="D287" s="11"/>
      <c r="E287" s="11"/>
      <c r="F287" s="11"/>
      <c r="G287" s="11"/>
      <c r="H287" s="7"/>
    </row>
    <row r="288" spans="1:8" ht="20.25" x14ac:dyDescent="0.25">
      <c r="A288" s="12"/>
      <c r="B288" s="13"/>
      <c r="C288" s="13"/>
      <c r="D288" s="13"/>
      <c r="E288" s="13"/>
      <c r="F288" s="13"/>
      <c r="G288" s="13"/>
      <c r="H288" s="8"/>
    </row>
    <row r="289" spans="1:8" ht="20.25" x14ac:dyDescent="0.25">
      <c r="A289" s="12"/>
      <c r="B289" s="13"/>
      <c r="C289" s="13"/>
      <c r="D289" s="13"/>
      <c r="E289" s="13"/>
      <c r="F289" s="13"/>
      <c r="G289" s="13"/>
      <c r="H289" s="8"/>
    </row>
    <row r="290" spans="1:8" ht="20.25" x14ac:dyDescent="0.25">
      <c r="A290" s="12"/>
      <c r="B290" s="13"/>
      <c r="C290" s="13"/>
      <c r="D290" s="13"/>
      <c r="E290" s="13"/>
      <c r="F290" s="13"/>
      <c r="G290" s="13"/>
      <c r="H290" s="8"/>
    </row>
    <row r="291" spans="1:8" ht="20.25" x14ac:dyDescent="0.25">
      <c r="A291" s="12"/>
      <c r="B291" s="13"/>
      <c r="C291" s="85"/>
      <c r="D291" s="13"/>
      <c r="E291" s="13"/>
      <c r="F291" s="13"/>
      <c r="G291" s="13"/>
      <c r="H291" s="8"/>
    </row>
    <row r="292" spans="1:8" ht="20.25" x14ac:dyDescent="0.25">
      <c r="A292" s="12"/>
      <c r="B292" s="13"/>
      <c r="C292" s="13"/>
      <c r="D292" s="13"/>
      <c r="E292" s="13"/>
      <c r="F292" s="13"/>
      <c r="G292" s="13"/>
      <c r="H292" s="8"/>
    </row>
    <row r="293" spans="1:8" ht="20.25" x14ac:dyDescent="0.25">
      <c r="A293" s="12"/>
      <c r="B293" s="13"/>
      <c r="C293" s="13"/>
      <c r="D293" s="13"/>
      <c r="E293" s="13"/>
      <c r="F293" s="13"/>
      <c r="G293" s="13"/>
      <c r="H293" s="8"/>
    </row>
    <row r="294" spans="1:8" ht="20.25" x14ac:dyDescent="0.25">
      <c r="A294" s="12"/>
      <c r="B294" s="13"/>
      <c r="C294" s="13"/>
      <c r="D294" s="13"/>
      <c r="E294" s="13"/>
      <c r="F294" s="13"/>
      <c r="G294" s="13"/>
      <c r="H294" s="8"/>
    </row>
    <row r="295" spans="1:8" ht="20.25" x14ac:dyDescent="0.25">
      <c r="A295" s="12"/>
      <c r="B295" s="13"/>
      <c r="C295" s="13"/>
      <c r="D295" s="13"/>
      <c r="E295" s="13"/>
      <c r="F295" s="13"/>
      <c r="G295" s="13"/>
      <c r="H295" s="8"/>
    </row>
    <row r="296" spans="1:8" ht="20.25" x14ac:dyDescent="0.25">
      <c r="A296" s="12"/>
      <c r="B296" s="13"/>
      <c r="C296" s="13"/>
      <c r="D296" s="13"/>
      <c r="E296" s="13"/>
      <c r="F296" s="13"/>
      <c r="G296" s="13"/>
      <c r="H296" s="8"/>
    </row>
    <row r="297" spans="1:8" ht="20.25" x14ac:dyDescent="0.25">
      <c r="A297" s="12"/>
      <c r="B297" s="13"/>
      <c r="C297" s="13"/>
      <c r="D297" s="13"/>
      <c r="E297" s="13"/>
      <c r="F297" s="13"/>
      <c r="G297" s="13"/>
      <c r="H297" s="8"/>
    </row>
    <row r="298" spans="1:8" ht="20.25" x14ac:dyDescent="0.25">
      <c r="A298" s="12"/>
      <c r="B298" s="13"/>
      <c r="C298" s="13"/>
      <c r="D298" s="13"/>
      <c r="E298" s="13"/>
      <c r="F298" s="13"/>
      <c r="G298" s="13"/>
      <c r="H298" s="8"/>
    </row>
    <row r="299" spans="1:8" ht="20.25" x14ac:dyDescent="0.25">
      <c r="A299" s="12"/>
      <c r="B299" s="13"/>
      <c r="C299" s="13"/>
      <c r="D299" s="13"/>
      <c r="E299" s="13"/>
      <c r="F299" s="13"/>
      <c r="G299" s="13"/>
      <c r="H299" s="8"/>
    </row>
    <row r="300" spans="1:8" ht="20.25" x14ac:dyDescent="0.25">
      <c r="A300" s="12"/>
      <c r="B300" s="13"/>
      <c r="C300" s="13"/>
      <c r="D300" s="13"/>
      <c r="E300" s="13"/>
      <c r="F300" s="13"/>
      <c r="G300" s="13"/>
      <c r="H300" s="8"/>
    </row>
    <row r="301" spans="1:8" ht="20.25" x14ac:dyDescent="0.25">
      <c r="A301" s="12"/>
      <c r="B301" s="13"/>
      <c r="C301" s="13"/>
      <c r="D301" s="13"/>
      <c r="E301" s="13"/>
      <c r="F301" s="13"/>
      <c r="G301" s="13"/>
      <c r="H301" s="8"/>
    </row>
    <row r="302" spans="1:8" ht="20.25" x14ac:dyDescent="0.25">
      <c r="A302" s="12"/>
      <c r="B302" s="13"/>
      <c r="C302" s="13"/>
      <c r="D302" s="13"/>
      <c r="E302" s="13"/>
      <c r="F302" s="13"/>
      <c r="G302" s="13"/>
      <c r="H302" s="8"/>
    </row>
    <row r="303" spans="1:8" ht="20.25" x14ac:dyDescent="0.25">
      <c r="A303" s="12"/>
      <c r="B303" s="13"/>
      <c r="C303" s="13"/>
      <c r="D303" s="13"/>
      <c r="E303" s="13"/>
      <c r="F303" s="13"/>
      <c r="G303" s="13"/>
      <c r="H303" s="8"/>
    </row>
    <row r="304" spans="1:8" ht="20.25" x14ac:dyDescent="0.25">
      <c r="A304" s="12"/>
      <c r="B304" s="13"/>
      <c r="C304" s="13"/>
      <c r="D304" s="13"/>
      <c r="E304" s="13"/>
      <c r="F304" s="13"/>
      <c r="G304" s="13"/>
      <c r="H304" s="8"/>
    </row>
    <row r="305" spans="1:8" ht="20.25" x14ac:dyDescent="0.25">
      <c r="A305" s="12"/>
      <c r="B305" s="13"/>
      <c r="C305" s="13"/>
      <c r="D305" s="13"/>
      <c r="E305" s="13"/>
      <c r="F305" s="13"/>
      <c r="G305" s="13"/>
      <c r="H305" s="8"/>
    </row>
    <row r="306" spans="1:8" ht="20.25" x14ac:dyDescent="0.25">
      <c r="A306" s="12"/>
      <c r="B306" s="13"/>
      <c r="C306" s="13"/>
      <c r="D306" s="13"/>
      <c r="E306" s="13"/>
      <c r="F306" s="13"/>
      <c r="G306" s="13"/>
      <c r="H306" s="8"/>
    </row>
    <row r="307" spans="1:8" ht="20.25" x14ac:dyDescent="0.25">
      <c r="A307" s="12"/>
      <c r="B307" s="13"/>
      <c r="C307" s="13"/>
      <c r="D307" s="13"/>
      <c r="E307" s="13"/>
      <c r="F307" s="13"/>
      <c r="G307" s="13"/>
      <c r="H307" s="8"/>
    </row>
    <row r="308" spans="1:8" ht="20.25" x14ac:dyDescent="0.25">
      <c r="A308" s="12"/>
      <c r="B308" s="13"/>
      <c r="C308" s="13"/>
      <c r="D308" s="13"/>
      <c r="E308" s="13"/>
      <c r="F308" s="13"/>
      <c r="G308" s="13"/>
      <c r="H308" s="8"/>
    </row>
    <row r="309" spans="1:8" ht="20.25" x14ac:dyDescent="0.25">
      <c r="A309" s="12"/>
      <c r="B309" s="13"/>
      <c r="C309" s="13"/>
      <c r="D309" s="13"/>
      <c r="E309" s="13"/>
      <c r="F309" s="13"/>
      <c r="G309" s="13"/>
      <c r="H309" s="8"/>
    </row>
    <row r="310" spans="1:8" ht="20.25" x14ac:dyDescent="0.25">
      <c r="A310" s="12"/>
      <c r="B310" s="13"/>
      <c r="C310" s="13"/>
      <c r="D310" s="13"/>
      <c r="E310" s="13"/>
      <c r="F310" s="13"/>
      <c r="G310" s="13"/>
      <c r="H310" s="8"/>
    </row>
    <row r="311" spans="1:8" ht="20.25" x14ac:dyDescent="0.25">
      <c r="A311" s="12"/>
      <c r="B311" s="13"/>
      <c r="C311" s="13"/>
      <c r="D311" s="13"/>
      <c r="E311" s="13"/>
      <c r="F311" s="13"/>
      <c r="G311" s="13"/>
      <c r="H311" s="8"/>
    </row>
    <row r="312" spans="1:8" ht="20.25" x14ac:dyDescent="0.25">
      <c r="A312" s="12"/>
      <c r="B312" s="13"/>
      <c r="C312" s="13"/>
      <c r="D312" s="13"/>
      <c r="E312" s="13"/>
      <c r="F312" s="13"/>
      <c r="G312" s="13"/>
      <c r="H312" s="8"/>
    </row>
    <row r="313" spans="1:8" ht="20.25" x14ac:dyDescent="0.25">
      <c r="A313" s="12"/>
      <c r="B313" s="13"/>
      <c r="C313" s="13"/>
      <c r="D313" s="13"/>
      <c r="E313" s="13"/>
      <c r="F313" s="13"/>
      <c r="G313" s="13"/>
      <c r="H313" s="8"/>
    </row>
    <row r="314" spans="1:8" ht="20.25" x14ac:dyDescent="0.25">
      <c r="A314" s="12"/>
      <c r="B314" s="13"/>
      <c r="C314" s="13"/>
      <c r="D314" s="13"/>
      <c r="E314" s="13"/>
      <c r="F314" s="13"/>
      <c r="G314" s="13"/>
      <c r="H314" s="8"/>
    </row>
    <row r="315" spans="1:8" ht="20.25" x14ac:dyDescent="0.25">
      <c r="A315" s="12"/>
      <c r="B315" s="13"/>
      <c r="C315" s="13"/>
      <c r="D315" s="13"/>
      <c r="E315" s="13"/>
      <c r="F315" s="13"/>
      <c r="G315" s="13"/>
      <c r="H315" s="8"/>
    </row>
    <row r="316" spans="1:8" ht="20.25" x14ac:dyDescent="0.25">
      <c r="A316" s="12"/>
      <c r="B316" s="13"/>
      <c r="C316" s="13"/>
      <c r="D316" s="13"/>
      <c r="E316" s="13"/>
      <c r="F316" s="13"/>
      <c r="G316" s="13"/>
      <c r="H316" s="8"/>
    </row>
    <row r="317" spans="1:8" ht="20.25" x14ac:dyDescent="0.25">
      <c r="A317" s="12"/>
      <c r="B317" s="13"/>
      <c r="C317" s="13"/>
      <c r="D317" s="13"/>
      <c r="E317" s="13"/>
      <c r="F317" s="13"/>
      <c r="G317" s="13"/>
      <c r="H317" s="8"/>
    </row>
    <row r="318" spans="1:8" ht="20.25" x14ac:dyDescent="0.25">
      <c r="A318" s="12"/>
      <c r="B318" s="13"/>
      <c r="C318" s="13"/>
      <c r="D318" s="13"/>
      <c r="E318" s="13"/>
      <c r="F318" s="13"/>
      <c r="G318" s="13"/>
      <c r="H318" s="8"/>
    </row>
    <row r="319" spans="1:8" ht="20.25" x14ac:dyDescent="0.25">
      <c r="A319" s="12"/>
      <c r="B319" s="13"/>
      <c r="C319" s="13"/>
      <c r="D319" s="13"/>
      <c r="E319" s="13"/>
      <c r="F319" s="13"/>
      <c r="G319" s="13"/>
      <c r="H319" s="8"/>
    </row>
    <row r="320" spans="1:8" ht="20.25" x14ac:dyDescent="0.25">
      <c r="A320" s="12"/>
      <c r="B320" s="13"/>
      <c r="C320" s="13"/>
      <c r="D320" s="13"/>
      <c r="E320" s="13"/>
      <c r="F320" s="13"/>
      <c r="G320" s="13"/>
      <c r="H320" s="8"/>
    </row>
    <row r="321" spans="1:8" ht="20.25" x14ac:dyDescent="0.25">
      <c r="A321" s="12"/>
      <c r="B321" s="13"/>
      <c r="C321" s="13"/>
      <c r="D321" s="13"/>
      <c r="E321" s="13"/>
      <c r="F321" s="13"/>
      <c r="G321" s="13"/>
      <c r="H321" s="8"/>
    </row>
    <row r="322" spans="1:8" ht="20.25" x14ac:dyDescent="0.25">
      <c r="A322" s="12"/>
      <c r="B322" s="13"/>
      <c r="C322" s="13"/>
      <c r="D322" s="13"/>
      <c r="E322" s="13"/>
      <c r="F322" s="13"/>
      <c r="G322" s="13"/>
      <c r="H322" s="8"/>
    </row>
    <row r="323" spans="1:8" ht="20.25" x14ac:dyDescent="0.25">
      <c r="A323" s="12"/>
      <c r="B323" s="13"/>
      <c r="C323" s="13"/>
      <c r="D323" s="13"/>
      <c r="E323" s="13"/>
      <c r="F323" s="13"/>
      <c r="G323" s="13"/>
      <c r="H323" s="8"/>
    </row>
    <row r="324" spans="1:8" ht="20.25" x14ac:dyDescent="0.25">
      <c r="A324" s="12"/>
      <c r="B324" s="13"/>
      <c r="C324" s="13"/>
      <c r="D324" s="13"/>
      <c r="E324" s="13"/>
      <c r="F324" s="13"/>
      <c r="G324" s="13"/>
      <c r="H324" s="8"/>
    </row>
    <row r="325" spans="1:8" ht="20.25" x14ac:dyDescent="0.25">
      <c r="A325" s="12"/>
      <c r="B325" s="13"/>
      <c r="C325" s="13"/>
      <c r="D325" s="13"/>
      <c r="E325" s="13"/>
      <c r="F325" s="13"/>
      <c r="G325" s="13"/>
      <c r="H325" s="8"/>
    </row>
    <row r="326" spans="1:8" ht="20.25" x14ac:dyDescent="0.25">
      <c r="A326" s="12"/>
      <c r="B326" s="13"/>
      <c r="C326" s="13"/>
      <c r="D326" s="13"/>
      <c r="E326" s="13"/>
      <c r="F326" s="13"/>
      <c r="G326" s="13"/>
      <c r="H326" s="8"/>
    </row>
    <row r="327" spans="1:8" ht="20.25" x14ac:dyDescent="0.25">
      <c r="A327" s="12"/>
      <c r="B327" s="13"/>
      <c r="C327" s="13"/>
      <c r="D327" s="13"/>
      <c r="E327" s="13"/>
      <c r="F327" s="13"/>
      <c r="G327" s="13"/>
      <c r="H327" s="8"/>
    </row>
    <row r="328" spans="1:8" ht="20.25" x14ac:dyDescent="0.25">
      <c r="A328" s="12"/>
      <c r="B328" s="13"/>
      <c r="C328" s="13"/>
      <c r="D328" s="13"/>
      <c r="E328" s="13"/>
      <c r="F328" s="13"/>
      <c r="G328" s="13"/>
      <c r="H328" s="8"/>
    </row>
    <row r="329" spans="1:8" ht="20.25" x14ac:dyDescent="0.25">
      <c r="A329" s="12"/>
      <c r="B329" s="13"/>
      <c r="C329" s="13"/>
      <c r="D329" s="13"/>
      <c r="E329" s="13"/>
      <c r="F329" s="13"/>
      <c r="G329" s="13"/>
      <c r="H329" s="8"/>
    </row>
    <row r="330" spans="1:8" ht="20.25" x14ac:dyDescent="0.25">
      <c r="A330" s="14"/>
      <c r="B330" s="15"/>
      <c r="C330" s="15"/>
      <c r="D330" s="15"/>
      <c r="E330" s="15"/>
      <c r="F330" s="15"/>
      <c r="G330" s="15"/>
      <c r="H330" s="9"/>
    </row>
    <row r="331" spans="1:8" ht="20.25" x14ac:dyDescent="0.25">
      <c r="A331" s="154" t="s">
        <v>159</v>
      </c>
      <c r="B331" s="154"/>
      <c r="C331" s="154"/>
      <c r="D331" s="154"/>
      <c r="E331" s="154"/>
      <c r="F331" s="154"/>
      <c r="G331" s="154"/>
      <c r="H331" s="154"/>
    </row>
    <row r="332" spans="1:8" ht="20.25" x14ac:dyDescent="0.25">
      <c r="A332" s="10"/>
      <c r="B332" s="11"/>
      <c r="C332" s="11"/>
      <c r="D332" s="11"/>
      <c r="E332" s="11"/>
      <c r="F332" s="11"/>
      <c r="G332" s="11"/>
      <c r="H332" s="7"/>
    </row>
    <row r="333" spans="1:8" ht="20.25" x14ac:dyDescent="0.25">
      <c r="A333" s="12"/>
      <c r="B333" s="13"/>
      <c r="C333" s="13"/>
      <c r="D333" s="13"/>
      <c r="E333" s="13"/>
      <c r="F333" s="13"/>
      <c r="G333" s="13"/>
      <c r="H333" s="8"/>
    </row>
    <row r="334" spans="1:8" ht="20.25" x14ac:dyDescent="0.25">
      <c r="A334" s="12"/>
      <c r="B334" s="13"/>
      <c r="C334" s="13"/>
      <c r="D334" s="13"/>
      <c r="E334" s="13"/>
      <c r="F334" s="13"/>
      <c r="G334" s="13"/>
      <c r="H334" s="8"/>
    </row>
    <row r="335" spans="1:8" ht="20.25" x14ac:dyDescent="0.25">
      <c r="A335" s="12"/>
      <c r="B335" s="13"/>
      <c r="C335" s="13"/>
      <c r="D335" s="13"/>
      <c r="E335" s="13"/>
      <c r="F335" s="13"/>
      <c r="G335" s="13"/>
      <c r="H335" s="8"/>
    </row>
    <row r="336" spans="1:8" ht="20.25" x14ac:dyDescent="0.25">
      <c r="A336" s="12"/>
      <c r="B336" s="13"/>
      <c r="C336" s="13"/>
      <c r="D336" s="13"/>
      <c r="E336" s="13"/>
      <c r="F336" s="13"/>
      <c r="G336" s="13"/>
      <c r="H336" s="8"/>
    </row>
    <row r="337" spans="1:8" ht="20.25" x14ac:dyDescent="0.25">
      <c r="A337" s="12"/>
      <c r="B337" s="13"/>
      <c r="C337" s="13"/>
      <c r="D337" s="13"/>
      <c r="E337" s="13"/>
      <c r="F337" s="13"/>
      <c r="G337" s="13"/>
      <c r="H337" s="8"/>
    </row>
    <row r="338" spans="1:8" ht="20.25" x14ac:dyDescent="0.25">
      <c r="A338" s="12"/>
      <c r="B338" s="13"/>
      <c r="C338" s="13"/>
      <c r="D338" s="13"/>
      <c r="E338" s="13"/>
      <c r="F338" s="13"/>
      <c r="G338" s="13"/>
      <c r="H338" s="8"/>
    </row>
    <row r="339" spans="1:8" ht="20.25" x14ac:dyDescent="0.25">
      <c r="A339" s="12"/>
      <c r="B339" s="13"/>
      <c r="C339" s="13"/>
      <c r="D339" s="13"/>
      <c r="E339" s="13"/>
      <c r="F339" s="13"/>
      <c r="G339" s="13"/>
      <c r="H339" s="8"/>
    </row>
    <row r="340" spans="1:8" ht="20.25" x14ac:dyDescent="0.25">
      <c r="A340" s="12"/>
      <c r="B340" s="13"/>
      <c r="C340" s="13"/>
      <c r="D340" s="13"/>
      <c r="E340" s="13"/>
      <c r="F340" s="13"/>
      <c r="G340" s="13"/>
      <c r="H340" s="8"/>
    </row>
    <row r="341" spans="1:8" ht="20.25" x14ac:dyDescent="0.25">
      <c r="A341" s="12"/>
      <c r="B341" s="13"/>
      <c r="C341" s="13"/>
      <c r="D341" s="13"/>
      <c r="E341" s="13"/>
      <c r="F341" s="13"/>
      <c r="G341" s="13"/>
      <c r="H341" s="8"/>
    </row>
    <row r="342" spans="1:8" ht="20.25" x14ac:dyDescent="0.25">
      <c r="A342" s="12"/>
      <c r="B342" s="13"/>
      <c r="C342" s="13"/>
      <c r="D342" s="13"/>
      <c r="E342" s="13"/>
      <c r="F342" s="13"/>
      <c r="G342" s="13"/>
      <c r="H342" s="8"/>
    </row>
    <row r="343" spans="1:8" ht="20.25" x14ac:dyDescent="0.25">
      <c r="A343" s="12"/>
      <c r="B343" s="13"/>
      <c r="C343" s="13"/>
      <c r="D343" s="13"/>
      <c r="E343" s="13"/>
      <c r="F343" s="13"/>
      <c r="G343" s="13"/>
      <c r="H343" s="8"/>
    </row>
    <row r="344" spans="1:8" ht="20.25" x14ac:dyDescent="0.25">
      <c r="A344" s="12"/>
      <c r="B344" s="13"/>
      <c r="C344" s="13"/>
      <c r="D344" s="13"/>
      <c r="E344" s="13"/>
      <c r="F344" s="13"/>
      <c r="G344" s="13"/>
      <c r="H344" s="8"/>
    </row>
    <row r="345" spans="1:8" ht="20.25" x14ac:dyDescent="0.25">
      <c r="A345" s="12"/>
      <c r="B345" s="13"/>
      <c r="C345" s="13"/>
      <c r="D345" s="13"/>
      <c r="E345" s="13"/>
      <c r="F345" s="13"/>
      <c r="G345" s="13"/>
      <c r="H345" s="8"/>
    </row>
    <row r="346" spans="1:8" ht="20.25" x14ac:dyDescent="0.25">
      <c r="A346" s="12"/>
      <c r="B346" s="13"/>
      <c r="C346" s="13"/>
      <c r="D346" s="13"/>
      <c r="E346" s="13"/>
      <c r="F346" s="13"/>
      <c r="G346" s="13"/>
      <c r="H346" s="8"/>
    </row>
    <row r="347" spans="1:8" ht="20.25" x14ac:dyDescent="0.25">
      <c r="A347" s="12"/>
      <c r="B347" s="13"/>
      <c r="C347" s="13"/>
      <c r="D347" s="13"/>
      <c r="E347" s="13"/>
      <c r="F347" s="13"/>
      <c r="G347" s="13"/>
      <c r="H347" s="8"/>
    </row>
    <row r="348" spans="1:8" ht="20.25" x14ac:dyDescent="0.25">
      <c r="A348" s="12"/>
      <c r="B348" s="13"/>
      <c r="C348" s="13"/>
      <c r="D348" s="13"/>
      <c r="E348" s="13"/>
      <c r="F348" s="13"/>
      <c r="G348" s="13"/>
      <c r="H348" s="8"/>
    </row>
    <row r="349" spans="1:8" ht="20.25" x14ac:dyDescent="0.25">
      <c r="A349" s="12"/>
      <c r="B349" s="13"/>
      <c r="C349" s="13"/>
      <c r="D349" s="13"/>
      <c r="E349" s="13"/>
      <c r="F349" s="13"/>
      <c r="G349" s="13"/>
      <c r="H349" s="8"/>
    </row>
    <row r="350" spans="1:8" ht="20.25" x14ac:dyDescent="0.25">
      <c r="A350" s="12"/>
      <c r="B350" s="13"/>
      <c r="C350" s="13"/>
      <c r="D350" s="13"/>
      <c r="E350" s="13"/>
      <c r="F350" s="13"/>
      <c r="G350" s="13"/>
      <c r="H350" s="8"/>
    </row>
    <row r="351" spans="1:8" ht="20.25" x14ac:dyDescent="0.25">
      <c r="A351" s="12"/>
      <c r="B351" s="13"/>
      <c r="C351" s="13"/>
      <c r="D351" s="13"/>
      <c r="E351" s="13"/>
      <c r="F351" s="13"/>
      <c r="G351" s="13"/>
      <c r="H351" s="8"/>
    </row>
    <row r="352" spans="1:8" ht="20.25" x14ac:dyDescent="0.25">
      <c r="A352" s="12"/>
      <c r="B352" s="13"/>
      <c r="C352" s="13"/>
      <c r="D352" s="13"/>
      <c r="E352" s="13"/>
      <c r="F352" s="13"/>
      <c r="G352" s="13"/>
      <c r="H352" s="8"/>
    </row>
    <row r="353" spans="1:8" ht="20.25" x14ac:dyDescent="0.25">
      <c r="A353" s="12"/>
      <c r="B353" s="13"/>
      <c r="C353" s="13"/>
      <c r="D353" s="13"/>
      <c r="E353" s="13"/>
      <c r="F353" s="13"/>
      <c r="G353" s="13"/>
      <c r="H353" s="8"/>
    </row>
    <row r="354" spans="1:8" ht="20.25" x14ac:dyDescent="0.25">
      <c r="A354" s="12"/>
      <c r="B354" s="13"/>
      <c r="C354" s="13"/>
      <c r="D354" s="13"/>
      <c r="E354" s="13"/>
      <c r="F354" s="13"/>
      <c r="G354" s="13"/>
      <c r="H354" s="8"/>
    </row>
    <row r="355" spans="1:8" ht="20.25" x14ac:dyDescent="0.25">
      <c r="A355" s="12"/>
      <c r="B355" s="13"/>
      <c r="C355" s="13"/>
      <c r="D355" s="13"/>
      <c r="E355" s="13"/>
      <c r="F355" s="13"/>
      <c r="G355" s="13"/>
      <c r="H355" s="8"/>
    </row>
    <row r="356" spans="1:8" ht="20.25" x14ac:dyDescent="0.25">
      <c r="A356" s="12"/>
      <c r="B356" s="13"/>
      <c r="C356" s="13"/>
      <c r="D356" s="13"/>
      <c r="E356" s="13"/>
      <c r="F356" s="13"/>
      <c r="G356" s="13"/>
      <c r="H356" s="8"/>
    </row>
    <row r="357" spans="1:8" ht="20.25" x14ac:dyDescent="0.25">
      <c r="A357" s="12"/>
      <c r="B357" s="13"/>
      <c r="C357" s="13"/>
      <c r="D357" s="13"/>
      <c r="E357" s="13"/>
      <c r="F357" s="13"/>
      <c r="G357" s="13"/>
      <c r="H357" s="8"/>
    </row>
    <row r="358" spans="1:8" ht="20.25" x14ac:dyDescent="0.25">
      <c r="A358" s="12"/>
      <c r="B358" s="13"/>
      <c r="C358" s="13"/>
      <c r="D358" s="13"/>
      <c r="E358" s="13"/>
      <c r="F358" s="13"/>
      <c r="G358" s="13"/>
      <c r="H358" s="8"/>
    </row>
    <row r="359" spans="1:8" ht="20.25" x14ac:dyDescent="0.25">
      <c r="A359" s="12"/>
      <c r="B359" s="13"/>
      <c r="C359" s="13"/>
      <c r="D359" s="13"/>
      <c r="E359" s="13"/>
      <c r="F359" s="13"/>
      <c r="G359" s="13"/>
      <c r="H359" s="8"/>
    </row>
    <row r="360" spans="1:8" ht="20.25" x14ac:dyDescent="0.25">
      <c r="A360" s="12"/>
      <c r="B360" s="13"/>
      <c r="C360" s="13"/>
      <c r="D360" s="13"/>
      <c r="E360" s="13"/>
      <c r="F360" s="13"/>
      <c r="G360" s="13"/>
      <c r="H360" s="8"/>
    </row>
    <row r="361" spans="1:8" ht="20.25" x14ac:dyDescent="0.25">
      <c r="A361" s="12"/>
      <c r="B361" s="13"/>
      <c r="C361" s="13"/>
      <c r="D361" s="13"/>
      <c r="E361" s="13"/>
      <c r="F361" s="13"/>
      <c r="G361" s="13"/>
      <c r="H361" s="8"/>
    </row>
    <row r="362" spans="1:8" ht="20.25" x14ac:dyDescent="0.25">
      <c r="A362" s="12"/>
      <c r="B362" s="13"/>
      <c r="C362" s="13"/>
      <c r="D362" s="13"/>
      <c r="E362" s="13"/>
      <c r="F362" s="13"/>
      <c r="G362" s="13"/>
      <c r="H362" s="8"/>
    </row>
    <row r="363" spans="1:8" ht="20.25" x14ac:dyDescent="0.25">
      <c r="A363" s="12"/>
      <c r="B363" s="13"/>
      <c r="C363" s="13"/>
      <c r="D363" s="13"/>
      <c r="E363" s="13"/>
      <c r="F363" s="13"/>
      <c r="G363" s="13"/>
      <c r="H363" s="8"/>
    </row>
    <row r="364" spans="1:8" ht="20.25" x14ac:dyDescent="0.25">
      <c r="A364" s="12"/>
      <c r="B364" s="13"/>
      <c r="C364" s="13"/>
      <c r="D364" s="13"/>
      <c r="E364" s="13"/>
      <c r="F364" s="13"/>
      <c r="G364" s="13"/>
      <c r="H364" s="8"/>
    </row>
    <row r="365" spans="1:8" ht="20.25" x14ac:dyDescent="0.25">
      <c r="A365" s="12"/>
      <c r="B365" s="13"/>
      <c r="C365" s="13"/>
      <c r="D365" s="13"/>
      <c r="E365" s="13"/>
      <c r="F365" s="13"/>
      <c r="G365" s="13"/>
      <c r="H365" s="8"/>
    </row>
    <row r="366" spans="1:8" ht="20.25" x14ac:dyDescent="0.25">
      <c r="A366" s="12"/>
      <c r="B366" s="13"/>
      <c r="C366" s="13"/>
      <c r="D366" s="13"/>
      <c r="E366" s="13"/>
      <c r="F366" s="13"/>
      <c r="G366" s="13"/>
      <c r="H366" s="8"/>
    </row>
    <row r="367" spans="1:8" ht="20.25" x14ac:dyDescent="0.25">
      <c r="A367" s="12"/>
      <c r="B367" s="13"/>
      <c r="C367" s="13"/>
      <c r="D367" s="13"/>
      <c r="E367" s="13"/>
      <c r="F367" s="13"/>
      <c r="G367" s="13"/>
      <c r="H367" s="8"/>
    </row>
    <row r="368" spans="1:8" ht="20.25" x14ac:dyDescent="0.25">
      <c r="A368" s="12"/>
      <c r="B368" s="13"/>
      <c r="C368" s="13"/>
      <c r="D368" s="13"/>
      <c r="E368" s="13"/>
      <c r="F368" s="13"/>
      <c r="G368" s="13"/>
      <c r="H368" s="8"/>
    </row>
    <row r="369" spans="1:8" ht="20.25" x14ac:dyDescent="0.25">
      <c r="A369" s="12"/>
      <c r="B369" s="13"/>
      <c r="C369" s="13"/>
      <c r="D369" s="13"/>
      <c r="E369" s="13"/>
      <c r="F369" s="13"/>
      <c r="G369" s="13"/>
      <c r="H369" s="8"/>
    </row>
    <row r="370" spans="1:8" ht="20.25" x14ac:dyDescent="0.25">
      <c r="A370" s="12"/>
      <c r="B370" s="13"/>
      <c r="C370" s="13"/>
      <c r="D370" s="13"/>
      <c r="E370" s="13"/>
      <c r="F370" s="13"/>
      <c r="G370" s="13"/>
      <c r="H370" s="8"/>
    </row>
    <row r="371" spans="1:8" ht="20.25" x14ac:dyDescent="0.25">
      <c r="A371" s="12"/>
      <c r="B371" s="13"/>
      <c r="C371" s="13"/>
      <c r="D371" s="13"/>
      <c r="E371" s="13"/>
      <c r="F371" s="13"/>
      <c r="G371" s="13"/>
      <c r="H371" s="8"/>
    </row>
    <row r="372" spans="1:8" ht="20.25" x14ac:dyDescent="0.25">
      <c r="A372" s="12"/>
      <c r="B372" s="13"/>
      <c r="C372" s="13"/>
      <c r="D372" s="13"/>
      <c r="E372" s="13"/>
      <c r="F372" s="13"/>
      <c r="G372" s="13"/>
      <c r="H372" s="8"/>
    </row>
    <row r="373" spans="1:8" ht="20.25" x14ac:dyDescent="0.25">
      <c r="A373" s="12"/>
      <c r="B373" s="13"/>
      <c r="C373" s="13"/>
      <c r="D373" s="13"/>
      <c r="E373" s="13"/>
      <c r="F373" s="13"/>
      <c r="G373" s="13"/>
      <c r="H373" s="8"/>
    </row>
    <row r="374" spans="1:8" ht="20.25" x14ac:dyDescent="0.25">
      <c r="A374" s="12"/>
      <c r="B374" s="13"/>
      <c r="C374" s="13"/>
      <c r="D374" s="13"/>
      <c r="E374" s="13"/>
      <c r="F374" s="13"/>
      <c r="G374" s="13"/>
      <c r="H374" s="8"/>
    </row>
    <row r="375" spans="1:8" ht="20.25" x14ac:dyDescent="0.25">
      <c r="A375" s="12"/>
      <c r="B375" s="13"/>
      <c r="C375" s="13"/>
      <c r="D375" s="13"/>
      <c r="E375" s="13"/>
      <c r="F375" s="13"/>
      <c r="G375" s="13"/>
      <c r="H375" s="8"/>
    </row>
    <row r="376" spans="1:8" ht="20.25" x14ac:dyDescent="0.25">
      <c r="A376" s="12"/>
      <c r="B376" s="13"/>
      <c r="C376" s="13"/>
      <c r="D376" s="13"/>
      <c r="E376" s="13"/>
      <c r="F376" s="13"/>
      <c r="G376" s="13"/>
      <c r="H376" s="8"/>
    </row>
    <row r="377" spans="1:8" ht="20.25" x14ac:dyDescent="0.25">
      <c r="A377" s="12"/>
      <c r="B377" s="13"/>
      <c r="C377" s="13"/>
      <c r="D377" s="13"/>
      <c r="E377" s="13"/>
      <c r="F377" s="13"/>
      <c r="G377" s="13"/>
      <c r="H377" s="8"/>
    </row>
    <row r="378" spans="1:8" ht="20.25" x14ac:dyDescent="0.25">
      <c r="A378" s="12"/>
      <c r="B378" s="13"/>
      <c r="C378" s="13"/>
      <c r="D378" s="13"/>
      <c r="E378" s="13"/>
      <c r="F378" s="13"/>
      <c r="G378" s="13"/>
      <c r="H378" s="8"/>
    </row>
    <row r="379" spans="1:8" ht="20.25" x14ac:dyDescent="0.25">
      <c r="A379" s="12"/>
      <c r="B379" s="13"/>
      <c r="C379" s="13"/>
      <c r="D379" s="13"/>
      <c r="E379" s="13"/>
      <c r="F379" s="13"/>
      <c r="G379" s="13"/>
      <c r="H379" s="8"/>
    </row>
    <row r="380" spans="1:8" ht="20.25" x14ac:dyDescent="0.25">
      <c r="A380" s="14"/>
      <c r="B380" s="15"/>
      <c r="C380" s="15"/>
      <c r="D380" s="15"/>
      <c r="E380" s="15"/>
      <c r="F380" s="15"/>
      <c r="G380" s="15"/>
      <c r="H380" s="9"/>
    </row>
    <row r="381" spans="1:8" ht="20.25" x14ac:dyDescent="0.25">
      <c r="A381" s="133" t="s">
        <v>77</v>
      </c>
      <c r="B381" s="134"/>
      <c r="C381" s="134"/>
      <c r="D381" s="134"/>
      <c r="E381" s="134"/>
      <c r="F381" s="134"/>
      <c r="G381" s="134"/>
      <c r="H381" s="135"/>
    </row>
    <row r="382" spans="1:8" ht="20.25" x14ac:dyDescent="0.25">
      <c r="A382" s="10"/>
      <c r="B382" s="11"/>
      <c r="C382" s="11"/>
      <c r="D382" s="11"/>
      <c r="E382" s="11"/>
      <c r="F382" s="11"/>
      <c r="G382" s="11"/>
      <c r="H382" s="7"/>
    </row>
    <row r="383" spans="1:8" ht="20.25" x14ac:dyDescent="0.25">
      <c r="A383" s="12"/>
      <c r="B383" s="13"/>
      <c r="C383" s="13"/>
      <c r="D383" s="13"/>
      <c r="E383" s="13"/>
      <c r="F383" s="13"/>
      <c r="G383" s="13"/>
      <c r="H383" s="8"/>
    </row>
    <row r="384" spans="1:8" ht="20.25" x14ac:dyDescent="0.25">
      <c r="A384" s="12"/>
      <c r="B384" s="13"/>
      <c r="C384" s="13"/>
      <c r="D384" s="13"/>
      <c r="E384" s="13"/>
      <c r="F384" s="13"/>
      <c r="G384" s="13"/>
      <c r="H384" s="8"/>
    </row>
    <row r="385" spans="1:8" ht="20.25" x14ac:dyDescent="0.25">
      <c r="A385" s="12"/>
      <c r="B385" s="13"/>
      <c r="C385" s="13"/>
      <c r="D385" s="13"/>
      <c r="E385" s="13"/>
      <c r="F385" s="13"/>
      <c r="G385" s="13"/>
      <c r="H385" s="8"/>
    </row>
    <row r="386" spans="1:8" ht="20.25" x14ac:dyDescent="0.25">
      <c r="A386" s="12"/>
      <c r="B386" s="13"/>
      <c r="C386" s="13"/>
      <c r="D386" s="13"/>
      <c r="E386" s="13"/>
      <c r="F386" s="13"/>
      <c r="G386" s="13"/>
      <c r="H386" s="8"/>
    </row>
    <row r="387" spans="1:8" ht="20.25" x14ac:dyDescent="0.25">
      <c r="A387" s="12"/>
      <c r="B387" s="13"/>
      <c r="C387" s="13"/>
      <c r="D387" s="13"/>
      <c r="E387" s="13"/>
      <c r="F387" s="13"/>
      <c r="G387" s="13"/>
      <c r="H387" s="8"/>
    </row>
    <row r="388" spans="1:8" ht="20.25" x14ac:dyDescent="0.25">
      <c r="A388" s="12"/>
      <c r="B388" s="13"/>
      <c r="C388" s="13"/>
      <c r="D388" s="13"/>
      <c r="E388" s="13"/>
      <c r="F388" s="13"/>
      <c r="G388" s="13"/>
      <c r="H388" s="8"/>
    </row>
    <row r="389" spans="1:8" ht="20.25" x14ac:dyDescent="0.25">
      <c r="A389" s="12"/>
      <c r="B389" s="13"/>
      <c r="C389" s="13"/>
      <c r="D389" s="13"/>
      <c r="E389" s="13"/>
      <c r="F389" s="13"/>
      <c r="G389" s="13"/>
      <c r="H389" s="8"/>
    </row>
    <row r="390" spans="1:8" ht="20.25" x14ac:dyDescent="0.25">
      <c r="A390" s="12"/>
      <c r="B390" s="13"/>
      <c r="C390" s="13"/>
      <c r="D390" s="13"/>
      <c r="E390" s="13"/>
      <c r="F390" s="13"/>
      <c r="G390" s="13"/>
      <c r="H390" s="8"/>
    </row>
    <row r="391" spans="1:8" ht="20.25" x14ac:dyDescent="0.25">
      <c r="A391" s="12"/>
      <c r="B391" s="13"/>
      <c r="C391" s="13"/>
      <c r="D391" s="13"/>
      <c r="E391" s="13"/>
      <c r="F391" s="13"/>
      <c r="G391" s="13"/>
      <c r="H391" s="8"/>
    </row>
    <row r="392" spans="1:8" ht="20.25" x14ac:dyDescent="0.25">
      <c r="A392" s="12"/>
      <c r="B392" s="13"/>
      <c r="C392" s="13"/>
      <c r="D392" s="13"/>
      <c r="E392" s="13"/>
      <c r="F392" s="13"/>
      <c r="G392" s="13"/>
      <c r="H392" s="8"/>
    </row>
    <row r="393" spans="1:8" ht="20.25" x14ac:dyDescent="0.25">
      <c r="A393" s="12"/>
      <c r="B393" s="13"/>
      <c r="C393" s="13"/>
      <c r="D393" s="13"/>
      <c r="E393" s="13"/>
      <c r="F393" s="13"/>
      <c r="G393" s="13"/>
      <c r="H393" s="8"/>
    </row>
    <row r="394" spans="1:8" ht="20.25" x14ac:dyDescent="0.25">
      <c r="A394" s="12"/>
      <c r="B394" s="13"/>
      <c r="C394" s="13"/>
      <c r="D394" s="13"/>
      <c r="E394" s="13"/>
      <c r="F394" s="13"/>
      <c r="G394" s="13"/>
      <c r="H394" s="8"/>
    </row>
    <row r="395" spans="1:8" ht="20.25" x14ac:dyDescent="0.25">
      <c r="A395" s="12"/>
      <c r="B395" s="13"/>
      <c r="C395" s="13"/>
      <c r="D395" s="13"/>
      <c r="E395" s="13"/>
      <c r="F395" s="13"/>
      <c r="G395" s="13"/>
      <c r="H395" s="8"/>
    </row>
    <row r="396" spans="1:8" ht="20.25" x14ac:dyDescent="0.25">
      <c r="A396" s="12"/>
      <c r="B396" s="13"/>
      <c r="C396" s="13"/>
      <c r="D396" s="13"/>
      <c r="E396" s="13"/>
      <c r="F396" s="13"/>
      <c r="G396" s="13"/>
      <c r="H396" s="8"/>
    </row>
    <row r="397" spans="1:8" ht="20.25" x14ac:dyDescent="0.25">
      <c r="A397" s="12"/>
      <c r="B397" s="13"/>
      <c r="C397" s="13"/>
      <c r="D397" s="13"/>
      <c r="E397" s="13"/>
      <c r="F397" s="13"/>
      <c r="G397" s="13"/>
      <c r="H397" s="8"/>
    </row>
    <row r="398" spans="1:8" ht="20.25" x14ac:dyDescent="0.25">
      <c r="A398" s="12"/>
      <c r="B398" s="13"/>
      <c r="C398" s="13"/>
      <c r="D398" s="13"/>
      <c r="E398" s="13"/>
      <c r="F398" s="13"/>
      <c r="G398" s="13"/>
      <c r="H398" s="8"/>
    </row>
    <row r="399" spans="1:8" ht="20.25" x14ac:dyDescent="0.25">
      <c r="A399" s="12"/>
      <c r="B399" s="13"/>
      <c r="C399" s="13"/>
      <c r="D399" s="13"/>
      <c r="E399" s="13"/>
      <c r="F399" s="13"/>
      <c r="G399" s="13"/>
      <c r="H399" s="8"/>
    </row>
    <row r="400" spans="1:8" ht="20.25" x14ac:dyDescent="0.25">
      <c r="A400" s="12"/>
      <c r="B400" s="13"/>
      <c r="C400" s="13"/>
      <c r="D400" s="13"/>
      <c r="E400" s="13"/>
      <c r="F400" s="13"/>
      <c r="G400" s="13"/>
      <c r="H400" s="8"/>
    </row>
    <row r="401" spans="1:8" ht="20.25" x14ac:dyDescent="0.25">
      <c r="A401" s="12"/>
      <c r="B401" s="13"/>
      <c r="C401" s="13"/>
      <c r="D401" s="13"/>
      <c r="E401" s="13"/>
      <c r="F401" s="13"/>
      <c r="G401" s="13"/>
      <c r="H401" s="8"/>
    </row>
    <row r="402" spans="1:8" ht="20.25" x14ac:dyDescent="0.25">
      <c r="A402" s="12"/>
      <c r="B402" s="13"/>
      <c r="C402" s="13"/>
      <c r="D402" s="13"/>
      <c r="E402" s="13"/>
      <c r="F402" s="13"/>
      <c r="G402" s="13"/>
      <c r="H402" s="8"/>
    </row>
    <row r="403" spans="1:8" ht="20.25" x14ac:dyDescent="0.25">
      <c r="A403" s="12"/>
      <c r="B403" s="13"/>
      <c r="C403" s="13"/>
      <c r="D403" s="13"/>
      <c r="E403" s="13"/>
      <c r="F403" s="13"/>
      <c r="G403" s="13"/>
      <c r="H403" s="8"/>
    </row>
    <row r="404" spans="1:8" ht="20.25" x14ac:dyDescent="0.25">
      <c r="A404" s="12"/>
      <c r="B404" s="13"/>
      <c r="C404" s="13"/>
      <c r="D404" s="13"/>
      <c r="E404" s="13"/>
      <c r="F404" s="13"/>
      <c r="G404" s="13"/>
      <c r="H404" s="8"/>
    </row>
    <row r="405" spans="1:8" ht="20.25" x14ac:dyDescent="0.25">
      <c r="A405" s="12"/>
      <c r="B405" s="13"/>
      <c r="C405" s="13"/>
      <c r="D405" s="13"/>
      <c r="E405" s="13"/>
      <c r="F405" s="13"/>
      <c r="G405" s="13"/>
      <c r="H405" s="8"/>
    </row>
    <row r="406" spans="1:8" ht="20.25" x14ac:dyDescent="0.25">
      <c r="A406" s="12"/>
      <c r="B406" s="13"/>
      <c r="C406" s="13"/>
      <c r="D406" s="13"/>
      <c r="E406" s="13"/>
      <c r="F406" s="13"/>
      <c r="G406" s="13"/>
      <c r="H406" s="8"/>
    </row>
    <row r="407" spans="1:8" ht="20.25" x14ac:dyDescent="0.25">
      <c r="A407" s="12"/>
      <c r="B407" s="13"/>
      <c r="C407" s="13"/>
      <c r="D407" s="13"/>
      <c r="E407" s="13"/>
      <c r="F407" s="13"/>
      <c r="G407" s="13"/>
      <c r="H407" s="8"/>
    </row>
    <row r="408" spans="1:8" ht="20.25" x14ac:dyDescent="0.25">
      <c r="A408" s="12"/>
      <c r="B408" s="13"/>
      <c r="C408" s="13"/>
      <c r="D408" s="13"/>
      <c r="E408" s="13"/>
      <c r="F408" s="13"/>
      <c r="G408" s="13"/>
      <c r="H408" s="8"/>
    </row>
    <row r="409" spans="1:8" ht="20.25" x14ac:dyDescent="0.25">
      <c r="A409" s="12"/>
      <c r="B409" s="13"/>
      <c r="C409" s="13"/>
      <c r="D409" s="13"/>
      <c r="E409" s="13"/>
      <c r="F409" s="13"/>
      <c r="G409" s="13"/>
      <c r="H409" s="8"/>
    </row>
    <row r="410" spans="1:8" ht="20.25" x14ac:dyDescent="0.25">
      <c r="A410" s="12"/>
      <c r="B410" s="13"/>
      <c r="C410" s="13"/>
      <c r="D410" s="13"/>
      <c r="E410" s="13"/>
      <c r="F410" s="13"/>
      <c r="G410" s="13"/>
      <c r="H410" s="8"/>
    </row>
    <row r="411" spans="1:8" ht="20.25" x14ac:dyDescent="0.25">
      <c r="A411" s="12"/>
      <c r="B411" s="13"/>
      <c r="C411" s="13"/>
      <c r="D411" s="13"/>
      <c r="E411" s="13"/>
      <c r="F411" s="13"/>
      <c r="G411" s="13"/>
      <c r="H411" s="8"/>
    </row>
    <row r="412" spans="1:8" ht="20.25" x14ac:dyDescent="0.25">
      <c r="A412" s="154" t="s">
        <v>24</v>
      </c>
      <c r="B412" s="154"/>
      <c r="C412" s="154"/>
      <c r="D412" s="154"/>
      <c r="E412" s="154"/>
      <c r="F412" s="154"/>
      <c r="G412" s="154"/>
      <c r="H412" s="154"/>
    </row>
    <row r="413" spans="1:8" ht="20.25" x14ac:dyDescent="0.25">
      <c r="A413" s="180" t="s">
        <v>78</v>
      </c>
      <c r="B413" s="181"/>
      <c r="C413" s="181"/>
      <c r="D413" s="181"/>
      <c r="E413" s="181"/>
      <c r="F413" s="181"/>
      <c r="G413" s="181"/>
      <c r="H413" s="182"/>
    </row>
    <row r="414" spans="1:8" ht="20.25" x14ac:dyDescent="0.25">
      <c r="A414" s="183" t="s">
        <v>79</v>
      </c>
      <c r="B414" s="184"/>
      <c r="C414" s="184"/>
      <c r="D414" s="184"/>
      <c r="E414" s="184"/>
      <c r="F414" s="184"/>
      <c r="G414" s="184"/>
      <c r="H414" s="185"/>
    </row>
    <row r="415" spans="1:8" ht="45" customHeight="1" x14ac:dyDescent="0.25">
      <c r="A415" s="183" t="s">
        <v>80</v>
      </c>
      <c r="B415" s="184"/>
      <c r="C415" s="184"/>
      <c r="D415" s="184"/>
      <c r="E415" s="184"/>
      <c r="F415" s="184"/>
      <c r="G415" s="184"/>
      <c r="H415" s="185"/>
    </row>
    <row r="416" spans="1:8" ht="42.75" customHeight="1" x14ac:dyDescent="0.25">
      <c r="A416" s="183" t="s">
        <v>81</v>
      </c>
      <c r="B416" s="184"/>
      <c r="C416" s="184"/>
      <c r="D416" s="184"/>
      <c r="E416" s="184"/>
      <c r="F416" s="184"/>
      <c r="G416" s="184"/>
      <c r="H416" s="185"/>
    </row>
    <row r="417" spans="1:8" ht="20.25" x14ac:dyDescent="0.25">
      <c r="A417" s="183" t="s">
        <v>82</v>
      </c>
      <c r="B417" s="184"/>
      <c r="C417" s="184"/>
      <c r="D417" s="184"/>
      <c r="E417" s="184"/>
      <c r="F417" s="184"/>
      <c r="G417" s="184"/>
      <c r="H417" s="185"/>
    </row>
    <row r="418" spans="1:8" ht="20.25" x14ac:dyDescent="0.25">
      <c r="A418" s="183" t="s">
        <v>83</v>
      </c>
      <c r="B418" s="184"/>
      <c r="C418" s="184"/>
      <c r="D418" s="184"/>
      <c r="E418" s="184"/>
      <c r="F418" s="184"/>
      <c r="G418" s="184"/>
      <c r="H418" s="185"/>
    </row>
    <row r="419" spans="1:8" ht="45" customHeight="1" x14ac:dyDescent="0.25">
      <c r="A419" s="183" t="s">
        <v>84</v>
      </c>
      <c r="B419" s="184"/>
      <c r="C419" s="184"/>
      <c r="D419" s="184"/>
      <c r="E419" s="184"/>
      <c r="F419" s="184"/>
      <c r="G419" s="184"/>
      <c r="H419" s="185"/>
    </row>
    <row r="420" spans="1:8" ht="45" customHeight="1" x14ac:dyDescent="0.25">
      <c r="A420" s="183" t="s">
        <v>85</v>
      </c>
      <c r="B420" s="184"/>
      <c r="C420" s="184"/>
      <c r="D420" s="184"/>
      <c r="E420" s="184"/>
      <c r="F420" s="184"/>
      <c r="G420" s="184"/>
      <c r="H420" s="185"/>
    </row>
    <row r="421" spans="1:8" ht="20.25" x14ac:dyDescent="0.25">
      <c r="A421" s="186" t="s">
        <v>86</v>
      </c>
      <c r="B421" s="187"/>
      <c r="C421" s="187"/>
      <c r="D421" s="187"/>
      <c r="E421" s="187"/>
      <c r="F421" s="187"/>
      <c r="G421" s="187"/>
      <c r="H421" s="188"/>
    </row>
    <row r="422" spans="1:8" ht="57" customHeight="1" x14ac:dyDescent="0.25">
      <c r="A422" s="190" t="s">
        <v>30</v>
      </c>
      <c r="B422" s="191"/>
      <c r="C422" s="192" t="s">
        <v>335</v>
      </c>
      <c r="D422" s="193"/>
      <c r="E422" s="190" t="s">
        <v>9</v>
      </c>
      <c r="F422" s="191"/>
      <c r="G422" s="178"/>
      <c r="H422" s="178"/>
    </row>
  </sheetData>
  <mergeCells count="484">
    <mergeCell ref="A58:B58"/>
    <mergeCell ref="C58:F58"/>
    <mergeCell ref="A112:H112"/>
    <mergeCell ref="A269:B269"/>
    <mergeCell ref="A270:B270"/>
    <mergeCell ref="A271:B271"/>
    <mergeCell ref="A262:B262"/>
    <mergeCell ref="A263:B263"/>
    <mergeCell ref="A264:B264"/>
    <mergeCell ref="D264:H264"/>
    <mergeCell ref="D260:H260"/>
    <mergeCell ref="A265:H265"/>
    <mergeCell ref="A266:B266"/>
    <mergeCell ref="A267:B267"/>
    <mergeCell ref="A254:B254"/>
    <mergeCell ref="A255:B255"/>
    <mergeCell ref="A256:B256"/>
    <mergeCell ref="D254:H255"/>
    <mergeCell ref="A257:H257"/>
    <mergeCell ref="A258:B258"/>
    <mergeCell ref="A259:B259"/>
    <mergeCell ref="A260:B260"/>
    <mergeCell ref="A261:B261"/>
    <mergeCell ref="A245:B245"/>
    <mergeCell ref="A246:B246"/>
    <mergeCell ref="A247:B247"/>
    <mergeCell ref="A248:B248"/>
    <mergeCell ref="A249:H249"/>
    <mergeCell ref="A250:B250"/>
    <mergeCell ref="A251:B251"/>
    <mergeCell ref="A252:B252"/>
    <mergeCell ref="A253:B253"/>
    <mergeCell ref="A237:B237"/>
    <mergeCell ref="A238:B238"/>
    <mergeCell ref="A239:B239"/>
    <mergeCell ref="A240:B240"/>
    <mergeCell ref="D237:H237"/>
    <mergeCell ref="A241:H241"/>
    <mergeCell ref="A242:B242"/>
    <mergeCell ref="A243:B243"/>
    <mergeCell ref="A244:B244"/>
    <mergeCell ref="A231:B231"/>
    <mergeCell ref="A232:B232"/>
    <mergeCell ref="A225:H225"/>
    <mergeCell ref="A233:H233"/>
    <mergeCell ref="A234:B234"/>
    <mergeCell ref="A235:B235"/>
    <mergeCell ref="A236:B236"/>
    <mergeCell ref="A224:H224"/>
    <mergeCell ref="A226:B226"/>
    <mergeCell ref="A227:B227"/>
    <mergeCell ref="A228:B228"/>
    <mergeCell ref="A229:B229"/>
    <mergeCell ref="A230:B230"/>
    <mergeCell ref="A223:B223"/>
    <mergeCell ref="D217:H217"/>
    <mergeCell ref="D218:H218"/>
    <mergeCell ref="D219:H219"/>
    <mergeCell ref="D222:H223"/>
    <mergeCell ref="A212:B212"/>
    <mergeCell ref="A213:B213"/>
    <mergeCell ref="A214:B214"/>
    <mergeCell ref="A215:B215"/>
    <mergeCell ref="D215:H215"/>
    <mergeCell ref="A216:H216"/>
    <mergeCell ref="A217:B217"/>
    <mergeCell ref="A218:B218"/>
    <mergeCell ref="A219:B219"/>
    <mergeCell ref="D207:H207"/>
    <mergeCell ref="A208:H208"/>
    <mergeCell ref="A209:B209"/>
    <mergeCell ref="D209:H211"/>
    <mergeCell ref="A210:B210"/>
    <mergeCell ref="A211:B211"/>
    <mergeCell ref="A220:B220"/>
    <mergeCell ref="A221:B221"/>
    <mergeCell ref="A222:B222"/>
    <mergeCell ref="G95:H95"/>
    <mergeCell ref="A150:B150"/>
    <mergeCell ref="A151:B151"/>
    <mergeCell ref="G97:H97"/>
    <mergeCell ref="A197:B197"/>
    <mergeCell ref="A198:B198"/>
    <mergeCell ref="A199:B199"/>
    <mergeCell ref="D193:H195"/>
    <mergeCell ref="D199:H199"/>
    <mergeCell ref="A128:B128"/>
    <mergeCell ref="A129:B129"/>
    <mergeCell ref="A123:B123"/>
    <mergeCell ref="C106:D106"/>
    <mergeCell ref="C109:D109"/>
    <mergeCell ref="A144:B144"/>
    <mergeCell ref="A146:B146"/>
    <mergeCell ref="A142:B142"/>
    <mergeCell ref="A148:H148"/>
    <mergeCell ref="A108:B108"/>
    <mergeCell ref="G108:H108"/>
    <mergeCell ref="A116:H116"/>
    <mergeCell ref="A117:B117"/>
    <mergeCell ref="A130:H130"/>
    <mergeCell ref="A131:B131"/>
    <mergeCell ref="B274:H274"/>
    <mergeCell ref="C53:H53"/>
    <mergeCell ref="A91:F91"/>
    <mergeCell ref="A110:H110"/>
    <mergeCell ref="E101:F101"/>
    <mergeCell ref="E102:F102"/>
    <mergeCell ref="E103:F103"/>
    <mergeCell ref="A101:B101"/>
    <mergeCell ref="A102:B102"/>
    <mergeCell ref="C101:D101"/>
    <mergeCell ref="A103:B103"/>
    <mergeCell ref="C102:D102"/>
    <mergeCell ref="G101:H101"/>
    <mergeCell ref="G102:H102"/>
    <mergeCell ref="G103:H103"/>
    <mergeCell ref="C103:D103"/>
    <mergeCell ref="G105:H105"/>
    <mergeCell ref="A106:B106"/>
    <mergeCell ref="G106:H106"/>
    <mergeCell ref="A107:B107"/>
    <mergeCell ref="G107:H107"/>
    <mergeCell ref="A67:B67"/>
    <mergeCell ref="A70:B70"/>
    <mergeCell ref="E77:F77"/>
    <mergeCell ref="C56:F56"/>
    <mergeCell ref="C57:F57"/>
    <mergeCell ref="A52:B53"/>
    <mergeCell ref="A45:B45"/>
    <mergeCell ref="A46:B46"/>
    <mergeCell ref="A47:B47"/>
    <mergeCell ref="D46:F46"/>
    <mergeCell ref="D45:F45"/>
    <mergeCell ref="D47:F47"/>
    <mergeCell ref="A56:B56"/>
    <mergeCell ref="A57:B57"/>
    <mergeCell ref="C54:F54"/>
    <mergeCell ref="C52:F52"/>
    <mergeCell ref="A49:B49"/>
    <mergeCell ref="A51:B51"/>
    <mergeCell ref="A54:B54"/>
    <mergeCell ref="A55:B55"/>
    <mergeCell ref="A50:B50"/>
    <mergeCell ref="C49:H49"/>
    <mergeCell ref="C50:F50"/>
    <mergeCell ref="C51:F51"/>
    <mergeCell ref="C55:F55"/>
    <mergeCell ref="G46:H46"/>
    <mergeCell ref="A75:H75"/>
    <mergeCell ref="A76:C77"/>
    <mergeCell ref="E76:F76"/>
    <mergeCell ref="G91:H91"/>
    <mergeCell ref="G63:H74"/>
    <mergeCell ref="A59:H59"/>
    <mergeCell ref="A62:B62"/>
    <mergeCell ref="A63:B63"/>
    <mergeCell ref="E62:F62"/>
    <mergeCell ref="E60:F60"/>
    <mergeCell ref="E61:F61"/>
    <mergeCell ref="A60:C61"/>
    <mergeCell ref="A69:B69"/>
    <mergeCell ref="E63:F74"/>
    <mergeCell ref="A66:B66"/>
    <mergeCell ref="A68:B68"/>
    <mergeCell ref="A78:B78"/>
    <mergeCell ref="E78:F78"/>
    <mergeCell ref="A79:B79"/>
    <mergeCell ref="D131:H131"/>
    <mergeCell ref="A132:B132"/>
    <mergeCell ref="D132:H132"/>
    <mergeCell ref="A133:B133"/>
    <mergeCell ref="D133:H133"/>
    <mergeCell ref="A109:B109"/>
    <mergeCell ref="A118:B118"/>
    <mergeCell ref="A120:H120"/>
    <mergeCell ref="A121:B121"/>
    <mergeCell ref="D123:H123"/>
    <mergeCell ref="D124:H124"/>
    <mergeCell ref="D125:H125"/>
    <mergeCell ref="A125:B125"/>
    <mergeCell ref="A126:B126"/>
    <mergeCell ref="A127:B127"/>
    <mergeCell ref="A92:H92"/>
    <mergeCell ref="E422:F422"/>
    <mergeCell ref="A422:B422"/>
    <mergeCell ref="C422:D422"/>
    <mergeCell ref="A1:H1"/>
    <mergeCell ref="A284:C284"/>
    <mergeCell ref="G27:H27"/>
    <mergeCell ref="G28:H28"/>
    <mergeCell ref="A37:H37"/>
    <mergeCell ref="A44:H44"/>
    <mergeCell ref="A48:H48"/>
    <mergeCell ref="A100:H100"/>
    <mergeCell ref="G98:H98"/>
    <mergeCell ref="G7:H7"/>
    <mergeCell ref="G47:H47"/>
    <mergeCell ref="G45:H45"/>
    <mergeCell ref="A25:H25"/>
    <mergeCell ref="G26:H26"/>
    <mergeCell ref="G20:H20"/>
    <mergeCell ref="G21:H21"/>
    <mergeCell ref="A9:A11"/>
    <mergeCell ref="G6:H6"/>
    <mergeCell ref="A5:H5"/>
    <mergeCell ref="A33:H33"/>
    <mergeCell ref="G422:H422"/>
    <mergeCell ref="A283:H283"/>
    <mergeCell ref="D285:H285"/>
    <mergeCell ref="A413:H413"/>
    <mergeCell ref="A419:H419"/>
    <mergeCell ref="A420:H420"/>
    <mergeCell ref="A421:H421"/>
    <mergeCell ref="A414:H414"/>
    <mergeCell ref="A415:H415"/>
    <mergeCell ref="A416:H416"/>
    <mergeCell ref="A417:H417"/>
    <mergeCell ref="A285:C285"/>
    <mergeCell ref="A412:H412"/>
    <mergeCell ref="A418:H418"/>
    <mergeCell ref="A381:H381"/>
    <mergeCell ref="D284:H284"/>
    <mergeCell ref="A286:C286"/>
    <mergeCell ref="D286:H286"/>
    <mergeCell ref="A331:H331"/>
    <mergeCell ref="G93:H93"/>
    <mergeCell ref="B282:H282"/>
    <mergeCell ref="B276:H276"/>
    <mergeCell ref="B275:H275"/>
    <mergeCell ref="B279:H279"/>
    <mergeCell ref="B278:H278"/>
    <mergeCell ref="B277:H277"/>
    <mergeCell ref="B280:H280"/>
    <mergeCell ref="A153:B153"/>
    <mergeCell ref="A154:B154"/>
    <mergeCell ref="A143:B143"/>
    <mergeCell ref="E108:F108"/>
    <mergeCell ref="E106:F106"/>
    <mergeCell ref="C105:D105"/>
    <mergeCell ref="E107:F107"/>
    <mergeCell ref="A140:B140"/>
    <mergeCell ref="C107:D107"/>
    <mergeCell ref="E109:F109"/>
    <mergeCell ref="C108:D108"/>
    <mergeCell ref="A113:H113"/>
    <mergeCell ref="A115:H115"/>
    <mergeCell ref="A119:H119"/>
    <mergeCell ref="A122:H122"/>
    <mergeCell ref="B281:H281"/>
    <mergeCell ref="A273:H273"/>
    <mergeCell ref="E3:F3"/>
    <mergeCell ref="E4:F4"/>
    <mergeCell ref="E79:F90"/>
    <mergeCell ref="G79:H90"/>
    <mergeCell ref="A80:B80"/>
    <mergeCell ref="A81:B81"/>
    <mergeCell ref="A82:B82"/>
    <mergeCell ref="A83:B83"/>
    <mergeCell ref="A84:B84"/>
    <mergeCell ref="A85:B85"/>
    <mergeCell ref="A86:B86"/>
    <mergeCell ref="A87:B87"/>
    <mergeCell ref="A88:B88"/>
    <mergeCell ref="A89:B89"/>
    <mergeCell ref="A90:B90"/>
    <mergeCell ref="A64:B64"/>
    <mergeCell ref="C27:D27"/>
    <mergeCell ref="A71:B71"/>
    <mergeCell ref="A72:B72"/>
    <mergeCell ref="A73:B73"/>
    <mergeCell ref="A74:B74"/>
    <mergeCell ref="A65:B65"/>
    <mergeCell ref="A23:B23"/>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A13:H13"/>
    <mergeCell ref="C18:D18"/>
    <mergeCell ref="C19:D19"/>
    <mergeCell ref="C20:D20"/>
    <mergeCell ref="C21:D21"/>
    <mergeCell ref="C22:D22"/>
    <mergeCell ref="C23:H23"/>
    <mergeCell ref="G2:H2"/>
    <mergeCell ref="G3:H3"/>
    <mergeCell ref="G4:H4"/>
    <mergeCell ref="G14:H14"/>
    <mergeCell ref="G16:H16"/>
    <mergeCell ref="G17:H17"/>
    <mergeCell ref="G15:H15"/>
    <mergeCell ref="G18:H18"/>
    <mergeCell ref="G19:H19"/>
    <mergeCell ref="G22:H22"/>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C24:H24"/>
    <mergeCell ref="E14:F14"/>
    <mergeCell ref="E15:F15"/>
    <mergeCell ref="E16:F16"/>
    <mergeCell ref="E17:F17"/>
    <mergeCell ref="E18:F18"/>
    <mergeCell ref="E19:F19"/>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G29:H29"/>
    <mergeCell ref="C26:D26"/>
    <mergeCell ref="G31:H31"/>
    <mergeCell ref="G30:H30"/>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G36:H36"/>
    <mergeCell ref="G35:H35"/>
    <mergeCell ref="J38:K38"/>
    <mergeCell ref="M38:N38"/>
    <mergeCell ref="C38:E38"/>
    <mergeCell ref="F38:H38"/>
    <mergeCell ref="C39:E39"/>
    <mergeCell ref="F39:H39"/>
    <mergeCell ref="F40:H40"/>
    <mergeCell ref="C40:E40"/>
    <mergeCell ref="A41:B41"/>
    <mergeCell ref="C41:E41"/>
    <mergeCell ref="F41:H41"/>
    <mergeCell ref="A39:B39"/>
    <mergeCell ref="A40:B40"/>
    <mergeCell ref="A145:B145"/>
    <mergeCell ref="A149:B149"/>
    <mergeCell ref="A141:B141"/>
    <mergeCell ref="G94:H94"/>
    <mergeCell ref="A104:H104"/>
    <mergeCell ref="A105:B105"/>
    <mergeCell ref="E105:F105"/>
    <mergeCell ref="A96:H96"/>
    <mergeCell ref="E93:F93"/>
    <mergeCell ref="G99:H99"/>
    <mergeCell ref="G109:H109"/>
    <mergeCell ref="A124:B124"/>
    <mergeCell ref="A114:H114"/>
    <mergeCell ref="A93:B93"/>
    <mergeCell ref="C93:D93"/>
    <mergeCell ref="C94:D94"/>
    <mergeCell ref="C95:D95"/>
    <mergeCell ref="E95:F95"/>
    <mergeCell ref="A97:F97"/>
    <mergeCell ref="A98:F98"/>
    <mergeCell ref="A99:F99"/>
    <mergeCell ref="A94:B94"/>
    <mergeCell ref="A95:B95"/>
    <mergeCell ref="E94:F94"/>
    <mergeCell ref="A175:B175"/>
    <mergeCell ref="A176:B176"/>
    <mergeCell ref="A177:B177"/>
    <mergeCell ref="A167:B167"/>
    <mergeCell ref="A168:B168"/>
    <mergeCell ref="A169:B169"/>
    <mergeCell ref="A134:B134"/>
    <mergeCell ref="A135:B135"/>
    <mergeCell ref="A136:B136"/>
    <mergeCell ref="A137:B137"/>
    <mergeCell ref="A138:H138"/>
    <mergeCell ref="A139:H139"/>
    <mergeCell ref="D140:H140"/>
    <mergeCell ref="D141:H141"/>
    <mergeCell ref="D142:H142"/>
    <mergeCell ref="A155:B155"/>
    <mergeCell ref="A163:B163"/>
    <mergeCell ref="A160:B160"/>
    <mergeCell ref="A161:B161"/>
    <mergeCell ref="A162:B162"/>
    <mergeCell ref="A157:B157"/>
    <mergeCell ref="A158:B158"/>
    <mergeCell ref="A159:B159"/>
    <mergeCell ref="A152:B152"/>
    <mergeCell ref="A147:H147"/>
    <mergeCell ref="A156:H156"/>
    <mergeCell ref="D160:H160"/>
    <mergeCell ref="A164:H164"/>
    <mergeCell ref="A165:B165"/>
    <mergeCell ref="A166:B166"/>
    <mergeCell ref="A183:B183"/>
    <mergeCell ref="D183:H183"/>
    <mergeCell ref="A187:B187"/>
    <mergeCell ref="D187:H187"/>
    <mergeCell ref="D179:H179"/>
    <mergeCell ref="A178:B178"/>
    <mergeCell ref="A179:B179"/>
    <mergeCell ref="D175:H175"/>
    <mergeCell ref="A180:H180"/>
    <mergeCell ref="A181:B181"/>
    <mergeCell ref="A182:B182"/>
    <mergeCell ref="A184:B184"/>
    <mergeCell ref="A170:B170"/>
    <mergeCell ref="A171:B171"/>
    <mergeCell ref="D168:H170"/>
    <mergeCell ref="A172:H172"/>
    <mergeCell ref="A173:B173"/>
    <mergeCell ref="A174:B174"/>
    <mergeCell ref="A268:B268"/>
    <mergeCell ref="D268:H268"/>
    <mergeCell ref="A272:B272"/>
    <mergeCell ref="D272:H272"/>
    <mergeCell ref="A189:H189"/>
    <mergeCell ref="A185:B185"/>
    <mergeCell ref="A186:B186"/>
    <mergeCell ref="A188:H188"/>
    <mergeCell ref="A190:H190"/>
    <mergeCell ref="A191:H191"/>
    <mergeCell ref="A192:H192"/>
    <mergeCell ref="A193:B193"/>
    <mergeCell ref="A194:B194"/>
    <mergeCell ref="A195:B195"/>
    <mergeCell ref="A196:B196"/>
    <mergeCell ref="A200:H200"/>
    <mergeCell ref="A201:B201"/>
    <mergeCell ref="D201:H203"/>
    <mergeCell ref="A202:B202"/>
    <mergeCell ref="A203:B203"/>
    <mergeCell ref="A204:B204"/>
    <mergeCell ref="A205:B205"/>
    <mergeCell ref="A206:B206"/>
    <mergeCell ref="A207:B207"/>
  </mergeCells>
  <dataValidations count="7">
    <dataValidation type="list" allowBlank="1" showInputMessage="1" showErrorMessage="1" sqref="G6:H6">
      <formula1>"Mr. Suraj Khare,Miss Rupali, Miss Vinaya"</formula1>
    </dataValidation>
    <dataValidation type="list" allowBlank="1" showInputMessage="1" showErrorMessage="1" sqref="G26:H26">
      <formula1>"Middle,Upper"</formula1>
    </dataValidation>
    <dataValidation type="list" allowBlank="1" showInputMessage="1" showErrorMessage="1" sqref="C95">
      <formula1>"300000,350000,400000,500000,600000,700000,800000,900000,1000000,1200000,1400000,1500000,1600000"</formula1>
    </dataValidation>
    <dataValidation type="list" allowBlank="1" showInputMessage="1" showErrorMessage="1" sqref="F111">
      <formula1>"Balcony + AP Area, 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49:H49 G35:H35">
      <formula1>"Yes,No"</formula1>
    </dataValidation>
    <dataValidation type="list" allowBlank="1" showInputMessage="1" showErrorMessage="1" sqref="C111">
      <formula1>"Sale /         Rehab /           PAP,Sale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4" manualBreakCount="4">
    <brk id="91" max="16383" man="1"/>
    <brk id="282" max="8" man="1"/>
    <brk id="330" max="16383" man="1"/>
    <brk id="380"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topLeftCell="A16"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54" t="s">
        <v>69</v>
      </c>
      <c r="B3" s="154"/>
      <c r="C3" s="154"/>
      <c r="D3" s="154"/>
      <c r="E3" s="154"/>
      <c r="F3" s="154"/>
      <c r="G3" s="154"/>
      <c r="H3" s="154"/>
      <c r="I3" s="154"/>
    </row>
    <row r="4" spans="1:11" s="1" customFormat="1" ht="20.25" customHeight="1" x14ac:dyDescent="0.3">
      <c r="A4" s="221">
        <v>1</v>
      </c>
      <c r="B4" s="221"/>
      <c r="C4" s="221"/>
      <c r="D4" s="222" t="s">
        <v>4</v>
      </c>
      <c r="E4" s="30" t="s">
        <v>116</v>
      </c>
      <c r="F4" s="196" t="s">
        <v>103</v>
      </c>
      <c r="G4" s="196"/>
      <c r="H4" s="30" t="s">
        <v>117</v>
      </c>
      <c r="I4" s="30" t="s">
        <v>118</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221"/>
      <c r="B5" s="221"/>
      <c r="C5" s="221"/>
      <c r="D5" s="222"/>
      <c r="E5" s="30">
        <v>3</v>
      </c>
      <c r="F5" s="196">
        <v>1</v>
      </c>
      <c r="G5" s="196"/>
      <c r="H5" s="30">
        <v>0</v>
      </c>
      <c r="I5" s="30">
        <f ca="1">--TRIM(RIGHT(SUBSTITUTE(LEFT(A4,_xlfn.AGGREGATE(16,6,FIND({0,1,2,3,4,5,6,7,8,9},A4,ROW(INDIRECT("1:"&amp;LEN(A4)))),1))," ",REPT(" ",LEN(A4))),LEN(A4)))</f>
        <v>1</v>
      </c>
      <c r="J5" s="17" t="s">
        <v>122</v>
      </c>
      <c r="K5" s="18"/>
    </row>
    <row r="6" spans="1:11" s="1" customFormat="1" ht="20.25" customHeight="1" x14ac:dyDescent="0.3">
      <c r="A6" s="199" t="s">
        <v>120</v>
      </c>
      <c r="B6" s="199"/>
      <c r="C6" s="199" t="s">
        <v>130</v>
      </c>
      <c r="D6" s="199"/>
      <c r="E6" s="28" t="s">
        <v>131</v>
      </c>
      <c r="F6" s="199" t="s">
        <v>121</v>
      </c>
      <c r="G6" s="199"/>
      <c r="H6" s="29" t="s">
        <v>119</v>
      </c>
      <c r="I6" s="29"/>
      <c r="J6" s="20" t="s">
        <v>132</v>
      </c>
      <c r="K6" s="19">
        <f ca="1">I5*25%</f>
        <v>0.25</v>
      </c>
    </row>
    <row r="7" spans="1:11" s="1" customFormat="1" ht="20.25" customHeight="1" x14ac:dyDescent="0.3">
      <c r="A7" s="170" t="s">
        <v>133</v>
      </c>
      <c r="B7" s="170"/>
      <c r="C7" s="196">
        <f ca="1">K8</f>
        <v>1</v>
      </c>
      <c r="D7" s="196"/>
      <c r="E7" s="5">
        <f ca="1">((100/I5)*C7)/100</f>
        <v>1</v>
      </c>
      <c r="F7" s="170">
        <f ca="1">(((C7/I5*5)+(C8/I5*20)+(25/(F5+H5+I5)*C9)+(5/(I5)*C10)+(2.5/(I5)*C11)+(2.5/(I5)*C12)+(5/I5*C13)+(10/I5*C14)+(2.5/I5*C15)+(2.5/I5*C16)+(10/I5*C17)+(10/I5*C18))/100)</f>
        <v>0.25</v>
      </c>
      <c r="G7" s="170"/>
      <c r="H7" s="170" t="str">
        <f ca="1">J4</f>
        <v>Excavation work Completed. Plinth work completed</v>
      </c>
      <c r="I7" s="170"/>
      <c r="J7" s="20" t="s">
        <v>123</v>
      </c>
      <c r="K7" s="24">
        <f ca="1">I5*50%</f>
        <v>0.5</v>
      </c>
    </row>
    <row r="8" spans="1:11" s="1" customFormat="1" ht="20.25" x14ac:dyDescent="0.3">
      <c r="A8" s="170" t="s">
        <v>104</v>
      </c>
      <c r="B8" s="170"/>
      <c r="C8" s="223">
        <f ca="1">K16</f>
        <v>1</v>
      </c>
      <c r="D8" s="196"/>
      <c r="E8" s="5">
        <f ca="1">((100/I5)*C8)/100</f>
        <v>1</v>
      </c>
      <c r="F8" s="170"/>
      <c r="G8" s="170"/>
      <c r="H8" s="170"/>
      <c r="I8" s="170"/>
      <c r="J8" s="20" t="s">
        <v>124</v>
      </c>
      <c r="K8" s="24">
        <f ca="1">I5</f>
        <v>1</v>
      </c>
    </row>
    <row r="9" spans="1:11" s="1" customFormat="1" ht="21" customHeight="1" x14ac:dyDescent="0.35">
      <c r="A9" s="170" t="s">
        <v>134</v>
      </c>
      <c r="B9" s="170"/>
      <c r="C9" s="196">
        <v>0</v>
      </c>
      <c r="D9" s="196"/>
      <c r="E9" s="5">
        <f ca="1">((100/(F5+H5+I5))*C9)/100</f>
        <v>0</v>
      </c>
      <c r="F9" s="170"/>
      <c r="G9" s="170"/>
      <c r="H9" s="170"/>
      <c r="I9" s="170"/>
      <c r="J9" s="20" t="s">
        <v>125</v>
      </c>
      <c r="K9" s="25">
        <f ca="1">(IF(E5&gt;1,(I5/(E5+2)),I5*0.2))</f>
        <v>0.2</v>
      </c>
    </row>
    <row r="10" spans="1:11" s="1" customFormat="1" ht="21" customHeight="1" x14ac:dyDescent="0.35">
      <c r="A10" s="170" t="s">
        <v>135</v>
      </c>
      <c r="B10" s="170"/>
      <c r="C10" s="196">
        <v>0</v>
      </c>
      <c r="D10" s="196"/>
      <c r="E10" s="5">
        <f ca="1">((100/I5)*C10)/100</f>
        <v>0</v>
      </c>
      <c r="F10" s="170"/>
      <c r="G10" s="170"/>
      <c r="H10" s="170"/>
      <c r="I10" s="170"/>
      <c r="J10" s="20" t="s">
        <v>126</v>
      </c>
      <c r="K10" s="25">
        <f ca="1">(IF(E5&gt;1,(I5/(E5+2)+K9),I5*0.2+K9))</f>
        <v>0.4</v>
      </c>
    </row>
    <row r="11" spans="1:11" s="1" customFormat="1" ht="21" customHeight="1" x14ac:dyDescent="0.35">
      <c r="A11" s="171" t="s">
        <v>136</v>
      </c>
      <c r="B11" s="172"/>
      <c r="C11" s="196">
        <v>0</v>
      </c>
      <c r="D11" s="196"/>
      <c r="E11" s="5">
        <f ca="1">((100/I5)*C11)/100</f>
        <v>0</v>
      </c>
      <c r="F11" s="170"/>
      <c r="G11" s="170"/>
      <c r="H11" s="170"/>
      <c r="I11" s="170"/>
      <c r="J11" s="20" t="s">
        <v>137</v>
      </c>
      <c r="K11" s="25">
        <f ca="1">(IF(E5&gt;1,(I5/(E5+2)+K10),0))</f>
        <v>0.60000000000000009</v>
      </c>
    </row>
    <row r="12" spans="1:11" s="1" customFormat="1" ht="21" customHeight="1" x14ac:dyDescent="0.35">
      <c r="A12" s="171" t="s">
        <v>167</v>
      </c>
      <c r="B12" s="172"/>
      <c r="C12" s="196">
        <v>0</v>
      </c>
      <c r="D12" s="196"/>
      <c r="E12" s="5">
        <f ca="1">((100/I5)*C12)/100</f>
        <v>0</v>
      </c>
      <c r="F12" s="170"/>
      <c r="G12" s="170"/>
      <c r="H12" s="170"/>
      <c r="I12" s="170"/>
      <c r="J12" s="20" t="s">
        <v>138</v>
      </c>
      <c r="K12" s="25">
        <f ca="1">(IF(E5&gt;2,(I5/(E5+2)+K11),0))</f>
        <v>0.8</v>
      </c>
    </row>
    <row r="13" spans="1:11" s="1" customFormat="1" ht="57.75" customHeight="1" x14ac:dyDescent="0.35">
      <c r="A13" s="171" t="s">
        <v>164</v>
      </c>
      <c r="B13" s="172"/>
      <c r="C13" s="196">
        <v>0</v>
      </c>
      <c r="D13" s="196"/>
      <c r="E13" s="5">
        <f ca="1">((100/(I5))*C13)/100</f>
        <v>0</v>
      </c>
      <c r="F13" s="170"/>
      <c r="G13" s="170"/>
      <c r="H13" s="170"/>
      <c r="I13" s="170"/>
      <c r="J13" s="20" t="s">
        <v>140</v>
      </c>
      <c r="K13" s="26">
        <f>(IF(E5&gt;3,(I5/(E5+2)+K12),0))</f>
        <v>0</v>
      </c>
    </row>
    <row r="14" spans="1:11" s="1" customFormat="1" ht="21" x14ac:dyDescent="0.35">
      <c r="A14" s="170" t="s">
        <v>139</v>
      </c>
      <c r="B14" s="170"/>
      <c r="C14" s="196">
        <v>0</v>
      </c>
      <c r="D14" s="196"/>
      <c r="E14" s="5">
        <f ca="1">((100/(I5))*C14)/100</f>
        <v>0</v>
      </c>
      <c r="F14" s="170"/>
      <c r="G14" s="170"/>
      <c r="H14" s="170"/>
      <c r="I14" s="170"/>
      <c r="J14" s="20" t="s">
        <v>141</v>
      </c>
      <c r="K14" s="25">
        <f>(IF(E5&gt;4,(I5/(E5+2)+K13),0))</f>
        <v>0</v>
      </c>
    </row>
    <row r="15" spans="1:11" s="1" customFormat="1" ht="21" customHeight="1" x14ac:dyDescent="0.35">
      <c r="A15" s="170" t="s">
        <v>166</v>
      </c>
      <c r="B15" s="170"/>
      <c r="C15" s="196">
        <v>0</v>
      </c>
      <c r="D15" s="196"/>
      <c r="E15" s="5">
        <f ca="1">((100/I5)*C15)/100</f>
        <v>0</v>
      </c>
      <c r="F15" s="170"/>
      <c r="G15" s="170"/>
      <c r="H15" s="170"/>
      <c r="I15" s="170"/>
      <c r="J15" s="20" t="s">
        <v>127</v>
      </c>
      <c r="K15" s="25">
        <f>(IF(E5=1,(I5/(E5+3)+K10),IF(E5=0,(I5*0.3+K10),IF(E5&gt;1,0))))</f>
        <v>0</v>
      </c>
    </row>
    <row r="16" spans="1:11" s="1" customFormat="1" ht="21.75" thickBot="1" x14ac:dyDescent="0.4">
      <c r="A16" s="170" t="s">
        <v>165</v>
      </c>
      <c r="B16" s="170"/>
      <c r="C16" s="196">
        <v>0</v>
      </c>
      <c r="D16" s="196"/>
      <c r="E16" s="5">
        <f ca="1">((100/I5)*C16)/100</f>
        <v>0</v>
      </c>
      <c r="F16" s="170"/>
      <c r="G16" s="170"/>
      <c r="H16" s="170"/>
      <c r="I16" s="170"/>
      <c r="J16" s="22" t="s">
        <v>128</v>
      </c>
      <c r="K16" s="27">
        <f ca="1">(IF(E5&gt;1.5,(I5/(E5+2)+K10+MAX(0,K11-K10)+MAX(0,K12-K11)+MAX(0,K13-K12)+MAX(0,K14-K13)+MAX(0,K15-K14)),IF(E5=1,(I5/(E5+3)+K15),IF(E5=0,I5*0.3+K15))))</f>
        <v>1</v>
      </c>
    </row>
    <row r="17" spans="1:9" s="1" customFormat="1" ht="20.25" x14ac:dyDescent="0.25">
      <c r="A17" s="170" t="s">
        <v>142</v>
      </c>
      <c r="B17" s="170"/>
      <c r="C17" s="196">
        <v>0</v>
      </c>
      <c r="D17" s="196"/>
      <c r="E17" s="5">
        <f ca="1">((100/(I5))*C17)/100</f>
        <v>0</v>
      </c>
      <c r="F17" s="170"/>
      <c r="G17" s="170"/>
      <c r="H17" s="170"/>
      <c r="I17" s="170"/>
    </row>
    <row r="18" spans="1:9" s="1" customFormat="1" ht="20.25" x14ac:dyDescent="0.25">
      <c r="A18" s="170" t="s">
        <v>143</v>
      </c>
      <c r="B18" s="170"/>
      <c r="C18" s="196">
        <v>0</v>
      </c>
      <c r="D18" s="196"/>
      <c r="E18" s="5">
        <f ca="1">((100/(I5))*C18)/100</f>
        <v>0</v>
      </c>
      <c r="F18" s="170"/>
      <c r="G18" s="170"/>
      <c r="H18" s="170"/>
      <c r="I18" s="170"/>
    </row>
    <row r="23" spans="1:9" x14ac:dyDescent="0.25">
      <c r="B23" s="224" t="s">
        <v>168</v>
      </c>
      <c r="C23" s="224"/>
      <c r="D23" s="224"/>
      <c r="E23" s="224"/>
      <c r="F23" s="224"/>
      <c r="G23" s="224"/>
    </row>
    <row r="24" spans="1:9" ht="14.45" customHeight="1" x14ac:dyDescent="0.25">
      <c r="B24" s="227" t="s">
        <v>169</v>
      </c>
      <c r="C24" s="227" t="s">
        <v>170</v>
      </c>
      <c r="D24" s="230" t="s">
        <v>171</v>
      </c>
      <c r="E24" s="231" t="s">
        <v>172</v>
      </c>
      <c r="F24" s="228" t="s">
        <v>173</v>
      </c>
      <c r="G24" s="227" t="s">
        <v>174</v>
      </c>
    </row>
    <row r="25" spans="1:9" x14ac:dyDescent="0.25">
      <c r="B25" s="227"/>
      <c r="C25" s="227"/>
      <c r="D25" s="230"/>
      <c r="E25" s="231"/>
      <c r="F25" s="228"/>
      <c r="G25" s="227"/>
    </row>
    <row r="26" spans="1:9" x14ac:dyDescent="0.25">
      <c r="B26" s="36" t="s">
        <v>175</v>
      </c>
      <c r="C26" s="37">
        <v>10</v>
      </c>
      <c r="D26" s="37">
        <v>1</v>
      </c>
      <c r="E26" s="38"/>
      <c r="F26" s="39">
        <f>((E26/D26)*0.05)*100</f>
        <v>0</v>
      </c>
      <c r="G26" s="39">
        <f t="shared" ref="G26:G37" si="0">((E26/D26)*(C26/100))*100</f>
        <v>0</v>
      </c>
    </row>
    <row r="27" spans="1:9" x14ac:dyDescent="0.25">
      <c r="B27" s="36" t="s">
        <v>176</v>
      </c>
      <c r="C27" s="38">
        <v>10</v>
      </c>
      <c r="D27" s="38">
        <v>1</v>
      </c>
      <c r="E27" s="38"/>
      <c r="F27" s="39">
        <f>((E27/D27)*0.05)*100</f>
        <v>0</v>
      </c>
      <c r="G27" s="39">
        <f t="shared" si="0"/>
        <v>0</v>
      </c>
    </row>
    <row r="28" spans="1:9" x14ac:dyDescent="0.25">
      <c r="B28" s="36" t="s">
        <v>177</v>
      </c>
      <c r="C28" s="38">
        <v>15</v>
      </c>
      <c r="D28" s="38">
        <v>1</v>
      </c>
      <c r="E28" s="38"/>
      <c r="F28" s="39">
        <f>((E28/D28)*0.15)*100</f>
        <v>0</v>
      </c>
      <c r="G28" s="39">
        <f t="shared" si="0"/>
        <v>0</v>
      </c>
    </row>
    <row r="29" spans="1:9" x14ac:dyDescent="0.25">
      <c r="B29" s="40" t="s">
        <v>178</v>
      </c>
      <c r="C29" s="38">
        <v>25</v>
      </c>
      <c r="D29" s="38">
        <v>40</v>
      </c>
      <c r="E29" s="38"/>
      <c r="F29" s="39">
        <f>((E29/D29)*0.25)*100</f>
        <v>0</v>
      </c>
      <c r="G29" s="39">
        <f t="shared" si="0"/>
        <v>0</v>
      </c>
    </row>
    <row r="30" spans="1:9" x14ac:dyDescent="0.25">
      <c r="B30" s="40" t="s">
        <v>179</v>
      </c>
      <c r="C30" s="38">
        <v>5</v>
      </c>
      <c r="D30" s="38">
        <v>39</v>
      </c>
      <c r="E30" s="38"/>
      <c r="F30" s="39">
        <f>((E30/D30)*0.05)*100</f>
        <v>0</v>
      </c>
      <c r="G30" s="39">
        <f t="shared" si="0"/>
        <v>0</v>
      </c>
    </row>
    <row r="31" spans="1:9" ht="30" x14ac:dyDescent="0.25">
      <c r="B31" s="40" t="s">
        <v>180</v>
      </c>
      <c r="C31" s="38">
        <v>2.5</v>
      </c>
      <c r="D31" s="38">
        <v>39</v>
      </c>
      <c r="E31" s="38"/>
      <c r="F31" s="39">
        <f>((E31/D31)*0.025)*100</f>
        <v>0</v>
      </c>
      <c r="G31" s="39">
        <f t="shared" si="0"/>
        <v>0</v>
      </c>
    </row>
    <row r="32" spans="1:9" ht="30" x14ac:dyDescent="0.25">
      <c r="B32" s="40" t="s">
        <v>181</v>
      </c>
      <c r="C32" s="38">
        <v>2.5</v>
      </c>
      <c r="D32" s="38">
        <v>39</v>
      </c>
      <c r="E32" s="38"/>
      <c r="F32" s="39">
        <f>((E32/D32)*0.025)*100</f>
        <v>0</v>
      </c>
      <c r="G32" s="39">
        <f t="shared" si="0"/>
        <v>0</v>
      </c>
    </row>
    <row r="33" spans="1:7" ht="45" x14ac:dyDescent="0.25">
      <c r="B33" s="41" t="s">
        <v>182</v>
      </c>
      <c r="C33" s="38">
        <v>5</v>
      </c>
      <c r="D33" s="38">
        <v>39</v>
      </c>
      <c r="E33" s="38"/>
      <c r="F33" s="39">
        <f>((E33/D33)*0.05)*100</f>
        <v>0</v>
      </c>
      <c r="G33" s="39">
        <f t="shared" si="0"/>
        <v>0</v>
      </c>
    </row>
    <row r="34" spans="1:7" ht="30" x14ac:dyDescent="0.25">
      <c r="B34" s="41" t="s">
        <v>183</v>
      </c>
      <c r="C34" s="38">
        <v>5</v>
      </c>
      <c r="D34" s="38">
        <v>39</v>
      </c>
      <c r="E34" s="38"/>
      <c r="F34" s="39">
        <f>((E34/D34)*0.1)*100</f>
        <v>0</v>
      </c>
      <c r="G34" s="39">
        <f t="shared" si="0"/>
        <v>0</v>
      </c>
    </row>
    <row r="35" spans="1:7" ht="30" x14ac:dyDescent="0.25">
      <c r="B35" s="41" t="s">
        <v>184</v>
      </c>
      <c r="C35" s="38">
        <v>5</v>
      </c>
      <c r="D35" s="38">
        <v>39</v>
      </c>
      <c r="E35" s="38"/>
      <c r="F35" s="39">
        <f>((E35/D35)*0.05)*100</f>
        <v>0</v>
      </c>
      <c r="G35" s="39">
        <f t="shared" si="0"/>
        <v>0</v>
      </c>
    </row>
    <row r="36" spans="1:7" ht="60" x14ac:dyDescent="0.25">
      <c r="B36" s="41" t="s">
        <v>185</v>
      </c>
      <c r="C36" s="38">
        <v>10</v>
      </c>
      <c r="D36" s="38">
        <v>39</v>
      </c>
      <c r="E36" s="38"/>
      <c r="F36" s="39">
        <f>((E36/D36)*0.1)*100</f>
        <v>0</v>
      </c>
      <c r="G36" s="39">
        <f t="shared" si="0"/>
        <v>0</v>
      </c>
    </row>
    <row r="37" spans="1:7" ht="45" x14ac:dyDescent="0.25">
      <c r="B37" s="41" t="s">
        <v>186</v>
      </c>
      <c r="C37" s="38">
        <v>5</v>
      </c>
      <c r="D37" s="38">
        <v>39</v>
      </c>
      <c r="E37" s="38"/>
      <c r="F37" s="39">
        <f>((E37/D37)*0.1)*100</f>
        <v>0</v>
      </c>
      <c r="G37" s="39">
        <f t="shared" si="0"/>
        <v>0</v>
      </c>
    </row>
    <row r="38" spans="1:7" ht="15.75" x14ac:dyDescent="0.25">
      <c r="B38" s="42" t="s">
        <v>187</v>
      </c>
      <c r="C38" s="43">
        <f>SUM(C26:C37)</f>
        <v>100</v>
      </c>
      <c r="D38" s="42"/>
      <c r="E38" s="42"/>
      <c r="F38" s="43">
        <f>SUM(F26:F37)</f>
        <v>0</v>
      </c>
      <c r="G38" s="43">
        <f>SUM(G26:G37)</f>
        <v>0</v>
      </c>
    </row>
    <row r="39" spans="1:7" x14ac:dyDescent="0.25">
      <c r="B39" s="228" t="s">
        <v>188</v>
      </c>
      <c r="C39" s="228"/>
      <c r="D39" s="228"/>
      <c r="E39" s="228"/>
      <c r="F39" s="228"/>
      <c r="G39" s="228"/>
    </row>
    <row r="40" spans="1:7" x14ac:dyDescent="0.25">
      <c r="B40" s="229" t="s">
        <v>189</v>
      </c>
      <c r="C40" s="229"/>
      <c r="D40" s="229"/>
      <c r="E40" s="229" t="s">
        <v>190</v>
      </c>
      <c r="F40" s="229"/>
      <c r="G40" s="229"/>
    </row>
    <row r="41" spans="1:7" x14ac:dyDescent="0.25">
      <c r="B41" s="225" t="s">
        <v>191</v>
      </c>
      <c r="C41" s="225"/>
      <c r="D41" s="225"/>
      <c r="E41" s="225" t="s">
        <v>192</v>
      </c>
      <c r="F41" s="225"/>
      <c r="G41" s="225"/>
    </row>
    <row r="42" spans="1:7" x14ac:dyDescent="0.25">
      <c r="B42" s="225" t="s">
        <v>193</v>
      </c>
      <c r="C42" s="225"/>
      <c r="D42" s="225"/>
      <c r="E42" s="225" t="s">
        <v>194</v>
      </c>
      <c r="F42" s="225"/>
      <c r="G42" s="225"/>
    </row>
    <row r="43" spans="1:7" x14ac:dyDescent="0.25">
      <c r="B43" s="226" t="s">
        <v>195</v>
      </c>
      <c r="C43" s="226"/>
      <c r="D43" s="226"/>
      <c r="E43" s="226" t="s">
        <v>196</v>
      </c>
      <c r="F43" s="226"/>
      <c r="G43" s="226"/>
    </row>
    <row r="45" spans="1:7" ht="15.75" thickBot="1" x14ac:dyDescent="0.3"/>
    <row r="46" spans="1:7" ht="17.25" thickTop="1" thickBot="1" x14ac:dyDescent="0.3">
      <c r="A46" s="44" t="s">
        <v>197</v>
      </c>
      <c r="B46" s="44" t="s">
        <v>169</v>
      </c>
      <c r="C46" s="45" t="s">
        <v>198</v>
      </c>
      <c r="D46" s="45" t="s">
        <v>199</v>
      </c>
      <c r="E46" s="45" t="s">
        <v>200</v>
      </c>
    </row>
    <row r="47" spans="1:7" ht="31.5" thickTop="1" thickBot="1" x14ac:dyDescent="0.3">
      <c r="A47" s="46">
        <v>1</v>
      </c>
      <c r="B47" s="47" t="s">
        <v>201</v>
      </c>
      <c r="C47" s="48">
        <v>0</v>
      </c>
      <c r="D47" s="49">
        <v>0.1</v>
      </c>
      <c r="E47" s="48">
        <v>0.1</v>
      </c>
    </row>
    <row r="48" spans="1:7" ht="31.5" thickTop="1" thickBot="1" x14ac:dyDescent="0.3">
      <c r="A48" s="46">
        <v>2</v>
      </c>
      <c r="B48" s="47" t="s">
        <v>202</v>
      </c>
      <c r="C48" s="48" t="s">
        <v>203</v>
      </c>
      <c r="D48" s="49" t="s">
        <v>204</v>
      </c>
      <c r="E48" s="48">
        <v>0.3</v>
      </c>
    </row>
    <row r="49" spans="1:5" ht="61.5" thickTop="1" thickBot="1" x14ac:dyDescent="0.3">
      <c r="A49" s="46">
        <v>3</v>
      </c>
      <c r="B49" s="47" t="s">
        <v>205</v>
      </c>
      <c r="C49" s="48" t="s">
        <v>206</v>
      </c>
      <c r="D49" s="49" t="s">
        <v>207</v>
      </c>
      <c r="E49" s="48">
        <v>0.45</v>
      </c>
    </row>
    <row r="50" spans="1:5" ht="76.5" thickTop="1" thickBot="1" x14ac:dyDescent="0.3">
      <c r="A50" s="46">
        <v>4</v>
      </c>
      <c r="B50" s="47" t="s">
        <v>208</v>
      </c>
      <c r="C50" s="48" t="s">
        <v>209</v>
      </c>
      <c r="D50" s="49" t="s">
        <v>210</v>
      </c>
      <c r="E50" s="48">
        <v>0.7</v>
      </c>
    </row>
    <row r="51" spans="1:5" ht="76.5" thickTop="1" thickBot="1" x14ac:dyDescent="0.3">
      <c r="A51" s="46">
        <v>5</v>
      </c>
      <c r="B51" s="47" t="s">
        <v>211</v>
      </c>
      <c r="C51" s="48" t="s">
        <v>212</v>
      </c>
      <c r="D51" s="49" t="s">
        <v>213</v>
      </c>
      <c r="E51" s="48">
        <v>0.75</v>
      </c>
    </row>
    <row r="52" spans="1:5" ht="76.5" thickTop="1" thickBot="1" x14ac:dyDescent="0.3">
      <c r="A52" s="46">
        <v>6</v>
      </c>
      <c r="B52" s="47" t="s">
        <v>214</v>
      </c>
      <c r="C52" s="48" t="s">
        <v>215</v>
      </c>
      <c r="D52" s="49" t="s">
        <v>216</v>
      </c>
      <c r="E52" s="48">
        <v>0.8</v>
      </c>
    </row>
    <row r="53" spans="1:5" ht="121.5" thickTop="1" thickBot="1" x14ac:dyDescent="0.3">
      <c r="A53" s="46">
        <v>7</v>
      </c>
      <c r="B53" s="47" t="s">
        <v>217</v>
      </c>
      <c r="C53" s="48" t="s">
        <v>218</v>
      </c>
      <c r="D53" s="49" t="s">
        <v>219</v>
      </c>
      <c r="E53" s="48">
        <v>0.85</v>
      </c>
    </row>
    <row r="54" spans="1:5" ht="211.5" thickTop="1" thickBot="1" x14ac:dyDescent="0.3">
      <c r="A54" s="46">
        <v>8</v>
      </c>
      <c r="B54" s="47" t="s">
        <v>220</v>
      </c>
      <c r="C54" s="48" t="s">
        <v>221</v>
      </c>
      <c r="D54" s="49" t="s">
        <v>222</v>
      </c>
      <c r="E54" s="48">
        <v>0.95</v>
      </c>
    </row>
    <row r="55" spans="1:5" ht="91.5" thickTop="1" thickBot="1" x14ac:dyDescent="0.3">
      <c r="A55" s="46">
        <v>9</v>
      </c>
      <c r="B55" s="47" t="s">
        <v>223</v>
      </c>
      <c r="C55" s="48" t="s">
        <v>224</v>
      </c>
      <c r="D55" s="49" t="s">
        <v>225</v>
      </c>
      <c r="E55" s="48">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40" workbookViewId="0">
      <selection activeCell="C37" sqref="C37"/>
    </sheetView>
  </sheetViews>
  <sheetFormatPr defaultRowHeight="15" x14ac:dyDescent="0.25"/>
  <cols>
    <col min="2" max="2" width="3" bestFit="1" customWidth="1"/>
    <col min="3" max="3" width="155.28515625" customWidth="1"/>
  </cols>
  <sheetData>
    <row r="2" spans="2:3" ht="30" x14ac:dyDescent="0.25">
      <c r="B2" s="38">
        <v>1</v>
      </c>
      <c r="C2" s="55" t="s">
        <v>244</v>
      </c>
    </row>
    <row r="3" spans="2:3" x14ac:dyDescent="0.25">
      <c r="B3" s="38">
        <v>2</v>
      </c>
      <c r="C3" s="56" t="s">
        <v>245</v>
      </c>
    </row>
    <row r="4" spans="2:3" x14ac:dyDescent="0.25">
      <c r="B4" s="38">
        <v>3</v>
      </c>
      <c r="C4" s="38" t="s">
        <v>246</v>
      </c>
    </row>
    <row r="5" spans="2:3" x14ac:dyDescent="0.25">
      <c r="B5" s="38">
        <v>4</v>
      </c>
      <c r="C5" s="56" t="s">
        <v>247</v>
      </c>
    </row>
    <row r="6" spans="2:3" x14ac:dyDescent="0.25">
      <c r="B6" s="38">
        <v>5</v>
      </c>
      <c r="C6" s="38" t="s">
        <v>248</v>
      </c>
    </row>
    <row r="7" spans="2:3" ht="30" x14ac:dyDescent="0.25">
      <c r="B7" s="38">
        <v>6</v>
      </c>
      <c r="C7" s="56" t="s">
        <v>249</v>
      </c>
    </row>
    <row r="8" spans="2:3" ht="75" x14ac:dyDescent="0.25">
      <c r="B8" s="38">
        <v>7</v>
      </c>
      <c r="C8" s="56" t="s">
        <v>250</v>
      </c>
    </row>
    <row r="9" spans="2:3" x14ac:dyDescent="0.25">
      <c r="B9" s="38">
        <v>8</v>
      </c>
      <c r="C9" s="38" t="s">
        <v>251</v>
      </c>
    </row>
    <row r="10" spans="2:3" x14ac:dyDescent="0.25">
      <c r="B10" s="38">
        <v>9</v>
      </c>
      <c r="C10" s="38" t="s">
        <v>252</v>
      </c>
    </row>
    <row r="11" spans="2:3" x14ac:dyDescent="0.25">
      <c r="B11" s="38">
        <v>10</v>
      </c>
      <c r="C11" s="38" t="s">
        <v>253</v>
      </c>
    </row>
    <row r="12" spans="2:3" x14ac:dyDescent="0.25">
      <c r="B12" s="38">
        <v>11</v>
      </c>
      <c r="C12" s="38" t="s">
        <v>254</v>
      </c>
    </row>
    <row r="13" spans="2:3" x14ac:dyDescent="0.25">
      <c r="B13" s="38">
        <v>12</v>
      </c>
      <c r="C13" s="38" t="s">
        <v>255</v>
      </c>
    </row>
    <row r="14" spans="2:3" x14ac:dyDescent="0.25">
      <c r="B14" s="38">
        <v>13</v>
      </c>
      <c r="C14" s="38" t="s">
        <v>256</v>
      </c>
    </row>
    <row r="15" spans="2:3" x14ac:dyDescent="0.25">
      <c r="B15" s="38">
        <v>14</v>
      </c>
      <c r="C15" s="38" t="s">
        <v>246</v>
      </c>
    </row>
    <row r="16" spans="2:3" x14ac:dyDescent="0.25">
      <c r="B16" s="38">
        <v>15</v>
      </c>
      <c r="C16" s="38" t="s">
        <v>238</v>
      </c>
    </row>
    <row r="17" spans="2:3" x14ac:dyDescent="0.25">
      <c r="B17" s="57">
        <v>16</v>
      </c>
      <c r="C17" s="58" t="s">
        <v>257</v>
      </c>
    </row>
    <row r="18" spans="2:3" x14ac:dyDescent="0.25">
      <c r="B18" s="59">
        <v>17</v>
      </c>
      <c r="C18" s="58" t="s">
        <v>258</v>
      </c>
    </row>
    <row r="19" spans="2:3" x14ac:dyDescent="0.25">
      <c r="B19" s="60">
        <v>18</v>
      </c>
      <c r="C19" s="38" t="s">
        <v>259</v>
      </c>
    </row>
    <row r="20" spans="2:3" x14ac:dyDescent="0.25">
      <c r="B20" s="59">
        <v>19</v>
      </c>
      <c r="C20" s="38" t="s">
        <v>260</v>
      </c>
    </row>
    <row r="21" spans="2:3" x14ac:dyDescent="0.25">
      <c r="B21" s="38">
        <v>20</v>
      </c>
      <c r="C21" s="38" t="s">
        <v>261</v>
      </c>
    </row>
    <row r="22" spans="2:3" x14ac:dyDescent="0.25">
      <c r="B22" s="59">
        <v>21</v>
      </c>
      <c r="C22" s="38" t="s">
        <v>259</v>
      </c>
    </row>
    <row r="23" spans="2:3" s="62" customFormat="1" ht="30" x14ac:dyDescent="0.25">
      <c r="B23" s="61">
        <v>22</v>
      </c>
      <c r="C23" s="55" t="s">
        <v>262</v>
      </c>
    </row>
    <row r="24" spans="2:3" s="62" customFormat="1" ht="30" x14ac:dyDescent="0.25">
      <c r="B24" s="63">
        <v>23</v>
      </c>
      <c r="C24" s="55" t="s">
        <v>263</v>
      </c>
    </row>
    <row r="25" spans="2:3" x14ac:dyDescent="0.25">
      <c r="B25" s="38">
        <v>24</v>
      </c>
      <c r="C25" s="38" t="s">
        <v>264</v>
      </c>
    </row>
    <row r="26" spans="2:3" x14ac:dyDescent="0.25">
      <c r="B26" s="59">
        <v>25</v>
      </c>
      <c r="C26" s="38" t="s">
        <v>265</v>
      </c>
    </row>
    <row r="27" spans="2:3" x14ac:dyDescent="0.25">
      <c r="B27" s="63">
        <v>26</v>
      </c>
      <c r="C27" s="38" t="s">
        <v>266</v>
      </c>
    </row>
    <row r="28" spans="2:3" x14ac:dyDescent="0.25">
      <c r="B28" s="59">
        <v>27</v>
      </c>
      <c r="C28" s="38" t="s">
        <v>267</v>
      </c>
    </row>
    <row r="29" spans="2:3" ht="60" x14ac:dyDescent="0.25">
      <c r="B29" s="64">
        <v>28</v>
      </c>
      <c r="C29" s="56" t="s">
        <v>268</v>
      </c>
    </row>
    <row r="30" spans="2:3" x14ac:dyDescent="0.25">
      <c r="B30" s="63">
        <v>29</v>
      </c>
      <c r="C30" s="38" t="s">
        <v>269</v>
      </c>
    </row>
    <row r="31" spans="2:3" ht="30" x14ac:dyDescent="0.25">
      <c r="B31" s="63">
        <v>30</v>
      </c>
      <c r="C31" s="56" t="s">
        <v>297</v>
      </c>
    </row>
    <row r="32" spans="2:3" x14ac:dyDescent="0.25">
      <c r="B32" s="63">
        <v>31</v>
      </c>
      <c r="C32" s="38" t="s">
        <v>298</v>
      </c>
    </row>
    <row r="33" spans="2:3" x14ac:dyDescent="0.25">
      <c r="B33" s="63">
        <v>32</v>
      </c>
      <c r="C33" s="38" t="s">
        <v>299</v>
      </c>
    </row>
    <row r="34" spans="2:3" ht="30" x14ac:dyDescent="0.25">
      <c r="B34" s="63">
        <v>33</v>
      </c>
      <c r="C34" s="58" t="s">
        <v>300</v>
      </c>
    </row>
    <row r="35" spans="2:3" x14ac:dyDescent="0.25">
      <c r="B35" s="63">
        <v>34</v>
      </c>
      <c r="C35" s="38"/>
    </row>
  </sheetData>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topLeftCell="A34" workbookViewId="0">
      <selection activeCell="P47" sqref="P47"/>
    </sheetView>
  </sheetViews>
  <sheetFormatPr defaultColWidth="9.140625" defaultRowHeight="15" x14ac:dyDescent="0.25"/>
  <cols>
    <col min="1" max="1" width="9.140625" style="65"/>
    <col min="2" max="2" width="12.28515625" style="65" customWidth="1"/>
    <col min="3" max="16384" width="9.140625" style="65"/>
  </cols>
  <sheetData>
    <row r="2" spans="1:12" x14ac:dyDescent="0.25">
      <c r="B2" s="66" t="s">
        <v>270</v>
      </c>
      <c r="C2" s="232"/>
      <c r="D2" s="232"/>
    </row>
    <row r="3" spans="1:12" x14ac:dyDescent="0.25">
      <c r="D3" s="67"/>
      <c r="E3" s="67"/>
      <c r="F3" s="67"/>
      <c r="G3" s="67"/>
      <c r="H3" s="67"/>
      <c r="I3" s="67"/>
    </row>
    <row r="4" spans="1:12" x14ac:dyDescent="0.25">
      <c r="A4" s="66" t="s">
        <v>271</v>
      </c>
      <c r="B4" s="54" t="s">
        <v>272</v>
      </c>
      <c r="C4" s="233" t="s">
        <v>273</v>
      </c>
      <c r="D4" s="233"/>
      <c r="E4" s="233"/>
      <c r="F4" s="54"/>
      <c r="G4" s="234" t="s">
        <v>274</v>
      </c>
      <c r="H4" s="234"/>
      <c r="I4" s="234"/>
      <c r="J4" s="235" t="s">
        <v>275</v>
      </c>
      <c r="K4" s="235"/>
      <c r="L4" s="235"/>
    </row>
    <row r="5" spans="1:12" x14ac:dyDescent="0.25">
      <c r="A5" s="66"/>
      <c r="B5" s="54"/>
      <c r="C5" s="54" t="s">
        <v>276</v>
      </c>
      <c r="D5" s="54" t="s">
        <v>277</v>
      </c>
      <c r="E5" s="54" t="s">
        <v>278</v>
      </c>
      <c r="F5" s="54"/>
      <c r="G5" s="54" t="s">
        <v>276</v>
      </c>
      <c r="H5" s="54" t="s">
        <v>277</v>
      </c>
      <c r="I5" s="54" t="s">
        <v>278</v>
      </c>
      <c r="J5" s="54" t="s">
        <v>276</v>
      </c>
      <c r="K5" s="54" t="s">
        <v>277</v>
      </c>
      <c r="L5" s="54" t="s">
        <v>278</v>
      </c>
    </row>
    <row r="6" spans="1:12" x14ac:dyDescent="0.25">
      <c r="B6" s="53" t="s">
        <v>279</v>
      </c>
      <c r="C6" s="53"/>
      <c r="D6" s="53"/>
      <c r="E6" s="53">
        <f>C6*D6</f>
        <v>0</v>
      </c>
      <c r="F6" s="53" t="s">
        <v>280</v>
      </c>
      <c r="G6" s="53"/>
      <c r="H6" s="53"/>
      <c r="I6" s="53">
        <f>G6*H6</f>
        <v>0</v>
      </c>
      <c r="J6" s="53"/>
      <c r="K6" s="53"/>
      <c r="L6" s="53">
        <f>J6*K6</f>
        <v>0</v>
      </c>
    </row>
    <row r="7" spans="1:12" x14ac:dyDescent="0.25">
      <c r="B7" s="53"/>
      <c r="C7" s="53"/>
      <c r="D7" s="53"/>
      <c r="E7" s="53">
        <f t="shared" ref="E7:E41" si="0">C7*D7</f>
        <v>0</v>
      </c>
      <c r="F7" s="53" t="s">
        <v>280</v>
      </c>
      <c r="G7" s="53"/>
      <c r="H7" s="53"/>
      <c r="I7" s="53">
        <f t="shared" ref="I7:I35" si="1">G7*H7</f>
        <v>0</v>
      </c>
      <c r="J7" s="53"/>
      <c r="K7" s="53"/>
      <c r="L7" s="53">
        <f t="shared" ref="L7:L35" si="2">J7*K7</f>
        <v>0</v>
      </c>
    </row>
    <row r="8" spans="1:12" x14ac:dyDescent="0.25">
      <c r="B8" s="53"/>
      <c r="C8" s="53"/>
      <c r="D8" s="53"/>
      <c r="E8" s="53">
        <f t="shared" si="0"/>
        <v>0</v>
      </c>
      <c r="F8" s="53"/>
      <c r="G8" s="53"/>
      <c r="H8" s="53"/>
      <c r="I8" s="53">
        <f t="shared" si="1"/>
        <v>0</v>
      </c>
      <c r="J8" s="53"/>
      <c r="K8" s="53"/>
      <c r="L8" s="53">
        <f t="shared" si="2"/>
        <v>0</v>
      </c>
    </row>
    <row r="9" spans="1:12" x14ac:dyDescent="0.25">
      <c r="B9" s="53"/>
      <c r="C9" s="53"/>
      <c r="D9" s="53"/>
      <c r="E9" s="53">
        <f t="shared" si="0"/>
        <v>0</v>
      </c>
      <c r="F9" s="53" t="s">
        <v>281</v>
      </c>
      <c r="G9" s="53"/>
      <c r="H9" s="53"/>
      <c r="I9" s="53">
        <f t="shared" si="1"/>
        <v>0</v>
      </c>
      <c r="J9" s="53"/>
      <c r="K9" s="53"/>
      <c r="L9" s="53">
        <f t="shared" si="2"/>
        <v>0</v>
      </c>
    </row>
    <row r="10" spans="1:12" x14ac:dyDescent="0.25">
      <c r="B10" s="53" t="s">
        <v>282</v>
      </c>
      <c r="C10" s="53"/>
      <c r="D10" s="53"/>
      <c r="E10" s="53">
        <f t="shared" si="0"/>
        <v>0</v>
      </c>
      <c r="F10" s="53" t="s">
        <v>281</v>
      </c>
      <c r="G10" s="53"/>
      <c r="H10" s="53"/>
      <c r="I10" s="53">
        <f t="shared" si="1"/>
        <v>0</v>
      </c>
      <c r="J10" s="53"/>
      <c r="K10" s="53"/>
      <c r="L10" s="53">
        <f t="shared" si="2"/>
        <v>0</v>
      </c>
    </row>
    <row r="11" spans="1:12" x14ac:dyDescent="0.25">
      <c r="B11" s="53"/>
      <c r="C11" s="53"/>
      <c r="D11" s="53"/>
      <c r="E11" s="53">
        <f t="shared" si="0"/>
        <v>0</v>
      </c>
      <c r="F11" s="53" t="s">
        <v>283</v>
      </c>
      <c r="G11" s="53"/>
      <c r="H11" s="53"/>
      <c r="I11" s="53">
        <f t="shared" si="1"/>
        <v>0</v>
      </c>
      <c r="J11" s="53"/>
      <c r="K11" s="53"/>
      <c r="L11" s="53">
        <f t="shared" si="2"/>
        <v>0</v>
      </c>
    </row>
    <row r="12" spans="1:12" x14ac:dyDescent="0.25">
      <c r="B12" s="53"/>
      <c r="C12" s="53"/>
      <c r="D12" s="53"/>
      <c r="E12" s="53">
        <f t="shared" si="0"/>
        <v>0</v>
      </c>
      <c r="F12" s="53"/>
      <c r="G12" s="53"/>
      <c r="H12" s="53"/>
      <c r="I12" s="53">
        <f t="shared" si="1"/>
        <v>0</v>
      </c>
      <c r="J12" s="53"/>
      <c r="K12" s="53"/>
      <c r="L12" s="53">
        <f t="shared" si="2"/>
        <v>0</v>
      </c>
    </row>
    <row r="13" spans="1:12" x14ac:dyDescent="0.25">
      <c r="B13" s="53"/>
      <c r="C13" s="53"/>
      <c r="D13" s="53"/>
      <c r="E13" s="53">
        <f t="shared" si="0"/>
        <v>0</v>
      </c>
      <c r="F13" s="53"/>
      <c r="G13" s="53"/>
      <c r="H13" s="53"/>
      <c r="I13" s="53">
        <f t="shared" si="1"/>
        <v>0</v>
      </c>
      <c r="J13" s="53"/>
      <c r="K13" s="53"/>
      <c r="L13" s="53">
        <f t="shared" si="2"/>
        <v>0</v>
      </c>
    </row>
    <row r="14" spans="1:12" x14ac:dyDescent="0.25">
      <c r="B14" s="53" t="s">
        <v>284</v>
      </c>
      <c r="C14" s="53"/>
      <c r="D14" s="53"/>
      <c r="E14" s="53">
        <f t="shared" si="0"/>
        <v>0</v>
      </c>
      <c r="F14" s="53" t="s">
        <v>281</v>
      </c>
      <c r="G14" s="53"/>
      <c r="H14" s="53"/>
      <c r="I14" s="53">
        <f t="shared" si="1"/>
        <v>0</v>
      </c>
      <c r="J14" s="53"/>
      <c r="K14" s="53"/>
      <c r="L14" s="53">
        <f t="shared" si="2"/>
        <v>0</v>
      </c>
    </row>
    <row r="15" spans="1:12" x14ac:dyDescent="0.25">
      <c r="B15" s="53"/>
      <c r="C15" s="53"/>
      <c r="D15" s="53"/>
      <c r="E15" s="53">
        <f t="shared" si="0"/>
        <v>0</v>
      </c>
      <c r="F15" s="53" t="s">
        <v>283</v>
      </c>
      <c r="G15" s="53"/>
      <c r="H15" s="53"/>
      <c r="I15" s="53">
        <f t="shared" si="1"/>
        <v>0</v>
      </c>
      <c r="J15" s="53"/>
      <c r="K15" s="53"/>
      <c r="L15" s="53">
        <f t="shared" si="2"/>
        <v>0</v>
      </c>
    </row>
    <row r="16" spans="1:12" x14ac:dyDescent="0.25">
      <c r="B16" s="53"/>
      <c r="C16" s="53"/>
      <c r="D16" s="53"/>
      <c r="E16" s="53">
        <f t="shared" si="0"/>
        <v>0</v>
      </c>
      <c r="F16" s="53"/>
      <c r="G16" s="53"/>
      <c r="H16" s="53"/>
      <c r="I16" s="53">
        <f t="shared" si="1"/>
        <v>0</v>
      </c>
      <c r="J16" s="53"/>
      <c r="K16" s="53"/>
      <c r="L16" s="53">
        <f t="shared" si="2"/>
        <v>0</v>
      </c>
    </row>
    <row r="17" spans="2:12" x14ac:dyDescent="0.25">
      <c r="B17" s="53"/>
      <c r="C17" s="53"/>
      <c r="D17" s="53"/>
      <c r="E17" s="53">
        <f t="shared" si="0"/>
        <v>0</v>
      </c>
      <c r="F17" s="53"/>
      <c r="G17" s="53"/>
      <c r="H17" s="53"/>
      <c r="I17" s="53">
        <f t="shared" si="1"/>
        <v>0</v>
      </c>
      <c r="J17" s="53"/>
      <c r="K17" s="53"/>
      <c r="L17" s="53">
        <f t="shared" si="2"/>
        <v>0</v>
      </c>
    </row>
    <row r="18" spans="2:12" x14ac:dyDescent="0.25">
      <c r="B18" s="53" t="s">
        <v>285</v>
      </c>
      <c r="C18" s="53"/>
      <c r="D18" s="53"/>
      <c r="E18" s="53">
        <f t="shared" si="0"/>
        <v>0</v>
      </c>
      <c r="F18" s="53" t="s">
        <v>281</v>
      </c>
      <c r="G18" s="53"/>
      <c r="H18" s="53"/>
      <c r="I18" s="53">
        <f t="shared" si="1"/>
        <v>0</v>
      </c>
      <c r="J18" s="53"/>
      <c r="K18" s="53"/>
      <c r="L18" s="53">
        <f t="shared" si="2"/>
        <v>0</v>
      </c>
    </row>
    <row r="19" spans="2:12" x14ac:dyDescent="0.25">
      <c r="B19" s="53"/>
      <c r="C19" s="53"/>
      <c r="D19" s="53"/>
      <c r="E19" s="53">
        <f t="shared" si="0"/>
        <v>0</v>
      </c>
      <c r="F19" s="53" t="s">
        <v>283</v>
      </c>
      <c r="G19" s="53"/>
      <c r="H19" s="53"/>
      <c r="I19" s="53">
        <f t="shared" si="1"/>
        <v>0</v>
      </c>
      <c r="J19" s="53"/>
      <c r="K19" s="53"/>
      <c r="L19" s="53">
        <f t="shared" si="2"/>
        <v>0</v>
      </c>
    </row>
    <row r="20" spans="2:12" x14ac:dyDescent="0.25">
      <c r="B20" s="53"/>
      <c r="C20" s="53"/>
      <c r="D20" s="53"/>
      <c r="E20" s="53">
        <f t="shared" si="0"/>
        <v>0</v>
      </c>
      <c r="F20" s="53"/>
      <c r="G20" s="53"/>
      <c r="H20" s="53"/>
      <c r="I20" s="53">
        <f t="shared" si="1"/>
        <v>0</v>
      </c>
      <c r="J20" s="53"/>
      <c r="K20" s="53"/>
      <c r="L20" s="53">
        <f t="shared" si="2"/>
        <v>0</v>
      </c>
    </row>
    <row r="21" spans="2:12" x14ac:dyDescent="0.25">
      <c r="B21" s="53" t="s">
        <v>286</v>
      </c>
      <c r="C21" s="53"/>
      <c r="D21" s="53"/>
      <c r="E21" s="53">
        <f t="shared" si="0"/>
        <v>0</v>
      </c>
      <c r="F21" s="53" t="s">
        <v>281</v>
      </c>
      <c r="G21" s="53"/>
      <c r="H21" s="53"/>
      <c r="I21" s="53">
        <f t="shared" si="1"/>
        <v>0</v>
      </c>
      <c r="J21" s="53"/>
      <c r="K21" s="53"/>
      <c r="L21" s="53">
        <f t="shared" si="2"/>
        <v>0</v>
      </c>
    </row>
    <row r="22" spans="2:12" x14ac:dyDescent="0.25">
      <c r="B22" s="53"/>
      <c r="C22" s="53"/>
      <c r="D22" s="53"/>
      <c r="E22" s="53">
        <f t="shared" si="0"/>
        <v>0</v>
      </c>
      <c r="F22" s="53" t="s">
        <v>283</v>
      </c>
      <c r="G22" s="53"/>
      <c r="H22" s="53"/>
      <c r="I22" s="53">
        <f t="shared" si="1"/>
        <v>0</v>
      </c>
      <c r="J22" s="53"/>
      <c r="K22" s="53"/>
      <c r="L22" s="53">
        <f t="shared" si="2"/>
        <v>0</v>
      </c>
    </row>
    <row r="23" spans="2:12" x14ac:dyDescent="0.25">
      <c r="B23" s="53"/>
      <c r="C23" s="53"/>
      <c r="D23" s="53"/>
      <c r="E23" s="53">
        <f t="shared" si="0"/>
        <v>0</v>
      </c>
      <c r="F23" s="53"/>
      <c r="G23" s="53"/>
      <c r="H23" s="53"/>
      <c r="I23" s="53">
        <f t="shared" si="1"/>
        <v>0</v>
      </c>
      <c r="J23" s="53"/>
      <c r="K23" s="53"/>
      <c r="L23" s="53">
        <f t="shared" si="2"/>
        <v>0</v>
      </c>
    </row>
    <row r="24" spans="2:12" x14ac:dyDescent="0.25">
      <c r="B24" s="53" t="s">
        <v>287</v>
      </c>
      <c r="C24" s="53"/>
      <c r="D24" s="53"/>
      <c r="E24" s="53">
        <f t="shared" si="0"/>
        <v>0</v>
      </c>
      <c r="F24" s="53" t="s">
        <v>288</v>
      </c>
      <c r="G24" s="53"/>
      <c r="H24" s="53"/>
      <c r="I24" s="53">
        <f t="shared" si="1"/>
        <v>0</v>
      </c>
      <c r="J24" s="53"/>
      <c r="K24" s="53"/>
      <c r="L24" s="53">
        <f t="shared" si="2"/>
        <v>0</v>
      </c>
    </row>
    <row r="25" spans="2:12" x14ac:dyDescent="0.25">
      <c r="B25" s="53"/>
      <c r="C25" s="53"/>
      <c r="D25" s="53"/>
      <c r="E25" s="53">
        <f t="shared" si="0"/>
        <v>0</v>
      </c>
      <c r="F25" s="53" t="s">
        <v>288</v>
      </c>
      <c r="G25" s="53"/>
      <c r="H25" s="53"/>
      <c r="I25" s="53">
        <f t="shared" si="1"/>
        <v>0</v>
      </c>
      <c r="J25" s="53"/>
      <c r="K25" s="53"/>
      <c r="L25" s="53">
        <f t="shared" si="2"/>
        <v>0</v>
      </c>
    </row>
    <row r="26" spans="2:12" x14ac:dyDescent="0.25">
      <c r="B26" s="53"/>
      <c r="C26" s="53"/>
      <c r="D26" s="53"/>
      <c r="E26" s="53">
        <f t="shared" si="0"/>
        <v>0</v>
      </c>
      <c r="F26" s="53" t="s">
        <v>288</v>
      </c>
      <c r="G26" s="53"/>
      <c r="H26" s="53"/>
      <c r="I26" s="53">
        <f t="shared" si="1"/>
        <v>0</v>
      </c>
      <c r="J26" s="53"/>
      <c r="K26" s="53"/>
      <c r="L26" s="53">
        <f t="shared" si="2"/>
        <v>0</v>
      </c>
    </row>
    <row r="27" spans="2:12" x14ac:dyDescent="0.25">
      <c r="B27" s="53"/>
      <c r="C27" s="53"/>
      <c r="D27" s="53"/>
      <c r="E27" s="53">
        <f t="shared" si="0"/>
        <v>0</v>
      </c>
      <c r="F27" s="53" t="s">
        <v>288</v>
      </c>
      <c r="G27" s="53"/>
      <c r="H27" s="53"/>
      <c r="I27" s="53">
        <f t="shared" si="1"/>
        <v>0</v>
      </c>
      <c r="J27" s="53"/>
      <c r="K27" s="53"/>
      <c r="L27" s="53">
        <f t="shared" si="2"/>
        <v>0</v>
      </c>
    </row>
    <row r="28" spans="2:12" x14ac:dyDescent="0.25">
      <c r="B28" s="53" t="s">
        <v>289</v>
      </c>
      <c r="C28" s="53"/>
      <c r="D28" s="53"/>
      <c r="E28" s="53">
        <f t="shared" si="0"/>
        <v>0</v>
      </c>
      <c r="F28" s="53" t="s">
        <v>288</v>
      </c>
      <c r="G28" s="53"/>
      <c r="H28" s="53"/>
      <c r="I28" s="53">
        <f t="shared" si="1"/>
        <v>0</v>
      </c>
      <c r="J28" s="53"/>
      <c r="K28" s="53"/>
      <c r="L28" s="53">
        <f t="shared" si="2"/>
        <v>0</v>
      </c>
    </row>
    <row r="29" spans="2:12" x14ac:dyDescent="0.25">
      <c r="B29" s="53" t="s">
        <v>290</v>
      </c>
      <c r="C29" s="53"/>
      <c r="D29" s="53"/>
      <c r="E29" s="53">
        <f t="shared" si="0"/>
        <v>0</v>
      </c>
      <c r="F29" s="53" t="s">
        <v>288</v>
      </c>
      <c r="G29" s="53"/>
      <c r="H29" s="53"/>
      <c r="I29" s="53">
        <f t="shared" si="1"/>
        <v>0</v>
      </c>
      <c r="J29" s="53"/>
      <c r="K29" s="53"/>
      <c r="L29" s="53">
        <f t="shared" si="2"/>
        <v>0</v>
      </c>
    </row>
    <row r="30" spans="2:12" x14ac:dyDescent="0.25">
      <c r="B30" s="53" t="s">
        <v>291</v>
      </c>
      <c r="C30" s="53"/>
      <c r="D30" s="53"/>
      <c r="E30" s="53">
        <f t="shared" si="0"/>
        <v>0</v>
      </c>
      <c r="F30" s="53"/>
      <c r="G30" s="53"/>
      <c r="H30" s="53"/>
      <c r="I30" s="53">
        <f t="shared" si="1"/>
        <v>0</v>
      </c>
      <c r="J30" s="53"/>
      <c r="K30" s="53"/>
      <c r="L30" s="53">
        <f t="shared" si="2"/>
        <v>0</v>
      </c>
    </row>
    <row r="31" spans="2:12" x14ac:dyDescent="0.25">
      <c r="B31" s="53"/>
      <c r="C31" s="53"/>
      <c r="D31" s="53"/>
      <c r="E31" s="53">
        <f t="shared" si="0"/>
        <v>0</v>
      </c>
      <c r="F31" s="53"/>
      <c r="G31" s="53"/>
      <c r="H31" s="53"/>
      <c r="I31" s="53">
        <f t="shared" si="1"/>
        <v>0</v>
      </c>
      <c r="J31" s="53"/>
      <c r="K31" s="53"/>
      <c r="L31" s="53">
        <f t="shared" si="2"/>
        <v>0</v>
      </c>
    </row>
    <row r="32" spans="2:12" x14ac:dyDescent="0.25">
      <c r="B32" s="53"/>
      <c r="C32" s="53"/>
      <c r="D32" s="53"/>
      <c r="E32" s="53">
        <f t="shared" si="0"/>
        <v>0</v>
      </c>
      <c r="F32" s="53"/>
      <c r="G32" s="53"/>
      <c r="H32" s="53"/>
      <c r="I32" s="53">
        <f t="shared" si="1"/>
        <v>0</v>
      </c>
      <c r="J32" s="53"/>
      <c r="K32" s="53"/>
      <c r="L32" s="53">
        <f t="shared" si="2"/>
        <v>0</v>
      </c>
    </row>
    <row r="33" spans="2:12" x14ac:dyDescent="0.25">
      <c r="B33" s="53" t="s">
        <v>292</v>
      </c>
      <c r="C33" s="53"/>
      <c r="D33" s="53"/>
      <c r="E33" s="53">
        <f t="shared" si="0"/>
        <v>0</v>
      </c>
      <c r="F33" s="53"/>
      <c r="G33" s="53"/>
      <c r="H33" s="53"/>
      <c r="I33" s="53">
        <f t="shared" si="1"/>
        <v>0</v>
      </c>
      <c r="J33" s="53"/>
      <c r="K33" s="53"/>
      <c r="L33" s="53">
        <f t="shared" si="2"/>
        <v>0</v>
      </c>
    </row>
    <row r="34" spans="2:12" x14ac:dyDescent="0.25">
      <c r="B34" s="53" t="s">
        <v>293</v>
      </c>
      <c r="C34" s="53"/>
      <c r="D34" s="53"/>
      <c r="E34" s="53">
        <f t="shared" si="0"/>
        <v>0</v>
      </c>
      <c r="F34" s="53"/>
      <c r="G34" s="53"/>
      <c r="H34" s="53"/>
      <c r="I34" s="53">
        <f t="shared" si="1"/>
        <v>0</v>
      </c>
      <c r="J34" s="53"/>
      <c r="K34" s="53"/>
      <c r="L34" s="53">
        <f t="shared" si="2"/>
        <v>0</v>
      </c>
    </row>
    <row r="35" spans="2:12" x14ac:dyDescent="0.25">
      <c r="B35" s="53" t="s">
        <v>294</v>
      </c>
      <c r="C35" s="53"/>
      <c r="D35" s="53"/>
      <c r="E35" s="53">
        <f t="shared" si="0"/>
        <v>0</v>
      </c>
      <c r="F35" s="53"/>
      <c r="G35" s="53"/>
      <c r="H35" s="53"/>
      <c r="I35" s="53">
        <f t="shared" si="1"/>
        <v>0</v>
      </c>
      <c r="J35" s="53"/>
      <c r="K35" s="53"/>
      <c r="L35" s="53">
        <f t="shared" si="2"/>
        <v>0</v>
      </c>
    </row>
    <row r="36" spans="2:12" x14ac:dyDescent="0.25">
      <c r="B36" s="53" t="s">
        <v>295</v>
      </c>
      <c r="C36" s="53"/>
      <c r="D36" s="53"/>
      <c r="E36" s="53">
        <f t="shared" si="0"/>
        <v>0</v>
      </c>
      <c r="F36" s="53"/>
      <c r="G36" s="53"/>
      <c r="H36" s="53"/>
      <c r="I36" s="53">
        <f>G36*H36</f>
        <v>0</v>
      </c>
      <c r="J36" s="53"/>
      <c r="K36" s="53"/>
      <c r="L36" s="53">
        <f>J36*K36</f>
        <v>0</v>
      </c>
    </row>
    <row r="37" spans="2:12" x14ac:dyDescent="0.25">
      <c r="B37" s="53"/>
      <c r="C37" s="53"/>
      <c r="D37" s="53"/>
      <c r="E37" s="53">
        <f t="shared" si="0"/>
        <v>0</v>
      </c>
      <c r="F37" s="53"/>
      <c r="G37" s="53"/>
      <c r="H37" s="53"/>
      <c r="I37" s="53">
        <f t="shared" ref="I37:I38" si="3">G37*H37</f>
        <v>0</v>
      </c>
      <c r="J37" s="53"/>
      <c r="K37" s="53"/>
      <c r="L37" s="53">
        <f t="shared" ref="L37:L38" si="4">J37*K37</f>
        <v>0</v>
      </c>
    </row>
    <row r="38" spans="2:12" x14ac:dyDescent="0.25">
      <c r="B38" s="53" t="s">
        <v>296</v>
      </c>
      <c r="C38" s="53"/>
      <c r="D38" s="53"/>
      <c r="E38" s="53">
        <f t="shared" si="0"/>
        <v>0</v>
      </c>
      <c r="F38" s="53"/>
      <c r="G38" s="53"/>
      <c r="H38" s="53"/>
      <c r="I38" s="53">
        <f t="shared" si="3"/>
        <v>0</v>
      </c>
      <c r="J38" s="53"/>
      <c r="K38" s="53"/>
      <c r="L38" s="53">
        <f t="shared" si="4"/>
        <v>0</v>
      </c>
    </row>
    <row r="39" spans="2:12" x14ac:dyDescent="0.25">
      <c r="B39" s="53"/>
      <c r="C39" s="53"/>
      <c r="D39" s="53"/>
      <c r="E39" s="53">
        <f t="shared" si="0"/>
        <v>0</v>
      </c>
      <c r="F39" s="53"/>
      <c r="G39" s="53"/>
      <c r="H39" s="53"/>
      <c r="I39" s="53">
        <f>G39*H39</f>
        <v>0</v>
      </c>
      <c r="J39" s="53"/>
      <c r="K39" s="53"/>
      <c r="L39" s="53">
        <f>J39*K39</f>
        <v>0</v>
      </c>
    </row>
    <row r="40" spans="2:12" x14ac:dyDescent="0.25">
      <c r="B40" s="53"/>
      <c r="C40" s="53"/>
      <c r="D40" s="53"/>
      <c r="E40" s="53">
        <f t="shared" si="0"/>
        <v>0</v>
      </c>
      <c r="F40" s="53"/>
      <c r="G40" s="53"/>
      <c r="H40" s="53"/>
      <c r="I40" s="53">
        <f>G40*H40</f>
        <v>0</v>
      </c>
      <c r="J40" s="53"/>
      <c r="K40" s="53"/>
      <c r="L40" s="53">
        <f>J40*K40</f>
        <v>0</v>
      </c>
    </row>
    <row r="41" spans="2:12" x14ac:dyDescent="0.25">
      <c r="B41" s="53"/>
      <c r="C41" s="53"/>
      <c r="D41" s="53"/>
      <c r="E41" s="53">
        <f t="shared" si="0"/>
        <v>0</v>
      </c>
      <c r="F41" s="53"/>
      <c r="G41" s="53"/>
      <c r="H41" s="53"/>
      <c r="I41" s="53">
        <f>G41*H41</f>
        <v>0</v>
      </c>
      <c r="J41" s="53"/>
      <c r="K41" s="53"/>
      <c r="L41" s="53">
        <f>J41*K41</f>
        <v>0</v>
      </c>
    </row>
    <row r="42" spans="2:12" x14ac:dyDescent="0.25">
      <c r="B42" s="53" t="s">
        <v>153</v>
      </c>
      <c r="C42" s="53"/>
      <c r="D42" s="53">
        <f>E42*10.764</f>
        <v>0</v>
      </c>
      <c r="E42" s="68">
        <f>SUM(E6:E41)</f>
        <v>0</v>
      </c>
      <c r="F42" s="53"/>
      <c r="G42" s="53"/>
      <c r="H42" s="53">
        <f>I42*10.764</f>
        <v>0</v>
      </c>
      <c r="I42" s="69">
        <f>SUM(I6:I41)</f>
        <v>0</v>
      </c>
      <c r="J42" s="53"/>
      <c r="K42" s="53">
        <f>L42*10.764</f>
        <v>0</v>
      </c>
      <c r="L42" s="70">
        <f>SUM(L6:L41)</f>
        <v>0</v>
      </c>
    </row>
    <row r="44" spans="2:12" x14ac:dyDescent="0.25">
      <c r="D44" s="65">
        <f>D42+H42</f>
        <v>0</v>
      </c>
      <c r="E44" s="65">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2025-07-31T09:22:16Z</cp:lastPrinted>
  <dcterms:created xsi:type="dcterms:W3CDTF">2010-11-23T11:42:48Z</dcterms:created>
  <dcterms:modified xsi:type="dcterms:W3CDTF">2025-07-31T09:26:32Z</dcterms:modified>
</cp:coreProperties>
</file>